
<file path=[Content_Types].xml><?xml version="1.0" encoding="utf-8"?>
<Types xmlns="http://schemas.openxmlformats.org/package/2006/content-types">
  <Override PartName="/xl/worksheets/sheet15.xml" ContentType="application/vnd.openxmlformats-officedocument.spreadsheetml.worksheet+xml"/>
  <Override PartName="/xl/worksheets/sheet24.xml" ContentType="application/vnd.openxmlformats-officedocument.spreadsheetml.worksheet+xml"/>
  <Override PartName="/xl/worksheets/sheet35.xml" ContentType="application/vnd.openxmlformats-officedocument.spreadsheetml.worksheet+xml"/>
  <Override PartName="/xl/worksheets/sheet44.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22.xml" ContentType="application/vnd.openxmlformats-officedocument.spreadsheetml.worksheet+xml"/>
  <Override PartName="/xl/worksheets/sheet33.xml" ContentType="application/vnd.openxmlformats-officedocument.spreadsheetml.worksheet+xml"/>
  <Override PartName="/xl/worksheets/sheet4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customXml/itemProps1.xml" ContentType="application/vnd.openxmlformats-officedocument.customXmlProperties+xml"/>
  <Override PartName="/xl/worksheets/sheet7.xml" ContentType="application/vnd.openxmlformats-officedocument.spreadsheetml.worksheet+xml"/>
  <Override PartName="/xl/worksheets/sheet11.xml" ContentType="application/vnd.openxmlformats-officedocument.spreadsheetml.worksheet+xml"/>
  <Override PartName="/xl/worksheets/sheet20.xml" ContentType="application/vnd.openxmlformats-officedocument.spreadsheetml.worksheet+xml"/>
  <Override PartName="/xl/worksheets/sheet31.xml" ContentType="application/vnd.openxmlformats-officedocument.spreadsheetml.worksheet+xml"/>
  <Override PartName="/xl/worksheets/sheet40.xml" ContentType="application/vnd.openxmlformats-officedocument.spreadsheetml.worksheet+xml"/>
  <Override PartName="/xl/drawings/drawing4.xml" ContentType="application/vnd.openxmlformats-officedocument.drawing+xml"/>
  <Default Extension="rels" ContentType="application/vnd.openxmlformats-package.relationships+xml"/>
  <Default Extension="xml" ContentType="application/xml"/>
  <Override PartName="/xl/worksheets/sheet5.xml" ContentType="application/vnd.openxmlformats-officedocument.spreadsheetml.worksheet+xml"/>
  <Override PartName="/xl/externalLinks/externalLink5.xml" ContentType="application/vnd.openxmlformats-officedocument.spreadsheetml.externalLink+xml"/>
  <Override PartName="/xl/drawings/drawing2.xml" ContentType="application/vnd.openxmlformats-officedocument.drawing+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docProps/core.xml" ContentType="application/vnd.openxmlformats-package.core-properties+xml"/>
  <Override PartName="/xl/worksheets/sheet16.xml" ContentType="application/vnd.openxmlformats-officedocument.spreadsheetml.worksheet+xml"/>
  <Override PartName="/xl/worksheets/sheet25.xml" ContentType="application/vnd.openxmlformats-officedocument.spreadsheetml.worksheet+xml"/>
  <Override PartName="/xl/worksheets/sheet34.xml" ContentType="application/vnd.openxmlformats-officedocument.spreadsheetml.worksheet+xml"/>
  <Override PartName="/xl/worksheets/sheet43.xml" ContentType="application/vnd.openxmlformats-officedocument.spreadsheetml.worksheet+xml"/>
  <Default Extension="bin" ContentType="application/vnd.openxmlformats-officedocument.spreadsheetml.printerSettings"/>
  <Default Extension="png" ContentType="image/png"/>
  <Override PartName="/xl/worksheets/sheet14.xml" ContentType="application/vnd.openxmlformats-officedocument.spreadsheetml.worksheet+xml"/>
  <Override PartName="/xl/worksheets/sheet23.xml" ContentType="application/vnd.openxmlformats-officedocument.spreadsheetml.worksheet+xml"/>
  <Override PartName="/xl/worksheets/sheet32.xml" ContentType="application/vnd.openxmlformats-officedocument.spreadsheetml.worksheet+xml"/>
  <Override PartName="/xl/worksheets/sheet41.xml" ContentType="application/vnd.openxmlformats-officedocument.spreadsheetml.worksheet+xml"/>
  <Override PartName="/xl/worksheets/sheet6.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Override PartName="/xl/drawings/drawing5.xml" ContentType="application/vnd.openxmlformats-officedocument.drawing+xml"/>
  <Override PartName="/xl/workbook.xml" ContentType="application/vnd.openxmlformats-officedocument.spreadsheetml.sheet.main+xml"/>
  <Override PartName="/xl/worksheets/sheet4.xml" ContentType="application/vnd.openxmlformats-officedocument.spreadsheetml.worksheet+xml"/>
  <Override PartName="/xl/worksheets/sheet10.xml" ContentType="application/vnd.openxmlformats-officedocument.spreadsheetml.worksheet+xml"/>
  <Override PartName="/xl/externalLinks/externalLink4.xml" ContentType="application/vnd.openxmlformats-officedocument.spreadsheetml.externalLink+xml"/>
  <Override PartName="/xl/drawings/drawing3.xml" ContentType="application/vnd.openxmlformats-officedocument.drawing+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defaultThemeVersion="124226"/>
  <bookViews>
    <workbookView xWindow="-210" yWindow="-195" windowWidth="11880" windowHeight="10200" tabRatio="937" firstSheet="10" activeTab="32"/>
  </bookViews>
  <sheets>
    <sheet name="0000000000000" sheetId="4" state="veryHidden" r:id="rId1"/>
    <sheet name="1000000000000" sheetId="5" state="veryHidden" r:id="rId2"/>
    <sheet name="VUP Data" sheetId="127" state="hidden" r:id="rId3"/>
    <sheet name="temp-calculations" sheetId="179" state="hidden" r:id="rId4"/>
    <sheet name="Input Data" sheetId="107" r:id="rId5"/>
    <sheet name="Cover Page" sheetId="198" r:id="rId6"/>
    <sheet name="Note File" sheetId="174" r:id="rId7"/>
    <sheet name="GA" sheetId="133" r:id="rId8"/>
    <sheet name="Inspection Report" sheetId="200" r:id="rId9"/>
    <sheet name="SPR" sheetId="185" r:id="rId10"/>
    <sheet name="Key Map" sheetId="201" r:id="rId11"/>
    <sheet name="LS_2LS" sheetId="195" r:id="rId12"/>
    <sheet name="TRAFF-Count-ESAL-Cal" sheetId="175" r:id="rId13"/>
    <sheet name="ESAL-result" sheetId="191" r:id="rId14"/>
    <sheet name="ESAL-calculation " sheetId="197" state="hidden" r:id="rId15"/>
    <sheet name="ESAL-Data" sheetId="193" state="hidden" r:id="rId16"/>
    <sheet name="Cover" sheetId="128" state="hidden" r:id="rId17"/>
    <sheet name="google-map" sheetId="178" state="hidden" r:id="rId18"/>
    <sheet name="Schedule-A" sheetId="162" r:id="rId19"/>
    <sheet name="Schedule-A (Part-B)" sheetId="163" state="hidden" r:id="rId20"/>
    <sheet name="Road Estimate" sheetId="164" r:id="rId21"/>
    <sheet name="CD Abs" sheetId="189" r:id="rId22"/>
    <sheet name="Mtc-Abs" sheetId="139" state="hidden" r:id="rId23"/>
    <sheet name="MTS Esti" sheetId="140" state="hidden" r:id="rId24"/>
    <sheet name="MTC DAtas" sheetId="202" state="hidden" r:id="rId25"/>
    <sheet name="Mtc-data" sheetId="141" state="hidden" r:id="rId26"/>
    <sheet name="1V 1m dia Pipe Culverts" sheetId="199" r:id="rId27"/>
    <sheet name="2V 1m dia Pipe Culverts" sheetId="165" r:id="rId28"/>
    <sheet name="Road-furniture " sheetId="171" r:id="rId29"/>
    <sheet name="RSI-Estt" sheetId="203" r:id="rId30"/>
    <sheet name="Drain " sheetId="170" r:id="rId31"/>
    <sheet name="Seigneorage" sheetId="190" r:id="rId32"/>
    <sheet name="lead" sheetId="7" r:id="rId33"/>
    <sheet name="SSR-rates" sheetId="86" r:id="rId34"/>
    <sheet name="Road data" sheetId="94" r:id="rId35"/>
    <sheet name="Slab Culvert 1V 6m x 2m spa" sheetId="186" r:id="rId36"/>
    <sheet name="Slab Culvert 2V 6m x 2m spa" sheetId="187" r:id="rId37"/>
    <sheet name="Ret wall" sheetId="169" r:id="rId38"/>
    <sheet name="Road dam 30m" sheetId="168" r:id="rId39"/>
    <sheet name="Slab Culvert 1V 5m x 2m span" sheetId="167" r:id="rId40"/>
    <sheet name="Slab-Culverts Data" sheetId="119" r:id="rId41"/>
    <sheet name="Pipe data" sheetId="113" r:id="rId42"/>
    <sheet name="Road-Marks" sheetId="132" state="hidden" r:id="rId43"/>
    <sheet name="TENDER-NF" sheetId="182" state="hidden" r:id="rId44"/>
    <sheet name="Road Furniture-Data" sheetId="150" r:id="rId45"/>
    <sheet name="NP4 pipes" sheetId="146" r:id="rId46"/>
    <sheet name="NP4 collars" sheetId="147" r:id="rId47"/>
    <sheet name="TEMP-CAL" sheetId="184" state="hidden" r:id="rId48"/>
  </sheets>
  <externalReferences>
    <externalReference r:id="rId49"/>
    <externalReference r:id="rId50"/>
    <externalReference r:id="rId51"/>
    <externalReference r:id="rId52"/>
    <externalReference r:id="rId53"/>
  </externalReferences>
  <definedNames>
    <definedName name="\" localSheetId="5">#REF!</definedName>
    <definedName name="\" localSheetId="8">#REF!</definedName>
    <definedName name="\" localSheetId="10">#REF!</definedName>
    <definedName name="\" localSheetId="29">#REF!</definedName>
    <definedName name="\" localSheetId="31">#REF!</definedName>
    <definedName name="\">#REF!</definedName>
    <definedName name="\a" localSheetId="8">#REF!</definedName>
    <definedName name="\a" localSheetId="10">#REF!</definedName>
    <definedName name="\a" localSheetId="29">#REF!</definedName>
    <definedName name="\a">#REF!</definedName>
    <definedName name="\P">#REF!</definedName>
    <definedName name="____" localSheetId="8">#REF!</definedName>
    <definedName name="____" localSheetId="10">#REF!</definedName>
    <definedName name="____" localSheetId="29">#REF!</definedName>
    <definedName name="____">#REF!</definedName>
    <definedName name="_____________________________________________________________________l12">#REF!</definedName>
    <definedName name="_____________________________________________________________________l3">#REF!</definedName>
    <definedName name="_____________________________________________________________________l5">#REF!</definedName>
    <definedName name="_____________________________________________________________________var1">#REF!</definedName>
    <definedName name="_____________________________________________________________________var4">#REF!</definedName>
    <definedName name="____________________________________________________________________l12">#REF!</definedName>
    <definedName name="____________________________________________________________________l3">#REF!</definedName>
    <definedName name="____________________________________________________________________l5">#REF!</definedName>
    <definedName name="____________________________________________________________________var1">#REF!</definedName>
    <definedName name="____________________________________________________________________var4">#REF!</definedName>
    <definedName name="___________________________________________________________________l12">#REF!</definedName>
    <definedName name="___________________________________________________________________l3">#REF!</definedName>
    <definedName name="___________________________________________________________________l5">#REF!</definedName>
    <definedName name="___________________________________________________________________pc2">#REF!</definedName>
    <definedName name="___________________________________________________________________pv2">#REF!</definedName>
    <definedName name="___________________________________________________________________var1">#REF!</definedName>
    <definedName name="___________________________________________________________________var4">#REF!</definedName>
    <definedName name="__________________________________________________________________pc2">#REF!</definedName>
    <definedName name="__________________________________________________________________pv2">#REF!</definedName>
    <definedName name="_________________________________________________________________l12">#REF!</definedName>
    <definedName name="_________________________________________________________________l3">#REF!</definedName>
    <definedName name="_________________________________________________________________l5">#REF!</definedName>
    <definedName name="_________________________________________________________________pc2">#REF!</definedName>
    <definedName name="_________________________________________________________________pv2">#REF!</definedName>
    <definedName name="_________________________________________________________________var1">#REF!</definedName>
    <definedName name="_________________________________________________________________var4">#REF!</definedName>
    <definedName name="________________________________________________________________l12">#REF!</definedName>
    <definedName name="________________________________________________________________l3">#REF!</definedName>
    <definedName name="________________________________________________________________l5">#REF!</definedName>
    <definedName name="________________________________________________________________pc2">#REF!</definedName>
    <definedName name="________________________________________________________________pv2">#REF!</definedName>
    <definedName name="________________________________________________________________var1">#REF!</definedName>
    <definedName name="________________________________________________________________var4">#REF!</definedName>
    <definedName name="_______________________________________________________________l12">#REF!</definedName>
    <definedName name="_______________________________________________________________l3">#REF!</definedName>
    <definedName name="_______________________________________________________________l5">#REF!</definedName>
    <definedName name="_______________________________________________________________pc2">#REF!</definedName>
    <definedName name="_______________________________________________________________pv2">#REF!</definedName>
    <definedName name="_______________________________________________________________var1">#REF!</definedName>
    <definedName name="_______________________________________________________________var4">#REF!</definedName>
    <definedName name="______________________________________________________________l12">#REF!</definedName>
    <definedName name="______________________________________________________________l3">#REF!</definedName>
    <definedName name="______________________________________________________________l5">#REF!</definedName>
    <definedName name="______________________________________________________________pc2">#REF!</definedName>
    <definedName name="______________________________________________________________pv2">#REF!</definedName>
    <definedName name="______________________________________________________________var1">#REF!</definedName>
    <definedName name="______________________________________________________________var4">#REF!</definedName>
    <definedName name="_____________________________________________________________l12">#REF!</definedName>
    <definedName name="_____________________________________________________________l3">#REF!</definedName>
    <definedName name="_____________________________________________________________l5">#REF!</definedName>
    <definedName name="_____________________________________________________________pc2">#REF!</definedName>
    <definedName name="_____________________________________________________________pv2">#REF!</definedName>
    <definedName name="_____________________________________________________________var1">#REF!</definedName>
    <definedName name="_____________________________________________________________var4">#REF!</definedName>
    <definedName name="____________________________________________________________l12">#REF!</definedName>
    <definedName name="____________________________________________________________l3">#REF!</definedName>
    <definedName name="____________________________________________________________l5">#REF!</definedName>
    <definedName name="____________________________________________________________pc2">#REF!</definedName>
    <definedName name="____________________________________________________________pv2">#REF!</definedName>
    <definedName name="____________________________________________________________var1">#REF!</definedName>
    <definedName name="____________________________________________________________var4">#REF!</definedName>
    <definedName name="___________________________________________________________l12">#REF!</definedName>
    <definedName name="___________________________________________________________l3">#REF!</definedName>
    <definedName name="___________________________________________________________l5">#REF!</definedName>
    <definedName name="___________________________________________________________pc2">#REF!</definedName>
    <definedName name="___________________________________________________________pv2">#REF!</definedName>
    <definedName name="___________________________________________________________var1">#REF!</definedName>
    <definedName name="___________________________________________________________var4">#REF!</definedName>
    <definedName name="__________________________________________________________l12">#REF!</definedName>
    <definedName name="__________________________________________________________l3">#REF!</definedName>
    <definedName name="__________________________________________________________l5">#REF!</definedName>
    <definedName name="__________________________________________________________pc2">#REF!</definedName>
    <definedName name="__________________________________________________________pv2">#REF!</definedName>
    <definedName name="__________________________________________________________var1">#REF!</definedName>
    <definedName name="__________________________________________________________var4">#REF!</definedName>
    <definedName name="_________________________________________________________l12">#REF!</definedName>
    <definedName name="_________________________________________________________l3">#REF!</definedName>
    <definedName name="_________________________________________________________l5">#REF!</definedName>
    <definedName name="_________________________________________________________pc2">#REF!</definedName>
    <definedName name="_________________________________________________________pv2">#REF!</definedName>
    <definedName name="_________________________________________________________var1">#REF!</definedName>
    <definedName name="_________________________________________________________var4">#REF!</definedName>
    <definedName name="________________________________________________________l12">#REF!</definedName>
    <definedName name="________________________________________________________l3">#REF!</definedName>
    <definedName name="________________________________________________________l5">#REF!</definedName>
    <definedName name="________________________________________________________pc2">#REF!</definedName>
    <definedName name="________________________________________________________pv2">#REF!</definedName>
    <definedName name="________________________________________________________var1">#REF!</definedName>
    <definedName name="________________________________________________________var4">#REF!</definedName>
    <definedName name="_______________________________________________________l12">#REF!</definedName>
    <definedName name="_______________________________________________________l3">#REF!</definedName>
    <definedName name="_______________________________________________________l5">#REF!</definedName>
    <definedName name="_______________________________________________________pc2">#REF!</definedName>
    <definedName name="_______________________________________________________pv2">#REF!</definedName>
    <definedName name="_______________________________________________________var1">#REF!</definedName>
    <definedName name="_______________________________________________________var4">#REF!</definedName>
    <definedName name="______________________________________________________l12">#REF!</definedName>
    <definedName name="______________________________________________________l3">#REF!</definedName>
    <definedName name="______________________________________________________l5">#REF!</definedName>
    <definedName name="______________________________________________________pc2">#REF!</definedName>
    <definedName name="______________________________________________________pv2">#REF!</definedName>
    <definedName name="______________________________________________________var1">#REF!</definedName>
    <definedName name="______________________________________________________var4">#REF!</definedName>
    <definedName name="_____________________________________________________l12">#REF!</definedName>
    <definedName name="_____________________________________________________l3">#REF!</definedName>
    <definedName name="_____________________________________________________l5">#REF!</definedName>
    <definedName name="_____________________________________________________pc2">#REF!</definedName>
    <definedName name="_____________________________________________________pv2">#REF!</definedName>
    <definedName name="_____________________________________________________var1">#REF!</definedName>
    <definedName name="_____________________________________________________var4">#REF!</definedName>
    <definedName name="____________________________________________________l12">#REF!</definedName>
    <definedName name="____________________________________________________l3">#REF!</definedName>
    <definedName name="____________________________________________________l5">#REF!</definedName>
    <definedName name="____________________________________________________pc2">#REF!</definedName>
    <definedName name="____________________________________________________pv2">#REF!</definedName>
    <definedName name="____________________________________________________var1">#REF!</definedName>
    <definedName name="____________________________________________________var4">#REF!</definedName>
    <definedName name="___________________________________________________l12">#REF!</definedName>
    <definedName name="___________________________________________________l3">#REF!</definedName>
    <definedName name="___________________________________________________l5">#REF!</definedName>
    <definedName name="___________________________________________________pc2">#REF!</definedName>
    <definedName name="___________________________________________________pv2">#REF!</definedName>
    <definedName name="___________________________________________________var1">#REF!</definedName>
    <definedName name="___________________________________________________var4">#REF!</definedName>
    <definedName name="__________________________________________________l12">#REF!</definedName>
    <definedName name="__________________________________________________l3">#REF!</definedName>
    <definedName name="__________________________________________________l5">#REF!</definedName>
    <definedName name="__________________________________________________pc2">#REF!</definedName>
    <definedName name="__________________________________________________pv2">#REF!</definedName>
    <definedName name="__________________________________________________var1">#REF!</definedName>
    <definedName name="__________________________________________________var4">#REF!</definedName>
    <definedName name="_________________________________________________l12">#REF!</definedName>
    <definedName name="_________________________________________________l3">#REF!</definedName>
    <definedName name="_________________________________________________l5">#REF!</definedName>
    <definedName name="_________________________________________________pc2">#REF!</definedName>
    <definedName name="_________________________________________________pv2">#REF!</definedName>
    <definedName name="_________________________________________________var1">#REF!</definedName>
    <definedName name="_________________________________________________var4">#REF!</definedName>
    <definedName name="________________________________________________l12">#REF!</definedName>
    <definedName name="________________________________________________l3">#REF!</definedName>
    <definedName name="________________________________________________l5">#REF!</definedName>
    <definedName name="________________________________________________pc2">#REF!</definedName>
    <definedName name="________________________________________________pv2">#REF!</definedName>
    <definedName name="________________________________________________var1">#REF!</definedName>
    <definedName name="________________________________________________var4">#REF!</definedName>
    <definedName name="_______________________________________________l12">#REF!</definedName>
    <definedName name="_______________________________________________l3">#REF!</definedName>
    <definedName name="_______________________________________________l5">#REF!</definedName>
    <definedName name="_______________________________________________pc2">#REF!</definedName>
    <definedName name="_______________________________________________pv2">#REF!</definedName>
    <definedName name="_______________________________________________var1">#REF!</definedName>
    <definedName name="_______________________________________________var4">#REF!</definedName>
    <definedName name="______________________________________________l12">#REF!</definedName>
    <definedName name="______________________________________________l3">#REF!</definedName>
    <definedName name="______________________________________________l5">#REF!</definedName>
    <definedName name="______________________________________________pc2">#REF!</definedName>
    <definedName name="______________________________________________pv2">#REF!</definedName>
    <definedName name="______________________________________________var1">#REF!</definedName>
    <definedName name="______________________________________________var4">#REF!</definedName>
    <definedName name="_____________________________________________l12">#REF!</definedName>
    <definedName name="_____________________________________________l3">#REF!</definedName>
    <definedName name="_____________________________________________l5">#REF!</definedName>
    <definedName name="_____________________________________________pc2">#REF!</definedName>
    <definedName name="_____________________________________________pv2">#REF!</definedName>
    <definedName name="_____________________________________________var1">#REF!</definedName>
    <definedName name="_____________________________________________var4">#REF!</definedName>
    <definedName name="____________________________________________l12">#REF!</definedName>
    <definedName name="____________________________________________l3">#REF!</definedName>
    <definedName name="____________________________________________l5">#REF!</definedName>
    <definedName name="____________________________________________pc2">#REF!</definedName>
    <definedName name="____________________________________________pv2">#REF!</definedName>
    <definedName name="____________________________________________var1">#REF!</definedName>
    <definedName name="____________________________________________var4">#REF!</definedName>
    <definedName name="___________________________________________l12">#REF!</definedName>
    <definedName name="___________________________________________l3">#REF!</definedName>
    <definedName name="___________________________________________l5">#REF!</definedName>
    <definedName name="___________________________________________pc2">#REF!</definedName>
    <definedName name="___________________________________________pv2">#REF!</definedName>
    <definedName name="___________________________________________var1">#REF!</definedName>
    <definedName name="___________________________________________var4">#REF!</definedName>
    <definedName name="__________________________________________bla1">#REF!</definedName>
    <definedName name="__________________________________________l1">#REF!</definedName>
    <definedName name="__________________________________________l12">#REF!</definedName>
    <definedName name="__________________________________________l3">#REF!</definedName>
    <definedName name="__________________________________________l4">#REF!</definedName>
    <definedName name="__________________________________________l5">#REF!</definedName>
    <definedName name="__________________________________________mm1">#REF!</definedName>
    <definedName name="__________________________________________pc2">#REF!</definedName>
    <definedName name="__________________________________________pv2">#REF!</definedName>
    <definedName name="__________________________________________rr3">#REF!</definedName>
    <definedName name="__________________________________________rrr1">#REF!</definedName>
    <definedName name="__________________________________________ss12">#REF!</definedName>
    <definedName name="__________________________________________ss20">#REF!</definedName>
    <definedName name="__________________________________________ss40">#REF!</definedName>
    <definedName name="__________________________________________var1">#REF!</definedName>
    <definedName name="__________________________________________var4">#REF!</definedName>
    <definedName name="__________________________________________xlfn_BAHTTEXT">#N/A</definedName>
    <definedName name="_________________________________________bla1">#REF!</definedName>
    <definedName name="_________________________________________l1">#REF!</definedName>
    <definedName name="_________________________________________l12">#REF!</definedName>
    <definedName name="_________________________________________l3">#REF!</definedName>
    <definedName name="_________________________________________l4">#REF!</definedName>
    <definedName name="_________________________________________l5">#REF!</definedName>
    <definedName name="_________________________________________mm1">#REF!</definedName>
    <definedName name="_________________________________________pc2">#REF!</definedName>
    <definedName name="_________________________________________pv2">#REF!</definedName>
    <definedName name="_________________________________________rr3">#REF!</definedName>
    <definedName name="_________________________________________rrr1">#REF!</definedName>
    <definedName name="_________________________________________ss12">#REF!</definedName>
    <definedName name="_________________________________________ss20">#REF!</definedName>
    <definedName name="_________________________________________ss40">#REF!</definedName>
    <definedName name="_________________________________________var1">#REF!</definedName>
    <definedName name="_________________________________________var4">#REF!</definedName>
    <definedName name="_________________________________________xlfn_BAHTTEXT">#N/A</definedName>
    <definedName name="________________________________________bla1">#REF!</definedName>
    <definedName name="________________________________________l1">#REF!</definedName>
    <definedName name="________________________________________l12">#REF!</definedName>
    <definedName name="________________________________________l3">#REF!</definedName>
    <definedName name="________________________________________l4">#REF!</definedName>
    <definedName name="________________________________________l5">#REF!</definedName>
    <definedName name="________________________________________mm1">#REF!</definedName>
    <definedName name="________________________________________pc2">#REF!</definedName>
    <definedName name="________________________________________pv2">#REF!</definedName>
    <definedName name="________________________________________rr3">#REF!</definedName>
    <definedName name="________________________________________rrr1">#REF!</definedName>
    <definedName name="________________________________________ss12">#REF!</definedName>
    <definedName name="________________________________________ss20">#REF!</definedName>
    <definedName name="________________________________________ss40">#REF!</definedName>
    <definedName name="________________________________________var1">#REF!</definedName>
    <definedName name="________________________________________var4">#REF!</definedName>
    <definedName name="________________________________________xlfn_BAHTTEXT">#N/A</definedName>
    <definedName name="_______________________________________bla1">#REF!</definedName>
    <definedName name="_______________________________________l1">#REF!</definedName>
    <definedName name="_______________________________________l12">#REF!</definedName>
    <definedName name="_______________________________________l3">#REF!</definedName>
    <definedName name="_______________________________________l4">#REF!</definedName>
    <definedName name="_______________________________________l5">#REF!</definedName>
    <definedName name="_______________________________________mm1">#REF!</definedName>
    <definedName name="_______________________________________pc2">#REF!</definedName>
    <definedName name="_______________________________________pv2">#REF!</definedName>
    <definedName name="_______________________________________rr3">#REF!</definedName>
    <definedName name="_______________________________________rrr1">#REF!</definedName>
    <definedName name="_______________________________________ss12">#REF!</definedName>
    <definedName name="_______________________________________ss20">#REF!</definedName>
    <definedName name="_______________________________________ss40">#REF!</definedName>
    <definedName name="_______________________________________var1">#REF!</definedName>
    <definedName name="_______________________________________var4">#REF!</definedName>
    <definedName name="_______________________________________xlfn_BAHTTEXT">#N/A</definedName>
    <definedName name="______________________________________l12">#REF!</definedName>
    <definedName name="______________________________________l3">#REF!</definedName>
    <definedName name="______________________________________l5">#REF!</definedName>
    <definedName name="______________________________________pc2">#REF!</definedName>
    <definedName name="______________________________________pv2">#REF!</definedName>
    <definedName name="______________________________________var1">#REF!</definedName>
    <definedName name="______________________________________var4">#REF!</definedName>
    <definedName name="______________________________________xlfn_BAHTTEXT">#N/A</definedName>
    <definedName name="_____________________________________l12">#REF!</definedName>
    <definedName name="_____________________________________l3">#REF!</definedName>
    <definedName name="_____________________________________l5">#REF!</definedName>
    <definedName name="_____________________________________pc2">#REF!</definedName>
    <definedName name="_____________________________________pv2">#REF!</definedName>
    <definedName name="_____________________________________rr3" localSheetId="29">#REF!</definedName>
    <definedName name="_____________________________________var1">#REF!</definedName>
    <definedName name="_____________________________________var4">#REF!</definedName>
    <definedName name="_____________________________________xlfn_BAHTTEXT">#N/A</definedName>
    <definedName name="____________________________________l12" localSheetId="8">#REF!</definedName>
    <definedName name="____________________________________l12" localSheetId="10">#REF!</definedName>
    <definedName name="____________________________________l12" localSheetId="29">#REF!</definedName>
    <definedName name="____________________________________l12">#REF!</definedName>
    <definedName name="____________________________________l3" localSheetId="8">#REF!</definedName>
    <definedName name="____________________________________l3" localSheetId="10">#REF!</definedName>
    <definedName name="____________________________________l3" localSheetId="29">#REF!</definedName>
    <definedName name="____________________________________l3">#REF!</definedName>
    <definedName name="____________________________________l5" localSheetId="8">#REF!</definedName>
    <definedName name="____________________________________l5" localSheetId="10">#REF!</definedName>
    <definedName name="____________________________________l5" localSheetId="29">#REF!</definedName>
    <definedName name="____________________________________l5">#REF!</definedName>
    <definedName name="____________________________________pc2">#REF!</definedName>
    <definedName name="____________________________________pv2">#REF!</definedName>
    <definedName name="____________________________________var1" localSheetId="8">#REF!</definedName>
    <definedName name="____________________________________var1" localSheetId="10">#REF!</definedName>
    <definedName name="____________________________________var1" localSheetId="29">#REF!</definedName>
    <definedName name="____________________________________var1">#REF!</definedName>
    <definedName name="____________________________________var4" localSheetId="8">#REF!</definedName>
    <definedName name="____________________________________var4" localSheetId="10">#REF!</definedName>
    <definedName name="____________________________________var4" localSheetId="29">#REF!</definedName>
    <definedName name="____________________________________var4">#REF!</definedName>
    <definedName name="____________________________________xlfn_BAHTTEXT">#N/A</definedName>
    <definedName name="___________________________________cbr1">#REF!</definedName>
    <definedName name="___________________________________cbr2">#REF!</definedName>
    <definedName name="___________________________________cbr3">#REF!</definedName>
    <definedName name="___________________________________cbr4">#REF!</definedName>
    <definedName name="___________________________________l12" localSheetId="8">#REF!</definedName>
    <definedName name="___________________________________l12" localSheetId="10">#REF!</definedName>
    <definedName name="___________________________________l12" localSheetId="29">#REF!</definedName>
    <definedName name="___________________________________l12">#REF!</definedName>
    <definedName name="___________________________________l3" localSheetId="8">#REF!</definedName>
    <definedName name="___________________________________l3" localSheetId="10">#REF!</definedName>
    <definedName name="___________________________________l3" localSheetId="29">#REF!</definedName>
    <definedName name="___________________________________l3">#REF!</definedName>
    <definedName name="___________________________________l5" localSheetId="8">#REF!</definedName>
    <definedName name="___________________________________l5" localSheetId="10">#REF!</definedName>
    <definedName name="___________________________________l5" localSheetId="29">#REF!</definedName>
    <definedName name="___________________________________l5">#REF!</definedName>
    <definedName name="___________________________________pc2" localSheetId="8">#REF!</definedName>
    <definedName name="___________________________________pc2" localSheetId="10">#REF!</definedName>
    <definedName name="___________________________________pc2" localSheetId="29">#REF!</definedName>
    <definedName name="___________________________________pc2">#REF!</definedName>
    <definedName name="___________________________________pv2" localSheetId="8">#REF!</definedName>
    <definedName name="___________________________________pv2" localSheetId="10">#REF!</definedName>
    <definedName name="___________________________________pv2" localSheetId="29">#REF!</definedName>
    <definedName name="___________________________________pv2">#REF!</definedName>
    <definedName name="___________________________________var1" localSheetId="8">#REF!</definedName>
    <definedName name="___________________________________var1" localSheetId="10">#REF!</definedName>
    <definedName name="___________________________________var1" localSheetId="29">#REF!</definedName>
    <definedName name="___________________________________var1">#REF!</definedName>
    <definedName name="___________________________________var4" localSheetId="8">#REF!</definedName>
    <definedName name="___________________________________var4" localSheetId="10">#REF!</definedName>
    <definedName name="___________________________________var4" localSheetId="29">#REF!</definedName>
    <definedName name="___________________________________var4">#REF!</definedName>
    <definedName name="___________________________________vat1">#REF!</definedName>
    <definedName name="___________________________________vat2">#REF!</definedName>
    <definedName name="___________________________________xlfn_BAHTTEXT">#N/A</definedName>
    <definedName name="__________________________________cbr1">#REF!</definedName>
    <definedName name="__________________________________cbr2">#REF!</definedName>
    <definedName name="__________________________________cbr3">#REF!</definedName>
    <definedName name="__________________________________cbr4">#REF!</definedName>
    <definedName name="__________________________________l12" localSheetId="8">#REF!</definedName>
    <definedName name="__________________________________l12" localSheetId="10">#REF!</definedName>
    <definedName name="__________________________________l12" localSheetId="29">#REF!</definedName>
    <definedName name="__________________________________l12">#REF!</definedName>
    <definedName name="__________________________________l3" localSheetId="8">#REF!</definedName>
    <definedName name="__________________________________l3" localSheetId="10">#REF!</definedName>
    <definedName name="__________________________________l3" localSheetId="29">#REF!</definedName>
    <definedName name="__________________________________l3">#REF!</definedName>
    <definedName name="__________________________________l5" localSheetId="8">#REF!</definedName>
    <definedName name="__________________________________l5" localSheetId="10">#REF!</definedName>
    <definedName name="__________________________________l5" localSheetId="29">#REF!</definedName>
    <definedName name="__________________________________l5">#REF!</definedName>
    <definedName name="__________________________________pc2" localSheetId="8">#REF!</definedName>
    <definedName name="__________________________________pc2" localSheetId="10">#REF!</definedName>
    <definedName name="__________________________________pc2" localSheetId="29">#REF!</definedName>
    <definedName name="__________________________________pc2">#REF!</definedName>
    <definedName name="__________________________________pv2" localSheetId="8">#REF!</definedName>
    <definedName name="__________________________________pv2" localSheetId="10">#REF!</definedName>
    <definedName name="__________________________________pv2" localSheetId="29">#REF!</definedName>
    <definedName name="__________________________________pv2">#REF!</definedName>
    <definedName name="__________________________________var1" localSheetId="8">#REF!</definedName>
    <definedName name="__________________________________var1" localSheetId="10">#REF!</definedName>
    <definedName name="__________________________________var1" localSheetId="29">#REF!</definedName>
    <definedName name="__________________________________var1">#REF!</definedName>
    <definedName name="__________________________________var4" localSheetId="8">#REF!</definedName>
    <definedName name="__________________________________var4" localSheetId="10">#REF!</definedName>
    <definedName name="__________________________________var4" localSheetId="29">#REF!</definedName>
    <definedName name="__________________________________var4">#REF!</definedName>
    <definedName name="__________________________________vat1">#REF!</definedName>
    <definedName name="__________________________________vat2">#REF!</definedName>
    <definedName name="__________________________________xlfn_BAHTTEXT">#N/A</definedName>
    <definedName name="_________________________________cbr1">#REF!</definedName>
    <definedName name="_________________________________cbr2">#REF!</definedName>
    <definedName name="_________________________________cbr3">#REF!</definedName>
    <definedName name="_________________________________cbr4">#REF!</definedName>
    <definedName name="_________________________________l12" localSheetId="8">#REF!</definedName>
    <definedName name="_________________________________l12" localSheetId="10">#REF!</definedName>
    <definedName name="_________________________________l12" localSheetId="29">#REF!</definedName>
    <definedName name="_________________________________l12">#REF!</definedName>
    <definedName name="_________________________________l3" localSheetId="8">#REF!</definedName>
    <definedName name="_________________________________l3" localSheetId="10">#REF!</definedName>
    <definedName name="_________________________________l3" localSheetId="29">#REF!</definedName>
    <definedName name="_________________________________l3">#REF!</definedName>
    <definedName name="_________________________________l5" localSheetId="8">#REF!</definedName>
    <definedName name="_________________________________l5" localSheetId="10">#REF!</definedName>
    <definedName name="_________________________________l5" localSheetId="29">#REF!</definedName>
    <definedName name="_________________________________l5">#REF!</definedName>
    <definedName name="_________________________________pc2" localSheetId="8">#REF!</definedName>
    <definedName name="_________________________________pc2" localSheetId="10">#REF!</definedName>
    <definedName name="_________________________________pc2" localSheetId="29">#REF!</definedName>
    <definedName name="_________________________________pc2">#REF!</definedName>
    <definedName name="_________________________________pv2" localSheetId="8">#REF!</definedName>
    <definedName name="_________________________________pv2" localSheetId="10">#REF!</definedName>
    <definedName name="_________________________________pv2" localSheetId="29">#REF!</definedName>
    <definedName name="_________________________________pv2">#REF!</definedName>
    <definedName name="_________________________________var1" localSheetId="8">#REF!</definedName>
    <definedName name="_________________________________var1" localSheetId="10">#REF!</definedName>
    <definedName name="_________________________________var1" localSheetId="29">#REF!</definedName>
    <definedName name="_________________________________var1">#REF!</definedName>
    <definedName name="_________________________________var4" localSheetId="8">#REF!</definedName>
    <definedName name="_________________________________var4" localSheetId="10">#REF!</definedName>
    <definedName name="_________________________________var4" localSheetId="29">#REF!</definedName>
    <definedName name="_________________________________var4">#REF!</definedName>
    <definedName name="_________________________________vat1">#REF!</definedName>
    <definedName name="_________________________________vat2">#REF!</definedName>
    <definedName name="_________________________________xlfn_BAHTTEXT">#N/A</definedName>
    <definedName name="________________________________can430">40.73</definedName>
    <definedName name="________________________________can435">43.3</definedName>
    <definedName name="________________________________l12" localSheetId="8">#REF!</definedName>
    <definedName name="________________________________l12" localSheetId="10">#REF!</definedName>
    <definedName name="________________________________l12" localSheetId="29">#REF!</definedName>
    <definedName name="________________________________l12">#REF!</definedName>
    <definedName name="________________________________l3" localSheetId="8">#REF!</definedName>
    <definedName name="________________________________l3" localSheetId="10">#REF!</definedName>
    <definedName name="________________________________l3" localSheetId="29">#REF!</definedName>
    <definedName name="________________________________l3">#REF!</definedName>
    <definedName name="________________________________l5" localSheetId="8">#REF!</definedName>
    <definedName name="________________________________l5" localSheetId="10">#REF!</definedName>
    <definedName name="________________________________l5" localSheetId="29">#REF!</definedName>
    <definedName name="________________________________l5">#REF!</definedName>
    <definedName name="________________________________pc2" localSheetId="8">#REF!</definedName>
    <definedName name="________________________________pc2" localSheetId="10">#REF!</definedName>
    <definedName name="________________________________pc2" localSheetId="29">#REF!</definedName>
    <definedName name="________________________________pc2">#REF!</definedName>
    <definedName name="________________________________pv2" localSheetId="8">#REF!</definedName>
    <definedName name="________________________________pv2" localSheetId="10">#REF!</definedName>
    <definedName name="________________________________pv2" localSheetId="29">#REF!</definedName>
    <definedName name="________________________________pv2">#REF!</definedName>
    <definedName name="________________________________var1" localSheetId="8">#REF!</definedName>
    <definedName name="________________________________var1" localSheetId="10">#REF!</definedName>
    <definedName name="________________________________var1" localSheetId="29">#REF!</definedName>
    <definedName name="________________________________var1">#REF!</definedName>
    <definedName name="________________________________var4" localSheetId="8">#REF!</definedName>
    <definedName name="________________________________var4" localSheetId="10">#REF!</definedName>
    <definedName name="________________________________var4" localSheetId="29">#REF!</definedName>
    <definedName name="________________________________var4">#REF!</definedName>
    <definedName name="________________________________xlfn_BAHTTEXT">#N/A</definedName>
    <definedName name="_______________________________can430">40.73</definedName>
    <definedName name="_______________________________can435">43.3</definedName>
    <definedName name="_______________________________cbr1">#REF!</definedName>
    <definedName name="_______________________________cbr2">#REF!</definedName>
    <definedName name="_______________________________cbr3">#REF!</definedName>
    <definedName name="_______________________________cbr4">#REF!</definedName>
    <definedName name="_______________________________l12" localSheetId="8">#REF!</definedName>
    <definedName name="_______________________________l12" localSheetId="10">#REF!</definedName>
    <definedName name="_______________________________l12" localSheetId="29">#REF!</definedName>
    <definedName name="_______________________________l12">#REF!</definedName>
    <definedName name="_______________________________l3" localSheetId="8">#REF!</definedName>
    <definedName name="_______________________________l3" localSheetId="10">#REF!</definedName>
    <definedName name="_______________________________l3" localSheetId="29">#REF!</definedName>
    <definedName name="_______________________________l3">#REF!</definedName>
    <definedName name="_______________________________l5" localSheetId="8">#REF!</definedName>
    <definedName name="_______________________________l5" localSheetId="10">#REF!</definedName>
    <definedName name="_______________________________l5" localSheetId="29">#REF!</definedName>
    <definedName name="_______________________________l5">#REF!</definedName>
    <definedName name="_______________________________pc2" localSheetId="8">#REF!</definedName>
    <definedName name="_______________________________pc2" localSheetId="10">#REF!</definedName>
    <definedName name="_______________________________pc2" localSheetId="29">#REF!</definedName>
    <definedName name="_______________________________pc2">#REF!</definedName>
    <definedName name="_______________________________pv2" localSheetId="8">#REF!</definedName>
    <definedName name="_______________________________pv2" localSheetId="10">#REF!</definedName>
    <definedName name="_______________________________pv2" localSheetId="29">#REF!</definedName>
    <definedName name="_______________________________pv2">#REF!</definedName>
    <definedName name="_______________________________var1" localSheetId="8">#REF!</definedName>
    <definedName name="_______________________________var1" localSheetId="10">#REF!</definedName>
    <definedName name="_______________________________var1" localSheetId="29">#REF!</definedName>
    <definedName name="_______________________________var1">#REF!</definedName>
    <definedName name="_______________________________var4" localSheetId="8">#REF!</definedName>
    <definedName name="_______________________________var4" localSheetId="10">#REF!</definedName>
    <definedName name="_______________________________var4" localSheetId="29">#REF!</definedName>
    <definedName name="_______________________________var4">#REF!</definedName>
    <definedName name="_______________________________vat1">#REF!</definedName>
    <definedName name="_______________________________vat2">#REF!</definedName>
    <definedName name="_______________________________xlfn_BAHTTEXT">#N/A</definedName>
    <definedName name="______________________________can430">40.73</definedName>
    <definedName name="______________________________can435">43.3</definedName>
    <definedName name="______________________________cbr1">#REF!</definedName>
    <definedName name="______________________________cbr2">#REF!</definedName>
    <definedName name="______________________________cbr3">#REF!</definedName>
    <definedName name="______________________________cbr4">#REF!</definedName>
    <definedName name="______________________________l12" localSheetId="5">#REF!</definedName>
    <definedName name="______________________________l12" localSheetId="14">#REF!</definedName>
    <definedName name="______________________________l12" localSheetId="8">#REF!</definedName>
    <definedName name="______________________________l12" localSheetId="10">#REF!</definedName>
    <definedName name="______________________________l12" localSheetId="29">#REF!</definedName>
    <definedName name="______________________________l12">#REF!</definedName>
    <definedName name="______________________________l3" localSheetId="5">#REF!</definedName>
    <definedName name="______________________________l3" localSheetId="14">#REF!</definedName>
    <definedName name="______________________________l3" localSheetId="8">#REF!</definedName>
    <definedName name="______________________________l3" localSheetId="10">#REF!</definedName>
    <definedName name="______________________________l3" localSheetId="29">#REF!</definedName>
    <definedName name="______________________________l3">#REF!</definedName>
    <definedName name="______________________________l5" localSheetId="5">#REF!</definedName>
    <definedName name="______________________________l5" localSheetId="14">#REF!</definedName>
    <definedName name="______________________________l5" localSheetId="8">#REF!</definedName>
    <definedName name="______________________________l5" localSheetId="10">#REF!</definedName>
    <definedName name="______________________________l5" localSheetId="29">#REF!</definedName>
    <definedName name="______________________________l5">#REF!</definedName>
    <definedName name="______________________________pc2" localSheetId="8">#REF!</definedName>
    <definedName name="______________________________pc2" localSheetId="10">#REF!</definedName>
    <definedName name="______________________________pc2" localSheetId="29">#REF!</definedName>
    <definedName name="______________________________pc2">#REF!</definedName>
    <definedName name="______________________________pv2" localSheetId="8">#REF!</definedName>
    <definedName name="______________________________pv2" localSheetId="10">#REF!</definedName>
    <definedName name="______________________________pv2" localSheetId="29">#REF!</definedName>
    <definedName name="______________________________pv2">#REF!</definedName>
    <definedName name="______________________________var1" localSheetId="5">#REF!</definedName>
    <definedName name="______________________________var1" localSheetId="14">#REF!</definedName>
    <definedName name="______________________________var1" localSheetId="8">#REF!</definedName>
    <definedName name="______________________________var1" localSheetId="10">#REF!</definedName>
    <definedName name="______________________________var1" localSheetId="29">#REF!</definedName>
    <definedName name="______________________________var1">#REF!</definedName>
    <definedName name="______________________________var4" localSheetId="5">#REF!</definedName>
    <definedName name="______________________________var4" localSheetId="14">#REF!</definedName>
    <definedName name="______________________________var4" localSheetId="8">#REF!</definedName>
    <definedName name="______________________________var4" localSheetId="10">#REF!</definedName>
    <definedName name="______________________________var4" localSheetId="29">#REF!</definedName>
    <definedName name="______________________________var4">#REF!</definedName>
    <definedName name="______________________________vat1">#REF!</definedName>
    <definedName name="______________________________vat2">#REF!</definedName>
    <definedName name="______________________________xlfn_BAHTTEXT">#N/A</definedName>
    <definedName name="_____________________________AUX1" localSheetId="29">#REF!</definedName>
    <definedName name="_____________________________aux2">#REF!</definedName>
    <definedName name="_____________________________AUX3">#REF!</definedName>
    <definedName name="_____________________________can430">40.73</definedName>
    <definedName name="_____________________________can435">43.3</definedName>
    <definedName name="_____________________________cbr1">#REF!</definedName>
    <definedName name="_____________________________cbr2">#REF!</definedName>
    <definedName name="_____________________________cbr3">#REF!</definedName>
    <definedName name="_____________________________cbr4">#REF!</definedName>
    <definedName name="_____________________________er1">#REF!</definedName>
    <definedName name="_____________________________gus1">#REF!</definedName>
    <definedName name="_____________________________hpm1">#REF!</definedName>
    <definedName name="_____________________________l12" localSheetId="5">#REF!</definedName>
    <definedName name="_____________________________l12" localSheetId="8">#REF!</definedName>
    <definedName name="_____________________________l12" localSheetId="10">#REF!</definedName>
    <definedName name="_____________________________l12" localSheetId="11">#REF!</definedName>
    <definedName name="_____________________________l12" localSheetId="29">#REF!</definedName>
    <definedName name="_____________________________l12">#REF!</definedName>
    <definedName name="_____________________________l3" localSheetId="5">#REF!</definedName>
    <definedName name="_____________________________l3" localSheetId="8">#REF!</definedName>
    <definedName name="_____________________________l3" localSheetId="10">#REF!</definedName>
    <definedName name="_____________________________l3" localSheetId="11">#REF!</definedName>
    <definedName name="_____________________________l3" localSheetId="29">#REF!</definedName>
    <definedName name="_____________________________l3">#REF!</definedName>
    <definedName name="_____________________________l5" localSheetId="5">#REF!</definedName>
    <definedName name="_____________________________l5" localSheetId="8">#REF!</definedName>
    <definedName name="_____________________________l5" localSheetId="10">#REF!</definedName>
    <definedName name="_____________________________l5" localSheetId="11">#REF!</definedName>
    <definedName name="_____________________________l5" localSheetId="29">#REF!</definedName>
    <definedName name="_____________________________l5">#REF!</definedName>
    <definedName name="_____________________________lcn1">#REF!</definedName>
    <definedName name="_____________________________lm1" localSheetId="29">#REF!</definedName>
    <definedName name="_____________________________pc2" localSheetId="5">#REF!</definedName>
    <definedName name="_____________________________pc2" localSheetId="8">#REF!</definedName>
    <definedName name="_____________________________pc2" localSheetId="10">#REF!</definedName>
    <definedName name="_____________________________pc2" localSheetId="29">#REF!</definedName>
    <definedName name="_____________________________pc2">#REF!</definedName>
    <definedName name="_____________________________pv2" localSheetId="5">#REF!</definedName>
    <definedName name="_____________________________pv2" localSheetId="8">#REF!</definedName>
    <definedName name="_____________________________pv2" localSheetId="10">#REF!</definedName>
    <definedName name="_____________________________pv2" localSheetId="29">#REF!</definedName>
    <definedName name="_____________________________pv2">#REF!</definedName>
    <definedName name="_____________________________sw1">#REF!</definedName>
    <definedName name="_____________________________us1">#REF!</definedName>
    <definedName name="_____________________________var1" localSheetId="5">#REF!</definedName>
    <definedName name="_____________________________var1" localSheetId="8">#REF!</definedName>
    <definedName name="_____________________________var1" localSheetId="10">#REF!</definedName>
    <definedName name="_____________________________var1" localSheetId="11">#REF!</definedName>
    <definedName name="_____________________________var1" localSheetId="29">#REF!</definedName>
    <definedName name="_____________________________var1">#REF!</definedName>
    <definedName name="_____________________________var4" localSheetId="5">#REF!</definedName>
    <definedName name="_____________________________var4" localSheetId="8">#REF!</definedName>
    <definedName name="_____________________________var4" localSheetId="10">#REF!</definedName>
    <definedName name="_____________________________var4" localSheetId="11">#REF!</definedName>
    <definedName name="_____________________________var4" localSheetId="29">#REF!</definedName>
    <definedName name="_____________________________var4">#REF!</definedName>
    <definedName name="_____________________________vat1">#REF!</definedName>
    <definedName name="_____________________________vat2">#REF!</definedName>
    <definedName name="_____________________________xlfn_BAHTTEXT">#N/A</definedName>
    <definedName name="____________________________abs1" localSheetId="8">#REF!</definedName>
    <definedName name="____________________________abs1" localSheetId="10">#REF!</definedName>
    <definedName name="____________________________abs1" localSheetId="29">#REF!</definedName>
    <definedName name="____________________________abs1">#REF!</definedName>
    <definedName name="____________________________AUX1">#REF!</definedName>
    <definedName name="____________________________aux2" localSheetId="29">#REF!</definedName>
    <definedName name="____________________________AUX3">#REF!</definedName>
    <definedName name="____________________________can430">40.73</definedName>
    <definedName name="____________________________can435">43.3</definedName>
    <definedName name="____________________________cbr1">#REF!</definedName>
    <definedName name="____________________________cbr2">#REF!</definedName>
    <definedName name="____________________________cbr3">#REF!</definedName>
    <definedName name="____________________________cbr4">#REF!</definedName>
    <definedName name="____________________________er1">#REF!</definedName>
    <definedName name="____________________________f1">#REF!</definedName>
    <definedName name="____________________________gus1">#REF!</definedName>
    <definedName name="____________________________hpm1">#REF!</definedName>
    <definedName name="____________________________l12" localSheetId="5">#REF!</definedName>
    <definedName name="____________________________l12" localSheetId="8">#REF!</definedName>
    <definedName name="____________________________l12" localSheetId="10">#REF!</definedName>
    <definedName name="____________________________l12" localSheetId="11">#REF!</definedName>
    <definedName name="____________________________l12" localSheetId="29">#REF!</definedName>
    <definedName name="____________________________l12">#REF!</definedName>
    <definedName name="____________________________l3" localSheetId="5">#REF!</definedName>
    <definedName name="____________________________l3" localSheetId="8">#REF!</definedName>
    <definedName name="____________________________l3" localSheetId="10">#REF!</definedName>
    <definedName name="____________________________l3" localSheetId="11">#REF!</definedName>
    <definedName name="____________________________l3" localSheetId="29">#REF!</definedName>
    <definedName name="____________________________l3">#REF!</definedName>
    <definedName name="____________________________l5" localSheetId="5">#REF!</definedName>
    <definedName name="____________________________l5" localSheetId="8">#REF!</definedName>
    <definedName name="____________________________l5" localSheetId="10">#REF!</definedName>
    <definedName name="____________________________l5" localSheetId="11">#REF!</definedName>
    <definedName name="____________________________l5" localSheetId="29">#REF!</definedName>
    <definedName name="____________________________l5">#REF!</definedName>
    <definedName name="____________________________lcn1">#REF!</definedName>
    <definedName name="____________________________lm1" localSheetId="29">#REF!</definedName>
    <definedName name="____________________________pc2" localSheetId="5">#REF!</definedName>
    <definedName name="____________________________pc2" localSheetId="8">#REF!</definedName>
    <definedName name="____________________________pc2" localSheetId="10">#REF!</definedName>
    <definedName name="____________________________pc2" localSheetId="11">#REF!</definedName>
    <definedName name="____________________________pc2" localSheetId="29">#REF!</definedName>
    <definedName name="____________________________pc2">#REF!</definedName>
    <definedName name="____________________________pv2" localSheetId="5">#REF!</definedName>
    <definedName name="____________________________pv2" localSheetId="8">#REF!</definedName>
    <definedName name="____________________________pv2" localSheetId="10">#REF!</definedName>
    <definedName name="____________________________pv2" localSheetId="11">#REF!</definedName>
    <definedName name="____________________________pv2" localSheetId="29">#REF!</definedName>
    <definedName name="____________________________pv2">#REF!</definedName>
    <definedName name="____________________________sw1" localSheetId="29">#REF!</definedName>
    <definedName name="____________________________us1">#REF!</definedName>
    <definedName name="____________________________var1" localSheetId="5">#REF!</definedName>
    <definedName name="____________________________var1" localSheetId="8">#REF!</definedName>
    <definedName name="____________________________var1" localSheetId="10">#REF!</definedName>
    <definedName name="____________________________var1" localSheetId="11">#REF!</definedName>
    <definedName name="____________________________var1" localSheetId="29">#REF!</definedName>
    <definedName name="____________________________var1">#REF!</definedName>
    <definedName name="____________________________var4" localSheetId="5">#REF!</definedName>
    <definedName name="____________________________var4" localSheetId="8">#REF!</definedName>
    <definedName name="____________________________var4" localSheetId="10">#REF!</definedName>
    <definedName name="____________________________var4" localSheetId="11">#REF!</definedName>
    <definedName name="____________________________var4" localSheetId="29">#REF!</definedName>
    <definedName name="____________________________var4">#REF!</definedName>
    <definedName name="____________________________vat1">#REF!</definedName>
    <definedName name="____________________________vat2">#REF!</definedName>
    <definedName name="____________________________xlfn_BAHTTEXT">#N/A</definedName>
    <definedName name="___________________________abs1" localSheetId="8">#REF!</definedName>
    <definedName name="___________________________abs1" localSheetId="10">#REF!</definedName>
    <definedName name="___________________________abs1" localSheetId="29">#REF!</definedName>
    <definedName name="___________________________abs1">#REF!</definedName>
    <definedName name="___________________________AUX1">#REF!</definedName>
    <definedName name="___________________________aux2" localSheetId="29">#REF!</definedName>
    <definedName name="___________________________AUX3">#REF!</definedName>
    <definedName name="___________________________can430">40.73</definedName>
    <definedName name="___________________________can435">43.3</definedName>
    <definedName name="___________________________cbr1">#REF!</definedName>
    <definedName name="___________________________cbr2">#REF!</definedName>
    <definedName name="___________________________cbr3">#REF!</definedName>
    <definedName name="___________________________cbr4">#REF!</definedName>
    <definedName name="___________________________er1">#REF!</definedName>
    <definedName name="___________________________f1">#REF!</definedName>
    <definedName name="___________________________gus1">#REF!</definedName>
    <definedName name="___________________________hpm1">#REF!</definedName>
    <definedName name="___________________________knr2" localSheetId="29">#REF!</definedName>
    <definedName name="___________________________l12" localSheetId="8">#REF!</definedName>
    <definedName name="___________________________l12" localSheetId="10">#REF!</definedName>
    <definedName name="___________________________l12" localSheetId="29">#REF!</definedName>
    <definedName name="___________________________l12" localSheetId="31">#REF!</definedName>
    <definedName name="___________________________l12">#REF!</definedName>
    <definedName name="___________________________l3" localSheetId="8">#REF!</definedName>
    <definedName name="___________________________l3" localSheetId="10">#REF!</definedName>
    <definedName name="___________________________l3" localSheetId="29">#REF!</definedName>
    <definedName name="___________________________l3" localSheetId="31">#REF!</definedName>
    <definedName name="___________________________l3">#REF!</definedName>
    <definedName name="___________________________l5" localSheetId="8">#REF!</definedName>
    <definedName name="___________________________l5" localSheetId="10">#REF!</definedName>
    <definedName name="___________________________l5" localSheetId="29">#REF!</definedName>
    <definedName name="___________________________l5" localSheetId="31">#REF!</definedName>
    <definedName name="___________________________l5">#REF!</definedName>
    <definedName name="___________________________lcn1">#REF!</definedName>
    <definedName name="___________________________lm1" localSheetId="29">#REF!</definedName>
    <definedName name="___________________________mm20">#REF!</definedName>
    <definedName name="___________________________mm40">#REF!</definedName>
    <definedName name="___________________________pc2" localSheetId="5">#REF!</definedName>
    <definedName name="___________________________pc2" localSheetId="8">#REF!</definedName>
    <definedName name="___________________________pc2" localSheetId="10">#REF!</definedName>
    <definedName name="___________________________pc2" localSheetId="11">#REF!</definedName>
    <definedName name="___________________________pc2" localSheetId="29">#REF!</definedName>
    <definedName name="___________________________pc2">#REF!</definedName>
    <definedName name="___________________________pv2" localSheetId="5">#REF!</definedName>
    <definedName name="___________________________pv2" localSheetId="8">#REF!</definedName>
    <definedName name="___________________________pv2" localSheetId="10">#REF!</definedName>
    <definedName name="___________________________pv2" localSheetId="11">#REF!</definedName>
    <definedName name="___________________________pv2" localSheetId="29">#REF!</definedName>
    <definedName name="___________________________pv2">#REF!</definedName>
    <definedName name="___________________________sw1" localSheetId="29">#REF!</definedName>
    <definedName name="___________________________us1">#REF!</definedName>
    <definedName name="___________________________var1" localSheetId="8">#REF!</definedName>
    <definedName name="___________________________var1" localSheetId="10">#REF!</definedName>
    <definedName name="___________________________var1" localSheetId="29">#REF!</definedName>
    <definedName name="___________________________var1" localSheetId="31">#REF!</definedName>
    <definedName name="___________________________var1">#REF!</definedName>
    <definedName name="___________________________var4" localSheetId="8">#REF!</definedName>
    <definedName name="___________________________var4" localSheetId="10">#REF!</definedName>
    <definedName name="___________________________var4" localSheetId="29">#REF!</definedName>
    <definedName name="___________________________var4" localSheetId="31">#REF!</definedName>
    <definedName name="___________________________var4">#REF!</definedName>
    <definedName name="___________________________vat1">#REF!</definedName>
    <definedName name="___________________________vat2">#REF!</definedName>
    <definedName name="___________________________xlfn_BAHTTEXT">#N/A</definedName>
    <definedName name="__________________________abs1" localSheetId="8">#REF!</definedName>
    <definedName name="__________________________abs1" localSheetId="10">#REF!</definedName>
    <definedName name="__________________________abs1" localSheetId="29">#REF!</definedName>
    <definedName name="__________________________abs1">#REF!</definedName>
    <definedName name="__________________________can430">40.73</definedName>
    <definedName name="__________________________can435">43.3</definedName>
    <definedName name="__________________________er1">#REF!</definedName>
    <definedName name="__________________________ewe1">#REF!</definedName>
    <definedName name="__________________________f1">#REF!</definedName>
    <definedName name="__________________________knr2" localSheetId="29">#REF!</definedName>
    <definedName name="__________________________l12" localSheetId="5">#REF!</definedName>
    <definedName name="__________________________l12" localSheetId="8">#REF!</definedName>
    <definedName name="__________________________l12" localSheetId="10">#REF!</definedName>
    <definedName name="__________________________l12" localSheetId="11">#REF!</definedName>
    <definedName name="__________________________l12" localSheetId="29">#REF!</definedName>
    <definedName name="__________________________l12">#REF!</definedName>
    <definedName name="__________________________l3" localSheetId="5">#REF!</definedName>
    <definedName name="__________________________l3" localSheetId="8">#REF!</definedName>
    <definedName name="__________________________l3" localSheetId="10">#REF!</definedName>
    <definedName name="__________________________l3" localSheetId="11">#REF!</definedName>
    <definedName name="__________________________l3" localSheetId="29">#REF!</definedName>
    <definedName name="__________________________l3">#REF!</definedName>
    <definedName name="__________________________l5" localSheetId="5">#REF!</definedName>
    <definedName name="__________________________l5" localSheetId="8">#REF!</definedName>
    <definedName name="__________________________l5" localSheetId="10">#REF!</definedName>
    <definedName name="__________________________l5" localSheetId="11">#REF!</definedName>
    <definedName name="__________________________l5" localSheetId="29">#REF!</definedName>
    <definedName name="__________________________l5">#REF!</definedName>
    <definedName name="__________________________mm20" localSheetId="29">#REF!</definedName>
    <definedName name="__________________________mm40">#REF!</definedName>
    <definedName name="__________________________pc2" localSheetId="5">#REF!</definedName>
    <definedName name="__________________________pc2" localSheetId="8">#REF!</definedName>
    <definedName name="__________________________pc2" localSheetId="10">#REF!</definedName>
    <definedName name="__________________________pc2" localSheetId="11">#REF!</definedName>
    <definedName name="__________________________pc2" localSheetId="29">#REF!</definedName>
    <definedName name="__________________________pc2">#REF!</definedName>
    <definedName name="__________________________pv2" localSheetId="5">#REF!</definedName>
    <definedName name="__________________________pv2" localSheetId="8">#REF!</definedName>
    <definedName name="__________________________pv2" localSheetId="10">#REF!</definedName>
    <definedName name="__________________________pv2" localSheetId="11">#REF!</definedName>
    <definedName name="__________________________pv2" localSheetId="29">#REF!</definedName>
    <definedName name="__________________________pv2">#REF!</definedName>
    <definedName name="__________________________var1" localSheetId="5">#REF!</definedName>
    <definedName name="__________________________var1" localSheetId="8">#REF!</definedName>
    <definedName name="__________________________var1" localSheetId="10">#REF!</definedName>
    <definedName name="__________________________var1" localSheetId="11">#REF!</definedName>
    <definedName name="__________________________var1" localSheetId="29">#REF!</definedName>
    <definedName name="__________________________var1">#REF!</definedName>
    <definedName name="__________________________var4" localSheetId="5">#REF!</definedName>
    <definedName name="__________________________var4" localSheetId="8">#REF!</definedName>
    <definedName name="__________________________var4" localSheetId="10">#REF!</definedName>
    <definedName name="__________________________var4" localSheetId="11">#REF!</definedName>
    <definedName name="__________________________var4" localSheetId="29">#REF!</definedName>
    <definedName name="__________________________var4">#REF!</definedName>
    <definedName name="__________________________xlfn_BAHTTEXT">#N/A</definedName>
    <definedName name="_________________________abs1" localSheetId="8">#REF!</definedName>
    <definedName name="_________________________abs1" localSheetId="10">#REF!</definedName>
    <definedName name="_________________________abs1" localSheetId="29">#REF!</definedName>
    <definedName name="_________________________abs1">#REF!</definedName>
    <definedName name="_________________________AUX1" localSheetId="29">#REF!</definedName>
    <definedName name="_________________________aux2" localSheetId="29">#REF!</definedName>
    <definedName name="_________________________AUX3">#REF!</definedName>
    <definedName name="_________________________can430">40.73</definedName>
    <definedName name="_________________________can435">43.3</definedName>
    <definedName name="_________________________cbr1">#REF!</definedName>
    <definedName name="_________________________cbr2">#REF!</definedName>
    <definedName name="_________________________cbr3">#REF!</definedName>
    <definedName name="_________________________cbr4">#REF!</definedName>
    <definedName name="_________________________er1">#REF!</definedName>
    <definedName name="_________________________ewe1">#REF!</definedName>
    <definedName name="_________________________f1">#REF!</definedName>
    <definedName name="_________________________gus1">#REF!</definedName>
    <definedName name="_________________________hpm1">#REF!</definedName>
    <definedName name="_________________________knr2" localSheetId="29">#REF!</definedName>
    <definedName name="_________________________l12" localSheetId="5">#REF!</definedName>
    <definedName name="_________________________l12" localSheetId="8">#REF!</definedName>
    <definedName name="_________________________l12" localSheetId="10">#REF!</definedName>
    <definedName name="_________________________l12" localSheetId="11">#REF!</definedName>
    <definedName name="_________________________l12" localSheetId="29">#REF!</definedName>
    <definedName name="_________________________l12">#REF!</definedName>
    <definedName name="_________________________l3" localSheetId="5">#REF!</definedName>
    <definedName name="_________________________l3" localSheetId="8">#REF!</definedName>
    <definedName name="_________________________l3" localSheetId="10">#REF!</definedName>
    <definedName name="_________________________l3" localSheetId="11">#REF!</definedName>
    <definedName name="_________________________l3" localSheetId="29">#REF!</definedName>
    <definedName name="_________________________l3">#REF!</definedName>
    <definedName name="_________________________l5" localSheetId="5">#REF!</definedName>
    <definedName name="_________________________l5" localSheetId="8">#REF!</definedName>
    <definedName name="_________________________l5" localSheetId="10">#REF!</definedName>
    <definedName name="_________________________l5" localSheetId="11">#REF!</definedName>
    <definedName name="_________________________l5" localSheetId="29">#REF!</definedName>
    <definedName name="_________________________l5">#REF!</definedName>
    <definedName name="_________________________lcn1">#REF!</definedName>
    <definedName name="_________________________lm1" localSheetId="29">#REF!</definedName>
    <definedName name="_________________________pc2" localSheetId="5">#REF!</definedName>
    <definedName name="_________________________pc2" localSheetId="8">#REF!</definedName>
    <definedName name="_________________________pc2" localSheetId="10">#REF!</definedName>
    <definedName name="_________________________pc2" localSheetId="11">#REF!</definedName>
    <definedName name="_________________________pc2" localSheetId="29">#REF!</definedName>
    <definedName name="_________________________pc2">#REF!</definedName>
    <definedName name="_________________________pv2" localSheetId="5">#REF!</definedName>
    <definedName name="_________________________pv2" localSheetId="8">#REF!</definedName>
    <definedName name="_________________________pv2" localSheetId="10">#REF!</definedName>
    <definedName name="_________________________pv2" localSheetId="11">#REF!</definedName>
    <definedName name="_________________________pv2" localSheetId="29">#REF!</definedName>
    <definedName name="_________________________pv2">#REF!</definedName>
    <definedName name="_________________________sw1" localSheetId="29">#REF!</definedName>
    <definedName name="_________________________us1">#REF!</definedName>
    <definedName name="_________________________var1" localSheetId="5">#REF!</definedName>
    <definedName name="_________________________var1" localSheetId="8">#REF!</definedName>
    <definedName name="_________________________var1" localSheetId="10">#REF!</definedName>
    <definedName name="_________________________var1" localSheetId="11">#REF!</definedName>
    <definedName name="_________________________var1" localSheetId="29">#REF!</definedName>
    <definedName name="_________________________var1">#REF!</definedName>
    <definedName name="_________________________var4" localSheetId="5">#REF!</definedName>
    <definedName name="_________________________var4" localSheetId="8">#REF!</definedName>
    <definedName name="_________________________var4" localSheetId="10">#REF!</definedName>
    <definedName name="_________________________var4" localSheetId="11">#REF!</definedName>
    <definedName name="_________________________var4" localSheetId="29">#REF!</definedName>
    <definedName name="_________________________var4">#REF!</definedName>
    <definedName name="_________________________vat1">#REF!</definedName>
    <definedName name="_________________________vat2">#REF!</definedName>
    <definedName name="_________________________xlfn_BAHTTEXT">#N/A</definedName>
    <definedName name="________________________abs1" localSheetId="8">#REF!</definedName>
    <definedName name="________________________abs1" localSheetId="10">#REF!</definedName>
    <definedName name="________________________abs1" localSheetId="29">#REF!</definedName>
    <definedName name="________________________abs1">#REF!</definedName>
    <definedName name="________________________AUX1">#REF!</definedName>
    <definedName name="________________________aux2" localSheetId="29">#REF!</definedName>
    <definedName name="________________________AUX3">#REF!</definedName>
    <definedName name="________________________can430">40.73</definedName>
    <definedName name="________________________can435">43.3</definedName>
    <definedName name="________________________cbr1">#REF!</definedName>
    <definedName name="________________________cbr2">#REF!</definedName>
    <definedName name="________________________cbr3">#REF!</definedName>
    <definedName name="________________________cbr4">#REF!</definedName>
    <definedName name="________________________er1">#REF!</definedName>
    <definedName name="________________________ewe1">#REF!</definedName>
    <definedName name="________________________f1">#REF!</definedName>
    <definedName name="________________________gus1">#REF!</definedName>
    <definedName name="________________________hpm1">#REF!</definedName>
    <definedName name="________________________knr2" localSheetId="29">#REF!</definedName>
    <definedName name="________________________l12" localSheetId="5">#REF!</definedName>
    <definedName name="________________________l12" localSheetId="8">#REF!</definedName>
    <definedName name="________________________l12" localSheetId="10">#REF!</definedName>
    <definedName name="________________________l12" localSheetId="11">#REF!</definedName>
    <definedName name="________________________l12" localSheetId="29">#REF!</definedName>
    <definedName name="________________________l12">#REF!</definedName>
    <definedName name="________________________l3" localSheetId="5">#REF!</definedName>
    <definedName name="________________________l3" localSheetId="8">#REF!</definedName>
    <definedName name="________________________l3" localSheetId="10">#REF!</definedName>
    <definedName name="________________________l3" localSheetId="11">#REF!</definedName>
    <definedName name="________________________l3" localSheetId="29">#REF!</definedName>
    <definedName name="________________________l3">#REF!</definedName>
    <definedName name="________________________l5" localSheetId="5">#REF!</definedName>
    <definedName name="________________________l5" localSheetId="8">#REF!</definedName>
    <definedName name="________________________l5" localSheetId="10">#REF!</definedName>
    <definedName name="________________________l5" localSheetId="11">#REF!</definedName>
    <definedName name="________________________l5" localSheetId="29">#REF!</definedName>
    <definedName name="________________________l5">#REF!</definedName>
    <definedName name="________________________lcn1">#REF!</definedName>
    <definedName name="________________________lm1" localSheetId="29">#REF!</definedName>
    <definedName name="________________________mm20" localSheetId="29">#REF!</definedName>
    <definedName name="________________________mm40">#REF!</definedName>
    <definedName name="________________________pc2" localSheetId="5">#REF!</definedName>
    <definedName name="________________________pc2" localSheetId="8">#REF!</definedName>
    <definedName name="________________________pc2" localSheetId="10">#REF!</definedName>
    <definedName name="________________________pc2" localSheetId="11">#REF!</definedName>
    <definedName name="________________________pc2" localSheetId="29">#REF!</definedName>
    <definedName name="________________________pc2">#REF!</definedName>
    <definedName name="________________________pv2" localSheetId="5">#REF!</definedName>
    <definedName name="________________________pv2" localSheetId="8">#REF!</definedName>
    <definedName name="________________________pv2" localSheetId="10">#REF!</definedName>
    <definedName name="________________________pv2" localSheetId="11">#REF!</definedName>
    <definedName name="________________________pv2" localSheetId="29">#REF!</definedName>
    <definedName name="________________________pv2">#REF!</definedName>
    <definedName name="________________________sw1" localSheetId="29">#REF!</definedName>
    <definedName name="________________________us1">#REF!</definedName>
    <definedName name="________________________var1" localSheetId="5">#REF!</definedName>
    <definedName name="________________________var1" localSheetId="8">#REF!</definedName>
    <definedName name="________________________var1" localSheetId="10">#REF!</definedName>
    <definedName name="________________________var1" localSheetId="11">#REF!</definedName>
    <definedName name="________________________var1" localSheetId="29">#REF!</definedName>
    <definedName name="________________________var1">#REF!</definedName>
    <definedName name="________________________var4" localSheetId="5">#REF!</definedName>
    <definedName name="________________________var4" localSheetId="8">#REF!</definedName>
    <definedName name="________________________var4" localSheetId="10">#REF!</definedName>
    <definedName name="________________________var4" localSheetId="11">#REF!</definedName>
    <definedName name="________________________var4" localSheetId="29">#REF!</definedName>
    <definedName name="________________________var4">#REF!</definedName>
    <definedName name="________________________vat1">#REF!</definedName>
    <definedName name="________________________vat2">#REF!</definedName>
    <definedName name="________________________xlfn_BAHTTEXT">#N/A</definedName>
    <definedName name="_______________________abs1" localSheetId="8">#REF!</definedName>
    <definedName name="_______________________abs1" localSheetId="10">#REF!</definedName>
    <definedName name="_______________________abs1" localSheetId="29">#REF!</definedName>
    <definedName name="_______________________abs1">#REF!</definedName>
    <definedName name="_______________________AUX1">#REF!</definedName>
    <definedName name="_______________________aux2" localSheetId="29">#REF!</definedName>
    <definedName name="_______________________AUX3">#REF!</definedName>
    <definedName name="_______________________can430">40.73</definedName>
    <definedName name="_______________________can435">43.3</definedName>
    <definedName name="_______________________cbr1">#REF!</definedName>
    <definedName name="_______________________cbr2">#REF!</definedName>
    <definedName name="_______________________cbr3">#REF!</definedName>
    <definedName name="_______________________cbr4">#REF!</definedName>
    <definedName name="_______________________er1">#REF!</definedName>
    <definedName name="_______________________ewe1">#REF!</definedName>
    <definedName name="_______________________f1">#REF!</definedName>
    <definedName name="_______________________gus1">#REF!</definedName>
    <definedName name="_______________________hpm1">#REF!</definedName>
    <definedName name="_______________________knr2" localSheetId="29">#REF!</definedName>
    <definedName name="_______________________l12" localSheetId="5">#REF!</definedName>
    <definedName name="_______________________l12" localSheetId="8">#REF!</definedName>
    <definedName name="_______________________l12" localSheetId="10">#REF!</definedName>
    <definedName name="_______________________l12" localSheetId="11">#REF!</definedName>
    <definedName name="_______________________l12" localSheetId="29">#REF!</definedName>
    <definedName name="_______________________l12">#REF!</definedName>
    <definedName name="_______________________l3" localSheetId="5">#REF!</definedName>
    <definedName name="_______________________l3" localSheetId="8">#REF!</definedName>
    <definedName name="_______________________l3" localSheetId="10">#REF!</definedName>
    <definedName name="_______________________l3" localSheetId="11">#REF!</definedName>
    <definedName name="_______________________l3" localSheetId="29">#REF!</definedName>
    <definedName name="_______________________l3">#REF!</definedName>
    <definedName name="_______________________l5" localSheetId="5">#REF!</definedName>
    <definedName name="_______________________l5" localSheetId="8">#REF!</definedName>
    <definedName name="_______________________l5" localSheetId="10">#REF!</definedName>
    <definedName name="_______________________l5" localSheetId="11">#REF!</definedName>
    <definedName name="_______________________l5" localSheetId="29">#REF!</definedName>
    <definedName name="_______________________l5">#REF!</definedName>
    <definedName name="_______________________lcn1">#REF!</definedName>
    <definedName name="_______________________lm1" localSheetId="29">#REF!</definedName>
    <definedName name="_______________________mm20" localSheetId="29">#REF!</definedName>
    <definedName name="_______________________mm40">#REF!</definedName>
    <definedName name="_______________________pc2" localSheetId="5">#REF!</definedName>
    <definedName name="_______________________pc2" localSheetId="8">#REF!</definedName>
    <definedName name="_______________________pc2" localSheetId="10">#REF!</definedName>
    <definedName name="_______________________pc2" localSheetId="11">#REF!</definedName>
    <definedName name="_______________________pc2" localSheetId="29">#REF!</definedName>
    <definedName name="_______________________pc2">#REF!</definedName>
    <definedName name="_______________________pv2" localSheetId="5">#REF!</definedName>
    <definedName name="_______________________pv2" localSheetId="8">#REF!</definedName>
    <definedName name="_______________________pv2" localSheetId="10">#REF!</definedName>
    <definedName name="_______________________pv2" localSheetId="11">#REF!</definedName>
    <definedName name="_______________________pv2" localSheetId="29">#REF!</definedName>
    <definedName name="_______________________pv2">#REF!</definedName>
    <definedName name="_______________________sw1" localSheetId="29">#REF!</definedName>
    <definedName name="_______________________us1">#REF!</definedName>
    <definedName name="_______________________var1" localSheetId="5">#REF!</definedName>
    <definedName name="_______________________var1" localSheetId="8">#REF!</definedName>
    <definedName name="_______________________var1" localSheetId="10">#REF!</definedName>
    <definedName name="_______________________var1" localSheetId="11">#REF!</definedName>
    <definedName name="_______________________var1" localSheetId="29">#REF!</definedName>
    <definedName name="_______________________var1">#REF!</definedName>
    <definedName name="_______________________var4" localSheetId="5">#REF!</definedName>
    <definedName name="_______________________var4" localSheetId="8">#REF!</definedName>
    <definedName name="_______________________var4" localSheetId="10">#REF!</definedName>
    <definedName name="_______________________var4" localSheetId="11">#REF!</definedName>
    <definedName name="_______________________var4" localSheetId="29">#REF!</definedName>
    <definedName name="_______________________var4">#REF!</definedName>
    <definedName name="_______________________vat1">#REF!</definedName>
    <definedName name="_______________________vat2">#REF!</definedName>
    <definedName name="_______________________xlfn_BAHTTEXT">#N/A</definedName>
    <definedName name="______________________abs1" localSheetId="8">#REF!</definedName>
    <definedName name="______________________abs1" localSheetId="10">#REF!</definedName>
    <definedName name="______________________abs1" localSheetId="29">#REF!</definedName>
    <definedName name="______________________abs1">#REF!</definedName>
    <definedName name="______________________AUX1">#REF!</definedName>
    <definedName name="______________________aux2" localSheetId="29">#REF!</definedName>
    <definedName name="______________________AUX3">#REF!</definedName>
    <definedName name="______________________can430">40.73</definedName>
    <definedName name="______________________can435">43.3</definedName>
    <definedName name="______________________cbr1">#REF!</definedName>
    <definedName name="______________________cbr2">#REF!</definedName>
    <definedName name="______________________cbr3">#REF!</definedName>
    <definedName name="______________________cbr4">#REF!</definedName>
    <definedName name="______________________er1">#REF!</definedName>
    <definedName name="______________________ewe1">#REF!</definedName>
    <definedName name="______________________f1">#REF!</definedName>
    <definedName name="______________________gus1">#REF!</definedName>
    <definedName name="______________________hpm1">#REF!</definedName>
    <definedName name="______________________knr2" localSheetId="29">#REF!</definedName>
    <definedName name="______________________l12" localSheetId="5">#REF!</definedName>
    <definedName name="______________________l12" localSheetId="8">#REF!</definedName>
    <definedName name="______________________l12" localSheetId="10">#REF!</definedName>
    <definedName name="______________________l12" localSheetId="11">#REF!</definedName>
    <definedName name="______________________l12" localSheetId="29">#REF!</definedName>
    <definedName name="______________________l12">#REF!</definedName>
    <definedName name="______________________l3" localSheetId="5">#REF!</definedName>
    <definedName name="______________________l3" localSheetId="8">#REF!</definedName>
    <definedName name="______________________l3" localSheetId="10">#REF!</definedName>
    <definedName name="______________________l3" localSheetId="11">#REF!</definedName>
    <definedName name="______________________l3" localSheetId="29">#REF!</definedName>
    <definedName name="______________________l3">#REF!</definedName>
    <definedName name="______________________l5" localSheetId="5">#REF!</definedName>
    <definedName name="______________________l5" localSheetId="8">#REF!</definedName>
    <definedName name="______________________l5" localSheetId="10">#REF!</definedName>
    <definedName name="______________________l5" localSheetId="11">#REF!</definedName>
    <definedName name="______________________l5" localSheetId="29">#REF!</definedName>
    <definedName name="______________________l5">#REF!</definedName>
    <definedName name="______________________lcn1">#REF!</definedName>
    <definedName name="______________________lm1" localSheetId="29">#REF!</definedName>
    <definedName name="______________________mm20" localSheetId="29">#REF!</definedName>
    <definedName name="______________________mm40">#REF!</definedName>
    <definedName name="______________________pc2" localSheetId="5">#REF!</definedName>
    <definedName name="______________________pc2" localSheetId="8">#REF!</definedName>
    <definedName name="______________________pc2" localSheetId="10">#REF!</definedName>
    <definedName name="______________________pc2" localSheetId="11">#REF!</definedName>
    <definedName name="______________________pc2" localSheetId="29">#REF!</definedName>
    <definedName name="______________________pc2">#REF!</definedName>
    <definedName name="______________________pv2" localSheetId="5">#REF!</definedName>
    <definedName name="______________________pv2" localSheetId="8">#REF!</definedName>
    <definedName name="______________________pv2" localSheetId="10">#REF!</definedName>
    <definedName name="______________________pv2" localSheetId="11">#REF!</definedName>
    <definedName name="______________________pv2" localSheetId="29">#REF!</definedName>
    <definedName name="______________________pv2">#REF!</definedName>
    <definedName name="______________________sw1" localSheetId="29">#REF!</definedName>
    <definedName name="______________________us1">#REF!</definedName>
    <definedName name="______________________var1" localSheetId="5">#REF!</definedName>
    <definedName name="______________________var1" localSheetId="8">#REF!</definedName>
    <definedName name="______________________var1" localSheetId="10">#REF!</definedName>
    <definedName name="______________________var1" localSheetId="11">#REF!</definedName>
    <definedName name="______________________var1" localSheetId="29">#REF!</definedName>
    <definedName name="______________________var1">#REF!</definedName>
    <definedName name="______________________var4" localSheetId="5">#REF!</definedName>
    <definedName name="______________________var4" localSheetId="8">#REF!</definedName>
    <definedName name="______________________var4" localSheetId="10">#REF!</definedName>
    <definedName name="______________________var4" localSheetId="11">#REF!</definedName>
    <definedName name="______________________var4" localSheetId="29">#REF!</definedName>
    <definedName name="______________________var4">#REF!</definedName>
    <definedName name="______________________vat1">#REF!</definedName>
    <definedName name="______________________vat2">#REF!</definedName>
    <definedName name="______________________xlfn_BAHTTEXT">#N/A</definedName>
    <definedName name="_____________________abs1" localSheetId="8">#REF!</definedName>
    <definedName name="_____________________abs1" localSheetId="10">#REF!</definedName>
    <definedName name="_____________________abs1" localSheetId="29">#REF!</definedName>
    <definedName name="_____________________abs1">#REF!</definedName>
    <definedName name="_____________________AUX1">#REF!</definedName>
    <definedName name="_____________________aux2" localSheetId="29">#REF!</definedName>
    <definedName name="_____________________AUX3">#REF!</definedName>
    <definedName name="_____________________can430">40.73</definedName>
    <definedName name="_____________________can435">43.3</definedName>
    <definedName name="_____________________cbr1">#REF!</definedName>
    <definedName name="_____________________cbr2">#REF!</definedName>
    <definedName name="_____________________cbr3">#REF!</definedName>
    <definedName name="_____________________cbr4">#REF!</definedName>
    <definedName name="_____________________er1">#REF!</definedName>
    <definedName name="_____________________ewe1">#REF!</definedName>
    <definedName name="_____________________f1">#REF!</definedName>
    <definedName name="_____________________gus1">#REF!</definedName>
    <definedName name="_____________________hpm1">#REF!</definedName>
    <definedName name="_____________________knr2" localSheetId="29">#REF!</definedName>
    <definedName name="_____________________l12" localSheetId="5">#REF!</definedName>
    <definedName name="_____________________l12" localSheetId="8">#REF!</definedName>
    <definedName name="_____________________l12" localSheetId="10">#REF!</definedName>
    <definedName name="_____________________l12" localSheetId="11">#REF!</definedName>
    <definedName name="_____________________l12" localSheetId="29">#REF!</definedName>
    <definedName name="_____________________l12">#REF!</definedName>
    <definedName name="_____________________l3" localSheetId="5">#REF!</definedName>
    <definedName name="_____________________l3" localSheetId="8">#REF!</definedName>
    <definedName name="_____________________l3" localSheetId="10">#REF!</definedName>
    <definedName name="_____________________l3" localSheetId="11">#REF!</definedName>
    <definedName name="_____________________l3" localSheetId="29">#REF!</definedName>
    <definedName name="_____________________l3">#REF!</definedName>
    <definedName name="_____________________l5" localSheetId="5">#REF!</definedName>
    <definedName name="_____________________l5" localSheetId="8">#REF!</definedName>
    <definedName name="_____________________l5" localSheetId="10">#REF!</definedName>
    <definedName name="_____________________l5" localSheetId="11">#REF!</definedName>
    <definedName name="_____________________l5" localSheetId="29">#REF!</definedName>
    <definedName name="_____________________l5">#REF!</definedName>
    <definedName name="_____________________lcn1">#REF!</definedName>
    <definedName name="_____________________lm1" localSheetId="29">#REF!</definedName>
    <definedName name="_____________________mm20" localSheetId="29">#REF!</definedName>
    <definedName name="_____________________mm40">#REF!</definedName>
    <definedName name="_____________________pc2" localSheetId="5">#REF!</definedName>
    <definedName name="_____________________pc2" localSheetId="8">#REF!</definedName>
    <definedName name="_____________________pc2" localSheetId="10">#REF!</definedName>
    <definedName name="_____________________pc2" localSheetId="11">#REF!</definedName>
    <definedName name="_____________________pc2" localSheetId="29">#REF!</definedName>
    <definedName name="_____________________pc2">#REF!</definedName>
    <definedName name="_____________________pv2" localSheetId="5">#REF!</definedName>
    <definedName name="_____________________pv2" localSheetId="8">#REF!</definedName>
    <definedName name="_____________________pv2" localSheetId="10">#REF!</definedName>
    <definedName name="_____________________pv2" localSheetId="11">#REF!</definedName>
    <definedName name="_____________________pv2" localSheetId="29">#REF!</definedName>
    <definedName name="_____________________pv2">#REF!</definedName>
    <definedName name="_____________________sw1" localSheetId="29">#REF!</definedName>
    <definedName name="_____________________us1">#REF!</definedName>
    <definedName name="_____________________var1" localSheetId="5">#REF!</definedName>
    <definedName name="_____________________var1" localSheetId="8">#REF!</definedName>
    <definedName name="_____________________var1" localSheetId="10">#REF!</definedName>
    <definedName name="_____________________var1" localSheetId="11">#REF!</definedName>
    <definedName name="_____________________var1" localSheetId="29">#REF!</definedName>
    <definedName name="_____________________var1">#REF!</definedName>
    <definedName name="_____________________var4" localSheetId="5">#REF!</definedName>
    <definedName name="_____________________var4" localSheetId="8">#REF!</definedName>
    <definedName name="_____________________var4" localSheetId="10">#REF!</definedName>
    <definedName name="_____________________var4" localSheetId="11">#REF!</definedName>
    <definedName name="_____________________var4" localSheetId="29">#REF!</definedName>
    <definedName name="_____________________var4">#REF!</definedName>
    <definedName name="_____________________vat1">#REF!</definedName>
    <definedName name="_____________________vat2">#REF!</definedName>
    <definedName name="_____________________xlfn_BAHTTEXT">#N/A</definedName>
    <definedName name="____________________abs1" localSheetId="8">#REF!</definedName>
    <definedName name="____________________abs1" localSheetId="10">#REF!</definedName>
    <definedName name="____________________abs1" localSheetId="29">#REF!</definedName>
    <definedName name="____________________abs1">#REF!</definedName>
    <definedName name="____________________AUX1" localSheetId="29">#REF!</definedName>
    <definedName name="____________________aux2" localSheetId="29">#REF!</definedName>
    <definedName name="____________________AUX3">#REF!</definedName>
    <definedName name="____________________can430">40.73</definedName>
    <definedName name="____________________can435">43.3</definedName>
    <definedName name="____________________cbr1">#REF!</definedName>
    <definedName name="____________________cbr2">#REF!</definedName>
    <definedName name="____________________cbr3">#REF!</definedName>
    <definedName name="____________________cbr4">#REF!</definedName>
    <definedName name="____________________er1">#REF!</definedName>
    <definedName name="____________________ewe1">#REF!</definedName>
    <definedName name="____________________f1">#REF!</definedName>
    <definedName name="____________________gus1">#REF!</definedName>
    <definedName name="____________________hpm1">#REF!</definedName>
    <definedName name="____________________knr2" localSheetId="29">#REF!</definedName>
    <definedName name="____________________l12" localSheetId="5">#REF!</definedName>
    <definedName name="____________________l12" localSheetId="8">#REF!</definedName>
    <definedName name="____________________l12" localSheetId="10">#REF!</definedName>
    <definedName name="____________________l12" localSheetId="11">#REF!</definedName>
    <definedName name="____________________l12" localSheetId="29">#REF!</definedName>
    <definedName name="____________________l12">#REF!</definedName>
    <definedName name="____________________l3" localSheetId="5">#REF!</definedName>
    <definedName name="____________________l3" localSheetId="8">#REF!</definedName>
    <definedName name="____________________l3" localSheetId="10">#REF!</definedName>
    <definedName name="____________________l3" localSheetId="11">#REF!</definedName>
    <definedName name="____________________l3" localSheetId="29">#REF!</definedName>
    <definedName name="____________________l3">#REF!</definedName>
    <definedName name="____________________l5" localSheetId="5">#REF!</definedName>
    <definedName name="____________________l5" localSheetId="8">#REF!</definedName>
    <definedName name="____________________l5" localSheetId="10">#REF!</definedName>
    <definedName name="____________________l5" localSheetId="11">#REF!</definedName>
    <definedName name="____________________l5" localSheetId="29">#REF!</definedName>
    <definedName name="____________________l5">#REF!</definedName>
    <definedName name="____________________lcn1">#REF!</definedName>
    <definedName name="____________________lm1" localSheetId="29">#REF!</definedName>
    <definedName name="____________________mm20" localSheetId="29">#REF!</definedName>
    <definedName name="____________________mm40">#REF!</definedName>
    <definedName name="____________________pc2" localSheetId="5">#REF!</definedName>
    <definedName name="____________________pc2" localSheetId="8">#REF!</definedName>
    <definedName name="____________________pc2" localSheetId="10">#REF!</definedName>
    <definedName name="____________________pc2" localSheetId="11">#REF!</definedName>
    <definedName name="____________________pc2" localSheetId="29">#REF!</definedName>
    <definedName name="____________________pc2">#REF!</definedName>
    <definedName name="____________________pv2" localSheetId="5">#REF!</definedName>
    <definedName name="____________________pv2" localSheetId="8">#REF!</definedName>
    <definedName name="____________________pv2" localSheetId="10">#REF!</definedName>
    <definedName name="____________________pv2" localSheetId="11">#REF!</definedName>
    <definedName name="____________________pv2" localSheetId="29">#REF!</definedName>
    <definedName name="____________________pv2">#REF!</definedName>
    <definedName name="____________________sw1" localSheetId="29">#REF!</definedName>
    <definedName name="____________________us1">#REF!</definedName>
    <definedName name="____________________var1" localSheetId="5">#REF!</definedName>
    <definedName name="____________________var1" localSheetId="8">#REF!</definedName>
    <definedName name="____________________var1" localSheetId="10">#REF!</definedName>
    <definedName name="____________________var1" localSheetId="11">#REF!</definedName>
    <definedName name="____________________var1" localSheetId="29">#REF!</definedName>
    <definedName name="____________________var1">#REF!</definedName>
    <definedName name="____________________var4" localSheetId="5">#REF!</definedName>
    <definedName name="____________________var4" localSheetId="8">#REF!</definedName>
    <definedName name="____________________var4" localSheetId="10">#REF!</definedName>
    <definedName name="____________________var4" localSheetId="11">#REF!</definedName>
    <definedName name="____________________var4" localSheetId="29">#REF!</definedName>
    <definedName name="____________________var4">#REF!</definedName>
    <definedName name="____________________vat1">#REF!</definedName>
    <definedName name="____________________vat2">#REF!</definedName>
    <definedName name="____________________xlfn_BAHTTEXT">#N/A</definedName>
    <definedName name="___________________abs1" localSheetId="8">#REF!</definedName>
    <definedName name="___________________abs1" localSheetId="10">#REF!</definedName>
    <definedName name="___________________abs1" localSheetId="29">#REF!</definedName>
    <definedName name="___________________abs1">#REF!</definedName>
    <definedName name="___________________AUX1" localSheetId="29">#REF!</definedName>
    <definedName name="___________________aux2" localSheetId="29">#REF!</definedName>
    <definedName name="___________________AUX3">#REF!</definedName>
    <definedName name="___________________can430">40.73</definedName>
    <definedName name="___________________can435">43.3</definedName>
    <definedName name="___________________cbr1">#REF!</definedName>
    <definedName name="___________________cbr2">#REF!</definedName>
    <definedName name="___________________cbr3">#REF!</definedName>
    <definedName name="___________________cbr4">#REF!</definedName>
    <definedName name="___________________er1">#REF!</definedName>
    <definedName name="___________________ewe1">#REF!</definedName>
    <definedName name="___________________f1">#REF!</definedName>
    <definedName name="___________________gus1">#REF!</definedName>
    <definedName name="___________________hpm1">#REF!</definedName>
    <definedName name="___________________knr2" localSheetId="8">#REF!</definedName>
    <definedName name="___________________knr2" localSheetId="10">#REF!</definedName>
    <definedName name="___________________knr2" localSheetId="29">#REF!</definedName>
    <definedName name="___________________knr2">#REF!</definedName>
    <definedName name="___________________l12" localSheetId="5">#REF!</definedName>
    <definedName name="___________________l12" localSheetId="8">#REF!</definedName>
    <definedName name="___________________l12" localSheetId="10">#REF!</definedName>
    <definedName name="___________________l12" localSheetId="11">#REF!</definedName>
    <definedName name="___________________l12" localSheetId="29">#REF!</definedName>
    <definedName name="___________________l12">#REF!</definedName>
    <definedName name="___________________l3" localSheetId="5">#REF!</definedName>
    <definedName name="___________________l3" localSheetId="8">#REF!</definedName>
    <definedName name="___________________l3" localSheetId="10">#REF!</definedName>
    <definedName name="___________________l3" localSheetId="11">#REF!</definedName>
    <definedName name="___________________l3" localSheetId="29">#REF!</definedName>
    <definedName name="___________________l3">#REF!</definedName>
    <definedName name="___________________l5" localSheetId="5">#REF!</definedName>
    <definedName name="___________________l5" localSheetId="8">#REF!</definedName>
    <definedName name="___________________l5" localSheetId="10">#REF!</definedName>
    <definedName name="___________________l5" localSheetId="11">#REF!</definedName>
    <definedName name="___________________l5" localSheetId="29">#REF!</definedName>
    <definedName name="___________________l5">#REF!</definedName>
    <definedName name="___________________lcn1">#REF!</definedName>
    <definedName name="___________________lm1" localSheetId="29">#REF!</definedName>
    <definedName name="___________________mm20" localSheetId="29">#REF!</definedName>
    <definedName name="___________________mm40">#REF!</definedName>
    <definedName name="___________________pc2" localSheetId="5">#REF!</definedName>
    <definedName name="___________________pc2" localSheetId="8">#REF!</definedName>
    <definedName name="___________________pc2" localSheetId="10">#REF!</definedName>
    <definedName name="___________________pc2" localSheetId="11">#REF!</definedName>
    <definedName name="___________________pc2" localSheetId="29">#REF!</definedName>
    <definedName name="___________________pc2">#REF!</definedName>
    <definedName name="___________________pv2" localSheetId="5">#REF!</definedName>
    <definedName name="___________________pv2" localSheetId="8">#REF!</definedName>
    <definedName name="___________________pv2" localSheetId="10">#REF!</definedName>
    <definedName name="___________________pv2" localSheetId="11">#REF!</definedName>
    <definedName name="___________________pv2" localSheetId="29">#REF!</definedName>
    <definedName name="___________________pv2">#REF!</definedName>
    <definedName name="___________________sw1" localSheetId="29">#REF!</definedName>
    <definedName name="___________________us1">#REF!</definedName>
    <definedName name="___________________var1" localSheetId="5">#REF!</definedName>
    <definedName name="___________________var1" localSheetId="8">#REF!</definedName>
    <definedName name="___________________var1" localSheetId="10">#REF!</definedName>
    <definedName name="___________________var1" localSheetId="11">#REF!</definedName>
    <definedName name="___________________var1" localSheetId="29">#REF!</definedName>
    <definedName name="___________________var1">#REF!</definedName>
    <definedName name="___________________var4" localSheetId="5">#REF!</definedName>
    <definedName name="___________________var4" localSheetId="8">#REF!</definedName>
    <definedName name="___________________var4" localSheetId="10">#REF!</definedName>
    <definedName name="___________________var4" localSheetId="11">#REF!</definedName>
    <definedName name="___________________var4" localSheetId="29">#REF!</definedName>
    <definedName name="___________________var4">#REF!</definedName>
    <definedName name="___________________vat1">#REF!</definedName>
    <definedName name="___________________vat2">#REF!</definedName>
    <definedName name="___________________xlfn_BAHTTEXT">#N/A</definedName>
    <definedName name="__________________abs1" localSheetId="8">#REF!</definedName>
    <definedName name="__________________abs1" localSheetId="10">#REF!</definedName>
    <definedName name="__________________abs1" localSheetId="29">#REF!</definedName>
    <definedName name="__________________abs1">#REF!</definedName>
    <definedName name="__________________AUX1" localSheetId="29">#REF!</definedName>
    <definedName name="__________________aux2" localSheetId="29">#REF!</definedName>
    <definedName name="__________________AUX3">#REF!</definedName>
    <definedName name="__________________can430">40.73</definedName>
    <definedName name="__________________can435">43.3</definedName>
    <definedName name="__________________cbr1">#REF!</definedName>
    <definedName name="__________________cbr2">#REF!</definedName>
    <definedName name="__________________cbr3">#REF!</definedName>
    <definedName name="__________________cbr4">#REF!</definedName>
    <definedName name="__________________er1">#REF!</definedName>
    <definedName name="__________________ewe1">#REF!</definedName>
    <definedName name="__________________f1">#REF!</definedName>
    <definedName name="__________________gus1">#REF!</definedName>
    <definedName name="__________________hpm1">#REF!</definedName>
    <definedName name="__________________knr2" localSheetId="8">#REF!</definedName>
    <definedName name="__________________knr2" localSheetId="10">#REF!</definedName>
    <definedName name="__________________knr2" localSheetId="29">#REF!</definedName>
    <definedName name="__________________knr2">#REF!</definedName>
    <definedName name="__________________l12" localSheetId="5">#REF!</definedName>
    <definedName name="__________________l12" localSheetId="8">#REF!</definedName>
    <definedName name="__________________l12" localSheetId="10">#REF!</definedName>
    <definedName name="__________________l12" localSheetId="11">#REF!</definedName>
    <definedName name="__________________l12" localSheetId="29">#REF!</definedName>
    <definedName name="__________________l12">#REF!</definedName>
    <definedName name="__________________l3" localSheetId="5">#REF!</definedName>
    <definedName name="__________________l3" localSheetId="8">#REF!</definedName>
    <definedName name="__________________l3" localSheetId="10">#REF!</definedName>
    <definedName name="__________________l3" localSheetId="11">#REF!</definedName>
    <definedName name="__________________l3" localSheetId="29">#REF!</definedName>
    <definedName name="__________________l3">#REF!</definedName>
    <definedName name="__________________l5" localSheetId="5">#REF!</definedName>
    <definedName name="__________________l5" localSheetId="8">#REF!</definedName>
    <definedName name="__________________l5" localSheetId="10">#REF!</definedName>
    <definedName name="__________________l5" localSheetId="11">#REF!</definedName>
    <definedName name="__________________l5" localSheetId="29">#REF!</definedName>
    <definedName name="__________________l5">#REF!</definedName>
    <definedName name="__________________lcn1">#REF!</definedName>
    <definedName name="__________________lm1" localSheetId="29">#REF!</definedName>
    <definedName name="__________________mm20" localSheetId="29">#REF!</definedName>
    <definedName name="__________________mm40">#REF!</definedName>
    <definedName name="__________________pc2" localSheetId="5">#REF!</definedName>
    <definedName name="__________________pc2" localSheetId="8">#REF!</definedName>
    <definedName name="__________________pc2" localSheetId="10">#REF!</definedName>
    <definedName name="__________________pc2" localSheetId="11">#REF!</definedName>
    <definedName name="__________________pc2" localSheetId="29">#REF!</definedName>
    <definedName name="__________________pc2">#REF!</definedName>
    <definedName name="__________________pv2" localSheetId="5">#REF!</definedName>
    <definedName name="__________________pv2" localSheetId="8">#REF!</definedName>
    <definedName name="__________________pv2" localSheetId="10">#REF!</definedName>
    <definedName name="__________________pv2" localSheetId="11">#REF!</definedName>
    <definedName name="__________________pv2" localSheetId="29">#REF!</definedName>
    <definedName name="__________________pv2">#REF!</definedName>
    <definedName name="__________________sw1" localSheetId="29">#REF!</definedName>
    <definedName name="__________________us1">#REF!</definedName>
    <definedName name="__________________var1" localSheetId="5">#REF!</definedName>
    <definedName name="__________________var1" localSheetId="8">#REF!</definedName>
    <definedName name="__________________var1" localSheetId="10">#REF!</definedName>
    <definedName name="__________________var1" localSheetId="11">#REF!</definedName>
    <definedName name="__________________var1" localSheetId="29">#REF!</definedName>
    <definedName name="__________________var1">#REF!</definedName>
    <definedName name="__________________var4" localSheetId="5">#REF!</definedName>
    <definedName name="__________________var4" localSheetId="8">#REF!</definedName>
    <definedName name="__________________var4" localSheetId="10">#REF!</definedName>
    <definedName name="__________________var4" localSheetId="11">#REF!</definedName>
    <definedName name="__________________var4" localSheetId="29">#REF!</definedName>
    <definedName name="__________________var4">#REF!</definedName>
    <definedName name="__________________vat1">#REF!</definedName>
    <definedName name="__________________vat2">#REF!</definedName>
    <definedName name="__________________xlfn_BAHTTEXT">#N/A</definedName>
    <definedName name="_________________abs1" localSheetId="8">#REF!</definedName>
    <definedName name="_________________abs1" localSheetId="10">#REF!</definedName>
    <definedName name="_________________abs1" localSheetId="29">#REF!</definedName>
    <definedName name="_________________abs1">#REF!</definedName>
    <definedName name="_________________AUX1" localSheetId="29">#REF!</definedName>
    <definedName name="_________________aux2" localSheetId="29">#REF!</definedName>
    <definedName name="_________________AUX3">#REF!</definedName>
    <definedName name="_________________can430">40.73</definedName>
    <definedName name="_________________can435">43.3</definedName>
    <definedName name="_________________cbr1">#REF!</definedName>
    <definedName name="_________________cbr2">#REF!</definedName>
    <definedName name="_________________cbr3">#REF!</definedName>
    <definedName name="_________________cbr4">#REF!</definedName>
    <definedName name="_________________er1">#REF!</definedName>
    <definedName name="_________________ewe1">#REF!</definedName>
    <definedName name="_________________f1">#REF!</definedName>
    <definedName name="_________________gus1">#REF!</definedName>
    <definedName name="_________________hpm1">#REF!</definedName>
    <definedName name="_________________knr2" localSheetId="8">#REF!</definedName>
    <definedName name="_________________knr2" localSheetId="10">#REF!</definedName>
    <definedName name="_________________knr2" localSheetId="29">#REF!</definedName>
    <definedName name="_________________knr2">#REF!</definedName>
    <definedName name="_________________l12" localSheetId="5">#REF!</definedName>
    <definedName name="_________________l12" localSheetId="8">#REF!</definedName>
    <definedName name="_________________l12" localSheetId="10">#REF!</definedName>
    <definedName name="_________________l12" localSheetId="11">#REF!</definedName>
    <definedName name="_________________l12" localSheetId="29">#REF!</definedName>
    <definedName name="_________________l12">#REF!</definedName>
    <definedName name="_________________l3" localSheetId="5">#REF!</definedName>
    <definedName name="_________________l3" localSheetId="8">#REF!</definedName>
    <definedName name="_________________l3" localSheetId="10">#REF!</definedName>
    <definedName name="_________________l3" localSheetId="11">#REF!</definedName>
    <definedName name="_________________l3" localSheetId="29">#REF!</definedName>
    <definedName name="_________________l3">#REF!</definedName>
    <definedName name="_________________l5" localSheetId="5">#REF!</definedName>
    <definedName name="_________________l5" localSheetId="8">#REF!</definedName>
    <definedName name="_________________l5" localSheetId="10">#REF!</definedName>
    <definedName name="_________________l5" localSheetId="11">#REF!</definedName>
    <definedName name="_________________l5" localSheetId="29">#REF!</definedName>
    <definedName name="_________________l5">#REF!</definedName>
    <definedName name="_________________lcn1">#REF!</definedName>
    <definedName name="_________________lm1" localSheetId="29">#REF!</definedName>
    <definedName name="_________________mm20" localSheetId="29">#REF!</definedName>
    <definedName name="_________________mm40">#REF!</definedName>
    <definedName name="_________________pc2" localSheetId="5">#REF!</definedName>
    <definedName name="_________________pc2" localSheetId="8">#REF!</definedName>
    <definedName name="_________________pc2" localSheetId="10">#REF!</definedName>
    <definedName name="_________________pc2" localSheetId="11">#REF!</definedName>
    <definedName name="_________________pc2" localSheetId="29">#REF!</definedName>
    <definedName name="_________________pc2">#REF!</definedName>
    <definedName name="_________________pv2" localSheetId="5">#REF!</definedName>
    <definedName name="_________________pv2" localSheetId="8">#REF!</definedName>
    <definedName name="_________________pv2" localSheetId="10">#REF!</definedName>
    <definedName name="_________________pv2" localSheetId="11">#REF!</definedName>
    <definedName name="_________________pv2" localSheetId="29">#REF!</definedName>
    <definedName name="_________________pv2">#REF!</definedName>
    <definedName name="_________________sw1" localSheetId="29">#REF!</definedName>
    <definedName name="_________________us1">#REF!</definedName>
    <definedName name="_________________var1" localSheetId="5">#REF!</definedName>
    <definedName name="_________________var1" localSheetId="8">#REF!</definedName>
    <definedName name="_________________var1" localSheetId="10">#REF!</definedName>
    <definedName name="_________________var1" localSheetId="11">#REF!</definedName>
    <definedName name="_________________var1" localSheetId="29">#REF!</definedName>
    <definedName name="_________________var1">#REF!</definedName>
    <definedName name="_________________var4" localSheetId="5">#REF!</definedName>
    <definedName name="_________________var4" localSheetId="8">#REF!</definedName>
    <definedName name="_________________var4" localSheetId="10">#REF!</definedName>
    <definedName name="_________________var4" localSheetId="11">#REF!</definedName>
    <definedName name="_________________var4" localSheetId="29">#REF!</definedName>
    <definedName name="_________________var4">#REF!</definedName>
    <definedName name="_________________vat1">#REF!</definedName>
    <definedName name="_________________vat2">#REF!</definedName>
    <definedName name="_________________xlfn_BAHTTEXT">#N/A</definedName>
    <definedName name="________________abs1" localSheetId="8">#REF!</definedName>
    <definedName name="________________abs1" localSheetId="10">#REF!</definedName>
    <definedName name="________________abs1" localSheetId="29">#REF!</definedName>
    <definedName name="________________abs1">#REF!</definedName>
    <definedName name="________________AUX1" localSheetId="29">#REF!</definedName>
    <definedName name="________________aux2" localSheetId="29">#REF!</definedName>
    <definedName name="________________AUX3">#REF!</definedName>
    <definedName name="________________can430">40.73</definedName>
    <definedName name="________________can435">43.3</definedName>
    <definedName name="________________cbr1">#REF!</definedName>
    <definedName name="________________cbr2">#REF!</definedName>
    <definedName name="________________cbr3">#REF!</definedName>
    <definedName name="________________cbr4">#REF!</definedName>
    <definedName name="________________er1">#REF!</definedName>
    <definedName name="________________ewe1">#REF!</definedName>
    <definedName name="________________f1">#REF!</definedName>
    <definedName name="________________gus1">#REF!</definedName>
    <definedName name="________________hpm1">#REF!</definedName>
    <definedName name="________________knr2" localSheetId="8">#REF!</definedName>
    <definedName name="________________knr2" localSheetId="10">#REF!</definedName>
    <definedName name="________________knr2" localSheetId="29">#REF!</definedName>
    <definedName name="________________knr2">#REF!</definedName>
    <definedName name="________________l12" localSheetId="5">#REF!</definedName>
    <definedName name="________________l12" localSheetId="8">#REF!</definedName>
    <definedName name="________________l12" localSheetId="10">#REF!</definedName>
    <definedName name="________________l12" localSheetId="11">#REF!</definedName>
    <definedName name="________________l12" localSheetId="29">#REF!</definedName>
    <definedName name="________________l12">#REF!</definedName>
    <definedName name="________________l3" localSheetId="5">#REF!</definedName>
    <definedName name="________________l3" localSheetId="8">#REF!</definedName>
    <definedName name="________________l3" localSheetId="10">#REF!</definedName>
    <definedName name="________________l3" localSheetId="11">#REF!</definedName>
    <definedName name="________________l3" localSheetId="29">#REF!</definedName>
    <definedName name="________________l3">#REF!</definedName>
    <definedName name="________________l5" localSheetId="5">#REF!</definedName>
    <definedName name="________________l5" localSheetId="8">#REF!</definedName>
    <definedName name="________________l5" localSheetId="10">#REF!</definedName>
    <definedName name="________________l5" localSheetId="11">#REF!</definedName>
    <definedName name="________________l5" localSheetId="29">#REF!</definedName>
    <definedName name="________________l5">#REF!</definedName>
    <definedName name="________________lcn1">#REF!</definedName>
    <definedName name="________________lm1" localSheetId="29">#REF!</definedName>
    <definedName name="________________mm20" localSheetId="29">#REF!</definedName>
    <definedName name="________________mm40">#REF!</definedName>
    <definedName name="________________pc2" localSheetId="5">#REF!</definedName>
    <definedName name="________________pc2" localSheetId="8">#REF!</definedName>
    <definedName name="________________pc2" localSheetId="10">#REF!</definedName>
    <definedName name="________________pc2" localSheetId="11">#REF!</definedName>
    <definedName name="________________pc2" localSheetId="29">#REF!</definedName>
    <definedName name="________________pc2">#REF!</definedName>
    <definedName name="________________PMS2" localSheetId="8">#REF!</definedName>
    <definedName name="________________PMS2" localSheetId="10">#REF!</definedName>
    <definedName name="________________PMS2" localSheetId="29">#REF!</definedName>
    <definedName name="________________PMS2">#REF!</definedName>
    <definedName name="________________pv2" localSheetId="5">#REF!</definedName>
    <definedName name="________________pv2" localSheetId="8">#REF!</definedName>
    <definedName name="________________pv2" localSheetId="10">#REF!</definedName>
    <definedName name="________________pv2" localSheetId="11">#REF!</definedName>
    <definedName name="________________pv2" localSheetId="29">#REF!</definedName>
    <definedName name="________________pv2">#REF!</definedName>
    <definedName name="________________sw1" localSheetId="29">#REF!</definedName>
    <definedName name="________________us1">#REF!</definedName>
    <definedName name="________________var1" localSheetId="5">#REF!</definedName>
    <definedName name="________________var1" localSheetId="8">#REF!</definedName>
    <definedName name="________________var1" localSheetId="10">#REF!</definedName>
    <definedName name="________________var1" localSheetId="11">#REF!</definedName>
    <definedName name="________________var1" localSheetId="29">#REF!</definedName>
    <definedName name="________________var1">#REF!</definedName>
    <definedName name="________________var4" localSheetId="5">#REF!</definedName>
    <definedName name="________________var4" localSheetId="8">#REF!</definedName>
    <definedName name="________________var4" localSheetId="10">#REF!</definedName>
    <definedName name="________________var4" localSheetId="11">#REF!</definedName>
    <definedName name="________________var4" localSheetId="29">#REF!</definedName>
    <definedName name="________________var4">#REF!</definedName>
    <definedName name="________________vat1">#REF!</definedName>
    <definedName name="________________vat2">#REF!</definedName>
    <definedName name="________________xlfn_BAHTTEXT">#N/A</definedName>
    <definedName name="_______________abs1" localSheetId="8">#REF!</definedName>
    <definedName name="_______________abs1" localSheetId="10">#REF!</definedName>
    <definedName name="_______________abs1" localSheetId="29">#REF!</definedName>
    <definedName name="_______________abs1">#REF!</definedName>
    <definedName name="_______________AUX1" localSheetId="29">#REF!</definedName>
    <definedName name="_______________aux2" localSheetId="29">#REF!</definedName>
    <definedName name="_______________AUX3">#REF!</definedName>
    <definedName name="_______________BSG100" localSheetId="8">#REF!</definedName>
    <definedName name="_______________BSG100" localSheetId="10">#REF!</definedName>
    <definedName name="_______________BSG100" localSheetId="29">#REF!</definedName>
    <definedName name="_______________BSG100">#REF!</definedName>
    <definedName name="_______________BSG150" localSheetId="8">#REF!</definedName>
    <definedName name="_______________BSG150" localSheetId="10">#REF!</definedName>
    <definedName name="_______________BSG150" localSheetId="29">#REF!</definedName>
    <definedName name="_______________BSG150">#REF!</definedName>
    <definedName name="_______________BSG5" localSheetId="8">#REF!</definedName>
    <definedName name="_______________BSG5" localSheetId="10">#REF!</definedName>
    <definedName name="_______________BSG5" localSheetId="29">#REF!</definedName>
    <definedName name="_______________BSG5">#REF!</definedName>
    <definedName name="_______________BSG75" localSheetId="8">#REF!</definedName>
    <definedName name="_______________BSG75" localSheetId="10">#REF!</definedName>
    <definedName name="_______________BSG75" localSheetId="29">#REF!</definedName>
    <definedName name="_______________BSG75">#REF!</definedName>
    <definedName name="_______________BTC1" localSheetId="8">#REF!</definedName>
    <definedName name="_______________BTC1" localSheetId="10">#REF!</definedName>
    <definedName name="_______________BTC1" localSheetId="29">#REF!</definedName>
    <definedName name="_______________BTC1">#REF!</definedName>
    <definedName name="_______________BTC10" localSheetId="8">#REF!</definedName>
    <definedName name="_______________BTC10" localSheetId="10">#REF!</definedName>
    <definedName name="_______________BTC10" localSheetId="29">#REF!</definedName>
    <definedName name="_______________BTC10">#REF!</definedName>
    <definedName name="_______________BTC11" localSheetId="8">#REF!</definedName>
    <definedName name="_______________BTC11" localSheetId="10">#REF!</definedName>
    <definedName name="_______________BTC11" localSheetId="29">#REF!</definedName>
    <definedName name="_______________BTC11">#REF!</definedName>
    <definedName name="_______________BTC12" localSheetId="8">#REF!</definedName>
    <definedName name="_______________BTC12" localSheetId="10">#REF!</definedName>
    <definedName name="_______________BTC12" localSheetId="29">#REF!</definedName>
    <definedName name="_______________BTC12">#REF!</definedName>
    <definedName name="_______________BTC13" localSheetId="8">#REF!</definedName>
    <definedName name="_______________BTC13" localSheetId="10">#REF!</definedName>
    <definedName name="_______________BTC13" localSheetId="29">#REF!</definedName>
    <definedName name="_______________BTC13">#REF!</definedName>
    <definedName name="_______________BTC14" localSheetId="8">#REF!</definedName>
    <definedName name="_______________BTC14" localSheetId="10">#REF!</definedName>
    <definedName name="_______________BTC14" localSheetId="29">#REF!</definedName>
    <definedName name="_______________BTC14">#REF!</definedName>
    <definedName name="_______________BTC15" localSheetId="8">#REF!</definedName>
    <definedName name="_______________BTC15" localSheetId="10">#REF!</definedName>
    <definedName name="_______________BTC15" localSheetId="29">#REF!</definedName>
    <definedName name="_______________BTC15">#REF!</definedName>
    <definedName name="_______________BTC2" localSheetId="8">#REF!</definedName>
    <definedName name="_______________BTC2" localSheetId="10">#REF!</definedName>
    <definedName name="_______________BTC2" localSheetId="29">#REF!</definedName>
    <definedName name="_______________BTC2">#REF!</definedName>
    <definedName name="_______________BTC3" localSheetId="8">#REF!</definedName>
    <definedName name="_______________BTC3" localSheetId="10">#REF!</definedName>
    <definedName name="_______________BTC3" localSheetId="29">#REF!</definedName>
    <definedName name="_______________BTC3">#REF!</definedName>
    <definedName name="_______________BTC4" localSheetId="8">#REF!</definedName>
    <definedName name="_______________BTC4" localSheetId="10">#REF!</definedName>
    <definedName name="_______________BTC4" localSheetId="29">#REF!</definedName>
    <definedName name="_______________BTC4">#REF!</definedName>
    <definedName name="_______________BTC5" localSheetId="8">#REF!</definedName>
    <definedName name="_______________BTC5" localSheetId="10">#REF!</definedName>
    <definedName name="_______________BTC5" localSheetId="29">#REF!</definedName>
    <definedName name="_______________BTC5">#REF!</definedName>
    <definedName name="_______________BTC6" localSheetId="8">#REF!</definedName>
    <definedName name="_______________BTC6" localSheetId="10">#REF!</definedName>
    <definedName name="_______________BTC6" localSheetId="29">#REF!</definedName>
    <definedName name="_______________BTC6">#REF!</definedName>
    <definedName name="_______________BTC7" localSheetId="8">#REF!</definedName>
    <definedName name="_______________BTC7" localSheetId="10">#REF!</definedName>
    <definedName name="_______________BTC7" localSheetId="29">#REF!</definedName>
    <definedName name="_______________BTC7">#REF!</definedName>
    <definedName name="_______________BTC8" localSheetId="8">#REF!</definedName>
    <definedName name="_______________BTC8" localSheetId="10">#REF!</definedName>
    <definedName name="_______________BTC8" localSheetId="29">#REF!</definedName>
    <definedName name="_______________BTC8">#REF!</definedName>
    <definedName name="_______________BTC9" localSheetId="8">#REF!</definedName>
    <definedName name="_______________BTC9" localSheetId="10">#REF!</definedName>
    <definedName name="_______________BTC9" localSheetId="29">#REF!</definedName>
    <definedName name="_______________BTC9">#REF!</definedName>
    <definedName name="_______________BTS1" localSheetId="8">#REF!</definedName>
    <definedName name="_______________BTS1" localSheetId="10">#REF!</definedName>
    <definedName name="_______________BTS1" localSheetId="29">#REF!</definedName>
    <definedName name="_______________BTS1">#REF!</definedName>
    <definedName name="_______________BTS10" localSheetId="8">#REF!</definedName>
    <definedName name="_______________BTS10" localSheetId="10">#REF!</definedName>
    <definedName name="_______________BTS10" localSheetId="29">#REF!</definedName>
    <definedName name="_______________BTS10">#REF!</definedName>
    <definedName name="_______________BTS11" localSheetId="8">#REF!</definedName>
    <definedName name="_______________BTS11" localSheetId="10">#REF!</definedName>
    <definedName name="_______________BTS11" localSheetId="29">#REF!</definedName>
    <definedName name="_______________BTS11">#REF!</definedName>
    <definedName name="_______________BTS12" localSheetId="8">#REF!</definedName>
    <definedName name="_______________BTS12" localSheetId="10">#REF!</definedName>
    <definedName name="_______________BTS12" localSheetId="29">#REF!</definedName>
    <definedName name="_______________BTS12">#REF!</definedName>
    <definedName name="_______________BTS13" localSheetId="8">#REF!</definedName>
    <definedName name="_______________BTS13" localSheetId="10">#REF!</definedName>
    <definedName name="_______________BTS13" localSheetId="29">#REF!</definedName>
    <definedName name="_______________BTS13">#REF!</definedName>
    <definedName name="_______________BTS14" localSheetId="8">#REF!</definedName>
    <definedName name="_______________BTS14" localSheetId="10">#REF!</definedName>
    <definedName name="_______________BTS14" localSheetId="29">#REF!</definedName>
    <definedName name="_______________BTS14">#REF!</definedName>
    <definedName name="_______________BTS15" localSheetId="8">#REF!</definedName>
    <definedName name="_______________BTS15" localSheetId="10">#REF!</definedName>
    <definedName name="_______________BTS15" localSheetId="29">#REF!</definedName>
    <definedName name="_______________BTS15">#REF!</definedName>
    <definedName name="_______________BTS2" localSheetId="8">#REF!</definedName>
    <definedName name="_______________BTS2" localSheetId="10">#REF!</definedName>
    <definedName name="_______________BTS2" localSheetId="29">#REF!</definedName>
    <definedName name="_______________BTS2">#REF!</definedName>
    <definedName name="_______________BTS3" localSheetId="8">#REF!</definedName>
    <definedName name="_______________BTS3" localSheetId="10">#REF!</definedName>
    <definedName name="_______________BTS3" localSheetId="29">#REF!</definedName>
    <definedName name="_______________BTS3">#REF!</definedName>
    <definedName name="_______________BTS4" localSheetId="8">#REF!</definedName>
    <definedName name="_______________BTS4" localSheetId="10">#REF!</definedName>
    <definedName name="_______________BTS4" localSheetId="29">#REF!</definedName>
    <definedName name="_______________BTS4">#REF!</definedName>
    <definedName name="_______________BTS5" localSheetId="8">#REF!</definedName>
    <definedName name="_______________BTS5" localSheetId="10">#REF!</definedName>
    <definedName name="_______________BTS5" localSheetId="29">#REF!</definedName>
    <definedName name="_______________BTS5">#REF!</definedName>
    <definedName name="_______________BTS6" localSheetId="8">#REF!</definedName>
    <definedName name="_______________BTS6" localSheetId="10">#REF!</definedName>
    <definedName name="_______________BTS6" localSheetId="29">#REF!</definedName>
    <definedName name="_______________BTS6">#REF!</definedName>
    <definedName name="_______________BTS7" localSheetId="8">#REF!</definedName>
    <definedName name="_______________BTS7" localSheetId="10">#REF!</definedName>
    <definedName name="_______________BTS7" localSheetId="29">#REF!</definedName>
    <definedName name="_______________BTS7">#REF!</definedName>
    <definedName name="_______________BTS8" localSheetId="8">#REF!</definedName>
    <definedName name="_______________BTS8" localSheetId="10">#REF!</definedName>
    <definedName name="_______________BTS8" localSheetId="29">#REF!</definedName>
    <definedName name="_______________BTS8">#REF!</definedName>
    <definedName name="_______________BTS9" localSheetId="8">#REF!</definedName>
    <definedName name="_______________BTS9" localSheetId="10">#REF!</definedName>
    <definedName name="_______________BTS9" localSheetId="29">#REF!</definedName>
    <definedName name="_______________BTS9">#REF!</definedName>
    <definedName name="_______________can430">40.73</definedName>
    <definedName name="_______________can435">43.3</definedName>
    <definedName name="_______________cbr1">#REF!</definedName>
    <definedName name="_______________cbr2">#REF!</definedName>
    <definedName name="_______________cbr3">#REF!</definedName>
    <definedName name="_______________cbr4">#REF!</definedName>
    <definedName name="_______________er1">#REF!</definedName>
    <definedName name="_______________ewe1" localSheetId="29">#REF!</definedName>
    <definedName name="_______________f1">#REF!</definedName>
    <definedName name="_______________GBS11" localSheetId="8">#REF!</definedName>
    <definedName name="_______________GBS11" localSheetId="10">#REF!</definedName>
    <definedName name="_______________GBS11" localSheetId="29">#REF!</definedName>
    <definedName name="_______________GBS11">#REF!</definedName>
    <definedName name="_______________GBS110" localSheetId="8">#REF!</definedName>
    <definedName name="_______________GBS110" localSheetId="10">#REF!</definedName>
    <definedName name="_______________GBS110" localSheetId="29">#REF!</definedName>
    <definedName name="_______________GBS110">#REF!</definedName>
    <definedName name="_______________GBS111" localSheetId="8">#REF!</definedName>
    <definedName name="_______________GBS111" localSheetId="10">#REF!</definedName>
    <definedName name="_______________GBS111" localSheetId="29">#REF!</definedName>
    <definedName name="_______________GBS111">#REF!</definedName>
    <definedName name="_______________GBS112" localSheetId="8">#REF!</definedName>
    <definedName name="_______________GBS112" localSheetId="10">#REF!</definedName>
    <definedName name="_______________GBS112" localSheetId="29">#REF!</definedName>
    <definedName name="_______________GBS112">#REF!</definedName>
    <definedName name="_______________GBS113" localSheetId="8">#REF!</definedName>
    <definedName name="_______________GBS113" localSheetId="10">#REF!</definedName>
    <definedName name="_______________GBS113" localSheetId="29">#REF!</definedName>
    <definedName name="_______________GBS113">#REF!</definedName>
    <definedName name="_______________GBS114" localSheetId="8">#REF!</definedName>
    <definedName name="_______________GBS114" localSheetId="10">#REF!</definedName>
    <definedName name="_______________GBS114" localSheetId="29">#REF!</definedName>
    <definedName name="_______________GBS114">#REF!</definedName>
    <definedName name="_______________GBS115" localSheetId="8">#REF!</definedName>
    <definedName name="_______________GBS115" localSheetId="10">#REF!</definedName>
    <definedName name="_______________GBS115" localSheetId="29">#REF!</definedName>
    <definedName name="_______________GBS115">#REF!</definedName>
    <definedName name="_______________GBS12" localSheetId="8">#REF!</definedName>
    <definedName name="_______________GBS12" localSheetId="10">#REF!</definedName>
    <definedName name="_______________GBS12" localSheetId="29">#REF!</definedName>
    <definedName name="_______________GBS12">#REF!</definedName>
    <definedName name="_______________GBS13" localSheetId="8">#REF!</definedName>
    <definedName name="_______________GBS13" localSheetId="10">#REF!</definedName>
    <definedName name="_______________GBS13" localSheetId="29">#REF!</definedName>
    <definedName name="_______________GBS13">#REF!</definedName>
    <definedName name="_______________GBS14" localSheetId="8">#REF!</definedName>
    <definedName name="_______________GBS14" localSheetId="10">#REF!</definedName>
    <definedName name="_______________GBS14" localSheetId="29">#REF!</definedName>
    <definedName name="_______________GBS14">#REF!</definedName>
    <definedName name="_______________GBS15" localSheetId="8">#REF!</definedName>
    <definedName name="_______________GBS15" localSheetId="10">#REF!</definedName>
    <definedName name="_______________GBS15" localSheetId="29">#REF!</definedName>
    <definedName name="_______________GBS15">#REF!</definedName>
    <definedName name="_______________GBS16" localSheetId="8">#REF!</definedName>
    <definedName name="_______________GBS16" localSheetId="10">#REF!</definedName>
    <definedName name="_______________GBS16" localSheetId="29">#REF!</definedName>
    <definedName name="_______________GBS16">#REF!</definedName>
    <definedName name="_______________GBS17" localSheetId="8">#REF!</definedName>
    <definedName name="_______________GBS17" localSheetId="10">#REF!</definedName>
    <definedName name="_______________GBS17" localSheetId="29">#REF!</definedName>
    <definedName name="_______________GBS17">#REF!</definedName>
    <definedName name="_______________GBS18" localSheetId="8">#REF!</definedName>
    <definedName name="_______________GBS18" localSheetId="10">#REF!</definedName>
    <definedName name="_______________GBS18" localSheetId="29">#REF!</definedName>
    <definedName name="_______________GBS18">#REF!</definedName>
    <definedName name="_______________GBS19" localSheetId="8">#REF!</definedName>
    <definedName name="_______________GBS19" localSheetId="10">#REF!</definedName>
    <definedName name="_______________GBS19" localSheetId="29">#REF!</definedName>
    <definedName name="_______________GBS19">#REF!</definedName>
    <definedName name="_______________GBS21" localSheetId="8">#REF!</definedName>
    <definedName name="_______________GBS21" localSheetId="10">#REF!</definedName>
    <definedName name="_______________GBS21" localSheetId="29">#REF!</definedName>
    <definedName name="_______________GBS21">#REF!</definedName>
    <definedName name="_______________GBS210" localSheetId="8">#REF!</definedName>
    <definedName name="_______________GBS210" localSheetId="10">#REF!</definedName>
    <definedName name="_______________GBS210" localSheetId="29">#REF!</definedName>
    <definedName name="_______________GBS210">#REF!</definedName>
    <definedName name="_______________GBS211" localSheetId="8">#REF!</definedName>
    <definedName name="_______________GBS211" localSheetId="10">#REF!</definedName>
    <definedName name="_______________GBS211" localSheetId="29">#REF!</definedName>
    <definedName name="_______________GBS211">#REF!</definedName>
    <definedName name="_______________GBS212" localSheetId="8">#REF!</definedName>
    <definedName name="_______________GBS212" localSheetId="10">#REF!</definedName>
    <definedName name="_______________GBS212" localSheetId="29">#REF!</definedName>
    <definedName name="_______________GBS212">#REF!</definedName>
    <definedName name="_______________GBS213" localSheetId="8">#REF!</definedName>
    <definedName name="_______________GBS213" localSheetId="10">#REF!</definedName>
    <definedName name="_______________GBS213" localSheetId="29">#REF!</definedName>
    <definedName name="_______________GBS213">#REF!</definedName>
    <definedName name="_______________GBS214" localSheetId="8">#REF!</definedName>
    <definedName name="_______________GBS214" localSheetId="10">#REF!</definedName>
    <definedName name="_______________GBS214" localSheetId="29">#REF!</definedName>
    <definedName name="_______________GBS214">#REF!</definedName>
    <definedName name="_______________GBS215" localSheetId="8">#REF!</definedName>
    <definedName name="_______________GBS215" localSheetId="10">#REF!</definedName>
    <definedName name="_______________GBS215" localSheetId="29">#REF!</definedName>
    <definedName name="_______________GBS215">#REF!</definedName>
    <definedName name="_______________GBS22" localSheetId="8">#REF!</definedName>
    <definedName name="_______________GBS22" localSheetId="10">#REF!</definedName>
    <definedName name="_______________GBS22" localSheetId="29">#REF!</definedName>
    <definedName name="_______________GBS22">#REF!</definedName>
    <definedName name="_______________GBS23" localSheetId="8">#REF!</definedName>
    <definedName name="_______________GBS23" localSheetId="10">#REF!</definedName>
    <definedName name="_______________GBS23" localSheetId="29">#REF!</definedName>
    <definedName name="_______________GBS23">#REF!</definedName>
    <definedName name="_______________GBS24" localSheetId="8">#REF!</definedName>
    <definedName name="_______________GBS24" localSheetId="10">#REF!</definedName>
    <definedName name="_______________GBS24" localSheetId="29">#REF!</definedName>
    <definedName name="_______________GBS24">#REF!</definedName>
    <definedName name="_______________GBS25" localSheetId="8">#REF!</definedName>
    <definedName name="_______________GBS25" localSheetId="10">#REF!</definedName>
    <definedName name="_______________GBS25" localSheetId="29">#REF!</definedName>
    <definedName name="_______________GBS25">#REF!</definedName>
    <definedName name="_______________GBS26" localSheetId="8">#REF!</definedName>
    <definedName name="_______________GBS26" localSheetId="10">#REF!</definedName>
    <definedName name="_______________GBS26" localSheetId="29">#REF!</definedName>
    <definedName name="_______________GBS26">#REF!</definedName>
    <definedName name="_______________GBS27" localSheetId="8">#REF!</definedName>
    <definedName name="_______________GBS27" localSheetId="10">#REF!</definedName>
    <definedName name="_______________GBS27" localSheetId="29">#REF!</definedName>
    <definedName name="_______________GBS27">#REF!</definedName>
    <definedName name="_______________GBS28" localSheetId="8">#REF!</definedName>
    <definedName name="_______________GBS28" localSheetId="10">#REF!</definedName>
    <definedName name="_______________GBS28" localSheetId="29">#REF!</definedName>
    <definedName name="_______________GBS28">#REF!</definedName>
    <definedName name="_______________GBS29" localSheetId="8">#REF!</definedName>
    <definedName name="_______________GBS29" localSheetId="10">#REF!</definedName>
    <definedName name="_______________GBS29" localSheetId="29">#REF!</definedName>
    <definedName name="_______________GBS29">#REF!</definedName>
    <definedName name="_______________gus1">#REF!</definedName>
    <definedName name="_______________hpm1">#REF!</definedName>
    <definedName name="_______________knr2" localSheetId="29">#REF!</definedName>
    <definedName name="_______________l12" localSheetId="5">#REF!</definedName>
    <definedName name="_______________l12" localSheetId="8">#REF!</definedName>
    <definedName name="_______________l12" localSheetId="10">#REF!</definedName>
    <definedName name="_______________l12" localSheetId="11">#REF!</definedName>
    <definedName name="_______________l12" localSheetId="29">#REF!</definedName>
    <definedName name="_______________l12">#REF!</definedName>
    <definedName name="_______________l3" localSheetId="5">#REF!</definedName>
    <definedName name="_______________l3" localSheetId="8">#REF!</definedName>
    <definedName name="_______________l3" localSheetId="10">#REF!</definedName>
    <definedName name="_______________l3" localSheetId="11">#REF!</definedName>
    <definedName name="_______________l3" localSheetId="29">#REF!</definedName>
    <definedName name="_______________l3">#REF!</definedName>
    <definedName name="_______________l5" localSheetId="5">#REF!</definedName>
    <definedName name="_______________l5" localSheetId="8">#REF!</definedName>
    <definedName name="_______________l5" localSheetId="10">#REF!</definedName>
    <definedName name="_______________l5" localSheetId="11">#REF!</definedName>
    <definedName name="_______________l5" localSheetId="29">#REF!</definedName>
    <definedName name="_______________l5">#REF!</definedName>
    <definedName name="_______________lcn1">#REF!</definedName>
    <definedName name="_______________LI9" localSheetId="8">#REF!</definedName>
    <definedName name="_______________LI9" localSheetId="10">#REF!</definedName>
    <definedName name="_______________LI9" localSheetId="29">#REF!</definedName>
    <definedName name="_______________LI9">#REF!</definedName>
    <definedName name="_______________LII9" localSheetId="8">#REF!</definedName>
    <definedName name="_______________LII9" localSheetId="10">#REF!</definedName>
    <definedName name="_______________LII9" localSheetId="29">#REF!</definedName>
    <definedName name="_______________LII9">#REF!</definedName>
    <definedName name="_______________lm1" localSheetId="29">#REF!</definedName>
    <definedName name="_______________ML11" localSheetId="8">#REF!</definedName>
    <definedName name="_______________ML11" localSheetId="10">#REF!</definedName>
    <definedName name="_______________ML11" localSheetId="29">#REF!</definedName>
    <definedName name="_______________ML11">#REF!</definedName>
    <definedName name="_______________ML110" localSheetId="8">#REF!</definedName>
    <definedName name="_______________ML110" localSheetId="10">#REF!</definedName>
    <definedName name="_______________ML110" localSheetId="29">#REF!</definedName>
    <definedName name="_______________ML110">#REF!</definedName>
    <definedName name="_______________ML111" localSheetId="8">#REF!</definedName>
    <definedName name="_______________ML111" localSheetId="10">#REF!</definedName>
    <definedName name="_______________ML111" localSheetId="29">#REF!</definedName>
    <definedName name="_______________ML111">#REF!</definedName>
    <definedName name="_______________ML112" localSheetId="8">#REF!</definedName>
    <definedName name="_______________ML112" localSheetId="10">#REF!</definedName>
    <definedName name="_______________ML112" localSheetId="29">#REF!</definedName>
    <definedName name="_______________ML112">#REF!</definedName>
    <definedName name="_______________ML113" localSheetId="8">#REF!</definedName>
    <definedName name="_______________ML113" localSheetId="10">#REF!</definedName>
    <definedName name="_______________ML113" localSheetId="29">#REF!</definedName>
    <definedName name="_______________ML113">#REF!</definedName>
    <definedName name="_______________ML114" localSheetId="8">#REF!</definedName>
    <definedName name="_______________ML114" localSheetId="10">#REF!</definedName>
    <definedName name="_______________ML114" localSheetId="29">#REF!</definedName>
    <definedName name="_______________ML114">#REF!</definedName>
    <definedName name="_______________ML115" localSheetId="8">#REF!</definedName>
    <definedName name="_______________ML115" localSheetId="10">#REF!</definedName>
    <definedName name="_______________ML115" localSheetId="29">#REF!</definedName>
    <definedName name="_______________ML115">#REF!</definedName>
    <definedName name="_______________ML12" localSheetId="8">#REF!</definedName>
    <definedName name="_______________ML12" localSheetId="10">#REF!</definedName>
    <definedName name="_______________ML12" localSheetId="29">#REF!</definedName>
    <definedName name="_______________ML12">#REF!</definedName>
    <definedName name="_______________ML13" localSheetId="8">#REF!</definedName>
    <definedName name="_______________ML13" localSheetId="10">#REF!</definedName>
    <definedName name="_______________ML13" localSheetId="29">#REF!</definedName>
    <definedName name="_______________ML13">#REF!</definedName>
    <definedName name="_______________ML14" localSheetId="8">#REF!</definedName>
    <definedName name="_______________ML14" localSheetId="10">#REF!</definedName>
    <definedName name="_______________ML14" localSheetId="29">#REF!</definedName>
    <definedName name="_______________ML14">#REF!</definedName>
    <definedName name="_______________ML15" localSheetId="8">#REF!</definedName>
    <definedName name="_______________ML15" localSheetId="10">#REF!</definedName>
    <definedName name="_______________ML15" localSheetId="29">#REF!</definedName>
    <definedName name="_______________ML15">#REF!</definedName>
    <definedName name="_______________ML16" localSheetId="8">#REF!</definedName>
    <definedName name="_______________ML16" localSheetId="10">#REF!</definedName>
    <definedName name="_______________ML16" localSheetId="29">#REF!</definedName>
    <definedName name="_______________ML16">#REF!</definedName>
    <definedName name="_______________ML17" localSheetId="8">#REF!</definedName>
    <definedName name="_______________ML17" localSheetId="10">#REF!</definedName>
    <definedName name="_______________ML17" localSheetId="29">#REF!</definedName>
    <definedName name="_______________ML17">#REF!</definedName>
    <definedName name="_______________ML18" localSheetId="8">#REF!</definedName>
    <definedName name="_______________ML18" localSheetId="10">#REF!</definedName>
    <definedName name="_______________ML18" localSheetId="29">#REF!</definedName>
    <definedName name="_______________ML18">#REF!</definedName>
    <definedName name="_______________ML19" localSheetId="8">#REF!</definedName>
    <definedName name="_______________ML19" localSheetId="10">#REF!</definedName>
    <definedName name="_______________ML19" localSheetId="29">#REF!</definedName>
    <definedName name="_______________ML19">#REF!</definedName>
    <definedName name="_______________ML21" localSheetId="8">#REF!</definedName>
    <definedName name="_______________ML21" localSheetId="10">#REF!</definedName>
    <definedName name="_______________ML21" localSheetId="29">#REF!</definedName>
    <definedName name="_______________ML21">#REF!</definedName>
    <definedName name="_______________ML210" localSheetId="8">#REF!</definedName>
    <definedName name="_______________ML210" localSheetId="10">#REF!</definedName>
    <definedName name="_______________ML210" localSheetId="29">#REF!</definedName>
    <definedName name="_______________ML210">#REF!</definedName>
    <definedName name="_______________ML211" localSheetId="8">#REF!</definedName>
    <definedName name="_______________ML211" localSheetId="10">#REF!</definedName>
    <definedName name="_______________ML211" localSheetId="29">#REF!</definedName>
    <definedName name="_______________ML211">#REF!</definedName>
    <definedName name="_______________ML212" localSheetId="8">#REF!</definedName>
    <definedName name="_______________ML212" localSheetId="10">#REF!</definedName>
    <definedName name="_______________ML212" localSheetId="29">#REF!</definedName>
    <definedName name="_______________ML212">#REF!</definedName>
    <definedName name="_______________ML213" localSheetId="8">#REF!</definedName>
    <definedName name="_______________ML213" localSheetId="10">#REF!</definedName>
    <definedName name="_______________ML213" localSheetId="29">#REF!</definedName>
    <definedName name="_______________ML213">#REF!</definedName>
    <definedName name="_______________ML214" localSheetId="8">#REF!</definedName>
    <definedName name="_______________ML214" localSheetId="10">#REF!</definedName>
    <definedName name="_______________ML214" localSheetId="29">#REF!</definedName>
    <definedName name="_______________ML214">#REF!</definedName>
    <definedName name="_______________ML215" localSheetId="8">#REF!</definedName>
    <definedName name="_______________ML215" localSheetId="10">#REF!</definedName>
    <definedName name="_______________ML215" localSheetId="29">#REF!</definedName>
    <definedName name="_______________ML215">#REF!</definedName>
    <definedName name="_______________ML22" localSheetId="8">#REF!</definedName>
    <definedName name="_______________ML22" localSheetId="10">#REF!</definedName>
    <definedName name="_______________ML22" localSheetId="29">#REF!</definedName>
    <definedName name="_______________ML22">#REF!</definedName>
    <definedName name="_______________ML23" localSheetId="8">#REF!</definedName>
    <definedName name="_______________ML23" localSheetId="10">#REF!</definedName>
    <definedName name="_______________ML23" localSheetId="29">#REF!</definedName>
    <definedName name="_______________ML23">#REF!</definedName>
    <definedName name="_______________ML24" localSheetId="8">#REF!</definedName>
    <definedName name="_______________ML24" localSheetId="10">#REF!</definedName>
    <definedName name="_______________ML24" localSheetId="29">#REF!</definedName>
    <definedName name="_______________ML24">#REF!</definedName>
    <definedName name="_______________ML25" localSheetId="8">#REF!</definedName>
    <definedName name="_______________ML25" localSheetId="10">#REF!</definedName>
    <definedName name="_______________ML25" localSheetId="29">#REF!</definedName>
    <definedName name="_______________ML25">#REF!</definedName>
    <definedName name="_______________ML26" localSheetId="8">#REF!</definedName>
    <definedName name="_______________ML26" localSheetId="10">#REF!</definedName>
    <definedName name="_______________ML26" localSheetId="29">#REF!</definedName>
    <definedName name="_______________ML26">#REF!</definedName>
    <definedName name="_______________ML27" localSheetId="8">#REF!</definedName>
    <definedName name="_______________ML27" localSheetId="10">#REF!</definedName>
    <definedName name="_______________ML27" localSheetId="29">#REF!</definedName>
    <definedName name="_______________ML27">#REF!</definedName>
    <definedName name="_______________ML28" localSheetId="8">#REF!</definedName>
    <definedName name="_______________ML28" localSheetId="10">#REF!</definedName>
    <definedName name="_______________ML28" localSheetId="29">#REF!</definedName>
    <definedName name="_______________ML28">#REF!</definedName>
    <definedName name="_______________ML29" localSheetId="8">#REF!</definedName>
    <definedName name="_______________ML29" localSheetId="10">#REF!</definedName>
    <definedName name="_______________ML29" localSheetId="29">#REF!</definedName>
    <definedName name="_______________ML29">#REF!</definedName>
    <definedName name="_______________ML31" localSheetId="8">#REF!</definedName>
    <definedName name="_______________ML31" localSheetId="10">#REF!</definedName>
    <definedName name="_______________ML31" localSheetId="29">#REF!</definedName>
    <definedName name="_______________ML31">#REF!</definedName>
    <definedName name="_______________ML310" localSheetId="8">#REF!</definedName>
    <definedName name="_______________ML310" localSheetId="10">#REF!</definedName>
    <definedName name="_______________ML310" localSheetId="29">#REF!</definedName>
    <definedName name="_______________ML310">#REF!</definedName>
    <definedName name="_______________ML311" localSheetId="8">#REF!</definedName>
    <definedName name="_______________ML311" localSheetId="10">#REF!</definedName>
    <definedName name="_______________ML311" localSheetId="29">#REF!</definedName>
    <definedName name="_______________ML311">#REF!</definedName>
    <definedName name="_______________ML312" localSheetId="8">#REF!</definedName>
    <definedName name="_______________ML312" localSheetId="10">#REF!</definedName>
    <definedName name="_______________ML312" localSheetId="29">#REF!</definedName>
    <definedName name="_______________ML312">#REF!</definedName>
    <definedName name="_______________ML313" localSheetId="8">#REF!</definedName>
    <definedName name="_______________ML313" localSheetId="10">#REF!</definedName>
    <definedName name="_______________ML313" localSheetId="29">#REF!</definedName>
    <definedName name="_______________ML313">#REF!</definedName>
    <definedName name="_______________ML314" localSheetId="8">#REF!</definedName>
    <definedName name="_______________ML314" localSheetId="10">#REF!</definedName>
    <definedName name="_______________ML314" localSheetId="29">#REF!</definedName>
    <definedName name="_______________ML314">#REF!</definedName>
    <definedName name="_______________ML315" localSheetId="8">#REF!</definedName>
    <definedName name="_______________ML315" localSheetId="10">#REF!</definedName>
    <definedName name="_______________ML315" localSheetId="29">#REF!</definedName>
    <definedName name="_______________ML315">#REF!</definedName>
    <definedName name="_______________ML32" localSheetId="8">#REF!</definedName>
    <definedName name="_______________ML32" localSheetId="10">#REF!</definedName>
    <definedName name="_______________ML32" localSheetId="29">#REF!</definedName>
    <definedName name="_______________ML32">#REF!</definedName>
    <definedName name="_______________ML33" localSheetId="8">#REF!</definedName>
    <definedName name="_______________ML33" localSheetId="10">#REF!</definedName>
    <definedName name="_______________ML33" localSheetId="29">#REF!</definedName>
    <definedName name="_______________ML33">#REF!</definedName>
    <definedName name="_______________ML34" localSheetId="8">#REF!</definedName>
    <definedName name="_______________ML34" localSheetId="10">#REF!</definedName>
    <definedName name="_______________ML34" localSheetId="29">#REF!</definedName>
    <definedName name="_______________ML34">#REF!</definedName>
    <definedName name="_______________ML35" localSheetId="8">#REF!</definedName>
    <definedName name="_______________ML35" localSheetId="10">#REF!</definedName>
    <definedName name="_______________ML35" localSheetId="29">#REF!</definedName>
    <definedName name="_______________ML35">#REF!</definedName>
    <definedName name="_______________ML36" localSheetId="8">#REF!</definedName>
    <definedName name="_______________ML36" localSheetId="10">#REF!</definedName>
    <definedName name="_______________ML36" localSheetId="29">#REF!</definedName>
    <definedName name="_______________ML36">#REF!</definedName>
    <definedName name="_______________ML37" localSheetId="8">#REF!</definedName>
    <definedName name="_______________ML37" localSheetId="10">#REF!</definedName>
    <definedName name="_______________ML37" localSheetId="29">#REF!</definedName>
    <definedName name="_______________ML37">#REF!</definedName>
    <definedName name="_______________ML38" localSheetId="8">#REF!</definedName>
    <definedName name="_______________ML38" localSheetId="10">#REF!</definedName>
    <definedName name="_______________ML38" localSheetId="29">#REF!</definedName>
    <definedName name="_______________ML38">#REF!</definedName>
    <definedName name="_______________ML39" localSheetId="8">#REF!</definedName>
    <definedName name="_______________ML39" localSheetId="10">#REF!</definedName>
    <definedName name="_______________ML39" localSheetId="29">#REF!</definedName>
    <definedName name="_______________ML39">#REF!</definedName>
    <definedName name="_______________ML7" localSheetId="8">#REF!</definedName>
    <definedName name="_______________ML7" localSheetId="10">#REF!</definedName>
    <definedName name="_______________ML7" localSheetId="29">#REF!</definedName>
    <definedName name="_______________ML7">#REF!</definedName>
    <definedName name="_______________ML8" localSheetId="8">#REF!</definedName>
    <definedName name="_______________ML8" localSheetId="10">#REF!</definedName>
    <definedName name="_______________ML8" localSheetId="29">#REF!</definedName>
    <definedName name="_______________ML8">#REF!</definedName>
    <definedName name="_______________ML9" localSheetId="8">#REF!</definedName>
    <definedName name="_______________ML9" localSheetId="10">#REF!</definedName>
    <definedName name="_______________ML9" localSheetId="29">#REF!</definedName>
    <definedName name="_______________ML9">#REF!</definedName>
    <definedName name="_______________mm20" localSheetId="29">#REF!</definedName>
    <definedName name="_______________mm40">#REF!</definedName>
    <definedName name="_______________pc2" localSheetId="5">#REF!</definedName>
    <definedName name="_______________pc2" localSheetId="8">#REF!</definedName>
    <definedName name="_______________pc2" localSheetId="10">#REF!</definedName>
    <definedName name="_______________pc2" localSheetId="11">#REF!</definedName>
    <definedName name="_______________pc2" localSheetId="29">#REF!</definedName>
    <definedName name="_______________pc2">#REF!</definedName>
    <definedName name="_______________PMS2" localSheetId="8">#REF!</definedName>
    <definedName name="_______________PMS2" localSheetId="10">#REF!</definedName>
    <definedName name="_______________PMS2" localSheetId="29">#REF!</definedName>
    <definedName name="_______________PMS2">#REF!</definedName>
    <definedName name="_______________pv2" localSheetId="5">#REF!</definedName>
    <definedName name="_______________pv2" localSheetId="8">#REF!</definedName>
    <definedName name="_______________pv2" localSheetId="10">#REF!</definedName>
    <definedName name="_______________pv2" localSheetId="11">#REF!</definedName>
    <definedName name="_______________pv2" localSheetId="29">#REF!</definedName>
    <definedName name="_______________pv2">#REF!</definedName>
    <definedName name="_______________sw1" localSheetId="29">#REF!</definedName>
    <definedName name="_______________us1">#REF!</definedName>
    <definedName name="_______________var1" localSheetId="5">#REF!</definedName>
    <definedName name="_______________var1" localSheetId="8">#REF!</definedName>
    <definedName name="_______________var1" localSheetId="10">#REF!</definedName>
    <definedName name="_______________var1" localSheetId="11">#REF!</definedName>
    <definedName name="_______________var1" localSheetId="29">#REF!</definedName>
    <definedName name="_______________var1">#REF!</definedName>
    <definedName name="_______________var4" localSheetId="5">#REF!</definedName>
    <definedName name="_______________var4" localSheetId="8">#REF!</definedName>
    <definedName name="_______________var4" localSheetId="10">#REF!</definedName>
    <definedName name="_______________var4" localSheetId="11">#REF!</definedName>
    <definedName name="_______________var4" localSheetId="29">#REF!</definedName>
    <definedName name="_______________var4">#REF!</definedName>
    <definedName name="_______________vat1">#REF!</definedName>
    <definedName name="_______________vat2">#REF!</definedName>
    <definedName name="_______________xlfn_BAHTTEXT">#N/A</definedName>
    <definedName name="______________abs1" localSheetId="8">#REF!</definedName>
    <definedName name="______________abs1" localSheetId="10">#REF!</definedName>
    <definedName name="______________abs1" localSheetId="29">#REF!</definedName>
    <definedName name="______________abs1">#REF!</definedName>
    <definedName name="______________AUX1" localSheetId="29">#REF!</definedName>
    <definedName name="______________aux2" localSheetId="29">#REF!</definedName>
    <definedName name="______________AUX3">#REF!</definedName>
    <definedName name="______________BSG100" localSheetId="8">#REF!</definedName>
    <definedName name="______________BSG100" localSheetId="10">#REF!</definedName>
    <definedName name="______________BSG100" localSheetId="29">#REF!</definedName>
    <definedName name="______________BSG100">#REF!</definedName>
    <definedName name="______________BSG150" localSheetId="8">#REF!</definedName>
    <definedName name="______________BSG150" localSheetId="10">#REF!</definedName>
    <definedName name="______________BSG150" localSheetId="29">#REF!</definedName>
    <definedName name="______________BSG150">#REF!</definedName>
    <definedName name="______________BSG5" localSheetId="8">#REF!</definedName>
    <definedName name="______________BSG5" localSheetId="10">#REF!</definedName>
    <definedName name="______________BSG5" localSheetId="29">#REF!</definedName>
    <definedName name="______________BSG5">#REF!</definedName>
    <definedName name="______________BSG75" localSheetId="8">#REF!</definedName>
    <definedName name="______________BSG75" localSheetId="10">#REF!</definedName>
    <definedName name="______________BSG75" localSheetId="29">#REF!</definedName>
    <definedName name="______________BSG75">#REF!</definedName>
    <definedName name="______________BTC1" localSheetId="8">#REF!</definedName>
    <definedName name="______________BTC1" localSheetId="10">#REF!</definedName>
    <definedName name="______________BTC1" localSheetId="29">#REF!</definedName>
    <definedName name="______________BTC1">#REF!</definedName>
    <definedName name="______________BTC10" localSheetId="8">#REF!</definedName>
    <definedName name="______________BTC10" localSheetId="10">#REF!</definedName>
    <definedName name="______________BTC10" localSheetId="29">#REF!</definedName>
    <definedName name="______________BTC10">#REF!</definedName>
    <definedName name="______________BTC11" localSheetId="8">#REF!</definedName>
    <definedName name="______________BTC11" localSheetId="10">#REF!</definedName>
    <definedName name="______________BTC11" localSheetId="29">#REF!</definedName>
    <definedName name="______________BTC11">#REF!</definedName>
    <definedName name="______________BTC12" localSheetId="8">#REF!</definedName>
    <definedName name="______________BTC12" localSheetId="10">#REF!</definedName>
    <definedName name="______________BTC12" localSheetId="29">#REF!</definedName>
    <definedName name="______________BTC12">#REF!</definedName>
    <definedName name="______________BTC13" localSheetId="8">#REF!</definedName>
    <definedName name="______________BTC13" localSheetId="10">#REF!</definedName>
    <definedName name="______________BTC13" localSheetId="29">#REF!</definedName>
    <definedName name="______________BTC13">#REF!</definedName>
    <definedName name="______________BTC14" localSheetId="8">#REF!</definedName>
    <definedName name="______________BTC14" localSheetId="10">#REF!</definedName>
    <definedName name="______________BTC14" localSheetId="29">#REF!</definedName>
    <definedName name="______________BTC14">#REF!</definedName>
    <definedName name="______________BTC15" localSheetId="8">#REF!</definedName>
    <definedName name="______________BTC15" localSheetId="10">#REF!</definedName>
    <definedName name="______________BTC15" localSheetId="29">#REF!</definedName>
    <definedName name="______________BTC15">#REF!</definedName>
    <definedName name="______________BTC2" localSheetId="8">#REF!</definedName>
    <definedName name="______________BTC2" localSheetId="10">#REF!</definedName>
    <definedName name="______________BTC2" localSheetId="29">#REF!</definedName>
    <definedName name="______________BTC2">#REF!</definedName>
    <definedName name="______________BTC3" localSheetId="8">#REF!</definedName>
    <definedName name="______________BTC3" localSheetId="10">#REF!</definedName>
    <definedName name="______________BTC3" localSheetId="29">#REF!</definedName>
    <definedName name="______________BTC3">#REF!</definedName>
    <definedName name="______________BTC4" localSheetId="8">#REF!</definedName>
    <definedName name="______________BTC4" localSheetId="10">#REF!</definedName>
    <definedName name="______________BTC4" localSheetId="29">#REF!</definedName>
    <definedName name="______________BTC4">#REF!</definedName>
    <definedName name="______________BTC5" localSheetId="8">#REF!</definedName>
    <definedName name="______________BTC5" localSheetId="10">#REF!</definedName>
    <definedName name="______________BTC5" localSheetId="29">#REF!</definedName>
    <definedName name="______________BTC5">#REF!</definedName>
    <definedName name="______________BTC6" localSheetId="8">#REF!</definedName>
    <definedName name="______________BTC6" localSheetId="10">#REF!</definedName>
    <definedName name="______________BTC6" localSheetId="29">#REF!</definedName>
    <definedName name="______________BTC6">#REF!</definedName>
    <definedName name="______________BTC7" localSheetId="8">#REF!</definedName>
    <definedName name="______________BTC7" localSheetId="10">#REF!</definedName>
    <definedName name="______________BTC7" localSheetId="29">#REF!</definedName>
    <definedName name="______________BTC7">#REF!</definedName>
    <definedName name="______________BTC8" localSheetId="8">#REF!</definedName>
    <definedName name="______________BTC8" localSheetId="10">#REF!</definedName>
    <definedName name="______________BTC8" localSheetId="29">#REF!</definedName>
    <definedName name="______________BTC8">#REF!</definedName>
    <definedName name="______________BTC9" localSheetId="8">#REF!</definedName>
    <definedName name="______________BTC9" localSheetId="10">#REF!</definedName>
    <definedName name="______________BTC9" localSheetId="29">#REF!</definedName>
    <definedName name="______________BTC9">#REF!</definedName>
    <definedName name="______________BTS1" localSheetId="8">#REF!</definedName>
    <definedName name="______________BTS1" localSheetId="10">#REF!</definedName>
    <definedName name="______________BTS1" localSheetId="29">#REF!</definedName>
    <definedName name="______________BTS1">#REF!</definedName>
    <definedName name="______________BTS10" localSheetId="8">#REF!</definedName>
    <definedName name="______________BTS10" localSheetId="10">#REF!</definedName>
    <definedName name="______________BTS10" localSheetId="29">#REF!</definedName>
    <definedName name="______________BTS10">#REF!</definedName>
    <definedName name="______________BTS11" localSheetId="8">#REF!</definedName>
    <definedName name="______________BTS11" localSheetId="10">#REF!</definedName>
    <definedName name="______________BTS11" localSheetId="29">#REF!</definedName>
    <definedName name="______________BTS11">#REF!</definedName>
    <definedName name="______________BTS12" localSheetId="8">#REF!</definedName>
    <definedName name="______________BTS12" localSheetId="10">#REF!</definedName>
    <definedName name="______________BTS12" localSheetId="29">#REF!</definedName>
    <definedName name="______________BTS12">#REF!</definedName>
    <definedName name="______________BTS13" localSheetId="8">#REF!</definedName>
    <definedName name="______________BTS13" localSheetId="10">#REF!</definedName>
    <definedName name="______________BTS13" localSheetId="29">#REF!</definedName>
    <definedName name="______________BTS13">#REF!</definedName>
    <definedName name="______________BTS14" localSheetId="8">#REF!</definedName>
    <definedName name="______________BTS14" localSheetId="10">#REF!</definedName>
    <definedName name="______________BTS14" localSheetId="29">#REF!</definedName>
    <definedName name="______________BTS14">#REF!</definedName>
    <definedName name="______________BTS15" localSheetId="8">#REF!</definedName>
    <definedName name="______________BTS15" localSheetId="10">#REF!</definedName>
    <definedName name="______________BTS15" localSheetId="29">#REF!</definedName>
    <definedName name="______________BTS15">#REF!</definedName>
    <definedName name="______________BTS2" localSheetId="8">#REF!</definedName>
    <definedName name="______________BTS2" localSheetId="10">#REF!</definedName>
    <definedName name="______________BTS2" localSheetId="29">#REF!</definedName>
    <definedName name="______________BTS2">#REF!</definedName>
    <definedName name="______________BTS3" localSheetId="8">#REF!</definedName>
    <definedName name="______________BTS3" localSheetId="10">#REF!</definedName>
    <definedName name="______________BTS3" localSheetId="29">#REF!</definedName>
    <definedName name="______________BTS3">#REF!</definedName>
    <definedName name="______________BTS4" localSheetId="8">#REF!</definedName>
    <definedName name="______________BTS4" localSheetId="10">#REF!</definedName>
    <definedName name="______________BTS4" localSheetId="29">#REF!</definedName>
    <definedName name="______________BTS4">#REF!</definedName>
    <definedName name="______________BTS5" localSheetId="8">#REF!</definedName>
    <definedName name="______________BTS5" localSheetId="10">#REF!</definedName>
    <definedName name="______________BTS5" localSheetId="29">#REF!</definedName>
    <definedName name="______________BTS5">#REF!</definedName>
    <definedName name="______________BTS6" localSheetId="8">#REF!</definedName>
    <definedName name="______________BTS6" localSheetId="10">#REF!</definedName>
    <definedName name="______________BTS6" localSheetId="29">#REF!</definedName>
    <definedName name="______________BTS6">#REF!</definedName>
    <definedName name="______________BTS7" localSheetId="8">#REF!</definedName>
    <definedName name="______________BTS7" localSheetId="10">#REF!</definedName>
    <definedName name="______________BTS7" localSheetId="29">#REF!</definedName>
    <definedName name="______________BTS7">#REF!</definedName>
    <definedName name="______________BTS8" localSheetId="8">#REF!</definedName>
    <definedName name="______________BTS8" localSheetId="10">#REF!</definedName>
    <definedName name="______________BTS8" localSheetId="29">#REF!</definedName>
    <definedName name="______________BTS8">#REF!</definedName>
    <definedName name="______________BTS9" localSheetId="8">#REF!</definedName>
    <definedName name="______________BTS9" localSheetId="10">#REF!</definedName>
    <definedName name="______________BTS9" localSheetId="29">#REF!</definedName>
    <definedName name="______________BTS9">#REF!</definedName>
    <definedName name="______________can430">40.73</definedName>
    <definedName name="______________can435">43.3</definedName>
    <definedName name="______________cbr1">#REF!</definedName>
    <definedName name="______________cbr2">#REF!</definedName>
    <definedName name="______________cbr3">#REF!</definedName>
    <definedName name="______________cbr4">#REF!</definedName>
    <definedName name="______________er1">#REF!</definedName>
    <definedName name="______________ewe1" localSheetId="29">#REF!</definedName>
    <definedName name="______________f1">#REF!</definedName>
    <definedName name="______________GBS11" localSheetId="8">#REF!</definedName>
    <definedName name="______________GBS11" localSheetId="10">#REF!</definedName>
    <definedName name="______________GBS11" localSheetId="29">#REF!</definedName>
    <definedName name="______________GBS11">#REF!</definedName>
    <definedName name="______________GBS110" localSheetId="8">#REF!</definedName>
    <definedName name="______________GBS110" localSheetId="10">#REF!</definedName>
    <definedName name="______________GBS110" localSheetId="29">#REF!</definedName>
    <definedName name="______________GBS110">#REF!</definedName>
    <definedName name="______________GBS111" localSheetId="8">#REF!</definedName>
    <definedName name="______________GBS111" localSheetId="10">#REF!</definedName>
    <definedName name="______________GBS111" localSheetId="29">#REF!</definedName>
    <definedName name="______________GBS111">#REF!</definedName>
    <definedName name="______________GBS112" localSheetId="8">#REF!</definedName>
    <definedName name="______________GBS112" localSheetId="10">#REF!</definedName>
    <definedName name="______________GBS112" localSheetId="29">#REF!</definedName>
    <definedName name="______________GBS112">#REF!</definedName>
    <definedName name="______________GBS113" localSheetId="8">#REF!</definedName>
    <definedName name="______________GBS113" localSheetId="10">#REF!</definedName>
    <definedName name="______________GBS113" localSheetId="29">#REF!</definedName>
    <definedName name="______________GBS113">#REF!</definedName>
    <definedName name="______________GBS114" localSheetId="8">#REF!</definedName>
    <definedName name="______________GBS114" localSheetId="10">#REF!</definedName>
    <definedName name="______________GBS114" localSheetId="29">#REF!</definedName>
    <definedName name="______________GBS114">#REF!</definedName>
    <definedName name="______________GBS115" localSheetId="8">#REF!</definedName>
    <definedName name="______________GBS115" localSheetId="10">#REF!</definedName>
    <definedName name="______________GBS115" localSheetId="29">#REF!</definedName>
    <definedName name="______________GBS115">#REF!</definedName>
    <definedName name="______________GBS12" localSheetId="8">#REF!</definedName>
    <definedName name="______________GBS12" localSheetId="10">#REF!</definedName>
    <definedName name="______________GBS12" localSheetId="29">#REF!</definedName>
    <definedName name="______________GBS12">#REF!</definedName>
    <definedName name="______________GBS13" localSheetId="8">#REF!</definedName>
    <definedName name="______________GBS13" localSheetId="10">#REF!</definedName>
    <definedName name="______________GBS13" localSheetId="29">#REF!</definedName>
    <definedName name="______________GBS13">#REF!</definedName>
    <definedName name="______________GBS14" localSheetId="8">#REF!</definedName>
    <definedName name="______________GBS14" localSheetId="10">#REF!</definedName>
    <definedName name="______________GBS14" localSheetId="29">#REF!</definedName>
    <definedName name="______________GBS14">#REF!</definedName>
    <definedName name="______________GBS15" localSheetId="8">#REF!</definedName>
    <definedName name="______________GBS15" localSheetId="10">#REF!</definedName>
    <definedName name="______________GBS15" localSheetId="29">#REF!</definedName>
    <definedName name="______________GBS15">#REF!</definedName>
    <definedName name="______________GBS16" localSheetId="8">#REF!</definedName>
    <definedName name="______________GBS16" localSheetId="10">#REF!</definedName>
    <definedName name="______________GBS16" localSheetId="29">#REF!</definedName>
    <definedName name="______________GBS16">#REF!</definedName>
    <definedName name="______________GBS17" localSheetId="8">#REF!</definedName>
    <definedName name="______________GBS17" localSheetId="10">#REF!</definedName>
    <definedName name="______________GBS17" localSheetId="29">#REF!</definedName>
    <definedName name="______________GBS17">#REF!</definedName>
    <definedName name="______________GBS18" localSheetId="8">#REF!</definedName>
    <definedName name="______________GBS18" localSheetId="10">#REF!</definedName>
    <definedName name="______________GBS18" localSheetId="29">#REF!</definedName>
    <definedName name="______________GBS18">#REF!</definedName>
    <definedName name="______________GBS19" localSheetId="8">#REF!</definedName>
    <definedName name="______________GBS19" localSheetId="10">#REF!</definedName>
    <definedName name="______________GBS19" localSheetId="29">#REF!</definedName>
    <definedName name="______________GBS19">#REF!</definedName>
    <definedName name="______________GBS21" localSheetId="8">#REF!</definedName>
    <definedName name="______________GBS21" localSheetId="10">#REF!</definedName>
    <definedName name="______________GBS21" localSheetId="29">#REF!</definedName>
    <definedName name="______________GBS21">#REF!</definedName>
    <definedName name="______________GBS210" localSheetId="8">#REF!</definedName>
    <definedName name="______________GBS210" localSheetId="10">#REF!</definedName>
    <definedName name="______________GBS210" localSheetId="29">#REF!</definedName>
    <definedName name="______________GBS210">#REF!</definedName>
    <definedName name="______________GBS211" localSheetId="8">#REF!</definedName>
    <definedName name="______________GBS211" localSheetId="10">#REF!</definedName>
    <definedName name="______________GBS211" localSheetId="29">#REF!</definedName>
    <definedName name="______________GBS211">#REF!</definedName>
    <definedName name="______________GBS212" localSheetId="8">#REF!</definedName>
    <definedName name="______________GBS212" localSheetId="10">#REF!</definedName>
    <definedName name="______________GBS212" localSheetId="29">#REF!</definedName>
    <definedName name="______________GBS212">#REF!</definedName>
    <definedName name="______________GBS213" localSheetId="8">#REF!</definedName>
    <definedName name="______________GBS213" localSheetId="10">#REF!</definedName>
    <definedName name="______________GBS213" localSheetId="29">#REF!</definedName>
    <definedName name="______________GBS213">#REF!</definedName>
    <definedName name="______________GBS214" localSheetId="8">#REF!</definedName>
    <definedName name="______________GBS214" localSheetId="10">#REF!</definedName>
    <definedName name="______________GBS214" localSheetId="29">#REF!</definedName>
    <definedName name="______________GBS214">#REF!</definedName>
    <definedName name="______________GBS215" localSheetId="8">#REF!</definedName>
    <definedName name="______________GBS215" localSheetId="10">#REF!</definedName>
    <definedName name="______________GBS215" localSheetId="29">#REF!</definedName>
    <definedName name="______________GBS215">#REF!</definedName>
    <definedName name="______________GBS22" localSheetId="8">#REF!</definedName>
    <definedName name="______________GBS22" localSheetId="10">#REF!</definedName>
    <definedName name="______________GBS22" localSheetId="29">#REF!</definedName>
    <definedName name="______________GBS22">#REF!</definedName>
    <definedName name="______________GBS23" localSheetId="8">#REF!</definedName>
    <definedName name="______________GBS23" localSheetId="10">#REF!</definedName>
    <definedName name="______________GBS23" localSheetId="29">#REF!</definedName>
    <definedName name="______________GBS23">#REF!</definedName>
    <definedName name="______________GBS24" localSheetId="8">#REF!</definedName>
    <definedName name="______________GBS24" localSheetId="10">#REF!</definedName>
    <definedName name="______________GBS24" localSheetId="29">#REF!</definedName>
    <definedName name="______________GBS24">#REF!</definedName>
    <definedName name="______________GBS25" localSheetId="8">#REF!</definedName>
    <definedName name="______________GBS25" localSheetId="10">#REF!</definedName>
    <definedName name="______________GBS25" localSheetId="29">#REF!</definedName>
    <definedName name="______________GBS25">#REF!</definedName>
    <definedName name="______________GBS26" localSheetId="8">#REF!</definedName>
    <definedName name="______________GBS26" localSheetId="10">#REF!</definedName>
    <definedName name="______________GBS26" localSheetId="29">#REF!</definedName>
    <definedName name="______________GBS26">#REF!</definedName>
    <definedName name="______________GBS27" localSheetId="8">#REF!</definedName>
    <definedName name="______________GBS27" localSheetId="10">#REF!</definedName>
    <definedName name="______________GBS27" localSheetId="29">#REF!</definedName>
    <definedName name="______________GBS27">#REF!</definedName>
    <definedName name="______________GBS28" localSheetId="8">#REF!</definedName>
    <definedName name="______________GBS28" localSheetId="10">#REF!</definedName>
    <definedName name="______________GBS28" localSheetId="29">#REF!</definedName>
    <definedName name="______________GBS28">#REF!</definedName>
    <definedName name="______________GBS29" localSheetId="8">#REF!</definedName>
    <definedName name="______________GBS29" localSheetId="10">#REF!</definedName>
    <definedName name="______________GBS29" localSheetId="29">#REF!</definedName>
    <definedName name="______________GBS29">#REF!</definedName>
    <definedName name="______________gus1">#REF!</definedName>
    <definedName name="______________hpm1">#REF!</definedName>
    <definedName name="______________knr2" localSheetId="5">#REF!</definedName>
    <definedName name="______________knr2" localSheetId="14">#REF!</definedName>
    <definedName name="______________knr2" localSheetId="8">#REF!</definedName>
    <definedName name="______________knr2" localSheetId="10">#REF!</definedName>
    <definedName name="______________knr2" localSheetId="29">#REF!</definedName>
    <definedName name="______________knr2">#REF!</definedName>
    <definedName name="______________l12" localSheetId="21">#REF!</definedName>
    <definedName name="______________l12" localSheetId="5">#REF!</definedName>
    <definedName name="______________l12" localSheetId="8">#REF!</definedName>
    <definedName name="______________l12" localSheetId="10">#REF!</definedName>
    <definedName name="______________l12" localSheetId="11">#REF!</definedName>
    <definedName name="______________l12" localSheetId="29">#REF!</definedName>
    <definedName name="______________l12" localSheetId="31">#REF!</definedName>
    <definedName name="______________l12" localSheetId="35">#REF!</definedName>
    <definedName name="______________l12" localSheetId="36">#REF!</definedName>
    <definedName name="______________l12">#REF!</definedName>
    <definedName name="______________l3" localSheetId="21">#REF!</definedName>
    <definedName name="______________l3" localSheetId="5">#REF!</definedName>
    <definedName name="______________l3" localSheetId="8">#REF!</definedName>
    <definedName name="______________l3" localSheetId="10">#REF!</definedName>
    <definedName name="______________l3" localSheetId="11">#REF!</definedName>
    <definedName name="______________l3" localSheetId="29">#REF!</definedName>
    <definedName name="______________l3" localSheetId="31">#REF!</definedName>
    <definedName name="______________l3" localSheetId="35">#REF!</definedName>
    <definedName name="______________l3" localSheetId="36">#REF!</definedName>
    <definedName name="______________l3">#REF!</definedName>
    <definedName name="______________l5" localSheetId="21">#REF!</definedName>
    <definedName name="______________l5" localSheetId="5">#REF!</definedName>
    <definedName name="______________l5" localSheetId="8">#REF!</definedName>
    <definedName name="______________l5" localSheetId="10">#REF!</definedName>
    <definedName name="______________l5" localSheetId="11">#REF!</definedName>
    <definedName name="______________l5" localSheetId="29">#REF!</definedName>
    <definedName name="______________l5" localSheetId="31">#REF!</definedName>
    <definedName name="______________l5" localSheetId="35">#REF!</definedName>
    <definedName name="______________l5" localSheetId="36">#REF!</definedName>
    <definedName name="______________l5">#REF!</definedName>
    <definedName name="______________lcn1">#REF!</definedName>
    <definedName name="______________LI9" localSheetId="8">#REF!</definedName>
    <definedName name="______________LI9" localSheetId="10">#REF!</definedName>
    <definedName name="______________LI9" localSheetId="29">#REF!</definedName>
    <definedName name="______________LI9">#REF!</definedName>
    <definedName name="______________LII9" localSheetId="8">#REF!</definedName>
    <definedName name="______________LII9" localSheetId="10">#REF!</definedName>
    <definedName name="______________LII9" localSheetId="29">#REF!</definedName>
    <definedName name="______________LII9">#REF!</definedName>
    <definedName name="______________lm1" localSheetId="29">#REF!</definedName>
    <definedName name="______________ML11" localSheetId="8">#REF!</definedName>
    <definedName name="______________ML11" localSheetId="10">#REF!</definedName>
    <definedName name="______________ML11" localSheetId="29">#REF!</definedName>
    <definedName name="______________ML11">#REF!</definedName>
    <definedName name="______________ML110" localSheetId="8">#REF!</definedName>
    <definedName name="______________ML110" localSheetId="10">#REF!</definedName>
    <definedName name="______________ML110" localSheetId="29">#REF!</definedName>
    <definedName name="______________ML110">#REF!</definedName>
    <definedName name="______________ML111" localSheetId="8">#REF!</definedName>
    <definedName name="______________ML111" localSheetId="10">#REF!</definedName>
    <definedName name="______________ML111" localSheetId="29">#REF!</definedName>
    <definedName name="______________ML111">#REF!</definedName>
    <definedName name="______________ML112" localSheetId="8">#REF!</definedName>
    <definedName name="______________ML112" localSheetId="10">#REF!</definedName>
    <definedName name="______________ML112" localSheetId="29">#REF!</definedName>
    <definedName name="______________ML112">#REF!</definedName>
    <definedName name="______________ML113" localSheetId="8">#REF!</definedName>
    <definedName name="______________ML113" localSheetId="10">#REF!</definedName>
    <definedName name="______________ML113" localSheetId="29">#REF!</definedName>
    <definedName name="______________ML113">#REF!</definedName>
    <definedName name="______________ML114" localSheetId="8">#REF!</definedName>
    <definedName name="______________ML114" localSheetId="10">#REF!</definedName>
    <definedName name="______________ML114" localSheetId="29">#REF!</definedName>
    <definedName name="______________ML114">#REF!</definedName>
    <definedName name="______________ML115" localSheetId="8">#REF!</definedName>
    <definedName name="______________ML115" localSheetId="10">#REF!</definedName>
    <definedName name="______________ML115" localSheetId="29">#REF!</definedName>
    <definedName name="______________ML115">#REF!</definedName>
    <definedName name="______________ML12" localSheetId="8">#REF!</definedName>
    <definedName name="______________ML12" localSheetId="10">#REF!</definedName>
    <definedName name="______________ML12" localSheetId="29">#REF!</definedName>
    <definedName name="______________ML12">#REF!</definedName>
    <definedName name="______________ML13" localSheetId="8">#REF!</definedName>
    <definedName name="______________ML13" localSheetId="10">#REF!</definedName>
    <definedName name="______________ML13" localSheetId="29">#REF!</definedName>
    <definedName name="______________ML13">#REF!</definedName>
    <definedName name="______________ML14" localSheetId="8">#REF!</definedName>
    <definedName name="______________ML14" localSheetId="10">#REF!</definedName>
    <definedName name="______________ML14" localSheetId="29">#REF!</definedName>
    <definedName name="______________ML14">#REF!</definedName>
    <definedName name="______________ML15" localSheetId="8">#REF!</definedName>
    <definedName name="______________ML15" localSheetId="10">#REF!</definedName>
    <definedName name="______________ML15" localSheetId="29">#REF!</definedName>
    <definedName name="______________ML15">#REF!</definedName>
    <definedName name="______________ML16" localSheetId="8">#REF!</definedName>
    <definedName name="______________ML16" localSheetId="10">#REF!</definedName>
    <definedName name="______________ML16" localSheetId="29">#REF!</definedName>
    <definedName name="______________ML16">#REF!</definedName>
    <definedName name="______________ML17" localSheetId="8">#REF!</definedName>
    <definedName name="______________ML17" localSheetId="10">#REF!</definedName>
    <definedName name="______________ML17" localSheetId="29">#REF!</definedName>
    <definedName name="______________ML17">#REF!</definedName>
    <definedName name="______________ML18" localSheetId="8">#REF!</definedName>
    <definedName name="______________ML18" localSheetId="10">#REF!</definedName>
    <definedName name="______________ML18" localSheetId="29">#REF!</definedName>
    <definedName name="______________ML18">#REF!</definedName>
    <definedName name="______________ML19" localSheetId="8">#REF!</definedName>
    <definedName name="______________ML19" localSheetId="10">#REF!</definedName>
    <definedName name="______________ML19" localSheetId="29">#REF!</definedName>
    <definedName name="______________ML19">#REF!</definedName>
    <definedName name="______________ML21" localSheetId="8">#REF!</definedName>
    <definedName name="______________ML21" localSheetId="10">#REF!</definedName>
    <definedName name="______________ML21" localSheetId="29">#REF!</definedName>
    <definedName name="______________ML21">#REF!</definedName>
    <definedName name="______________ML210" localSheetId="8">#REF!</definedName>
    <definedName name="______________ML210" localSheetId="10">#REF!</definedName>
    <definedName name="______________ML210" localSheetId="29">#REF!</definedName>
    <definedName name="______________ML210">#REF!</definedName>
    <definedName name="______________ML211" localSheetId="8">#REF!</definedName>
    <definedName name="______________ML211" localSheetId="10">#REF!</definedName>
    <definedName name="______________ML211" localSheetId="29">#REF!</definedName>
    <definedName name="______________ML211">#REF!</definedName>
    <definedName name="______________ML212" localSheetId="8">#REF!</definedName>
    <definedName name="______________ML212" localSheetId="10">#REF!</definedName>
    <definedName name="______________ML212" localSheetId="29">#REF!</definedName>
    <definedName name="______________ML212">#REF!</definedName>
    <definedName name="______________ML213" localSheetId="8">#REF!</definedName>
    <definedName name="______________ML213" localSheetId="10">#REF!</definedName>
    <definedName name="______________ML213" localSheetId="29">#REF!</definedName>
    <definedName name="______________ML213">#REF!</definedName>
    <definedName name="______________ML214" localSheetId="8">#REF!</definedName>
    <definedName name="______________ML214" localSheetId="10">#REF!</definedName>
    <definedName name="______________ML214" localSheetId="29">#REF!</definedName>
    <definedName name="______________ML214">#REF!</definedName>
    <definedName name="______________ML215" localSheetId="8">#REF!</definedName>
    <definedName name="______________ML215" localSheetId="10">#REF!</definedName>
    <definedName name="______________ML215" localSheetId="29">#REF!</definedName>
    <definedName name="______________ML215">#REF!</definedName>
    <definedName name="______________ML22" localSheetId="8">#REF!</definedName>
    <definedName name="______________ML22" localSheetId="10">#REF!</definedName>
    <definedName name="______________ML22" localSheetId="29">#REF!</definedName>
    <definedName name="______________ML22">#REF!</definedName>
    <definedName name="______________ML23" localSheetId="8">#REF!</definedName>
    <definedName name="______________ML23" localSheetId="10">#REF!</definedName>
    <definedName name="______________ML23" localSheetId="29">#REF!</definedName>
    <definedName name="______________ML23">#REF!</definedName>
    <definedName name="______________ML24" localSheetId="8">#REF!</definedName>
    <definedName name="______________ML24" localSheetId="10">#REF!</definedName>
    <definedName name="______________ML24" localSheetId="29">#REF!</definedName>
    <definedName name="______________ML24">#REF!</definedName>
    <definedName name="______________ML25" localSheetId="8">#REF!</definedName>
    <definedName name="______________ML25" localSheetId="10">#REF!</definedName>
    <definedName name="______________ML25" localSheetId="29">#REF!</definedName>
    <definedName name="______________ML25">#REF!</definedName>
    <definedName name="______________ML26" localSheetId="8">#REF!</definedName>
    <definedName name="______________ML26" localSheetId="10">#REF!</definedName>
    <definedName name="______________ML26" localSheetId="29">#REF!</definedName>
    <definedName name="______________ML26">#REF!</definedName>
    <definedName name="______________ML27" localSheetId="8">#REF!</definedName>
    <definedName name="______________ML27" localSheetId="10">#REF!</definedName>
    <definedName name="______________ML27" localSheetId="29">#REF!</definedName>
    <definedName name="______________ML27">#REF!</definedName>
    <definedName name="______________ML28" localSheetId="8">#REF!</definedName>
    <definedName name="______________ML28" localSheetId="10">#REF!</definedName>
    <definedName name="______________ML28" localSheetId="29">#REF!</definedName>
    <definedName name="______________ML28">#REF!</definedName>
    <definedName name="______________ML29" localSheetId="8">#REF!</definedName>
    <definedName name="______________ML29" localSheetId="10">#REF!</definedName>
    <definedName name="______________ML29" localSheetId="29">#REF!</definedName>
    <definedName name="______________ML29">#REF!</definedName>
    <definedName name="______________ML31" localSheetId="8">#REF!</definedName>
    <definedName name="______________ML31" localSheetId="10">#REF!</definedName>
    <definedName name="______________ML31" localSheetId="29">#REF!</definedName>
    <definedName name="______________ML31">#REF!</definedName>
    <definedName name="______________ML310" localSheetId="8">#REF!</definedName>
    <definedName name="______________ML310" localSheetId="10">#REF!</definedName>
    <definedName name="______________ML310" localSheetId="29">#REF!</definedName>
    <definedName name="______________ML310">#REF!</definedName>
    <definedName name="______________ML311" localSheetId="8">#REF!</definedName>
    <definedName name="______________ML311" localSheetId="10">#REF!</definedName>
    <definedName name="______________ML311" localSheetId="29">#REF!</definedName>
    <definedName name="______________ML311">#REF!</definedName>
    <definedName name="______________ML312" localSheetId="8">#REF!</definedName>
    <definedName name="______________ML312" localSheetId="10">#REF!</definedName>
    <definedName name="______________ML312" localSheetId="29">#REF!</definedName>
    <definedName name="______________ML312">#REF!</definedName>
    <definedName name="______________ML313" localSheetId="8">#REF!</definedName>
    <definedName name="______________ML313" localSheetId="10">#REF!</definedName>
    <definedName name="______________ML313" localSheetId="29">#REF!</definedName>
    <definedName name="______________ML313">#REF!</definedName>
    <definedName name="______________ML314" localSheetId="8">#REF!</definedName>
    <definedName name="______________ML314" localSheetId="10">#REF!</definedName>
    <definedName name="______________ML314" localSheetId="29">#REF!</definedName>
    <definedName name="______________ML314">#REF!</definedName>
    <definedName name="______________ML315" localSheetId="8">#REF!</definedName>
    <definedName name="______________ML315" localSheetId="10">#REF!</definedName>
    <definedName name="______________ML315" localSheetId="29">#REF!</definedName>
    <definedName name="______________ML315">#REF!</definedName>
    <definedName name="______________ML32" localSheetId="8">#REF!</definedName>
    <definedName name="______________ML32" localSheetId="10">#REF!</definedName>
    <definedName name="______________ML32" localSheetId="29">#REF!</definedName>
    <definedName name="______________ML32">#REF!</definedName>
    <definedName name="______________ML33" localSheetId="8">#REF!</definedName>
    <definedName name="______________ML33" localSheetId="10">#REF!</definedName>
    <definedName name="______________ML33" localSheetId="29">#REF!</definedName>
    <definedName name="______________ML33">#REF!</definedName>
    <definedName name="______________ML34" localSheetId="8">#REF!</definedName>
    <definedName name="______________ML34" localSheetId="10">#REF!</definedName>
    <definedName name="______________ML34" localSheetId="29">#REF!</definedName>
    <definedName name="______________ML34">#REF!</definedName>
    <definedName name="______________ML35" localSheetId="8">#REF!</definedName>
    <definedName name="______________ML35" localSheetId="10">#REF!</definedName>
    <definedName name="______________ML35" localSheetId="29">#REF!</definedName>
    <definedName name="______________ML35">#REF!</definedName>
    <definedName name="______________ML36" localSheetId="8">#REF!</definedName>
    <definedName name="______________ML36" localSheetId="10">#REF!</definedName>
    <definedName name="______________ML36" localSheetId="29">#REF!</definedName>
    <definedName name="______________ML36">#REF!</definedName>
    <definedName name="______________ML37" localSheetId="8">#REF!</definedName>
    <definedName name="______________ML37" localSheetId="10">#REF!</definedName>
    <definedName name="______________ML37" localSheetId="29">#REF!</definedName>
    <definedName name="______________ML37">#REF!</definedName>
    <definedName name="______________ML38" localSheetId="8">#REF!</definedName>
    <definedName name="______________ML38" localSheetId="10">#REF!</definedName>
    <definedName name="______________ML38" localSheetId="29">#REF!</definedName>
    <definedName name="______________ML38">#REF!</definedName>
    <definedName name="______________ML39" localSheetId="8">#REF!</definedName>
    <definedName name="______________ML39" localSheetId="10">#REF!</definedName>
    <definedName name="______________ML39" localSheetId="29">#REF!</definedName>
    <definedName name="______________ML39">#REF!</definedName>
    <definedName name="______________ML7" localSheetId="8">#REF!</definedName>
    <definedName name="______________ML7" localSheetId="10">#REF!</definedName>
    <definedName name="______________ML7" localSheetId="29">#REF!</definedName>
    <definedName name="______________ML7">#REF!</definedName>
    <definedName name="______________ML8" localSheetId="8">#REF!</definedName>
    <definedName name="______________ML8" localSheetId="10">#REF!</definedName>
    <definedName name="______________ML8" localSheetId="29">#REF!</definedName>
    <definedName name="______________ML8">#REF!</definedName>
    <definedName name="______________ML9" localSheetId="8">#REF!</definedName>
    <definedName name="______________ML9" localSheetId="10">#REF!</definedName>
    <definedName name="______________ML9" localSheetId="29">#REF!</definedName>
    <definedName name="______________ML9">#REF!</definedName>
    <definedName name="______________mm20" localSheetId="29">#REF!</definedName>
    <definedName name="______________mm40">#REF!</definedName>
    <definedName name="______________pc2" localSheetId="21">#REF!</definedName>
    <definedName name="______________pc2" localSheetId="5">#REF!</definedName>
    <definedName name="______________pc2" localSheetId="8">#REF!</definedName>
    <definedName name="______________pc2" localSheetId="10">#REF!</definedName>
    <definedName name="______________pc2" localSheetId="11">#REF!</definedName>
    <definedName name="______________pc2" localSheetId="29">#REF!</definedName>
    <definedName name="______________pc2" localSheetId="31">#REF!</definedName>
    <definedName name="______________pc2" localSheetId="35">#REF!</definedName>
    <definedName name="______________pc2" localSheetId="36">#REF!</definedName>
    <definedName name="______________pc2">#REF!</definedName>
    <definedName name="______________PMS2" localSheetId="8">#REF!</definedName>
    <definedName name="______________PMS2" localSheetId="10">#REF!</definedName>
    <definedName name="______________PMS2" localSheetId="29">#REF!</definedName>
    <definedName name="______________PMS2">#REF!</definedName>
    <definedName name="______________pv2" localSheetId="21">#REF!</definedName>
    <definedName name="______________pv2" localSheetId="5">#REF!</definedName>
    <definedName name="______________pv2" localSheetId="8">#REF!</definedName>
    <definedName name="______________pv2" localSheetId="10">#REF!</definedName>
    <definedName name="______________pv2" localSheetId="11">#REF!</definedName>
    <definedName name="______________pv2" localSheetId="29">#REF!</definedName>
    <definedName name="______________pv2" localSheetId="31">#REF!</definedName>
    <definedName name="______________pv2" localSheetId="35">#REF!</definedName>
    <definedName name="______________pv2" localSheetId="36">#REF!</definedName>
    <definedName name="______________pv2">#REF!</definedName>
    <definedName name="______________sw1" localSheetId="29">#REF!</definedName>
    <definedName name="______________us1">#REF!</definedName>
    <definedName name="______________var1" localSheetId="21">#REF!</definedName>
    <definedName name="______________var1" localSheetId="5">#REF!</definedName>
    <definedName name="______________var1" localSheetId="8">#REF!</definedName>
    <definedName name="______________var1" localSheetId="10">#REF!</definedName>
    <definedName name="______________var1" localSheetId="11">#REF!</definedName>
    <definedName name="______________var1" localSheetId="29">#REF!</definedName>
    <definedName name="______________var1" localSheetId="31">#REF!</definedName>
    <definedName name="______________var1" localSheetId="35">#REF!</definedName>
    <definedName name="______________var1" localSheetId="36">#REF!</definedName>
    <definedName name="______________var1">#REF!</definedName>
    <definedName name="______________var4" localSheetId="21">#REF!</definedName>
    <definedName name="______________var4" localSheetId="5">#REF!</definedName>
    <definedName name="______________var4" localSheetId="8">#REF!</definedName>
    <definedName name="______________var4" localSheetId="10">#REF!</definedName>
    <definedName name="______________var4" localSheetId="11">#REF!</definedName>
    <definedName name="______________var4" localSheetId="29">#REF!</definedName>
    <definedName name="______________var4" localSheetId="31">#REF!</definedName>
    <definedName name="______________var4" localSheetId="35">#REF!</definedName>
    <definedName name="______________var4" localSheetId="36">#REF!</definedName>
    <definedName name="______________var4">#REF!</definedName>
    <definedName name="______________vat1">#REF!</definedName>
    <definedName name="______________vat2">#REF!</definedName>
    <definedName name="______________xlfn_BAHTTEXT">#N/A</definedName>
    <definedName name="_____________abs1" localSheetId="8">#REF!</definedName>
    <definedName name="_____________abs1" localSheetId="10">#REF!</definedName>
    <definedName name="_____________abs1" localSheetId="29">#REF!</definedName>
    <definedName name="_____________abs1">#REF!</definedName>
    <definedName name="_____________AUX1" localSheetId="29">#REF!</definedName>
    <definedName name="_____________aux2" localSheetId="29">#REF!</definedName>
    <definedName name="_____________AUX3">#REF!</definedName>
    <definedName name="_____________BSG100" localSheetId="8">#REF!</definedName>
    <definedName name="_____________BSG100" localSheetId="10">#REF!</definedName>
    <definedName name="_____________BSG100" localSheetId="29">#REF!</definedName>
    <definedName name="_____________BSG100">#REF!</definedName>
    <definedName name="_____________BSG150" localSheetId="8">#REF!</definedName>
    <definedName name="_____________BSG150" localSheetId="10">#REF!</definedName>
    <definedName name="_____________BSG150" localSheetId="29">#REF!</definedName>
    <definedName name="_____________BSG150">#REF!</definedName>
    <definedName name="_____________BSG5" localSheetId="8">#REF!</definedName>
    <definedName name="_____________BSG5" localSheetId="10">#REF!</definedName>
    <definedName name="_____________BSG5" localSheetId="29">#REF!</definedName>
    <definedName name="_____________BSG5">#REF!</definedName>
    <definedName name="_____________BSG75" localSheetId="8">#REF!</definedName>
    <definedName name="_____________BSG75" localSheetId="10">#REF!</definedName>
    <definedName name="_____________BSG75" localSheetId="29">#REF!</definedName>
    <definedName name="_____________BSG75">#REF!</definedName>
    <definedName name="_____________BTC1" localSheetId="8">#REF!</definedName>
    <definedName name="_____________BTC1" localSheetId="10">#REF!</definedName>
    <definedName name="_____________BTC1" localSheetId="29">#REF!</definedName>
    <definedName name="_____________BTC1">#REF!</definedName>
    <definedName name="_____________BTC10" localSheetId="8">#REF!</definedName>
    <definedName name="_____________BTC10" localSheetId="10">#REF!</definedName>
    <definedName name="_____________BTC10" localSheetId="29">#REF!</definedName>
    <definedName name="_____________BTC10">#REF!</definedName>
    <definedName name="_____________BTC11" localSheetId="8">#REF!</definedName>
    <definedName name="_____________BTC11" localSheetId="10">#REF!</definedName>
    <definedName name="_____________BTC11" localSheetId="29">#REF!</definedName>
    <definedName name="_____________BTC11">#REF!</definedName>
    <definedName name="_____________BTC12" localSheetId="8">#REF!</definedName>
    <definedName name="_____________BTC12" localSheetId="10">#REF!</definedName>
    <definedName name="_____________BTC12" localSheetId="29">#REF!</definedName>
    <definedName name="_____________BTC12">#REF!</definedName>
    <definedName name="_____________BTC13" localSheetId="8">#REF!</definedName>
    <definedName name="_____________BTC13" localSheetId="10">#REF!</definedName>
    <definedName name="_____________BTC13" localSheetId="29">#REF!</definedName>
    <definedName name="_____________BTC13">#REF!</definedName>
    <definedName name="_____________BTC14" localSheetId="8">#REF!</definedName>
    <definedName name="_____________BTC14" localSheetId="10">#REF!</definedName>
    <definedName name="_____________BTC14" localSheetId="29">#REF!</definedName>
    <definedName name="_____________BTC14">#REF!</definedName>
    <definedName name="_____________BTC15" localSheetId="8">#REF!</definedName>
    <definedName name="_____________BTC15" localSheetId="10">#REF!</definedName>
    <definedName name="_____________BTC15" localSheetId="29">#REF!</definedName>
    <definedName name="_____________BTC15">#REF!</definedName>
    <definedName name="_____________BTC2" localSheetId="8">#REF!</definedName>
    <definedName name="_____________BTC2" localSheetId="10">#REF!</definedName>
    <definedName name="_____________BTC2" localSheetId="29">#REF!</definedName>
    <definedName name="_____________BTC2">#REF!</definedName>
    <definedName name="_____________BTC3" localSheetId="8">#REF!</definedName>
    <definedName name="_____________BTC3" localSheetId="10">#REF!</definedName>
    <definedName name="_____________BTC3" localSheetId="29">#REF!</definedName>
    <definedName name="_____________BTC3">#REF!</definedName>
    <definedName name="_____________BTC4" localSheetId="8">#REF!</definedName>
    <definedName name="_____________BTC4" localSheetId="10">#REF!</definedName>
    <definedName name="_____________BTC4" localSheetId="29">#REF!</definedName>
    <definedName name="_____________BTC4">#REF!</definedName>
    <definedName name="_____________BTC5" localSheetId="8">#REF!</definedName>
    <definedName name="_____________BTC5" localSheetId="10">#REF!</definedName>
    <definedName name="_____________BTC5" localSheetId="29">#REF!</definedName>
    <definedName name="_____________BTC5">#REF!</definedName>
    <definedName name="_____________BTC6" localSheetId="8">#REF!</definedName>
    <definedName name="_____________BTC6" localSheetId="10">#REF!</definedName>
    <definedName name="_____________BTC6" localSheetId="29">#REF!</definedName>
    <definedName name="_____________BTC6">#REF!</definedName>
    <definedName name="_____________BTC7" localSheetId="8">#REF!</definedName>
    <definedName name="_____________BTC7" localSheetId="10">#REF!</definedName>
    <definedName name="_____________BTC7" localSheetId="29">#REF!</definedName>
    <definedName name="_____________BTC7">#REF!</definedName>
    <definedName name="_____________BTC8" localSheetId="8">#REF!</definedName>
    <definedName name="_____________BTC8" localSheetId="10">#REF!</definedName>
    <definedName name="_____________BTC8" localSheetId="29">#REF!</definedName>
    <definedName name="_____________BTC8">#REF!</definedName>
    <definedName name="_____________BTC9" localSheetId="8">#REF!</definedName>
    <definedName name="_____________BTC9" localSheetId="10">#REF!</definedName>
    <definedName name="_____________BTC9" localSheetId="29">#REF!</definedName>
    <definedName name="_____________BTC9">#REF!</definedName>
    <definedName name="_____________BTS1" localSheetId="8">#REF!</definedName>
    <definedName name="_____________BTS1" localSheetId="10">#REF!</definedName>
    <definedName name="_____________BTS1" localSheetId="29">#REF!</definedName>
    <definedName name="_____________BTS1">#REF!</definedName>
    <definedName name="_____________BTS10" localSheetId="8">#REF!</definedName>
    <definedName name="_____________BTS10" localSheetId="10">#REF!</definedName>
    <definedName name="_____________BTS10" localSheetId="29">#REF!</definedName>
    <definedName name="_____________BTS10">#REF!</definedName>
    <definedName name="_____________BTS11" localSheetId="8">#REF!</definedName>
    <definedName name="_____________BTS11" localSheetId="10">#REF!</definedName>
    <definedName name="_____________BTS11" localSheetId="29">#REF!</definedName>
    <definedName name="_____________BTS11">#REF!</definedName>
    <definedName name="_____________BTS12" localSheetId="8">#REF!</definedName>
    <definedName name="_____________BTS12" localSheetId="10">#REF!</definedName>
    <definedName name="_____________BTS12" localSheetId="29">#REF!</definedName>
    <definedName name="_____________BTS12">#REF!</definedName>
    <definedName name="_____________BTS13" localSheetId="8">#REF!</definedName>
    <definedName name="_____________BTS13" localSheetId="10">#REF!</definedName>
    <definedName name="_____________BTS13" localSheetId="29">#REF!</definedName>
    <definedName name="_____________BTS13">#REF!</definedName>
    <definedName name="_____________BTS14" localSheetId="8">#REF!</definedName>
    <definedName name="_____________BTS14" localSheetId="10">#REF!</definedName>
    <definedName name="_____________BTS14" localSheetId="29">#REF!</definedName>
    <definedName name="_____________BTS14">#REF!</definedName>
    <definedName name="_____________BTS15" localSheetId="8">#REF!</definedName>
    <definedName name="_____________BTS15" localSheetId="10">#REF!</definedName>
    <definedName name="_____________BTS15" localSheetId="29">#REF!</definedName>
    <definedName name="_____________BTS15">#REF!</definedName>
    <definedName name="_____________BTS2" localSheetId="8">#REF!</definedName>
    <definedName name="_____________BTS2" localSheetId="10">#REF!</definedName>
    <definedName name="_____________BTS2" localSheetId="29">#REF!</definedName>
    <definedName name="_____________BTS2">#REF!</definedName>
    <definedName name="_____________BTS3" localSheetId="8">#REF!</definedName>
    <definedName name="_____________BTS3" localSheetId="10">#REF!</definedName>
    <definedName name="_____________BTS3" localSheetId="29">#REF!</definedName>
    <definedName name="_____________BTS3">#REF!</definedName>
    <definedName name="_____________BTS4" localSheetId="8">#REF!</definedName>
    <definedName name="_____________BTS4" localSheetId="10">#REF!</definedName>
    <definedName name="_____________BTS4" localSheetId="29">#REF!</definedName>
    <definedName name="_____________BTS4">#REF!</definedName>
    <definedName name="_____________BTS5" localSheetId="8">#REF!</definedName>
    <definedName name="_____________BTS5" localSheetId="10">#REF!</definedName>
    <definedName name="_____________BTS5" localSheetId="29">#REF!</definedName>
    <definedName name="_____________BTS5">#REF!</definedName>
    <definedName name="_____________BTS6" localSheetId="8">#REF!</definedName>
    <definedName name="_____________BTS6" localSheetId="10">#REF!</definedName>
    <definedName name="_____________BTS6" localSheetId="29">#REF!</definedName>
    <definedName name="_____________BTS6">#REF!</definedName>
    <definedName name="_____________BTS7" localSheetId="8">#REF!</definedName>
    <definedName name="_____________BTS7" localSheetId="10">#REF!</definedName>
    <definedName name="_____________BTS7" localSheetId="29">#REF!</definedName>
    <definedName name="_____________BTS7">#REF!</definedName>
    <definedName name="_____________BTS8" localSheetId="8">#REF!</definedName>
    <definedName name="_____________BTS8" localSheetId="10">#REF!</definedName>
    <definedName name="_____________BTS8" localSheetId="29">#REF!</definedName>
    <definedName name="_____________BTS8">#REF!</definedName>
    <definedName name="_____________BTS9" localSheetId="8">#REF!</definedName>
    <definedName name="_____________BTS9" localSheetId="10">#REF!</definedName>
    <definedName name="_____________BTS9" localSheetId="29">#REF!</definedName>
    <definedName name="_____________BTS9">#REF!</definedName>
    <definedName name="_____________can430">40.73</definedName>
    <definedName name="_____________can435">43.3</definedName>
    <definedName name="_____________cbr1">#REF!</definedName>
    <definedName name="_____________cbr2">#REF!</definedName>
    <definedName name="_____________cbr3">#REF!</definedName>
    <definedName name="_____________cbr4">#REF!</definedName>
    <definedName name="_____________er1">#REF!</definedName>
    <definedName name="_____________ewe1" localSheetId="29">#REF!</definedName>
    <definedName name="_____________f1">#REF!</definedName>
    <definedName name="_____________GBS11" localSheetId="8">#REF!</definedName>
    <definedName name="_____________GBS11" localSheetId="10">#REF!</definedName>
    <definedName name="_____________GBS11" localSheetId="29">#REF!</definedName>
    <definedName name="_____________GBS11">#REF!</definedName>
    <definedName name="_____________GBS110" localSheetId="8">#REF!</definedName>
    <definedName name="_____________GBS110" localSheetId="10">#REF!</definedName>
    <definedName name="_____________GBS110" localSheetId="29">#REF!</definedName>
    <definedName name="_____________GBS110">#REF!</definedName>
    <definedName name="_____________GBS111" localSheetId="8">#REF!</definedName>
    <definedName name="_____________GBS111" localSheetId="10">#REF!</definedName>
    <definedName name="_____________GBS111" localSheetId="29">#REF!</definedName>
    <definedName name="_____________GBS111">#REF!</definedName>
    <definedName name="_____________GBS112" localSheetId="8">#REF!</definedName>
    <definedName name="_____________GBS112" localSheetId="10">#REF!</definedName>
    <definedName name="_____________GBS112" localSheetId="29">#REF!</definedName>
    <definedName name="_____________GBS112">#REF!</definedName>
    <definedName name="_____________GBS113" localSheetId="8">#REF!</definedName>
    <definedName name="_____________GBS113" localSheetId="10">#REF!</definedName>
    <definedName name="_____________GBS113" localSheetId="29">#REF!</definedName>
    <definedName name="_____________GBS113">#REF!</definedName>
    <definedName name="_____________GBS114" localSheetId="8">#REF!</definedName>
    <definedName name="_____________GBS114" localSheetId="10">#REF!</definedName>
    <definedName name="_____________GBS114" localSheetId="29">#REF!</definedName>
    <definedName name="_____________GBS114">#REF!</definedName>
    <definedName name="_____________GBS115" localSheetId="8">#REF!</definedName>
    <definedName name="_____________GBS115" localSheetId="10">#REF!</definedName>
    <definedName name="_____________GBS115" localSheetId="29">#REF!</definedName>
    <definedName name="_____________GBS115">#REF!</definedName>
    <definedName name="_____________GBS12" localSheetId="8">#REF!</definedName>
    <definedName name="_____________GBS12" localSheetId="10">#REF!</definedName>
    <definedName name="_____________GBS12" localSheetId="29">#REF!</definedName>
    <definedName name="_____________GBS12">#REF!</definedName>
    <definedName name="_____________GBS13" localSheetId="8">#REF!</definedName>
    <definedName name="_____________GBS13" localSheetId="10">#REF!</definedName>
    <definedName name="_____________GBS13" localSheetId="29">#REF!</definedName>
    <definedName name="_____________GBS13">#REF!</definedName>
    <definedName name="_____________GBS14" localSheetId="8">#REF!</definedName>
    <definedName name="_____________GBS14" localSheetId="10">#REF!</definedName>
    <definedName name="_____________GBS14" localSheetId="29">#REF!</definedName>
    <definedName name="_____________GBS14">#REF!</definedName>
    <definedName name="_____________GBS15" localSheetId="8">#REF!</definedName>
    <definedName name="_____________GBS15" localSheetId="10">#REF!</definedName>
    <definedName name="_____________GBS15" localSheetId="29">#REF!</definedName>
    <definedName name="_____________GBS15">#REF!</definedName>
    <definedName name="_____________GBS16" localSheetId="8">#REF!</definedName>
    <definedName name="_____________GBS16" localSheetId="10">#REF!</definedName>
    <definedName name="_____________GBS16" localSheetId="29">#REF!</definedName>
    <definedName name="_____________GBS16">#REF!</definedName>
    <definedName name="_____________GBS17" localSheetId="8">#REF!</definedName>
    <definedName name="_____________GBS17" localSheetId="10">#REF!</definedName>
    <definedName name="_____________GBS17" localSheetId="29">#REF!</definedName>
    <definedName name="_____________GBS17">#REF!</definedName>
    <definedName name="_____________GBS18" localSheetId="8">#REF!</definedName>
    <definedName name="_____________GBS18" localSheetId="10">#REF!</definedName>
    <definedName name="_____________GBS18" localSheetId="29">#REF!</definedName>
    <definedName name="_____________GBS18">#REF!</definedName>
    <definedName name="_____________GBS19" localSheetId="8">#REF!</definedName>
    <definedName name="_____________GBS19" localSheetId="10">#REF!</definedName>
    <definedName name="_____________GBS19" localSheetId="29">#REF!</definedName>
    <definedName name="_____________GBS19">#REF!</definedName>
    <definedName name="_____________GBS21" localSheetId="8">#REF!</definedName>
    <definedName name="_____________GBS21" localSheetId="10">#REF!</definedName>
    <definedName name="_____________GBS21" localSheetId="29">#REF!</definedName>
    <definedName name="_____________GBS21">#REF!</definedName>
    <definedName name="_____________GBS210" localSheetId="8">#REF!</definedName>
    <definedName name="_____________GBS210" localSheetId="10">#REF!</definedName>
    <definedName name="_____________GBS210" localSheetId="29">#REF!</definedName>
    <definedName name="_____________GBS210">#REF!</definedName>
    <definedName name="_____________GBS211" localSheetId="8">#REF!</definedName>
    <definedName name="_____________GBS211" localSheetId="10">#REF!</definedName>
    <definedName name="_____________GBS211" localSheetId="29">#REF!</definedName>
    <definedName name="_____________GBS211">#REF!</definedName>
    <definedName name="_____________GBS212" localSheetId="8">#REF!</definedName>
    <definedName name="_____________GBS212" localSheetId="10">#REF!</definedName>
    <definedName name="_____________GBS212" localSheetId="29">#REF!</definedName>
    <definedName name="_____________GBS212">#REF!</definedName>
    <definedName name="_____________GBS213" localSheetId="8">#REF!</definedName>
    <definedName name="_____________GBS213" localSheetId="10">#REF!</definedName>
    <definedName name="_____________GBS213" localSheetId="29">#REF!</definedName>
    <definedName name="_____________GBS213">#REF!</definedName>
    <definedName name="_____________GBS214" localSheetId="8">#REF!</definedName>
    <definedName name="_____________GBS214" localSheetId="10">#REF!</definedName>
    <definedName name="_____________GBS214" localSheetId="29">#REF!</definedName>
    <definedName name="_____________GBS214">#REF!</definedName>
    <definedName name="_____________GBS215" localSheetId="8">#REF!</definedName>
    <definedName name="_____________GBS215" localSheetId="10">#REF!</definedName>
    <definedName name="_____________GBS215" localSheetId="29">#REF!</definedName>
    <definedName name="_____________GBS215">#REF!</definedName>
    <definedName name="_____________GBS22" localSheetId="8">#REF!</definedName>
    <definedName name="_____________GBS22" localSheetId="10">#REF!</definedName>
    <definedName name="_____________GBS22" localSheetId="29">#REF!</definedName>
    <definedName name="_____________GBS22">#REF!</definedName>
    <definedName name="_____________GBS23" localSheetId="8">#REF!</definedName>
    <definedName name="_____________GBS23" localSheetId="10">#REF!</definedName>
    <definedName name="_____________GBS23" localSheetId="29">#REF!</definedName>
    <definedName name="_____________GBS23">#REF!</definedName>
    <definedName name="_____________GBS24" localSheetId="8">#REF!</definedName>
    <definedName name="_____________GBS24" localSheetId="10">#REF!</definedName>
    <definedName name="_____________GBS24" localSheetId="29">#REF!</definedName>
    <definedName name="_____________GBS24">#REF!</definedName>
    <definedName name="_____________GBS25" localSheetId="8">#REF!</definedName>
    <definedName name="_____________GBS25" localSheetId="10">#REF!</definedName>
    <definedName name="_____________GBS25" localSheetId="29">#REF!</definedName>
    <definedName name="_____________GBS25">#REF!</definedName>
    <definedName name="_____________GBS26" localSheetId="8">#REF!</definedName>
    <definedName name="_____________GBS26" localSheetId="10">#REF!</definedName>
    <definedName name="_____________GBS26" localSheetId="29">#REF!</definedName>
    <definedName name="_____________GBS26">#REF!</definedName>
    <definedName name="_____________GBS27" localSheetId="8">#REF!</definedName>
    <definedName name="_____________GBS27" localSheetId="10">#REF!</definedName>
    <definedName name="_____________GBS27" localSheetId="29">#REF!</definedName>
    <definedName name="_____________GBS27">#REF!</definedName>
    <definedName name="_____________GBS28" localSheetId="8">#REF!</definedName>
    <definedName name="_____________GBS28" localSheetId="10">#REF!</definedName>
    <definedName name="_____________GBS28" localSheetId="29">#REF!</definedName>
    <definedName name="_____________GBS28">#REF!</definedName>
    <definedName name="_____________GBS29" localSheetId="8">#REF!</definedName>
    <definedName name="_____________GBS29" localSheetId="10">#REF!</definedName>
    <definedName name="_____________GBS29" localSheetId="29">#REF!</definedName>
    <definedName name="_____________GBS29">#REF!</definedName>
    <definedName name="_____________gus1">#REF!</definedName>
    <definedName name="_____________hpm1">#REF!</definedName>
    <definedName name="_____________knr2" localSheetId="5">#REF!</definedName>
    <definedName name="_____________knr2" localSheetId="14">#REF!</definedName>
    <definedName name="_____________knr2" localSheetId="8">#REF!</definedName>
    <definedName name="_____________knr2" localSheetId="10">#REF!</definedName>
    <definedName name="_____________knr2" localSheetId="29">#REF!</definedName>
    <definedName name="_____________knr2">#REF!</definedName>
    <definedName name="_____________l12" localSheetId="21">#REF!</definedName>
    <definedName name="_____________l12" localSheetId="5">#REF!</definedName>
    <definedName name="_____________l12" localSheetId="8">#REF!</definedName>
    <definedName name="_____________l12" localSheetId="10">#REF!</definedName>
    <definedName name="_____________l12" localSheetId="11">#REF!</definedName>
    <definedName name="_____________l12" localSheetId="29">#REF!</definedName>
    <definedName name="_____________l12" localSheetId="31">#REF!</definedName>
    <definedName name="_____________l12" localSheetId="35">#REF!</definedName>
    <definedName name="_____________l12" localSheetId="36">#REF!</definedName>
    <definedName name="_____________l12">#REF!</definedName>
    <definedName name="_____________l3" localSheetId="21">#REF!</definedName>
    <definedName name="_____________l3" localSheetId="5">#REF!</definedName>
    <definedName name="_____________l3" localSheetId="8">#REF!</definedName>
    <definedName name="_____________l3" localSheetId="10">#REF!</definedName>
    <definedName name="_____________l3" localSheetId="11">#REF!</definedName>
    <definedName name="_____________l3" localSheetId="29">#REF!</definedName>
    <definedName name="_____________l3" localSheetId="31">#REF!</definedName>
    <definedName name="_____________l3" localSheetId="35">#REF!</definedName>
    <definedName name="_____________l3" localSheetId="36">#REF!</definedName>
    <definedName name="_____________l3">#REF!</definedName>
    <definedName name="_____________l5" localSheetId="21">#REF!</definedName>
    <definedName name="_____________l5" localSheetId="5">#REF!</definedName>
    <definedName name="_____________l5" localSheetId="8">#REF!</definedName>
    <definedName name="_____________l5" localSheetId="10">#REF!</definedName>
    <definedName name="_____________l5" localSheetId="11">#REF!</definedName>
    <definedName name="_____________l5" localSheetId="29">#REF!</definedName>
    <definedName name="_____________l5" localSheetId="31">#REF!</definedName>
    <definedName name="_____________l5" localSheetId="35">#REF!</definedName>
    <definedName name="_____________l5" localSheetId="36">#REF!</definedName>
    <definedName name="_____________l5">#REF!</definedName>
    <definedName name="_____________lcn1">#REF!</definedName>
    <definedName name="_____________LI9" localSheetId="8">#REF!</definedName>
    <definedName name="_____________LI9" localSheetId="10">#REF!</definedName>
    <definedName name="_____________LI9" localSheetId="29">#REF!</definedName>
    <definedName name="_____________LI9">#REF!</definedName>
    <definedName name="_____________LII9" localSheetId="8">#REF!</definedName>
    <definedName name="_____________LII9" localSheetId="10">#REF!</definedName>
    <definedName name="_____________LII9" localSheetId="29">#REF!</definedName>
    <definedName name="_____________LII9">#REF!</definedName>
    <definedName name="_____________lm1" localSheetId="29">#REF!</definedName>
    <definedName name="_____________ML11" localSheetId="8">#REF!</definedName>
    <definedName name="_____________ML11" localSheetId="10">#REF!</definedName>
    <definedName name="_____________ML11" localSheetId="29">#REF!</definedName>
    <definedName name="_____________ML11">#REF!</definedName>
    <definedName name="_____________ML110" localSheetId="8">#REF!</definedName>
    <definedName name="_____________ML110" localSheetId="10">#REF!</definedName>
    <definedName name="_____________ML110" localSheetId="29">#REF!</definedName>
    <definedName name="_____________ML110">#REF!</definedName>
    <definedName name="_____________ML111" localSheetId="8">#REF!</definedName>
    <definedName name="_____________ML111" localSheetId="10">#REF!</definedName>
    <definedName name="_____________ML111" localSheetId="29">#REF!</definedName>
    <definedName name="_____________ML111">#REF!</definedName>
    <definedName name="_____________ML112" localSheetId="8">#REF!</definedName>
    <definedName name="_____________ML112" localSheetId="10">#REF!</definedName>
    <definedName name="_____________ML112" localSheetId="29">#REF!</definedName>
    <definedName name="_____________ML112">#REF!</definedName>
    <definedName name="_____________ML113" localSheetId="8">#REF!</definedName>
    <definedName name="_____________ML113" localSheetId="10">#REF!</definedName>
    <definedName name="_____________ML113" localSheetId="29">#REF!</definedName>
    <definedName name="_____________ML113">#REF!</definedName>
    <definedName name="_____________ML114" localSheetId="8">#REF!</definedName>
    <definedName name="_____________ML114" localSheetId="10">#REF!</definedName>
    <definedName name="_____________ML114" localSheetId="29">#REF!</definedName>
    <definedName name="_____________ML114">#REF!</definedName>
    <definedName name="_____________ML115" localSheetId="8">#REF!</definedName>
    <definedName name="_____________ML115" localSheetId="10">#REF!</definedName>
    <definedName name="_____________ML115" localSheetId="29">#REF!</definedName>
    <definedName name="_____________ML115">#REF!</definedName>
    <definedName name="_____________ML12" localSheetId="8">#REF!</definedName>
    <definedName name="_____________ML12" localSheetId="10">#REF!</definedName>
    <definedName name="_____________ML12" localSheetId="29">#REF!</definedName>
    <definedName name="_____________ML12">#REF!</definedName>
    <definedName name="_____________ML13" localSheetId="8">#REF!</definedName>
    <definedName name="_____________ML13" localSheetId="10">#REF!</definedName>
    <definedName name="_____________ML13" localSheetId="29">#REF!</definedName>
    <definedName name="_____________ML13">#REF!</definedName>
    <definedName name="_____________ML14" localSheetId="8">#REF!</definedName>
    <definedName name="_____________ML14" localSheetId="10">#REF!</definedName>
    <definedName name="_____________ML14" localSheetId="29">#REF!</definedName>
    <definedName name="_____________ML14">#REF!</definedName>
    <definedName name="_____________ML15" localSheetId="8">#REF!</definedName>
    <definedName name="_____________ML15" localSheetId="10">#REF!</definedName>
    <definedName name="_____________ML15" localSheetId="29">#REF!</definedName>
    <definedName name="_____________ML15">#REF!</definedName>
    <definedName name="_____________ML16" localSheetId="8">#REF!</definedName>
    <definedName name="_____________ML16" localSheetId="10">#REF!</definedName>
    <definedName name="_____________ML16" localSheetId="29">#REF!</definedName>
    <definedName name="_____________ML16">#REF!</definedName>
    <definedName name="_____________ML17" localSheetId="8">#REF!</definedName>
    <definedName name="_____________ML17" localSheetId="10">#REF!</definedName>
    <definedName name="_____________ML17" localSheetId="29">#REF!</definedName>
    <definedName name="_____________ML17">#REF!</definedName>
    <definedName name="_____________ML18" localSheetId="8">#REF!</definedName>
    <definedName name="_____________ML18" localSheetId="10">#REF!</definedName>
    <definedName name="_____________ML18" localSheetId="29">#REF!</definedName>
    <definedName name="_____________ML18">#REF!</definedName>
    <definedName name="_____________ML19" localSheetId="8">#REF!</definedName>
    <definedName name="_____________ML19" localSheetId="10">#REF!</definedName>
    <definedName name="_____________ML19" localSheetId="29">#REF!</definedName>
    <definedName name="_____________ML19">#REF!</definedName>
    <definedName name="_____________ML21" localSheetId="8">#REF!</definedName>
    <definedName name="_____________ML21" localSheetId="10">#REF!</definedName>
    <definedName name="_____________ML21" localSheetId="29">#REF!</definedName>
    <definedName name="_____________ML21">#REF!</definedName>
    <definedName name="_____________ML210" localSheetId="8">#REF!</definedName>
    <definedName name="_____________ML210" localSheetId="10">#REF!</definedName>
    <definedName name="_____________ML210" localSheetId="29">#REF!</definedName>
    <definedName name="_____________ML210">#REF!</definedName>
    <definedName name="_____________ML211" localSheetId="8">#REF!</definedName>
    <definedName name="_____________ML211" localSheetId="10">#REF!</definedName>
    <definedName name="_____________ML211" localSheetId="29">#REF!</definedName>
    <definedName name="_____________ML211">#REF!</definedName>
    <definedName name="_____________ML212" localSheetId="8">#REF!</definedName>
    <definedName name="_____________ML212" localSheetId="10">#REF!</definedName>
    <definedName name="_____________ML212" localSheetId="29">#REF!</definedName>
    <definedName name="_____________ML212">#REF!</definedName>
    <definedName name="_____________ML213" localSheetId="8">#REF!</definedName>
    <definedName name="_____________ML213" localSheetId="10">#REF!</definedName>
    <definedName name="_____________ML213" localSheetId="29">#REF!</definedName>
    <definedName name="_____________ML213">#REF!</definedName>
    <definedName name="_____________ML214" localSheetId="8">#REF!</definedName>
    <definedName name="_____________ML214" localSheetId="10">#REF!</definedName>
    <definedName name="_____________ML214" localSheetId="29">#REF!</definedName>
    <definedName name="_____________ML214">#REF!</definedName>
    <definedName name="_____________ML215" localSheetId="8">#REF!</definedName>
    <definedName name="_____________ML215" localSheetId="10">#REF!</definedName>
    <definedName name="_____________ML215" localSheetId="29">#REF!</definedName>
    <definedName name="_____________ML215">#REF!</definedName>
    <definedName name="_____________ML22" localSheetId="8">#REF!</definedName>
    <definedName name="_____________ML22" localSheetId="10">#REF!</definedName>
    <definedName name="_____________ML22" localSheetId="29">#REF!</definedName>
    <definedName name="_____________ML22">#REF!</definedName>
    <definedName name="_____________ML23" localSheetId="8">#REF!</definedName>
    <definedName name="_____________ML23" localSheetId="10">#REF!</definedName>
    <definedName name="_____________ML23" localSheetId="29">#REF!</definedName>
    <definedName name="_____________ML23">#REF!</definedName>
    <definedName name="_____________ML24" localSheetId="8">#REF!</definedName>
    <definedName name="_____________ML24" localSheetId="10">#REF!</definedName>
    <definedName name="_____________ML24" localSheetId="29">#REF!</definedName>
    <definedName name="_____________ML24">#REF!</definedName>
    <definedName name="_____________ML25" localSheetId="8">#REF!</definedName>
    <definedName name="_____________ML25" localSheetId="10">#REF!</definedName>
    <definedName name="_____________ML25" localSheetId="29">#REF!</definedName>
    <definedName name="_____________ML25">#REF!</definedName>
    <definedName name="_____________ML26" localSheetId="8">#REF!</definedName>
    <definedName name="_____________ML26" localSheetId="10">#REF!</definedName>
    <definedName name="_____________ML26" localSheetId="29">#REF!</definedName>
    <definedName name="_____________ML26">#REF!</definedName>
    <definedName name="_____________ML27" localSheetId="8">#REF!</definedName>
    <definedName name="_____________ML27" localSheetId="10">#REF!</definedName>
    <definedName name="_____________ML27" localSheetId="29">#REF!</definedName>
    <definedName name="_____________ML27">#REF!</definedName>
    <definedName name="_____________ML28" localSheetId="8">#REF!</definedName>
    <definedName name="_____________ML28" localSheetId="10">#REF!</definedName>
    <definedName name="_____________ML28" localSheetId="29">#REF!</definedName>
    <definedName name="_____________ML28">#REF!</definedName>
    <definedName name="_____________ML29" localSheetId="8">#REF!</definedName>
    <definedName name="_____________ML29" localSheetId="10">#REF!</definedName>
    <definedName name="_____________ML29" localSheetId="29">#REF!</definedName>
    <definedName name="_____________ML29">#REF!</definedName>
    <definedName name="_____________ML31" localSheetId="8">#REF!</definedName>
    <definedName name="_____________ML31" localSheetId="10">#REF!</definedName>
    <definedName name="_____________ML31" localSheetId="29">#REF!</definedName>
    <definedName name="_____________ML31">#REF!</definedName>
    <definedName name="_____________ML310" localSheetId="8">#REF!</definedName>
    <definedName name="_____________ML310" localSheetId="10">#REF!</definedName>
    <definedName name="_____________ML310" localSheetId="29">#REF!</definedName>
    <definedName name="_____________ML310">#REF!</definedName>
    <definedName name="_____________ML311" localSheetId="8">#REF!</definedName>
    <definedName name="_____________ML311" localSheetId="10">#REF!</definedName>
    <definedName name="_____________ML311" localSheetId="29">#REF!</definedName>
    <definedName name="_____________ML311">#REF!</definedName>
    <definedName name="_____________ML312" localSheetId="8">#REF!</definedName>
    <definedName name="_____________ML312" localSheetId="10">#REF!</definedName>
    <definedName name="_____________ML312" localSheetId="29">#REF!</definedName>
    <definedName name="_____________ML312">#REF!</definedName>
    <definedName name="_____________ML313" localSheetId="8">#REF!</definedName>
    <definedName name="_____________ML313" localSheetId="10">#REF!</definedName>
    <definedName name="_____________ML313" localSheetId="29">#REF!</definedName>
    <definedName name="_____________ML313">#REF!</definedName>
    <definedName name="_____________ML314" localSheetId="8">#REF!</definedName>
    <definedName name="_____________ML314" localSheetId="10">#REF!</definedName>
    <definedName name="_____________ML314" localSheetId="29">#REF!</definedName>
    <definedName name="_____________ML314">#REF!</definedName>
    <definedName name="_____________ML315" localSheetId="8">#REF!</definedName>
    <definedName name="_____________ML315" localSheetId="10">#REF!</definedName>
    <definedName name="_____________ML315" localSheetId="29">#REF!</definedName>
    <definedName name="_____________ML315">#REF!</definedName>
    <definedName name="_____________ML32" localSheetId="8">#REF!</definedName>
    <definedName name="_____________ML32" localSheetId="10">#REF!</definedName>
    <definedName name="_____________ML32" localSheetId="29">#REF!</definedName>
    <definedName name="_____________ML32">#REF!</definedName>
    <definedName name="_____________ML33" localSheetId="8">#REF!</definedName>
    <definedName name="_____________ML33" localSheetId="10">#REF!</definedName>
    <definedName name="_____________ML33" localSheetId="29">#REF!</definedName>
    <definedName name="_____________ML33">#REF!</definedName>
    <definedName name="_____________ML34" localSheetId="8">#REF!</definedName>
    <definedName name="_____________ML34" localSheetId="10">#REF!</definedName>
    <definedName name="_____________ML34" localSheetId="29">#REF!</definedName>
    <definedName name="_____________ML34">#REF!</definedName>
    <definedName name="_____________ML35" localSheetId="8">#REF!</definedName>
    <definedName name="_____________ML35" localSheetId="10">#REF!</definedName>
    <definedName name="_____________ML35" localSheetId="29">#REF!</definedName>
    <definedName name="_____________ML35">#REF!</definedName>
    <definedName name="_____________ML36" localSheetId="8">#REF!</definedName>
    <definedName name="_____________ML36" localSheetId="10">#REF!</definedName>
    <definedName name="_____________ML36" localSheetId="29">#REF!</definedName>
    <definedName name="_____________ML36">#REF!</definedName>
    <definedName name="_____________ML37" localSheetId="8">#REF!</definedName>
    <definedName name="_____________ML37" localSheetId="10">#REF!</definedName>
    <definedName name="_____________ML37" localSheetId="29">#REF!</definedName>
    <definedName name="_____________ML37">#REF!</definedName>
    <definedName name="_____________ML38" localSheetId="8">#REF!</definedName>
    <definedName name="_____________ML38" localSheetId="10">#REF!</definedName>
    <definedName name="_____________ML38" localSheetId="29">#REF!</definedName>
    <definedName name="_____________ML38">#REF!</definedName>
    <definedName name="_____________ML39" localSheetId="8">#REF!</definedName>
    <definedName name="_____________ML39" localSheetId="10">#REF!</definedName>
    <definedName name="_____________ML39" localSheetId="29">#REF!</definedName>
    <definedName name="_____________ML39">#REF!</definedName>
    <definedName name="_____________ML7" localSheetId="8">#REF!</definedName>
    <definedName name="_____________ML7" localSheetId="10">#REF!</definedName>
    <definedName name="_____________ML7" localSheetId="29">#REF!</definedName>
    <definedName name="_____________ML7">#REF!</definedName>
    <definedName name="_____________ML8" localSheetId="8">#REF!</definedName>
    <definedName name="_____________ML8" localSheetId="10">#REF!</definedName>
    <definedName name="_____________ML8" localSheetId="29">#REF!</definedName>
    <definedName name="_____________ML8">#REF!</definedName>
    <definedName name="_____________ML9" localSheetId="8">#REF!</definedName>
    <definedName name="_____________ML9" localSheetId="10">#REF!</definedName>
    <definedName name="_____________ML9" localSheetId="29">#REF!</definedName>
    <definedName name="_____________ML9">#REF!</definedName>
    <definedName name="_____________mm20" localSheetId="29">#REF!</definedName>
    <definedName name="_____________mm40">#REF!</definedName>
    <definedName name="_____________pc2" localSheetId="21">#REF!</definedName>
    <definedName name="_____________pc2" localSheetId="5">#REF!</definedName>
    <definedName name="_____________pc2" localSheetId="8">#REF!</definedName>
    <definedName name="_____________pc2" localSheetId="10">#REF!</definedName>
    <definedName name="_____________pc2" localSheetId="11">#REF!</definedName>
    <definedName name="_____________pc2" localSheetId="29">#REF!</definedName>
    <definedName name="_____________pc2" localSheetId="31">#REF!</definedName>
    <definedName name="_____________pc2" localSheetId="35">#REF!</definedName>
    <definedName name="_____________pc2" localSheetId="36">#REF!</definedName>
    <definedName name="_____________pc2">#REF!</definedName>
    <definedName name="_____________PMS2" localSheetId="8">#REF!</definedName>
    <definedName name="_____________PMS2" localSheetId="10">#REF!</definedName>
    <definedName name="_____________PMS2" localSheetId="29">#REF!</definedName>
    <definedName name="_____________PMS2">#REF!</definedName>
    <definedName name="_____________pv2" localSheetId="21">#REF!</definedName>
    <definedName name="_____________pv2" localSheetId="5">#REF!</definedName>
    <definedName name="_____________pv2" localSheetId="8">#REF!</definedName>
    <definedName name="_____________pv2" localSheetId="10">#REF!</definedName>
    <definedName name="_____________pv2" localSheetId="11">#REF!</definedName>
    <definedName name="_____________pv2" localSheetId="29">#REF!</definedName>
    <definedName name="_____________pv2" localSheetId="31">#REF!</definedName>
    <definedName name="_____________pv2" localSheetId="35">#REF!</definedName>
    <definedName name="_____________pv2" localSheetId="36">#REF!</definedName>
    <definedName name="_____________pv2">#REF!</definedName>
    <definedName name="_____________sw1" localSheetId="29">#REF!</definedName>
    <definedName name="_____________us1">#REF!</definedName>
    <definedName name="_____________var1" localSheetId="21">#REF!</definedName>
    <definedName name="_____________var1" localSheetId="5">#REF!</definedName>
    <definedName name="_____________var1" localSheetId="8">#REF!</definedName>
    <definedName name="_____________var1" localSheetId="10">#REF!</definedName>
    <definedName name="_____________var1" localSheetId="11">#REF!</definedName>
    <definedName name="_____________var1" localSheetId="29">#REF!</definedName>
    <definedName name="_____________var1" localSheetId="31">#REF!</definedName>
    <definedName name="_____________var1" localSheetId="35">#REF!</definedName>
    <definedName name="_____________var1" localSheetId="36">#REF!</definedName>
    <definedName name="_____________var1">#REF!</definedName>
    <definedName name="_____________var4" localSheetId="21">#REF!</definedName>
    <definedName name="_____________var4" localSheetId="5">#REF!</definedName>
    <definedName name="_____________var4" localSheetId="8">#REF!</definedName>
    <definedName name="_____________var4" localSheetId="10">#REF!</definedName>
    <definedName name="_____________var4" localSheetId="11">#REF!</definedName>
    <definedName name="_____________var4" localSheetId="29">#REF!</definedName>
    <definedName name="_____________var4" localSheetId="31">#REF!</definedName>
    <definedName name="_____________var4" localSheetId="35">#REF!</definedName>
    <definedName name="_____________var4" localSheetId="36">#REF!</definedName>
    <definedName name="_____________var4">#REF!</definedName>
    <definedName name="_____________vat1">#REF!</definedName>
    <definedName name="_____________vat2">#REF!</definedName>
    <definedName name="_____________xlfn_BAHTTEXT">#N/A</definedName>
    <definedName name="____________abs1" localSheetId="8">#REF!</definedName>
    <definedName name="____________abs1" localSheetId="10">#REF!</definedName>
    <definedName name="____________abs1" localSheetId="29">#REF!</definedName>
    <definedName name="____________abs1">#REF!</definedName>
    <definedName name="____________AUX1" localSheetId="29">#REF!</definedName>
    <definedName name="____________aux2" localSheetId="29">#REF!</definedName>
    <definedName name="____________AUX3">#REF!</definedName>
    <definedName name="____________BSG100" localSheetId="8">#REF!</definedName>
    <definedName name="____________BSG100" localSheetId="10">#REF!</definedName>
    <definedName name="____________BSG100" localSheetId="29">#REF!</definedName>
    <definedName name="____________BSG100">#REF!</definedName>
    <definedName name="____________BSG150" localSheetId="8">#REF!</definedName>
    <definedName name="____________BSG150" localSheetId="10">#REF!</definedName>
    <definedName name="____________BSG150" localSheetId="29">#REF!</definedName>
    <definedName name="____________BSG150">#REF!</definedName>
    <definedName name="____________BSG5" localSheetId="8">#REF!</definedName>
    <definedName name="____________BSG5" localSheetId="10">#REF!</definedName>
    <definedName name="____________BSG5" localSheetId="29">#REF!</definedName>
    <definedName name="____________BSG5">#REF!</definedName>
    <definedName name="____________BSG75" localSheetId="8">#REF!</definedName>
    <definedName name="____________BSG75" localSheetId="10">#REF!</definedName>
    <definedName name="____________BSG75" localSheetId="29">#REF!</definedName>
    <definedName name="____________BSG75">#REF!</definedName>
    <definedName name="____________BTC1" localSheetId="8">#REF!</definedName>
    <definedName name="____________BTC1" localSheetId="10">#REF!</definedName>
    <definedName name="____________BTC1" localSheetId="29">#REF!</definedName>
    <definedName name="____________BTC1">#REF!</definedName>
    <definedName name="____________BTC10" localSheetId="8">#REF!</definedName>
    <definedName name="____________BTC10" localSheetId="10">#REF!</definedName>
    <definedName name="____________BTC10" localSheetId="29">#REF!</definedName>
    <definedName name="____________BTC10">#REF!</definedName>
    <definedName name="____________BTC11" localSheetId="8">#REF!</definedName>
    <definedName name="____________BTC11" localSheetId="10">#REF!</definedName>
    <definedName name="____________BTC11" localSheetId="29">#REF!</definedName>
    <definedName name="____________BTC11">#REF!</definedName>
    <definedName name="____________BTC12" localSheetId="8">#REF!</definedName>
    <definedName name="____________BTC12" localSheetId="10">#REF!</definedName>
    <definedName name="____________BTC12" localSheetId="29">#REF!</definedName>
    <definedName name="____________BTC12">#REF!</definedName>
    <definedName name="____________BTC13" localSheetId="8">#REF!</definedName>
    <definedName name="____________BTC13" localSheetId="10">#REF!</definedName>
    <definedName name="____________BTC13" localSheetId="29">#REF!</definedName>
    <definedName name="____________BTC13">#REF!</definedName>
    <definedName name="____________BTC14" localSheetId="8">#REF!</definedName>
    <definedName name="____________BTC14" localSheetId="10">#REF!</definedName>
    <definedName name="____________BTC14" localSheetId="29">#REF!</definedName>
    <definedName name="____________BTC14">#REF!</definedName>
    <definedName name="____________BTC15" localSheetId="8">#REF!</definedName>
    <definedName name="____________BTC15" localSheetId="10">#REF!</definedName>
    <definedName name="____________BTC15" localSheetId="29">#REF!</definedName>
    <definedName name="____________BTC15">#REF!</definedName>
    <definedName name="____________BTC2" localSheetId="8">#REF!</definedName>
    <definedName name="____________BTC2" localSheetId="10">#REF!</definedName>
    <definedName name="____________BTC2" localSheetId="29">#REF!</definedName>
    <definedName name="____________BTC2">#REF!</definedName>
    <definedName name="____________BTC3" localSheetId="8">#REF!</definedName>
    <definedName name="____________BTC3" localSheetId="10">#REF!</definedName>
    <definedName name="____________BTC3" localSheetId="29">#REF!</definedName>
    <definedName name="____________BTC3">#REF!</definedName>
    <definedName name="____________BTC4" localSheetId="8">#REF!</definedName>
    <definedName name="____________BTC4" localSheetId="10">#REF!</definedName>
    <definedName name="____________BTC4" localSheetId="29">#REF!</definedName>
    <definedName name="____________BTC4">#REF!</definedName>
    <definedName name="____________BTC5" localSheetId="8">#REF!</definedName>
    <definedName name="____________BTC5" localSheetId="10">#REF!</definedName>
    <definedName name="____________BTC5" localSheetId="29">#REF!</definedName>
    <definedName name="____________BTC5">#REF!</definedName>
    <definedName name="____________BTC6" localSheetId="8">#REF!</definedName>
    <definedName name="____________BTC6" localSheetId="10">#REF!</definedName>
    <definedName name="____________BTC6" localSheetId="29">#REF!</definedName>
    <definedName name="____________BTC6">#REF!</definedName>
    <definedName name="____________BTC7" localSheetId="8">#REF!</definedName>
    <definedName name="____________BTC7" localSheetId="10">#REF!</definedName>
    <definedName name="____________BTC7" localSheetId="29">#REF!</definedName>
    <definedName name="____________BTC7">#REF!</definedName>
    <definedName name="____________BTC8" localSheetId="8">#REF!</definedName>
    <definedName name="____________BTC8" localSheetId="10">#REF!</definedName>
    <definedName name="____________BTC8" localSheetId="29">#REF!</definedName>
    <definedName name="____________BTC8">#REF!</definedName>
    <definedName name="____________BTC9" localSheetId="8">#REF!</definedName>
    <definedName name="____________BTC9" localSheetId="10">#REF!</definedName>
    <definedName name="____________BTC9" localSheetId="29">#REF!</definedName>
    <definedName name="____________BTC9">#REF!</definedName>
    <definedName name="____________BTS1" localSheetId="8">#REF!</definedName>
    <definedName name="____________BTS1" localSheetId="10">#REF!</definedName>
    <definedName name="____________BTS1" localSheetId="29">#REF!</definedName>
    <definedName name="____________BTS1">#REF!</definedName>
    <definedName name="____________BTS10" localSheetId="8">#REF!</definedName>
    <definedName name="____________BTS10" localSheetId="10">#REF!</definedName>
    <definedName name="____________BTS10" localSheetId="29">#REF!</definedName>
    <definedName name="____________BTS10">#REF!</definedName>
    <definedName name="____________BTS11" localSheetId="8">#REF!</definedName>
    <definedName name="____________BTS11" localSheetId="10">#REF!</definedName>
    <definedName name="____________BTS11" localSheetId="29">#REF!</definedName>
    <definedName name="____________BTS11">#REF!</definedName>
    <definedName name="____________BTS12" localSheetId="8">#REF!</definedName>
    <definedName name="____________BTS12" localSheetId="10">#REF!</definedName>
    <definedName name="____________BTS12" localSheetId="29">#REF!</definedName>
    <definedName name="____________BTS12">#REF!</definedName>
    <definedName name="____________BTS13" localSheetId="8">#REF!</definedName>
    <definedName name="____________BTS13" localSheetId="10">#REF!</definedName>
    <definedName name="____________BTS13" localSheetId="29">#REF!</definedName>
    <definedName name="____________BTS13">#REF!</definedName>
    <definedName name="____________BTS14" localSheetId="8">#REF!</definedName>
    <definedName name="____________BTS14" localSheetId="10">#REF!</definedName>
    <definedName name="____________BTS14" localSheetId="29">#REF!</definedName>
    <definedName name="____________BTS14">#REF!</definedName>
    <definedName name="____________BTS15" localSheetId="8">#REF!</definedName>
    <definedName name="____________BTS15" localSheetId="10">#REF!</definedName>
    <definedName name="____________BTS15" localSheetId="29">#REF!</definedName>
    <definedName name="____________BTS15">#REF!</definedName>
    <definedName name="____________BTS2" localSheetId="8">#REF!</definedName>
    <definedName name="____________BTS2" localSheetId="10">#REF!</definedName>
    <definedName name="____________BTS2" localSheetId="29">#REF!</definedName>
    <definedName name="____________BTS2">#REF!</definedName>
    <definedName name="____________BTS3" localSheetId="8">#REF!</definedName>
    <definedName name="____________BTS3" localSheetId="10">#REF!</definedName>
    <definedName name="____________BTS3" localSheetId="29">#REF!</definedName>
    <definedName name="____________BTS3">#REF!</definedName>
    <definedName name="____________BTS4" localSheetId="8">#REF!</definedName>
    <definedName name="____________BTS4" localSheetId="10">#REF!</definedName>
    <definedName name="____________BTS4" localSheetId="29">#REF!</definedName>
    <definedName name="____________BTS4">#REF!</definedName>
    <definedName name="____________BTS5" localSheetId="8">#REF!</definedName>
    <definedName name="____________BTS5" localSheetId="10">#REF!</definedName>
    <definedName name="____________BTS5" localSheetId="29">#REF!</definedName>
    <definedName name="____________BTS5">#REF!</definedName>
    <definedName name="____________BTS6" localSheetId="8">#REF!</definedName>
    <definedName name="____________BTS6" localSheetId="10">#REF!</definedName>
    <definedName name="____________BTS6" localSheetId="29">#REF!</definedName>
    <definedName name="____________BTS6">#REF!</definedName>
    <definedName name="____________BTS7" localSheetId="8">#REF!</definedName>
    <definedName name="____________BTS7" localSheetId="10">#REF!</definedName>
    <definedName name="____________BTS7" localSheetId="29">#REF!</definedName>
    <definedName name="____________BTS7">#REF!</definedName>
    <definedName name="____________BTS8" localSheetId="8">#REF!</definedName>
    <definedName name="____________BTS8" localSheetId="10">#REF!</definedName>
    <definedName name="____________BTS8" localSheetId="29">#REF!</definedName>
    <definedName name="____________BTS8">#REF!</definedName>
    <definedName name="____________BTS9" localSheetId="8">#REF!</definedName>
    <definedName name="____________BTS9" localSheetId="10">#REF!</definedName>
    <definedName name="____________BTS9" localSheetId="29">#REF!</definedName>
    <definedName name="____________BTS9">#REF!</definedName>
    <definedName name="____________can430">40.73</definedName>
    <definedName name="____________can435">43.3</definedName>
    <definedName name="____________cbr1" localSheetId="29">#REF!</definedName>
    <definedName name="____________cbr2">#REF!</definedName>
    <definedName name="____________cbr3">#REF!</definedName>
    <definedName name="____________cbr4">#REF!</definedName>
    <definedName name="____________er1">#REF!</definedName>
    <definedName name="____________ewe1">#REF!</definedName>
    <definedName name="____________f1">#REF!</definedName>
    <definedName name="____________GBS11" localSheetId="8">#REF!</definedName>
    <definedName name="____________GBS11" localSheetId="10">#REF!</definedName>
    <definedName name="____________GBS11" localSheetId="29">#REF!</definedName>
    <definedName name="____________GBS11">#REF!</definedName>
    <definedName name="____________GBS110" localSheetId="8">#REF!</definedName>
    <definedName name="____________GBS110" localSheetId="10">#REF!</definedName>
    <definedName name="____________GBS110" localSheetId="29">#REF!</definedName>
    <definedName name="____________GBS110">#REF!</definedName>
    <definedName name="____________GBS111" localSheetId="8">#REF!</definedName>
    <definedName name="____________GBS111" localSheetId="10">#REF!</definedName>
    <definedName name="____________GBS111" localSheetId="29">#REF!</definedName>
    <definedName name="____________GBS111">#REF!</definedName>
    <definedName name="____________GBS112" localSheetId="8">#REF!</definedName>
    <definedName name="____________GBS112" localSheetId="10">#REF!</definedName>
    <definedName name="____________GBS112" localSheetId="29">#REF!</definedName>
    <definedName name="____________GBS112">#REF!</definedName>
    <definedName name="____________GBS113" localSheetId="8">#REF!</definedName>
    <definedName name="____________GBS113" localSheetId="10">#REF!</definedName>
    <definedName name="____________GBS113" localSheetId="29">#REF!</definedName>
    <definedName name="____________GBS113">#REF!</definedName>
    <definedName name="____________GBS114" localSheetId="8">#REF!</definedName>
    <definedName name="____________GBS114" localSheetId="10">#REF!</definedName>
    <definedName name="____________GBS114" localSheetId="29">#REF!</definedName>
    <definedName name="____________GBS114">#REF!</definedName>
    <definedName name="____________GBS115" localSheetId="8">#REF!</definedName>
    <definedName name="____________GBS115" localSheetId="10">#REF!</definedName>
    <definedName name="____________GBS115" localSheetId="29">#REF!</definedName>
    <definedName name="____________GBS115">#REF!</definedName>
    <definedName name="____________GBS12" localSheetId="8">#REF!</definedName>
    <definedName name="____________GBS12" localSheetId="10">#REF!</definedName>
    <definedName name="____________GBS12" localSheetId="29">#REF!</definedName>
    <definedName name="____________GBS12">#REF!</definedName>
    <definedName name="____________GBS13" localSheetId="8">#REF!</definedName>
    <definedName name="____________GBS13" localSheetId="10">#REF!</definedName>
    <definedName name="____________GBS13" localSheetId="29">#REF!</definedName>
    <definedName name="____________GBS13">#REF!</definedName>
    <definedName name="____________GBS14" localSheetId="8">#REF!</definedName>
    <definedName name="____________GBS14" localSheetId="10">#REF!</definedName>
    <definedName name="____________GBS14" localSheetId="29">#REF!</definedName>
    <definedName name="____________GBS14">#REF!</definedName>
    <definedName name="____________GBS15" localSheetId="8">#REF!</definedName>
    <definedName name="____________GBS15" localSheetId="10">#REF!</definedName>
    <definedName name="____________GBS15" localSheetId="29">#REF!</definedName>
    <definedName name="____________GBS15">#REF!</definedName>
    <definedName name="____________GBS16" localSheetId="8">#REF!</definedName>
    <definedName name="____________GBS16" localSheetId="10">#REF!</definedName>
    <definedName name="____________GBS16" localSheetId="29">#REF!</definedName>
    <definedName name="____________GBS16">#REF!</definedName>
    <definedName name="____________GBS17" localSheetId="8">#REF!</definedName>
    <definedName name="____________GBS17" localSheetId="10">#REF!</definedName>
    <definedName name="____________GBS17" localSheetId="29">#REF!</definedName>
    <definedName name="____________GBS17">#REF!</definedName>
    <definedName name="____________GBS18" localSheetId="8">#REF!</definedName>
    <definedName name="____________GBS18" localSheetId="10">#REF!</definedName>
    <definedName name="____________GBS18" localSheetId="29">#REF!</definedName>
    <definedName name="____________GBS18">#REF!</definedName>
    <definedName name="____________GBS19" localSheetId="8">#REF!</definedName>
    <definedName name="____________GBS19" localSheetId="10">#REF!</definedName>
    <definedName name="____________GBS19" localSheetId="29">#REF!</definedName>
    <definedName name="____________GBS19">#REF!</definedName>
    <definedName name="____________GBS21" localSheetId="8">#REF!</definedName>
    <definedName name="____________GBS21" localSheetId="10">#REF!</definedName>
    <definedName name="____________GBS21" localSheetId="29">#REF!</definedName>
    <definedName name="____________GBS21">#REF!</definedName>
    <definedName name="____________GBS210" localSheetId="8">#REF!</definedName>
    <definedName name="____________GBS210" localSheetId="10">#REF!</definedName>
    <definedName name="____________GBS210" localSheetId="29">#REF!</definedName>
    <definedName name="____________GBS210">#REF!</definedName>
    <definedName name="____________GBS211" localSheetId="8">#REF!</definedName>
    <definedName name="____________GBS211" localSheetId="10">#REF!</definedName>
    <definedName name="____________GBS211" localSheetId="29">#REF!</definedName>
    <definedName name="____________GBS211">#REF!</definedName>
    <definedName name="____________GBS212" localSheetId="8">#REF!</definedName>
    <definedName name="____________GBS212" localSheetId="10">#REF!</definedName>
    <definedName name="____________GBS212" localSheetId="29">#REF!</definedName>
    <definedName name="____________GBS212">#REF!</definedName>
    <definedName name="____________GBS213" localSheetId="8">#REF!</definedName>
    <definedName name="____________GBS213" localSheetId="10">#REF!</definedName>
    <definedName name="____________GBS213" localSheetId="29">#REF!</definedName>
    <definedName name="____________GBS213">#REF!</definedName>
    <definedName name="____________GBS214" localSheetId="8">#REF!</definedName>
    <definedName name="____________GBS214" localSheetId="10">#REF!</definedName>
    <definedName name="____________GBS214" localSheetId="29">#REF!</definedName>
    <definedName name="____________GBS214">#REF!</definedName>
    <definedName name="____________GBS215" localSheetId="8">#REF!</definedName>
    <definedName name="____________GBS215" localSheetId="10">#REF!</definedName>
    <definedName name="____________GBS215" localSheetId="29">#REF!</definedName>
    <definedName name="____________GBS215">#REF!</definedName>
    <definedName name="____________GBS22" localSheetId="8">#REF!</definedName>
    <definedName name="____________GBS22" localSheetId="10">#REF!</definedName>
    <definedName name="____________GBS22" localSheetId="29">#REF!</definedName>
    <definedName name="____________GBS22">#REF!</definedName>
    <definedName name="____________GBS23" localSheetId="8">#REF!</definedName>
    <definedName name="____________GBS23" localSheetId="10">#REF!</definedName>
    <definedName name="____________GBS23" localSheetId="29">#REF!</definedName>
    <definedName name="____________GBS23">#REF!</definedName>
    <definedName name="____________GBS24" localSheetId="8">#REF!</definedName>
    <definedName name="____________GBS24" localSheetId="10">#REF!</definedName>
    <definedName name="____________GBS24" localSheetId="29">#REF!</definedName>
    <definedName name="____________GBS24">#REF!</definedName>
    <definedName name="____________GBS25" localSheetId="8">#REF!</definedName>
    <definedName name="____________GBS25" localSheetId="10">#REF!</definedName>
    <definedName name="____________GBS25" localSheetId="29">#REF!</definedName>
    <definedName name="____________GBS25">#REF!</definedName>
    <definedName name="____________GBS26" localSheetId="8">#REF!</definedName>
    <definedName name="____________GBS26" localSheetId="10">#REF!</definedName>
    <definedName name="____________GBS26" localSheetId="29">#REF!</definedName>
    <definedName name="____________GBS26">#REF!</definedName>
    <definedName name="____________GBS27" localSheetId="8">#REF!</definedName>
    <definedName name="____________GBS27" localSheetId="10">#REF!</definedName>
    <definedName name="____________GBS27" localSheetId="29">#REF!</definedName>
    <definedName name="____________GBS27">#REF!</definedName>
    <definedName name="____________GBS28" localSheetId="8">#REF!</definedName>
    <definedName name="____________GBS28" localSheetId="10">#REF!</definedName>
    <definedName name="____________GBS28" localSheetId="29">#REF!</definedName>
    <definedName name="____________GBS28">#REF!</definedName>
    <definedName name="____________GBS29" localSheetId="8">#REF!</definedName>
    <definedName name="____________GBS29" localSheetId="10">#REF!</definedName>
    <definedName name="____________GBS29" localSheetId="29">#REF!</definedName>
    <definedName name="____________GBS29">#REF!</definedName>
    <definedName name="____________gus1">#REF!</definedName>
    <definedName name="____________hpm1">#REF!</definedName>
    <definedName name="____________knr2" localSheetId="5">#REF!</definedName>
    <definedName name="____________knr2" localSheetId="14">#REF!</definedName>
    <definedName name="____________knr2" localSheetId="8">#REF!</definedName>
    <definedName name="____________knr2" localSheetId="10">#REF!</definedName>
    <definedName name="____________knr2" localSheetId="29">#REF!</definedName>
    <definedName name="____________knr2">#REF!</definedName>
    <definedName name="____________l12" localSheetId="21">#REF!</definedName>
    <definedName name="____________l12" localSheetId="5">#REF!</definedName>
    <definedName name="____________l12" localSheetId="8">#REF!</definedName>
    <definedName name="____________l12" localSheetId="10">#REF!</definedName>
    <definedName name="____________l12" localSheetId="11">#REF!</definedName>
    <definedName name="____________l12" localSheetId="29">#REF!</definedName>
    <definedName name="____________l12" localSheetId="31">#REF!</definedName>
    <definedName name="____________l12" localSheetId="35">#REF!</definedName>
    <definedName name="____________l12" localSheetId="36">#REF!</definedName>
    <definedName name="____________l12">#REF!</definedName>
    <definedName name="____________l3" localSheetId="21">#REF!</definedName>
    <definedName name="____________l3" localSheetId="5">#REF!</definedName>
    <definedName name="____________l3" localSheetId="8">#REF!</definedName>
    <definedName name="____________l3" localSheetId="10">#REF!</definedName>
    <definedName name="____________l3" localSheetId="11">#REF!</definedName>
    <definedName name="____________l3" localSheetId="29">#REF!</definedName>
    <definedName name="____________l3" localSheetId="31">#REF!</definedName>
    <definedName name="____________l3" localSheetId="35">#REF!</definedName>
    <definedName name="____________l3" localSheetId="36">#REF!</definedName>
    <definedName name="____________l3">#REF!</definedName>
    <definedName name="____________l5" localSheetId="21">#REF!</definedName>
    <definedName name="____________l5" localSheetId="5">#REF!</definedName>
    <definedName name="____________l5" localSheetId="8">#REF!</definedName>
    <definedName name="____________l5" localSheetId="10">#REF!</definedName>
    <definedName name="____________l5" localSheetId="11">#REF!</definedName>
    <definedName name="____________l5" localSheetId="29">#REF!</definedName>
    <definedName name="____________l5" localSheetId="31">#REF!</definedName>
    <definedName name="____________l5" localSheetId="35">#REF!</definedName>
    <definedName name="____________l5" localSheetId="36">#REF!</definedName>
    <definedName name="____________l5">#REF!</definedName>
    <definedName name="____________lcn1">#REF!</definedName>
    <definedName name="____________LI9" localSheetId="8">#REF!</definedName>
    <definedName name="____________LI9" localSheetId="10">#REF!</definedName>
    <definedName name="____________LI9" localSheetId="29">#REF!</definedName>
    <definedName name="____________LI9">#REF!</definedName>
    <definedName name="____________LII9" localSheetId="8">#REF!</definedName>
    <definedName name="____________LII9" localSheetId="10">#REF!</definedName>
    <definedName name="____________LII9" localSheetId="29">#REF!</definedName>
    <definedName name="____________LII9">#REF!</definedName>
    <definedName name="____________lm1" localSheetId="29">#REF!</definedName>
    <definedName name="____________ML11" localSheetId="8">#REF!</definedName>
    <definedName name="____________ML11" localSheetId="10">#REF!</definedName>
    <definedName name="____________ML11" localSheetId="29">#REF!</definedName>
    <definedName name="____________ML11">#REF!</definedName>
    <definedName name="____________ML110" localSheetId="8">#REF!</definedName>
    <definedName name="____________ML110" localSheetId="10">#REF!</definedName>
    <definedName name="____________ML110" localSheetId="29">#REF!</definedName>
    <definedName name="____________ML110">#REF!</definedName>
    <definedName name="____________ML111" localSheetId="8">#REF!</definedName>
    <definedName name="____________ML111" localSheetId="10">#REF!</definedName>
    <definedName name="____________ML111" localSheetId="29">#REF!</definedName>
    <definedName name="____________ML111">#REF!</definedName>
    <definedName name="____________ML112" localSheetId="8">#REF!</definedName>
    <definedName name="____________ML112" localSheetId="10">#REF!</definedName>
    <definedName name="____________ML112" localSheetId="29">#REF!</definedName>
    <definedName name="____________ML112">#REF!</definedName>
    <definedName name="____________ML113" localSheetId="8">#REF!</definedName>
    <definedName name="____________ML113" localSheetId="10">#REF!</definedName>
    <definedName name="____________ML113" localSheetId="29">#REF!</definedName>
    <definedName name="____________ML113">#REF!</definedName>
    <definedName name="____________ML114" localSheetId="8">#REF!</definedName>
    <definedName name="____________ML114" localSheetId="10">#REF!</definedName>
    <definedName name="____________ML114" localSheetId="29">#REF!</definedName>
    <definedName name="____________ML114">#REF!</definedName>
    <definedName name="____________ML115" localSheetId="8">#REF!</definedName>
    <definedName name="____________ML115" localSheetId="10">#REF!</definedName>
    <definedName name="____________ML115" localSheetId="29">#REF!</definedName>
    <definedName name="____________ML115">#REF!</definedName>
    <definedName name="____________ML12" localSheetId="8">#REF!</definedName>
    <definedName name="____________ML12" localSheetId="10">#REF!</definedName>
    <definedName name="____________ML12" localSheetId="29">#REF!</definedName>
    <definedName name="____________ML12">#REF!</definedName>
    <definedName name="____________ML13" localSheetId="8">#REF!</definedName>
    <definedName name="____________ML13" localSheetId="10">#REF!</definedName>
    <definedName name="____________ML13" localSheetId="29">#REF!</definedName>
    <definedName name="____________ML13">#REF!</definedName>
    <definedName name="____________ML14" localSheetId="8">#REF!</definedName>
    <definedName name="____________ML14" localSheetId="10">#REF!</definedName>
    <definedName name="____________ML14" localSheetId="29">#REF!</definedName>
    <definedName name="____________ML14">#REF!</definedName>
    <definedName name="____________ML15" localSheetId="8">#REF!</definedName>
    <definedName name="____________ML15" localSheetId="10">#REF!</definedName>
    <definedName name="____________ML15" localSheetId="29">#REF!</definedName>
    <definedName name="____________ML15">#REF!</definedName>
    <definedName name="____________ML16" localSheetId="8">#REF!</definedName>
    <definedName name="____________ML16" localSheetId="10">#REF!</definedName>
    <definedName name="____________ML16" localSheetId="29">#REF!</definedName>
    <definedName name="____________ML16">#REF!</definedName>
    <definedName name="____________ML17" localSheetId="8">#REF!</definedName>
    <definedName name="____________ML17" localSheetId="10">#REF!</definedName>
    <definedName name="____________ML17" localSheetId="29">#REF!</definedName>
    <definedName name="____________ML17">#REF!</definedName>
    <definedName name="____________ML18" localSheetId="8">#REF!</definedName>
    <definedName name="____________ML18" localSheetId="10">#REF!</definedName>
    <definedName name="____________ML18" localSheetId="29">#REF!</definedName>
    <definedName name="____________ML18">#REF!</definedName>
    <definedName name="____________ML19" localSheetId="8">#REF!</definedName>
    <definedName name="____________ML19" localSheetId="10">#REF!</definedName>
    <definedName name="____________ML19" localSheetId="29">#REF!</definedName>
    <definedName name="____________ML19">#REF!</definedName>
    <definedName name="____________ML21" localSheetId="8">#REF!</definedName>
    <definedName name="____________ML21" localSheetId="10">#REF!</definedName>
    <definedName name="____________ML21" localSheetId="29">#REF!</definedName>
    <definedName name="____________ML21">#REF!</definedName>
    <definedName name="____________ML210" localSheetId="8">#REF!</definedName>
    <definedName name="____________ML210" localSheetId="10">#REF!</definedName>
    <definedName name="____________ML210" localSheetId="29">#REF!</definedName>
    <definedName name="____________ML210">#REF!</definedName>
    <definedName name="____________ML211" localSheetId="8">#REF!</definedName>
    <definedName name="____________ML211" localSheetId="10">#REF!</definedName>
    <definedName name="____________ML211" localSheetId="29">#REF!</definedName>
    <definedName name="____________ML211">#REF!</definedName>
    <definedName name="____________ML212" localSheetId="8">#REF!</definedName>
    <definedName name="____________ML212" localSheetId="10">#REF!</definedName>
    <definedName name="____________ML212" localSheetId="29">#REF!</definedName>
    <definedName name="____________ML212">#REF!</definedName>
    <definedName name="____________ML213" localSheetId="8">#REF!</definedName>
    <definedName name="____________ML213" localSheetId="10">#REF!</definedName>
    <definedName name="____________ML213" localSheetId="29">#REF!</definedName>
    <definedName name="____________ML213">#REF!</definedName>
    <definedName name="____________ML214" localSheetId="8">#REF!</definedName>
    <definedName name="____________ML214" localSheetId="10">#REF!</definedName>
    <definedName name="____________ML214" localSheetId="29">#REF!</definedName>
    <definedName name="____________ML214">#REF!</definedName>
    <definedName name="____________ML215" localSheetId="8">#REF!</definedName>
    <definedName name="____________ML215" localSheetId="10">#REF!</definedName>
    <definedName name="____________ML215" localSheetId="29">#REF!</definedName>
    <definedName name="____________ML215">#REF!</definedName>
    <definedName name="____________ML22" localSheetId="8">#REF!</definedName>
    <definedName name="____________ML22" localSheetId="10">#REF!</definedName>
    <definedName name="____________ML22" localSheetId="29">#REF!</definedName>
    <definedName name="____________ML22">#REF!</definedName>
    <definedName name="____________ML23" localSheetId="8">#REF!</definedName>
    <definedName name="____________ML23" localSheetId="10">#REF!</definedName>
    <definedName name="____________ML23" localSheetId="29">#REF!</definedName>
    <definedName name="____________ML23">#REF!</definedName>
    <definedName name="____________ML24" localSheetId="8">#REF!</definedName>
    <definedName name="____________ML24" localSheetId="10">#REF!</definedName>
    <definedName name="____________ML24" localSheetId="29">#REF!</definedName>
    <definedName name="____________ML24">#REF!</definedName>
    <definedName name="____________ML25" localSheetId="8">#REF!</definedName>
    <definedName name="____________ML25" localSheetId="10">#REF!</definedName>
    <definedName name="____________ML25" localSheetId="29">#REF!</definedName>
    <definedName name="____________ML25">#REF!</definedName>
    <definedName name="____________ML26" localSheetId="8">#REF!</definedName>
    <definedName name="____________ML26" localSheetId="10">#REF!</definedName>
    <definedName name="____________ML26" localSheetId="29">#REF!</definedName>
    <definedName name="____________ML26">#REF!</definedName>
    <definedName name="____________ML27" localSheetId="8">#REF!</definedName>
    <definedName name="____________ML27" localSheetId="10">#REF!</definedName>
    <definedName name="____________ML27" localSheetId="29">#REF!</definedName>
    <definedName name="____________ML27">#REF!</definedName>
    <definedName name="____________ML28" localSheetId="8">#REF!</definedName>
    <definedName name="____________ML28" localSheetId="10">#REF!</definedName>
    <definedName name="____________ML28" localSheetId="29">#REF!</definedName>
    <definedName name="____________ML28">#REF!</definedName>
    <definedName name="____________ML29" localSheetId="8">#REF!</definedName>
    <definedName name="____________ML29" localSheetId="10">#REF!</definedName>
    <definedName name="____________ML29" localSheetId="29">#REF!</definedName>
    <definedName name="____________ML29">#REF!</definedName>
    <definedName name="____________ML31" localSheetId="8">#REF!</definedName>
    <definedName name="____________ML31" localSheetId="10">#REF!</definedName>
    <definedName name="____________ML31" localSheetId="29">#REF!</definedName>
    <definedName name="____________ML31">#REF!</definedName>
    <definedName name="____________ML310" localSheetId="8">#REF!</definedName>
    <definedName name="____________ML310" localSheetId="10">#REF!</definedName>
    <definedName name="____________ML310" localSheetId="29">#REF!</definedName>
    <definedName name="____________ML310">#REF!</definedName>
    <definedName name="____________ML311" localSheetId="8">#REF!</definedName>
    <definedName name="____________ML311" localSheetId="10">#REF!</definedName>
    <definedName name="____________ML311" localSheetId="29">#REF!</definedName>
    <definedName name="____________ML311">#REF!</definedName>
    <definedName name="____________ML312" localSheetId="8">#REF!</definedName>
    <definedName name="____________ML312" localSheetId="10">#REF!</definedName>
    <definedName name="____________ML312" localSheetId="29">#REF!</definedName>
    <definedName name="____________ML312">#REF!</definedName>
    <definedName name="____________ML313" localSheetId="8">#REF!</definedName>
    <definedName name="____________ML313" localSheetId="10">#REF!</definedName>
    <definedName name="____________ML313" localSheetId="29">#REF!</definedName>
    <definedName name="____________ML313">#REF!</definedName>
    <definedName name="____________ML314" localSheetId="8">#REF!</definedName>
    <definedName name="____________ML314" localSheetId="10">#REF!</definedName>
    <definedName name="____________ML314" localSheetId="29">#REF!</definedName>
    <definedName name="____________ML314">#REF!</definedName>
    <definedName name="____________ML315" localSheetId="8">#REF!</definedName>
    <definedName name="____________ML315" localSheetId="10">#REF!</definedName>
    <definedName name="____________ML315" localSheetId="29">#REF!</definedName>
    <definedName name="____________ML315">#REF!</definedName>
    <definedName name="____________ML32" localSheetId="8">#REF!</definedName>
    <definedName name="____________ML32" localSheetId="10">#REF!</definedName>
    <definedName name="____________ML32" localSheetId="29">#REF!</definedName>
    <definedName name="____________ML32">#REF!</definedName>
    <definedName name="____________ML33" localSheetId="8">#REF!</definedName>
    <definedName name="____________ML33" localSheetId="10">#REF!</definedName>
    <definedName name="____________ML33" localSheetId="29">#REF!</definedName>
    <definedName name="____________ML33">#REF!</definedName>
    <definedName name="____________ML34" localSheetId="8">#REF!</definedName>
    <definedName name="____________ML34" localSheetId="10">#REF!</definedName>
    <definedName name="____________ML34" localSheetId="29">#REF!</definedName>
    <definedName name="____________ML34">#REF!</definedName>
    <definedName name="____________ML35" localSheetId="8">#REF!</definedName>
    <definedName name="____________ML35" localSheetId="10">#REF!</definedName>
    <definedName name="____________ML35" localSheetId="29">#REF!</definedName>
    <definedName name="____________ML35">#REF!</definedName>
    <definedName name="____________ML36" localSheetId="8">#REF!</definedName>
    <definedName name="____________ML36" localSheetId="10">#REF!</definedName>
    <definedName name="____________ML36" localSheetId="29">#REF!</definedName>
    <definedName name="____________ML36">#REF!</definedName>
    <definedName name="____________ML37" localSheetId="8">#REF!</definedName>
    <definedName name="____________ML37" localSheetId="10">#REF!</definedName>
    <definedName name="____________ML37" localSheetId="29">#REF!</definedName>
    <definedName name="____________ML37">#REF!</definedName>
    <definedName name="____________ML38" localSheetId="8">#REF!</definedName>
    <definedName name="____________ML38" localSheetId="10">#REF!</definedName>
    <definedName name="____________ML38" localSheetId="29">#REF!</definedName>
    <definedName name="____________ML38">#REF!</definedName>
    <definedName name="____________ML39" localSheetId="8">#REF!</definedName>
    <definedName name="____________ML39" localSheetId="10">#REF!</definedName>
    <definedName name="____________ML39" localSheetId="29">#REF!</definedName>
    <definedName name="____________ML39">#REF!</definedName>
    <definedName name="____________ML7" localSheetId="8">#REF!</definedName>
    <definedName name="____________ML7" localSheetId="10">#REF!</definedName>
    <definedName name="____________ML7" localSheetId="29">#REF!</definedName>
    <definedName name="____________ML7">#REF!</definedName>
    <definedName name="____________ML8" localSheetId="8">#REF!</definedName>
    <definedName name="____________ML8" localSheetId="10">#REF!</definedName>
    <definedName name="____________ML8" localSheetId="29">#REF!</definedName>
    <definedName name="____________ML8">#REF!</definedName>
    <definedName name="____________ML9" localSheetId="8">#REF!</definedName>
    <definedName name="____________ML9" localSheetId="10">#REF!</definedName>
    <definedName name="____________ML9" localSheetId="29">#REF!</definedName>
    <definedName name="____________ML9">#REF!</definedName>
    <definedName name="____________mm20" localSheetId="29">#REF!</definedName>
    <definedName name="____________mm40">#REF!</definedName>
    <definedName name="____________pc2" localSheetId="21">#REF!</definedName>
    <definedName name="____________pc2" localSheetId="5">#REF!</definedName>
    <definedName name="____________pc2" localSheetId="8">#REF!</definedName>
    <definedName name="____________pc2" localSheetId="10">#REF!</definedName>
    <definedName name="____________pc2" localSheetId="11">#REF!</definedName>
    <definedName name="____________pc2" localSheetId="29">#REF!</definedName>
    <definedName name="____________pc2" localSheetId="31">#REF!</definedName>
    <definedName name="____________pc2" localSheetId="35">#REF!</definedName>
    <definedName name="____________pc2" localSheetId="36">#REF!</definedName>
    <definedName name="____________pc2">#REF!</definedName>
    <definedName name="____________PMS2" localSheetId="8">#REF!</definedName>
    <definedName name="____________PMS2" localSheetId="10">#REF!</definedName>
    <definedName name="____________PMS2" localSheetId="29">#REF!</definedName>
    <definedName name="____________PMS2">#REF!</definedName>
    <definedName name="____________pv2" localSheetId="21">#REF!</definedName>
    <definedName name="____________pv2" localSheetId="5">#REF!</definedName>
    <definedName name="____________pv2" localSheetId="8">#REF!</definedName>
    <definedName name="____________pv2" localSheetId="10">#REF!</definedName>
    <definedName name="____________pv2" localSheetId="11">#REF!</definedName>
    <definedName name="____________pv2" localSheetId="29">#REF!</definedName>
    <definedName name="____________pv2" localSheetId="31">#REF!</definedName>
    <definedName name="____________pv2" localSheetId="35">#REF!</definedName>
    <definedName name="____________pv2" localSheetId="36">#REF!</definedName>
    <definedName name="____________pv2">#REF!</definedName>
    <definedName name="____________sw1" localSheetId="29">#REF!</definedName>
    <definedName name="____________us1">#REF!</definedName>
    <definedName name="____________var1" localSheetId="21">#REF!</definedName>
    <definedName name="____________var1" localSheetId="5">#REF!</definedName>
    <definedName name="____________var1" localSheetId="8">#REF!</definedName>
    <definedName name="____________var1" localSheetId="10">#REF!</definedName>
    <definedName name="____________var1" localSheetId="11">#REF!</definedName>
    <definedName name="____________var1" localSheetId="29">#REF!</definedName>
    <definedName name="____________var1" localSheetId="31">#REF!</definedName>
    <definedName name="____________var1" localSheetId="35">#REF!</definedName>
    <definedName name="____________var1" localSheetId="36">#REF!</definedName>
    <definedName name="____________var1">#REF!</definedName>
    <definedName name="____________var4" localSheetId="21">#REF!</definedName>
    <definedName name="____________var4" localSheetId="5">#REF!</definedName>
    <definedName name="____________var4" localSheetId="8">#REF!</definedName>
    <definedName name="____________var4" localSheetId="10">#REF!</definedName>
    <definedName name="____________var4" localSheetId="11">#REF!</definedName>
    <definedName name="____________var4" localSheetId="29">#REF!</definedName>
    <definedName name="____________var4" localSheetId="31">#REF!</definedName>
    <definedName name="____________var4" localSheetId="35">#REF!</definedName>
    <definedName name="____________var4" localSheetId="36">#REF!</definedName>
    <definedName name="____________var4">#REF!</definedName>
    <definedName name="____________vat1">#REF!</definedName>
    <definedName name="____________vat2">#REF!</definedName>
    <definedName name="____________xlfn_BAHTTEXT">#N/A</definedName>
    <definedName name="___________abs1" localSheetId="8">#REF!</definedName>
    <definedName name="___________abs1" localSheetId="10">#REF!</definedName>
    <definedName name="___________abs1" localSheetId="29">#REF!</definedName>
    <definedName name="___________abs1">#REF!</definedName>
    <definedName name="___________AUX1" localSheetId="29">#REF!</definedName>
    <definedName name="___________aux2" localSheetId="29">#REF!</definedName>
    <definedName name="___________AUX3">#REF!</definedName>
    <definedName name="___________BSG100" localSheetId="8">#REF!</definedName>
    <definedName name="___________BSG100" localSheetId="10">#REF!</definedName>
    <definedName name="___________BSG100" localSheetId="29">#REF!</definedName>
    <definedName name="___________BSG100">#REF!</definedName>
    <definedName name="___________BSG150" localSheetId="8">#REF!</definedName>
    <definedName name="___________BSG150" localSheetId="10">#REF!</definedName>
    <definedName name="___________BSG150" localSheetId="29">#REF!</definedName>
    <definedName name="___________BSG150">#REF!</definedName>
    <definedName name="___________BSG5" localSheetId="8">#REF!</definedName>
    <definedName name="___________BSG5" localSheetId="10">#REF!</definedName>
    <definedName name="___________BSG5" localSheetId="29">#REF!</definedName>
    <definedName name="___________BSG5">#REF!</definedName>
    <definedName name="___________BSG75" localSheetId="8">#REF!</definedName>
    <definedName name="___________BSG75" localSheetId="10">#REF!</definedName>
    <definedName name="___________BSG75" localSheetId="29">#REF!</definedName>
    <definedName name="___________BSG75">#REF!</definedName>
    <definedName name="___________BTC1" localSheetId="8">#REF!</definedName>
    <definedName name="___________BTC1" localSheetId="10">#REF!</definedName>
    <definedName name="___________BTC1" localSheetId="29">#REF!</definedName>
    <definedName name="___________BTC1">#REF!</definedName>
    <definedName name="___________BTC10" localSheetId="8">#REF!</definedName>
    <definedName name="___________BTC10" localSheetId="10">#REF!</definedName>
    <definedName name="___________BTC10" localSheetId="29">#REF!</definedName>
    <definedName name="___________BTC10">#REF!</definedName>
    <definedName name="___________BTC11" localSheetId="8">#REF!</definedName>
    <definedName name="___________BTC11" localSheetId="10">#REF!</definedName>
    <definedName name="___________BTC11" localSheetId="29">#REF!</definedName>
    <definedName name="___________BTC11">#REF!</definedName>
    <definedName name="___________BTC12" localSheetId="8">#REF!</definedName>
    <definedName name="___________BTC12" localSheetId="10">#REF!</definedName>
    <definedName name="___________BTC12" localSheetId="29">#REF!</definedName>
    <definedName name="___________BTC12">#REF!</definedName>
    <definedName name="___________BTC13" localSheetId="8">#REF!</definedName>
    <definedName name="___________BTC13" localSheetId="10">#REF!</definedName>
    <definedName name="___________BTC13" localSheetId="29">#REF!</definedName>
    <definedName name="___________BTC13">#REF!</definedName>
    <definedName name="___________BTC14" localSheetId="8">#REF!</definedName>
    <definedName name="___________BTC14" localSheetId="10">#REF!</definedName>
    <definedName name="___________BTC14" localSheetId="29">#REF!</definedName>
    <definedName name="___________BTC14">#REF!</definedName>
    <definedName name="___________BTC15" localSheetId="8">#REF!</definedName>
    <definedName name="___________BTC15" localSheetId="10">#REF!</definedName>
    <definedName name="___________BTC15" localSheetId="29">#REF!</definedName>
    <definedName name="___________BTC15">#REF!</definedName>
    <definedName name="___________BTC2" localSheetId="8">#REF!</definedName>
    <definedName name="___________BTC2" localSheetId="10">#REF!</definedName>
    <definedName name="___________BTC2" localSheetId="29">#REF!</definedName>
    <definedName name="___________BTC2">#REF!</definedName>
    <definedName name="___________BTC3" localSheetId="8">#REF!</definedName>
    <definedName name="___________BTC3" localSheetId="10">#REF!</definedName>
    <definedName name="___________BTC3" localSheetId="29">#REF!</definedName>
    <definedName name="___________BTC3">#REF!</definedName>
    <definedName name="___________BTC4" localSheetId="8">#REF!</definedName>
    <definedName name="___________BTC4" localSheetId="10">#REF!</definedName>
    <definedName name="___________BTC4" localSheetId="29">#REF!</definedName>
    <definedName name="___________BTC4">#REF!</definedName>
    <definedName name="___________BTC5" localSheetId="8">#REF!</definedName>
    <definedName name="___________BTC5" localSheetId="10">#REF!</definedName>
    <definedName name="___________BTC5" localSheetId="29">#REF!</definedName>
    <definedName name="___________BTC5">#REF!</definedName>
    <definedName name="___________BTC6" localSheetId="8">#REF!</definedName>
    <definedName name="___________BTC6" localSheetId="10">#REF!</definedName>
    <definedName name="___________BTC6" localSheetId="29">#REF!</definedName>
    <definedName name="___________BTC6">#REF!</definedName>
    <definedName name="___________BTC7" localSheetId="8">#REF!</definedName>
    <definedName name="___________BTC7" localSheetId="10">#REF!</definedName>
    <definedName name="___________BTC7" localSheetId="29">#REF!</definedName>
    <definedName name="___________BTC7">#REF!</definedName>
    <definedName name="___________BTC8" localSheetId="8">#REF!</definedName>
    <definedName name="___________BTC8" localSheetId="10">#REF!</definedName>
    <definedName name="___________BTC8" localSheetId="29">#REF!</definedName>
    <definedName name="___________BTC8">#REF!</definedName>
    <definedName name="___________BTC9" localSheetId="8">#REF!</definedName>
    <definedName name="___________BTC9" localSheetId="10">#REF!</definedName>
    <definedName name="___________BTC9" localSheetId="29">#REF!</definedName>
    <definedName name="___________BTC9">#REF!</definedName>
    <definedName name="___________BTS1" localSheetId="8">#REF!</definedName>
    <definedName name="___________BTS1" localSheetId="10">#REF!</definedName>
    <definedName name="___________BTS1" localSheetId="29">#REF!</definedName>
    <definedName name="___________BTS1">#REF!</definedName>
    <definedName name="___________BTS10" localSheetId="8">#REF!</definedName>
    <definedName name="___________BTS10" localSheetId="10">#REF!</definedName>
    <definedName name="___________BTS10" localSheetId="29">#REF!</definedName>
    <definedName name="___________BTS10">#REF!</definedName>
    <definedName name="___________BTS11" localSheetId="8">#REF!</definedName>
    <definedName name="___________BTS11" localSheetId="10">#REF!</definedName>
    <definedName name="___________BTS11" localSheetId="29">#REF!</definedName>
    <definedName name="___________BTS11">#REF!</definedName>
    <definedName name="___________BTS12" localSheetId="8">#REF!</definedName>
    <definedName name="___________BTS12" localSheetId="10">#REF!</definedName>
    <definedName name="___________BTS12" localSheetId="29">#REF!</definedName>
    <definedName name="___________BTS12">#REF!</definedName>
    <definedName name="___________BTS13" localSheetId="8">#REF!</definedName>
    <definedName name="___________BTS13" localSheetId="10">#REF!</definedName>
    <definedName name="___________BTS13" localSheetId="29">#REF!</definedName>
    <definedName name="___________BTS13">#REF!</definedName>
    <definedName name="___________BTS14" localSheetId="8">#REF!</definedName>
    <definedName name="___________BTS14" localSheetId="10">#REF!</definedName>
    <definedName name="___________BTS14" localSheetId="29">#REF!</definedName>
    <definedName name="___________BTS14">#REF!</definedName>
    <definedName name="___________BTS15" localSheetId="8">#REF!</definedName>
    <definedName name="___________BTS15" localSheetId="10">#REF!</definedName>
    <definedName name="___________BTS15" localSheetId="29">#REF!</definedName>
    <definedName name="___________BTS15">#REF!</definedName>
    <definedName name="___________BTS2" localSheetId="8">#REF!</definedName>
    <definedName name="___________BTS2" localSheetId="10">#REF!</definedName>
    <definedName name="___________BTS2" localSheetId="29">#REF!</definedName>
    <definedName name="___________BTS2">#REF!</definedName>
    <definedName name="___________BTS3" localSheetId="8">#REF!</definedName>
    <definedName name="___________BTS3" localSheetId="10">#REF!</definedName>
    <definedName name="___________BTS3" localSheetId="29">#REF!</definedName>
    <definedName name="___________BTS3">#REF!</definedName>
    <definedName name="___________BTS4" localSheetId="8">#REF!</definedName>
    <definedName name="___________BTS4" localSheetId="10">#REF!</definedName>
    <definedName name="___________BTS4" localSheetId="29">#REF!</definedName>
    <definedName name="___________BTS4">#REF!</definedName>
    <definedName name="___________BTS5" localSheetId="8">#REF!</definedName>
    <definedName name="___________BTS5" localSheetId="10">#REF!</definedName>
    <definedName name="___________BTS5" localSheetId="29">#REF!</definedName>
    <definedName name="___________BTS5">#REF!</definedName>
    <definedName name="___________BTS6" localSheetId="8">#REF!</definedName>
    <definedName name="___________BTS6" localSheetId="10">#REF!</definedName>
    <definedName name="___________BTS6" localSheetId="29">#REF!</definedName>
    <definedName name="___________BTS6">#REF!</definedName>
    <definedName name="___________BTS7" localSheetId="8">#REF!</definedName>
    <definedName name="___________BTS7" localSheetId="10">#REF!</definedName>
    <definedName name="___________BTS7" localSheetId="29">#REF!</definedName>
    <definedName name="___________BTS7">#REF!</definedName>
    <definedName name="___________BTS8" localSheetId="8">#REF!</definedName>
    <definedName name="___________BTS8" localSheetId="10">#REF!</definedName>
    <definedName name="___________BTS8" localSheetId="29">#REF!</definedName>
    <definedName name="___________BTS8">#REF!</definedName>
    <definedName name="___________BTS9" localSheetId="8">#REF!</definedName>
    <definedName name="___________BTS9" localSheetId="10">#REF!</definedName>
    <definedName name="___________BTS9" localSheetId="29">#REF!</definedName>
    <definedName name="___________BTS9">#REF!</definedName>
    <definedName name="___________can430">40.73</definedName>
    <definedName name="___________can435">43.3</definedName>
    <definedName name="___________cbr1" localSheetId="29">#REF!</definedName>
    <definedName name="___________cbr2">#REF!</definedName>
    <definedName name="___________cbr3">#REF!</definedName>
    <definedName name="___________cbr4">#REF!</definedName>
    <definedName name="___________er1">#REF!</definedName>
    <definedName name="___________ewe1" localSheetId="29">#REF!</definedName>
    <definedName name="___________f1">#REF!</definedName>
    <definedName name="___________GBS11" localSheetId="8">#REF!</definedName>
    <definedName name="___________GBS11" localSheetId="10">#REF!</definedName>
    <definedName name="___________GBS11" localSheetId="29">#REF!</definedName>
    <definedName name="___________GBS11">#REF!</definedName>
    <definedName name="___________GBS110" localSheetId="8">#REF!</definedName>
    <definedName name="___________GBS110" localSheetId="10">#REF!</definedName>
    <definedName name="___________GBS110" localSheetId="29">#REF!</definedName>
    <definedName name="___________GBS110">#REF!</definedName>
    <definedName name="___________GBS111" localSheetId="8">#REF!</definedName>
    <definedName name="___________GBS111" localSheetId="10">#REF!</definedName>
    <definedName name="___________GBS111" localSheetId="29">#REF!</definedName>
    <definedName name="___________GBS111">#REF!</definedName>
    <definedName name="___________GBS112" localSheetId="8">#REF!</definedName>
    <definedName name="___________GBS112" localSheetId="10">#REF!</definedName>
    <definedName name="___________GBS112" localSheetId="29">#REF!</definedName>
    <definedName name="___________GBS112">#REF!</definedName>
    <definedName name="___________GBS113" localSheetId="8">#REF!</definedName>
    <definedName name="___________GBS113" localSheetId="10">#REF!</definedName>
    <definedName name="___________GBS113" localSheetId="29">#REF!</definedName>
    <definedName name="___________GBS113">#REF!</definedName>
    <definedName name="___________GBS114" localSheetId="8">#REF!</definedName>
    <definedName name="___________GBS114" localSheetId="10">#REF!</definedName>
    <definedName name="___________GBS114" localSheetId="29">#REF!</definedName>
    <definedName name="___________GBS114">#REF!</definedName>
    <definedName name="___________GBS115" localSheetId="8">#REF!</definedName>
    <definedName name="___________GBS115" localSheetId="10">#REF!</definedName>
    <definedName name="___________GBS115" localSheetId="29">#REF!</definedName>
    <definedName name="___________GBS115">#REF!</definedName>
    <definedName name="___________GBS12" localSheetId="8">#REF!</definedName>
    <definedName name="___________GBS12" localSheetId="10">#REF!</definedName>
    <definedName name="___________GBS12" localSheetId="29">#REF!</definedName>
    <definedName name="___________GBS12">#REF!</definedName>
    <definedName name="___________GBS13" localSheetId="8">#REF!</definedName>
    <definedName name="___________GBS13" localSheetId="10">#REF!</definedName>
    <definedName name="___________GBS13" localSheetId="29">#REF!</definedName>
    <definedName name="___________GBS13">#REF!</definedName>
    <definedName name="___________GBS14" localSheetId="8">#REF!</definedName>
    <definedName name="___________GBS14" localSheetId="10">#REF!</definedName>
    <definedName name="___________GBS14" localSheetId="29">#REF!</definedName>
    <definedName name="___________GBS14">#REF!</definedName>
    <definedName name="___________GBS15" localSheetId="8">#REF!</definedName>
    <definedName name="___________GBS15" localSheetId="10">#REF!</definedName>
    <definedName name="___________GBS15" localSheetId="29">#REF!</definedName>
    <definedName name="___________GBS15">#REF!</definedName>
    <definedName name="___________GBS16" localSheetId="8">#REF!</definedName>
    <definedName name="___________GBS16" localSheetId="10">#REF!</definedName>
    <definedName name="___________GBS16" localSheetId="29">#REF!</definedName>
    <definedName name="___________GBS16">#REF!</definedName>
    <definedName name="___________GBS17" localSheetId="8">#REF!</definedName>
    <definedName name="___________GBS17" localSheetId="10">#REF!</definedName>
    <definedName name="___________GBS17" localSheetId="29">#REF!</definedName>
    <definedName name="___________GBS17">#REF!</definedName>
    <definedName name="___________GBS18" localSheetId="8">#REF!</definedName>
    <definedName name="___________GBS18" localSheetId="10">#REF!</definedName>
    <definedName name="___________GBS18" localSheetId="29">#REF!</definedName>
    <definedName name="___________GBS18">#REF!</definedName>
    <definedName name="___________GBS19" localSheetId="8">#REF!</definedName>
    <definedName name="___________GBS19" localSheetId="10">#REF!</definedName>
    <definedName name="___________GBS19" localSheetId="29">#REF!</definedName>
    <definedName name="___________GBS19">#REF!</definedName>
    <definedName name="___________GBS21" localSheetId="8">#REF!</definedName>
    <definedName name="___________GBS21" localSheetId="10">#REF!</definedName>
    <definedName name="___________GBS21" localSheetId="29">#REF!</definedName>
    <definedName name="___________GBS21">#REF!</definedName>
    <definedName name="___________GBS210" localSheetId="8">#REF!</definedName>
    <definedName name="___________GBS210" localSheetId="10">#REF!</definedName>
    <definedName name="___________GBS210" localSheetId="29">#REF!</definedName>
    <definedName name="___________GBS210">#REF!</definedName>
    <definedName name="___________GBS211" localSheetId="8">#REF!</definedName>
    <definedName name="___________GBS211" localSheetId="10">#REF!</definedName>
    <definedName name="___________GBS211" localSheetId="29">#REF!</definedName>
    <definedName name="___________GBS211">#REF!</definedName>
    <definedName name="___________GBS212" localSheetId="8">#REF!</definedName>
    <definedName name="___________GBS212" localSheetId="10">#REF!</definedName>
    <definedName name="___________GBS212" localSheetId="29">#REF!</definedName>
    <definedName name="___________GBS212">#REF!</definedName>
    <definedName name="___________GBS213" localSheetId="8">#REF!</definedName>
    <definedName name="___________GBS213" localSheetId="10">#REF!</definedName>
    <definedName name="___________GBS213" localSheetId="29">#REF!</definedName>
    <definedName name="___________GBS213">#REF!</definedName>
    <definedName name="___________GBS214" localSheetId="8">#REF!</definedName>
    <definedName name="___________GBS214" localSheetId="10">#REF!</definedName>
    <definedName name="___________GBS214" localSheetId="29">#REF!</definedName>
    <definedName name="___________GBS214">#REF!</definedName>
    <definedName name="___________GBS215" localSheetId="8">#REF!</definedName>
    <definedName name="___________GBS215" localSheetId="10">#REF!</definedName>
    <definedName name="___________GBS215" localSheetId="29">#REF!</definedName>
    <definedName name="___________GBS215">#REF!</definedName>
    <definedName name="___________GBS22" localSheetId="8">#REF!</definedName>
    <definedName name="___________GBS22" localSheetId="10">#REF!</definedName>
    <definedName name="___________GBS22" localSheetId="29">#REF!</definedName>
    <definedName name="___________GBS22">#REF!</definedName>
    <definedName name="___________GBS23" localSheetId="8">#REF!</definedName>
    <definedName name="___________GBS23" localSheetId="10">#REF!</definedName>
    <definedName name="___________GBS23" localSheetId="29">#REF!</definedName>
    <definedName name="___________GBS23">#REF!</definedName>
    <definedName name="___________GBS24" localSheetId="8">#REF!</definedName>
    <definedName name="___________GBS24" localSheetId="10">#REF!</definedName>
    <definedName name="___________GBS24" localSheetId="29">#REF!</definedName>
    <definedName name="___________GBS24">#REF!</definedName>
    <definedName name="___________GBS25" localSheetId="8">#REF!</definedName>
    <definedName name="___________GBS25" localSheetId="10">#REF!</definedName>
    <definedName name="___________GBS25" localSheetId="29">#REF!</definedName>
    <definedName name="___________GBS25">#REF!</definedName>
    <definedName name="___________GBS26" localSheetId="8">#REF!</definedName>
    <definedName name="___________GBS26" localSheetId="10">#REF!</definedName>
    <definedName name="___________GBS26" localSheetId="29">#REF!</definedName>
    <definedName name="___________GBS26">#REF!</definedName>
    <definedName name="___________GBS27" localSheetId="8">#REF!</definedName>
    <definedName name="___________GBS27" localSheetId="10">#REF!</definedName>
    <definedName name="___________GBS27" localSheetId="29">#REF!</definedName>
    <definedName name="___________GBS27">#REF!</definedName>
    <definedName name="___________GBS28" localSheetId="8">#REF!</definedName>
    <definedName name="___________GBS28" localSheetId="10">#REF!</definedName>
    <definedName name="___________GBS28" localSheetId="29">#REF!</definedName>
    <definedName name="___________GBS28">#REF!</definedName>
    <definedName name="___________GBS29" localSheetId="8">#REF!</definedName>
    <definedName name="___________GBS29" localSheetId="10">#REF!</definedName>
    <definedName name="___________GBS29" localSheetId="29">#REF!</definedName>
    <definedName name="___________GBS29">#REF!</definedName>
    <definedName name="___________gus1">#REF!</definedName>
    <definedName name="___________hpm1">#REF!</definedName>
    <definedName name="___________knr2" localSheetId="5">#REF!</definedName>
    <definedName name="___________knr2" localSheetId="14">#REF!</definedName>
    <definedName name="___________knr2" localSheetId="8">#REF!</definedName>
    <definedName name="___________knr2" localSheetId="10">#REF!</definedName>
    <definedName name="___________knr2" localSheetId="29">#REF!</definedName>
    <definedName name="___________knr2">#REF!</definedName>
    <definedName name="___________l12" localSheetId="21">#REF!</definedName>
    <definedName name="___________l12" localSheetId="5">#REF!</definedName>
    <definedName name="___________l12" localSheetId="8">#REF!</definedName>
    <definedName name="___________l12" localSheetId="10">#REF!</definedName>
    <definedName name="___________l12" localSheetId="11">#REF!</definedName>
    <definedName name="___________l12" localSheetId="29">#REF!</definedName>
    <definedName name="___________l12" localSheetId="31">#REF!</definedName>
    <definedName name="___________l12" localSheetId="35">#REF!</definedName>
    <definedName name="___________l12" localSheetId="36">#REF!</definedName>
    <definedName name="___________l12">#REF!</definedName>
    <definedName name="___________l3" localSheetId="21">#REF!</definedName>
    <definedName name="___________l3" localSheetId="5">#REF!</definedName>
    <definedName name="___________l3" localSheetId="8">#REF!</definedName>
    <definedName name="___________l3" localSheetId="10">#REF!</definedName>
    <definedName name="___________l3" localSheetId="11">#REF!</definedName>
    <definedName name="___________l3" localSheetId="29">#REF!</definedName>
    <definedName name="___________l3" localSheetId="31">#REF!</definedName>
    <definedName name="___________l3" localSheetId="35">#REF!</definedName>
    <definedName name="___________l3" localSheetId="36">#REF!</definedName>
    <definedName name="___________l3">#REF!</definedName>
    <definedName name="___________l5" localSheetId="21">#REF!</definedName>
    <definedName name="___________l5" localSheetId="5">#REF!</definedName>
    <definedName name="___________l5" localSheetId="8">#REF!</definedName>
    <definedName name="___________l5" localSheetId="10">#REF!</definedName>
    <definedName name="___________l5" localSheetId="11">#REF!</definedName>
    <definedName name="___________l5" localSheetId="29">#REF!</definedName>
    <definedName name="___________l5" localSheetId="31">#REF!</definedName>
    <definedName name="___________l5" localSheetId="35">#REF!</definedName>
    <definedName name="___________l5" localSheetId="36">#REF!</definedName>
    <definedName name="___________l5">#REF!</definedName>
    <definedName name="___________lcn1">#REF!</definedName>
    <definedName name="___________LI9" localSheetId="8">#REF!</definedName>
    <definedName name="___________LI9" localSheetId="10">#REF!</definedName>
    <definedName name="___________LI9" localSheetId="29">#REF!</definedName>
    <definedName name="___________LI9">#REF!</definedName>
    <definedName name="___________LII9" localSheetId="8">#REF!</definedName>
    <definedName name="___________LII9" localSheetId="10">#REF!</definedName>
    <definedName name="___________LII9" localSheetId="29">#REF!</definedName>
    <definedName name="___________LII9">#REF!</definedName>
    <definedName name="___________lm1" localSheetId="29">#REF!</definedName>
    <definedName name="___________ML11" localSheetId="8">#REF!</definedName>
    <definedName name="___________ML11" localSheetId="10">#REF!</definedName>
    <definedName name="___________ML11" localSheetId="29">#REF!</definedName>
    <definedName name="___________ML11">#REF!</definedName>
    <definedName name="___________ML110" localSheetId="8">#REF!</definedName>
    <definedName name="___________ML110" localSheetId="10">#REF!</definedName>
    <definedName name="___________ML110" localSheetId="29">#REF!</definedName>
    <definedName name="___________ML110">#REF!</definedName>
    <definedName name="___________ML111" localSheetId="8">#REF!</definedName>
    <definedName name="___________ML111" localSheetId="10">#REF!</definedName>
    <definedName name="___________ML111" localSheetId="29">#REF!</definedName>
    <definedName name="___________ML111">#REF!</definedName>
    <definedName name="___________ML112" localSheetId="8">#REF!</definedName>
    <definedName name="___________ML112" localSheetId="10">#REF!</definedName>
    <definedName name="___________ML112" localSheetId="29">#REF!</definedName>
    <definedName name="___________ML112">#REF!</definedName>
    <definedName name="___________ML113" localSheetId="8">#REF!</definedName>
    <definedName name="___________ML113" localSheetId="10">#REF!</definedName>
    <definedName name="___________ML113" localSheetId="29">#REF!</definedName>
    <definedName name="___________ML113">#REF!</definedName>
    <definedName name="___________ML114" localSheetId="8">#REF!</definedName>
    <definedName name="___________ML114" localSheetId="10">#REF!</definedName>
    <definedName name="___________ML114" localSheetId="29">#REF!</definedName>
    <definedName name="___________ML114">#REF!</definedName>
    <definedName name="___________ML115" localSheetId="8">#REF!</definedName>
    <definedName name="___________ML115" localSheetId="10">#REF!</definedName>
    <definedName name="___________ML115" localSheetId="29">#REF!</definedName>
    <definedName name="___________ML115">#REF!</definedName>
    <definedName name="___________ML12" localSheetId="8">#REF!</definedName>
    <definedName name="___________ML12" localSheetId="10">#REF!</definedName>
    <definedName name="___________ML12" localSheetId="29">#REF!</definedName>
    <definedName name="___________ML12">#REF!</definedName>
    <definedName name="___________ML13" localSheetId="8">#REF!</definedName>
    <definedName name="___________ML13" localSheetId="10">#REF!</definedName>
    <definedName name="___________ML13" localSheetId="29">#REF!</definedName>
    <definedName name="___________ML13">#REF!</definedName>
    <definedName name="___________ML14" localSheetId="8">#REF!</definedName>
    <definedName name="___________ML14" localSheetId="10">#REF!</definedName>
    <definedName name="___________ML14" localSheetId="29">#REF!</definedName>
    <definedName name="___________ML14">#REF!</definedName>
    <definedName name="___________ML15" localSheetId="8">#REF!</definedName>
    <definedName name="___________ML15" localSheetId="10">#REF!</definedName>
    <definedName name="___________ML15" localSheetId="29">#REF!</definedName>
    <definedName name="___________ML15">#REF!</definedName>
    <definedName name="___________ML16" localSheetId="8">#REF!</definedName>
    <definedName name="___________ML16" localSheetId="10">#REF!</definedName>
    <definedName name="___________ML16" localSheetId="29">#REF!</definedName>
    <definedName name="___________ML16">#REF!</definedName>
    <definedName name="___________ML17" localSheetId="8">#REF!</definedName>
    <definedName name="___________ML17" localSheetId="10">#REF!</definedName>
    <definedName name="___________ML17" localSheetId="29">#REF!</definedName>
    <definedName name="___________ML17">#REF!</definedName>
    <definedName name="___________ML18" localSheetId="8">#REF!</definedName>
    <definedName name="___________ML18" localSheetId="10">#REF!</definedName>
    <definedName name="___________ML18" localSheetId="29">#REF!</definedName>
    <definedName name="___________ML18">#REF!</definedName>
    <definedName name="___________ML19" localSheetId="8">#REF!</definedName>
    <definedName name="___________ML19" localSheetId="10">#REF!</definedName>
    <definedName name="___________ML19" localSheetId="29">#REF!</definedName>
    <definedName name="___________ML19">#REF!</definedName>
    <definedName name="___________ML21" localSheetId="8">#REF!</definedName>
    <definedName name="___________ML21" localSheetId="10">#REF!</definedName>
    <definedName name="___________ML21" localSheetId="29">#REF!</definedName>
    <definedName name="___________ML21">#REF!</definedName>
    <definedName name="___________ML210" localSheetId="8">#REF!</definedName>
    <definedName name="___________ML210" localSheetId="10">#REF!</definedName>
    <definedName name="___________ML210" localSheetId="29">#REF!</definedName>
    <definedName name="___________ML210">#REF!</definedName>
    <definedName name="___________ML211" localSheetId="8">#REF!</definedName>
    <definedName name="___________ML211" localSheetId="10">#REF!</definedName>
    <definedName name="___________ML211" localSheetId="29">#REF!</definedName>
    <definedName name="___________ML211">#REF!</definedName>
    <definedName name="___________ML212" localSheetId="8">#REF!</definedName>
    <definedName name="___________ML212" localSheetId="10">#REF!</definedName>
    <definedName name="___________ML212" localSheetId="29">#REF!</definedName>
    <definedName name="___________ML212">#REF!</definedName>
    <definedName name="___________ML213" localSheetId="8">#REF!</definedName>
    <definedName name="___________ML213" localSheetId="10">#REF!</definedName>
    <definedName name="___________ML213" localSheetId="29">#REF!</definedName>
    <definedName name="___________ML213">#REF!</definedName>
    <definedName name="___________ML214" localSheetId="8">#REF!</definedName>
    <definedName name="___________ML214" localSheetId="10">#REF!</definedName>
    <definedName name="___________ML214" localSheetId="29">#REF!</definedName>
    <definedName name="___________ML214">#REF!</definedName>
    <definedName name="___________ML215" localSheetId="8">#REF!</definedName>
    <definedName name="___________ML215" localSheetId="10">#REF!</definedName>
    <definedName name="___________ML215" localSheetId="29">#REF!</definedName>
    <definedName name="___________ML215">#REF!</definedName>
    <definedName name="___________ML22" localSheetId="8">#REF!</definedName>
    <definedName name="___________ML22" localSheetId="10">#REF!</definedName>
    <definedName name="___________ML22" localSheetId="29">#REF!</definedName>
    <definedName name="___________ML22">#REF!</definedName>
    <definedName name="___________ML23" localSheetId="8">#REF!</definedName>
    <definedName name="___________ML23" localSheetId="10">#REF!</definedName>
    <definedName name="___________ML23" localSheetId="29">#REF!</definedName>
    <definedName name="___________ML23">#REF!</definedName>
    <definedName name="___________ML24" localSheetId="8">#REF!</definedName>
    <definedName name="___________ML24" localSheetId="10">#REF!</definedName>
    <definedName name="___________ML24" localSheetId="29">#REF!</definedName>
    <definedName name="___________ML24">#REF!</definedName>
    <definedName name="___________ML25" localSheetId="8">#REF!</definedName>
    <definedName name="___________ML25" localSheetId="10">#REF!</definedName>
    <definedName name="___________ML25" localSheetId="29">#REF!</definedName>
    <definedName name="___________ML25">#REF!</definedName>
    <definedName name="___________ML26" localSheetId="8">#REF!</definedName>
    <definedName name="___________ML26" localSheetId="10">#REF!</definedName>
    <definedName name="___________ML26" localSheetId="29">#REF!</definedName>
    <definedName name="___________ML26">#REF!</definedName>
    <definedName name="___________ML27" localSheetId="8">#REF!</definedName>
    <definedName name="___________ML27" localSheetId="10">#REF!</definedName>
    <definedName name="___________ML27" localSheetId="29">#REF!</definedName>
    <definedName name="___________ML27">#REF!</definedName>
    <definedName name="___________ML28" localSheetId="8">#REF!</definedName>
    <definedName name="___________ML28" localSheetId="10">#REF!</definedName>
    <definedName name="___________ML28" localSheetId="29">#REF!</definedName>
    <definedName name="___________ML28">#REF!</definedName>
    <definedName name="___________ML29" localSheetId="8">#REF!</definedName>
    <definedName name="___________ML29" localSheetId="10">#REF!</definedName>
    <definedName name="___________ML29" localSheetId="29">#REF!</definedName>
    <definedName name="___________ML29">#REF!</definedName>
    <definedName name="___________ML31" localSheetId="8">#REF!</definedName>
    <definedName name="___________ML31" localSheetId="10">#REF!</definedName>
    <definedName name="___________ML31" localSheetId="29">#REF!</definedName>
    <definedName name="___________ML31">#REF!</definedName>
    <definedName name="___________ML310" localSheetId="8">#REF!</definedName>
    <definedName name="___________ML310" localSheetId="10">#REF!</definedName>
    <definedName name="___________ML310" localSheetId="29">#REF!</definedName>
    <definedName name="___________ML310">#REF!</definedName>
    <definedName name="___________ML311" localSheetId="8">#REF!</definedName>
    <definedName name="___________ML311" localSheetId="10">#REF!</definedName>
    <definedName name="___________ML311" localSheetId="29">#REF!</definedName>
    <definedName name="___________ML311">#REF!</definedName>
    <definedName name="___________ML312" localSheetId="8">#REF!</definedName>
    <definedName name="___________ML312" localSheetId="10">#REF!</definedName>
    <definedName name="___________ML312" localSheetId="29">#REF!</definedName>
    <definedName name="___________ML312">#REF!</definedName>
    <definedName name="___________ML313" localSheetId="8">#REF!</definedName>
    <definedName name="___________ML313" localSheetId="10">#REF!</definedName>
    <definedName name="___________ML313" localSheetId="29">#REF!</definedName>
    <definedName name="___________ML313">#REF!</definedName>
    <definedName name="___________ML314" localSheetId="8">#REF!</definedName>
    <definedName name="___________ML314" localSheetId="10">#REF!</definedName>
    <definedName name="___________ML314" localSheetId="29">#REF!</definedName>
    <definedName name="___________ML314">#REF!</definedName>
    <definedName name="___________ML315" localSheetId="8">#REF!</definedName>
    <definedName name="___________ML315" localSheetId="10">#REF!</definedName>
    <definedName name="___________ML315" localSheetId="29">#REF!</definedName>
    <definedName name="___________ML315">#REF!</definedName>
    <definedName name="___________ML32" localSheetId="8">#REF!</definedName>
    <definedName name="___________ML32" localSheetId="10">#REF!</definedName>
    <definedName name="___________ML32" localSheetId="29">#REF!</definedName>
    <definedName name="___________ML32">#REF!</definedName>
    <definedName name="___________ML33" localSheetId="8">#REF!</definedName>
    <definedName name="___________ML33" localSheetId="10">#REF!</definedName>
    <definedName name="___________ML33" localSheetId="29">#REF!</definedName>
    <definedName name="___________ML33">#REF!</definedName>
    <definedName name="___________ML34" localSheetId="8">#REF!</definedName>
    <definedName name="___________ML34" localSheetId="10">#REF!</definedName>
    <definedName name="___________ML34" localSheetId="29">#REF!</definedName>
    <definedName name="___________ML34">#REF!</definedName>
    <definedName name="___________ML35" localSheetId="8">#REF!</definedName>
    <definedName name="___________ML35" localSheetId="10">#REF!</definedName>
    <definedName name="___________ML35" localSheetId="29">#REF!</definedName>
    <definedName name="___________ML35">#REF!</definedName>
    <definedName name="___________ML36" localSheetId="8">#REF!</definedName>
    <definedName name="___________ML36" localSheetId="10">#REF!</definedName>
    <definedName name="___________ML36" localSheetId="29">#REF!</definedName>
    <definedName name="___________ML36">#REF!</definedName>
    <definedName name="___________ML37" localSheetId="8">#REF!</definedName>
    <definedName name="___________ML37" localSheetId="10">#REF!</definedName>
    <definedName name="___________ML37" localSheetId="29">#REF!</definedName>
    <definedName name="___________ML37">#REF!</definedName>
    <definedName name="___________ML38" localSheetId="8">#REF!</definedName>
    <definedName name="___________ML38" localSheetId="10">#REF!</definedName>
    <definedName name="___________ML38" localSheetId="29">#REF!</definedName>
    <definedName name="___________ML38">#REF!</definedName>
    <definedName name="___________ML39" localSheetId="8">#REF!</definedName>
    <definedName name="___________ML39" localSheetId="10">#REF!</definedName>
    <definedName name="___________ML39" localSheetId="29">#REF!</definedName>
    <definedName name="___________ML39">#REF!</definedName>
    <definedName name="___________ML7" localSheetId="8">#REF!</definedName>
    <definedName name="___________ML7" localSheetId="10">#REF!</definedName>
    <definedName name="___________ML7" localSheetId="29">#REF!</definedName>
    <definedName name="___________ML7">#REF!</definedName>
    <definedName name="___________ML8" localSheetId="8">#REF!</definedName>
    <definedName name="___________ML8" localSheetId="10">#REF!</definedName>
    <definedName name="___________ML8" localSheetId="29">#REF!</definedName>
    <definedName name="___________ML8">#REF!</definedName>
    <definedName name="___________ML9" localSheetId="8">#REF!</definedName>
    <definedName name="___________ML9" localSheetId="10">#REF!</definedName>
    <definedName name="___________ML9" localSheetId="29">#REF!</definedName>
    <definedName name="___________ML9">#REF!</definedName>
    <definedName name="___________mm20" localSheetId="29">#REF!</definedName>
    <definedName name="___________mm40">#REF!</definedName>
    <definedName name="___________pc2" localSheetId="21">#REF!</definedName>
    <definedName name="___________pc2" localSheetId="5">#REF!</definedName>
    <definedName name="___________pc2" localSheetId="8">#REF!</definedName>
    <definedName name="___________pc2" localSheetId="10">#REF!</definedName>
    <definedName name="___________pc2" localSheetId="11">#REF!</definedName>
    <definedName name="___________pc2" localSheetId="29">#REF!</definedName>
    <definedName name="___________pc2" localSheetId="31">#REF!</definedName>
    <definedName name="___________pc2" localSheetId="35">#REF!</definedName>
    <definedName name="___________pc2" localSheetId="36">#REF!</definedName>
    <definedName name="___________pc2">#REF!</definedName>
    <definedName name="___________PMS2" localSheetId="8">#REF!</definedName>
    <definedName name="___________PMS2" localSheetId="10">#REF!</definedName>
    <definedName name="___________PMS2" localSheetId="29">#REF!</definedName>
    <definedName name="___________PMS2">#REF!</definedName>
    <definedName name="___________pv2" localSheetId="21">#REF!</definedName>
    <definedName name="___________pv2" localSheetId="5">#REF!</definedName>
    <definedName name="___________pv2" localSheetId="8">#REF!</definedName>
    <definedName name="___________pv2" localSheetId="10">#REF!</definedName>
    <definedName name="___________pv2" localSheetId="11">#REF!</definedName>
    <definedName name="___________pv2" localSheetId="29">#REF!</definedName>
    <definedName name="___________pv2" localSheetId="31">#REF!</definedName>
    <definedName name="___________pv2" localSheetId="35">#REF!</definedName>
    <definedName name="___________pv2" localSheetId="36">#REF!</definedName>
    <definedName name="___________pv2">#REF!</definedName>
    <definedName name="___________sw1" localSheetId="29">#REF!</definedName>
    <definedName name="___________us1">#REF!</definedName>
    <definedName name="___________var1" localSheetId="21">#REF!</definedName>
    <definedName name="___________var1" localSheetId="5">#REF!</definedName>
    <definedName name="___________var1" localSheetId="8">#REF!</definedName>
    <definedName name="___________var1" localSheetId="10">#REF!</definedName>
    <definedName name="___________var1" localSheetId="11">#REF!</definedName>
    <definedName name="___________var1" localSheetId="29">#REF!</definedName>
    <definedName name="___________var1" localSheetId="31">#REF!</definedName>
    <definedName name="___________var1" localSheetId="35">#REF!</definedName>
    <definedName name="___________var1" localSheetId="36">#REF!</definedName>
    <definedName name="___________var1">#REF!</definedName>
    <definedName name="___________var4" localSheetId="21">#REF!</definedName>
    <definedName name="___________var4" localSheetId="5">#REF!</definedName>
    <definedName name="___________var4" localSheetId="8">#REF!</definedName>
    <definedName name="___________var4" localSheetId="10">#REF!</definedName>
    <definedName name="___________var4" localSheetId="11">#REF!</definedName>
    <definedName name="___________var4" localSheetId="29">#REF!</definedName>
    <definedName name="___________var4" localSheetId="31">#REF!</definedName>
    <definedName name="___________var4" localSheetId="35">#REF!</definedName>
    <definedName name="___________var4" localSheetId="36">#REF!</definedName>
    <definedName name="___________var4">#REF!</definedName>
    <definedName name="___________vat1">#REF!</definedName>
    <definedName name="___________vat2">#REF!</definedName>
    <definedName name="___________xlfn_BAHTTEXT">#N/A</definedName>
    <definedName name="__________abs1" localSheetId="8">#REF!</definedName>
    <definedName name="__________abs1" localSheetId="10">#REF!</definedName>
    <definedName name="__________abs1" localSheetId="29">#REF!</definedName>
    <definedName name="__________abs1">#REF!</definedName>
    <definedName name="__________AUX1" localSheetId="29">#REF!</definedName>
    <definedName name="__________aux2" localSheetId="29">#REF!</definedName>
    <definedName name="__________AUX3">#REF!</definedName>
    <definedName name="__________BSG100" localSheetId="8">#REF!</definedName>
    <definedName name="__________BSG100" localSheetId="10">#REF!</definedName>
    <definedName name="__________BSG100" localSheetId="29">#REF!</definedName>
    <definedName name="__________BSG100">#REF!</definedName>
    <definedName name="__________BSG150" localSheetId="8">#REF!</definedName>
    <definedName name="__________BSG150" localSheetId="10">#REF!</definedName>
    <definedName name="__________BSG150" localSheetId="29">#REF!</definedName>
    <definedName name="__________BSG150">#REF!</definedName>
    <definedName name="__________BSG5" localSheetId="8">#REF!</definedName>
    <definedName name="__________BSG5" localSheetId="10">#REF!</definedName>
    <definedName name="__________BSG5" localSheetId="29">#REF!</definedName>
    <definedName name="__________BSG5">#REF!</definedName>
    <definedName name="__________BSG75" localSheetId="8">#REF!</definedName>
    <definedName name="__________BSG75" localSheetId="10">#REF!</definedName>
    <definedName name="__________BSG75" localSheetId="29">#REF!</definedName>
    <definedName name="__________BSG75">#REF!</definedName>
    <definedName name="__________BTC1" localSheetId="8">#REF!</definedName>
    <definedName name="__________BTC1" localSheetId="10">#REF!</definedName>
    <definedName name="__________BTC1" localSheetId="29">#REF!</definedName>
    <definedName name="__________BTC1">#REF!</definedName>
    <definedName name="__________BTC10" localSheetId="8">#REF!</definedName>
    <definedName name="__________BTC10" localSheetId="10">#REF!</definedName>
    <definedName name="__________BTC10" localSheetId="29">#REF!</definedName>
    <definedName name="__________BTC10">#REF!</definedName>
    <definedName name="__________BTC11" localSheetId="8">#REF!</definedName>
    <definedName name="__________BTC11" localSheetId="10">#REF!</definedName>
    <definedName name="__________BTC11" localSheetId="29">#REF!</definedName>
    <definedName name="__________BTC11">#REF!</definedName>
    <definedName name="__________BTC12" localSheetId="8">#REF!</definedName>
    <definedName name="__________BTC12" localSheetId="10">#REF!</definedName>
    <definedName name="__________BTC12" localSheetId="29">#REF!</definedName>
    <definedName name="__________BTC12">#REF!</definedName>
    <definedName name="__________BTC13" localSheetId="8">#REF!</definedName>
    <definedName name="__________BTC13" localSheetId="10">#REF!</definedName>
    <definedName name="__________BTC13" localSheetId="29">#REF!</definedName>
    <definedName name="__________BTC13">#REF!</definedName>
    <definedName name="__________BTC14" localSheetId="8">#REF!</definedName>
    <definedName name="__________BTC14" localSheetId="10">#REF!</definedName>
    <definedName name="__________BTC14" localSheetId="29">#REF!</definedName>
    <definedName name="__________BTC14">#REF!</definedName>
    <definedName name="__________BTC15" localSheetId="8">#REF!</definedName>
    <definedName name="__________BTC15" localSheetId="10">#REF!</definedName>
    <definedName name="__________BTC15" localSheetId="29">#REF!</definedName>
    <definedName name="__________BTC15">#REF!</definedName>
    <definedName name="__________BTC2" localSheetId="8">#REF!</definedName>
    <definedName name="__________BTC2" localSheetId="10">#REF!</definedName>
    <definedName name="__________BTC2" localSheetId="29">#REF!</definedName>
    <definedName name="__________BTC2">#REF!</definedName>
    <definedName name="__________BTC3" localSheetId="8">#REF!</definedName>
    <definedName name="__________BTC3" localSheetId="10">#REF!</definedName>
    <definedName name="__________BTC3" localSheetId="29">#REF!</definedName>
    <definedName name="__________BTC3">#REF!</definedName>
    <definedName name="__________BTC4" localSheetId="8">#REF!</definedName>
    <definedName name="__________BTC4" localSheetId="10">#REF!</definedName>
    <definedName name="__________BTC4" localSheetId="29">#REF!</definedName>
    <definedName name="__________BTC4">#REF!</definedName>
    <definedName name="__________BTC5" localSheetId="8">#REF!</definedName>
    <definedName name="__________BTC5" localSheetId="10">#REF!</definedName>
    <definedName name="__________BTC5" localSheetId="29">#REF!</definedName>
    <definedName name="__________BTC5">#REF!</definedName>
    <definedName name="__________BTC6" localSheetId="8">#REF!</definedName>
    <definedName name="__________BTC6" localSheetId="10">#REF!</definedName>
    <definedName name="__________BTC6" localSheetId="29">#REF!</definedName>
    <definedName name="__________BTC6">#REF!</definedName>
    <definedName name="__________BTC7" localSheetId="8">#REF!</definedName>
    <definedName name="__________BTC7" localSheetId="10">#REF!</definedName>
    <definedName name="__________BTC7" localSheetId="29">#REF!</definedName>
    <definedName name="__________BTC7">#REF!</definedName>
    <definedName name="__________BTC8" localSheetId="8">#REF!</definedName>
    <definedName name="__________BTC8" localSheetId="10">#REF!</definedName>
    <definedName name="__________BTC8" localSheetId="29">#REF!</definedName>
    <definedName name="__________BTC8">#REF!</definedName>
    <definedName name="__________BTC9" localSheetId="8">#REF!</definedName>
    <definedName name="__________BTC9" localSheetId="10">#REF!</definedName>
    <definedName name="__________BTC9" localSheetId="29">#REF!</definedName>
    <definedName name="__________BTC9">#REF!</definedName>
    <definedName name="__________BTS1" localSheetId="8">#REF!</definedName>
    <definedName name="__________BTS1" localSheetId="10">#REF!</definedName>
    <definedName name="__________BTS1" localSheetId="29">#REF!</definedName>
    <definedName name="__________BTS1">#REF!</definedName>
    <definedName name="__________BTS10" localSheetId="8">#REF!</definedName>
    <definedName name="__________BTS10" localSheetId="10">#REF!</definedName>
    <definedName name="__________BTS10" localSheetId="29">#REF!</definedName>
    <definedName name="__________BTS10">#REF!</definedName>
    <definedName name="__________BTS11" localSheetId="8">#REF!</definedName>
    <definedName name="__________BTS11" localSheetId="10">#REF!</definedName>
    <definedName name="__________BTS11" localSheetId="29">#REF!</definedName>
    <definedName name="__________BTS11">#REF!</definedName>
    <definedName name="__________BTS12" localSheetId="8">#REF!</definedName>
    <definedName name="__________BTS12" localSheetId="10">#REF!</definedName>
    <definedName name="__________BTS12" localSheetId="29">#REF!</definedName>
    <definedName name="__________BTS12">#REF!</definedName>
    <definedName name="__________BTS13" localSheetId="8">#REF!</definedName>
    <definedName name="__________BTS13" localSheetId="10">#REF!</definedName>
    <definedName name="__________BTS13" localSheetId="29">#REF!</definedName>
    <definedName name="__________BTS13">#REF!</definedName>
    <definedName name="__________BTS14" localSheetId="8">#REF!</definedName>
    <definedName name="__________BTS14" localSheetId="10">#REF!</definedName>
    <definedName name="__________BTS14" localSheetId="29">#REF!</definedName>
    <definedName name="__________BTS14">#REF!</definedName>
    <definedName name="__________BTS15" localSheetId="8">#REF!</definedName>
    <definedName name="__________BTS15" localSheetId="10">#REF!</definedName>
    <definedName name="__________BTS15" localSheetId="29">#REF!</definedName>
    <definedName name="__________BTS15">#REF!</definedName>
    <definedName name="__________BTS2" localSheetId="8">#REF!</definedName>
    <definedName name="__________BTS2" localSheetId="10">#REF!</definedName>
    <definedName name="__________BTS2" localSheetId="29">#REF!</definedName>
    <definedName name="__________BTS2">#REF!</definedName>
    <definedName name="__________BTS3" localSheetId="8">#REF!</definedName>
    <definedName name="__________BTS3" localSheetId="10">#REF!</definedName>
    <definedName name="__________BTS3" localSheetId="29">#REF!</definedName>
    <definedName name="__________BTS3">#REF!</definedName>
    <definedName name="__________BTS4" localSheetId="8">#REF!</definedName>
    <definedName name="__________BTS4" localSheetId="10">#REF!</definedName>
    <definedName name="__________BTS4" localSheetId="29">#REF!</definedName>
    <definedName name="__________BTS4">#REF!</definedName>
    <definedName name="__________BTS5" localSheetId="8">#REF!</definedName>
    <definedName name="__________BTS5" localSheetId="10">#REF!</definedName>
    <definedName name="__________BTS5" localSheetId="29">#REF!</definedName>
    <definedName name="__________BTS5">#REF!</definedName>
    <definedName name="__________BTS6" localSheetId="8">#REF!</definedName>
    <definedName name="__________BTS6" localSheetId="10">#REF!</definedName>
    <definedName name="__________BTS6" localSheetId="29">#REF!</definedName>
    <definedName name="__________BTS6">#REF!</definedName>
    <definedName name="__________BTS7" localSheetId="8">#REF!</definedName>
    <definedName name="__________BTS7" localSheetId="10">#REF!</definedName>
    <definedName name="__________BTS7" localSheetId="29">#REF!</definedName>
    <definedName name="__________BTS7">#REF!</definedName>
    <definedName name="__________BTS8" localSheetId="8">#REF!</definedName>
    <definedName name="__________BTS8" localSheetId="10">#REF!</definedName>
    <definedName name="__________BTS8" localSheetId="29">#REF!</definedName>
    <definedName name="__________BTS8">#REF!</definedName>
    <definedName name="__________BTS9" localSheetId="8">#REF!</definedName>
    <definedName name="__________BTS9" localSheetId="10">#REF!</definedName>
    <definedName name="__________BTS9" localSheetId="29">#REF!</definedName>
    <definedName name="__________BTS9">#REF!</definedName>
    <definedName name="__________can430">40.73</definedName>
    <definedName name="__________can435">43.3</definedName>
    <definedName name="__________cbr1">#REF!</definedName>
    <definedName name="__________cbr2">#REF!</definedName>
    <definedName name="__________cbr3">#REF!</definedName>
    <definedName name="__________cbr4">#REF!</definedName>
    <definedName name="__________er1">#REF!</definedName>
    <definedName name="__________ewe1" localSheetId="29">#REF!</definedName>
    <definedName name="__________f1">#REF!</definedName>
    <definedName name="__________GBS11" localSheetId="8">#REF!</definedName>
    <definedName name="__________GBS11" localSheetId="10">#REF!</definedName>
    <definedName name="__________GBS11" localSheetId="29">#REF!</definedName>
    <definedName name="__________GBS11">#REF!</definedName>
    <definedName name="__________GBS110" localSheetId="8">#REF!</definedName>
    <definedName name="__________GBS110" localSheetId="10">#REF!</definedName>
    <definedName name="__________GBS110" localSheetId="29">#REF!</definedName>
    <definedName name="__________GBS110">#REF!</definedName>
    <definedName name="__________GBS111" localSheetId="8">#REF!</definedName>
    <definedName name="__________GBS111" localSheetId="10">#REF!</definedName>
    <definedName name="__________GBS111" localSheetId="29">#REF!</definedName>
    <definedName name="__________GBS111">#REF!</definedName>
    <definedName name="__________GBS112" localSheetId="8">#REF!</definedName>
    <definedName name="__________GBS112" localSheetId="10">#REF!</definedName>
    <definedName name="__________GBS112" localSheetId="29">#REF!</definedName>
    <definedName name="__________GBS112">#REF!</definedName>
    <definedName name="__________GBS113" localSheetId="8">#REF!</definedName>
    <definedName name="__________GBS113" localSheetId="10">#REF!</definedName>
    <definedName name="__________GBS113" localSheetId="29">#REF!</definedName>
    <definedName name="__________GBS113">#REF!</definedName>
    <definedName name="__________GBS114" localSheetId="8">#REF!</definedName>
    <definedName name="__________GBS114" localSheetId="10">#REF!</definedName>
    <definedName name="__________GBS114" localSheetId="29">#REF!</definedName>
    <definedName name="__________GBS114">#REF!</definedName>
    <definedName name="__________GBS115" localSheetId="8">#REF!</definedName>
    <definedName name="__________GBS115" localSheetId="10">#REF!</definedName>
    <definedName name="__________GBS115" localSheetId="29">#REF!</definedName>
    <definedName name="__________GBS115">#REF!</definedName>
    <definedName name="__________GBS12" localSheetId="8">#REF!</definedName>
    <definedName name="__________GBS12" localSheetId="10">#REF!</definedName>
    <definedName name="__________GBS12" localSheetId="29">#REF!</definedName>
    <definedName name="__________GBS12">#REF!</definedName>
    <definedName name="__________GBS13" localSheetId="8">#REF!</definedName>
    <definedName name="__________GBS13" localSheetId="10">#REF!</definedName>
    <definedName name="__________GBS13" localSheetId="29">#REF!</definedName>
    <definedName name="__________GBS13">#REF!</definedName>
    <definedName name="__________GBS14" localSheetId="8">#REF!</definedName>
    <definedName name="__________GBS14" localSheetId="10">#REF!</definedName>
    <definedName name="__________GBS14" localSheetId="29">#REF!</definedName>
    <definedName name="__________GBS14">#REF!</definedName>
    <definedName name="__________GBS15" localSheetId="8">#REF!</definedName>
    <definedName name="__________GBS15" localSheetId="10">#REF!</definedName>
    <definedName name="__________GBS15" localSheetId="29">#REF!</definedName>
    <definedName name="__________GBS15">#REF!</definedName>
    <definedName name="__________GBS16" localSheetId="8">#REF!</definedName>
    <definedName name="__________GBS16" localSheetId="10">#REF!</definedName>
    <definedName name="__________GBS16" localSheetId="29">#REF!</definedName>
    <definedName name="__________GBS16">#REF!</definedName>
    <definedName name="__________GBS17" localSheetId="8">#REF!</definedName>
    <definedName name="__________GBS17" localSheetId="10">#REF!</definedName>
    <definedName name="__________GBS17" localSheetId="29">#REF!</definedName>
    <definedName name="__________GBS17">#REF!</definedName>
    <definedName name="__________GBS18" localSheetId="8">#REF!</definedName>
    <definedName name="__________GBS18" localSheetId="10">#REF!</definedName>
    <definedName name="__________GBS18" localSheetId="29">#REF!</definedName>
    <definedName name="__________GBS18">#REF!</definedName>
    <definedName name="__________GBS19" localSheetId="8">#REF!</definedName>
    <definedName name="__________GBS19" localSheetId="10">#REF!</definedName>
    <definedName name="__________GBS19" localSheetId="29">#REF!</definedName>
    <definedName name="__________GBS19">#REF!</definedName>
    <definedName name="__________GBS21" localSheetId="8">#REF!</definedName>
    <definedName name="__________GBS21" localSheetId="10">#REF!</definedName>
    <definedName name="__________GBS21" localSheetId="29">#REF!</definedName>
    <definedName name="__________GBS21">#REF!</definedName>
    <definedName name="__________GBS210" localSheetId="8">#REF!</definedName>
    <definedName name="__________GBS210" localSheetId="10">#REF!</definedName>
    <definedName name="__________GBS210" localSheetId="29">#REF!</definedName>
    <definedName name="__________GBS210">#REF!</definedName>
    <definedName name="__________GBS211" localSheetId="8">#REF!</definedName>
    <definedName name="__________GBS211" localSheetId="10">#REF!</definedName>
    <definedName name="__________GBS211" localSheetId="29">#REF!</definedName>
    <definedName name="__________GBS211">#REF!</definedName>
    <definedName name="__________GBS212" localSheetId="8">#REF!</definedName>
    <definedName name="__________GBS212" localSheetId="10">#REF!</definedName>
    <definedName name="__________GBS212" localSheetId="29">#REF!</definedName>
    <definedName name="__________GBS212">#REF!</definedName>
    <definedName name="__________GBS213" localSheetId="8">#REF!</definedName>
    <definedName name="__________GBS213" localSheetId="10">#REF!</definedName>
    <definedName name="__________GBS213" localSheetId="29">#REF!</definedName>
    <definedName name="__________GBS213">#REF!</definedName>
    <definedName name="__________GBS214" localSheetId="8">#REF!</definedName>
    <definedName name="__________GBS214" localSheetId="10">#REF!</definedName>
    <definedName name="__________GBS214" localSheetId="29">#REF!</definedName>
    <definedName name="__________GBS214">#REF!</definedName>
    <definedName name="__________GBS215" localSheetId="8">#REF!</definedName>
    <definedName name="__________GBS215" localSheetId="10">#REF!</definedName>
    <definedName name="__________GBS215" localSheetId="29">#REF!</definedName>
    <definedName name="__________GBS215">#REF!</definedName>
    <definedName name="__________GBS22" localSheetId="8">#REF!</definedName>
    <definedName name="__________GBS22" localSheetId="10">#REF!</definedName>
    <definedName name="__________GBS22" localSheetId="29">#REF!</definedName>
    <definedName name="__________GBS22">#REF!</definedName>
    <definedName name="__________GBS23" localSheetId="8">#REF!</definedName>
    <definedName name="__________GBS23" localSheetId="10">#REF!</definedName>
    <definedName name="__________GBS23" localSheetId="29">#REF!</definedName>
    <definedName name="__________GBS23">#REF!</definedName>
    <definedName name="__________GBS24" localSheetId="8">#REF!</definedName>
    <definedName name="__________GBS24" localSheetId="10">#REF!</definedName>
    <definedName name="__________GBS24" localSheetId="29">#REF!</definedName>
    <definedName name="__________GBS24">#REF!</definedName>
    <definedName name="__________GBS25" localSheetId="8">#REF!</definedName>
    <definedName name="__________GBS25" localSheetId="10">#REF!</definedName>
    <definedName name="__________GBS25" localSheetId="29">#REF!</definedName>
    <definedName name="__________GBS25">#REF!</definedName>
    <definedName name="__________GBS26" localSheetId="8">#REF!</definedName>
    <definedName name="__________GBS26" localSheetId="10">#REF!</definedName>
    <definedName name="__________GBS26" localSheetId="29">#REF!</definedName>
    <definedName name="__________GBS26">#REF!</definedName>
    <definedName name="__________GBS27" localSheetId="8">#REF!</definedName>
    <definedName name="__________GBS27" localSheetId="10">#REF!</definedName>
    <definedName name="__________GBS27" localSheetId="29">#REF!</definedName>
    <definedName name="__________GBS27">#REF!</definedName>
    <definedName name="__________GBS28" localSheetId="8">#REF!</definedName>
    <definedName name="__________GBS28" localSheetId="10">#REF!</definedName>
    <definedName name="__________GBS28" localSheetId="29">#REF!</definedName>
    <definedName name="__________GBS28">#REF!</definedName>
    <definedName name="__________GBS29" localSheetId="8">#REF!</definedName>
    <definedName name="__________GBS29" localSheetId="10">#REF!</definedName>
    <definedName name="__________GBS29" localSheetId="29">#REF!</definedName>
    <definedName name="__________GBS29">#REF!</definedName>
    <definedName name="__________gus1">#REF!</definedName>
    <definedName name="__________hpm1">#REF!</definedName>
    <definedName name="__________knr2" localSheetId="5">#REF!</definedName>
    <definedName name="__________knr2" localSheetId="14">#REF!</definedName>
    <definedName name="__________knr2" localSheetId="8">#REF!</definedName>
    <definedName name="__________knr2" localSheetId="10">#REF!</definedName>
    <definedName name="__________knr2" localSheetId="29">#REF!</definedName>
    <definedName name="__________knr2">#REF!</definedName>
    <definedName name="__________l12" localSheetId="21">#REF!</definedName>
    <definedName name="__________l12" localSheetId="5">#REF!</definedName>
    <definedName name="__________l12" localSheetId="8">#REF!</definedName>
    <definedName name="__________l12" localSheetId="10">#REF!</definedName>
    <definedName name="__________l12" localSheetId="11">#REF!</definedName>
    <definedName name="__________l12" localSheetId="29">#REF!</definedName>
    <definedName name="__________l12" localSheetId="31">#REF!</definedName>
    <definedName name="__________l12" localSheetId="35">#REF!</definedName>
    <definedName name="__________l12" localSheetId="36">#REF!</definedName>
    <definedName name="__________l12">#REF!</definedName>
    <definedName name="__________l3" localSheetId="21">#REF!</definedName>
    <definedName name="__________l3" localSheetId="5">#REF!</definedName>
    <definedName name="__________l3" localSheetId="8">#REF!</definedName>
    <definedName name="__________l3" localSheetId="10">#REF!</definedName>
    <definedName name="__________l3" localSheetId="11">#REF!</definedName>
    <definedName name="__________l3" localSheetId="29">#REF!</definedName>
    <definedName name="__________l3" localSheetId="31">#REF!</definedName>
    <definedName name="__________l3" localSheetId="35">#REF!</definedName>
    <definedName name="__________l3" localSheetId="36">#REF!</definedName>
    <definedName name="__________l3">#REF!</definedName>
    <definedName name="__________l5" localSheetId="21">#REF!</definedName>
    <definedName name="__________l5" localSheetId="5">#REF!</definedName>
    <definedName name="__________l5" localSheetId="8">#REF!</definedName>
    <definedName name="__________l5" localSheetId="10">#REF!</definedName>
    <definedName name="__________l5" localSheetId="11">#REF!</definedName>
    <definedName name="__________l5" localSheetId="29">#REF!</definedName>
    <definedName name="__________l5" localSheetId="31">#REF!</definedName>
    <definedName name="__________l5" localSheetId="35">#REF!</definedName>
    <definedName name="__________l5" localSheetId="36">#REF!</definedName>
    <definedName name="__________l5">#REF!</definedName>
    <definedName name="__________lcn1">#REF!</definedName>
    <definedName name="__________LI9" localSheetId="8">#REF!</definedName>
    <definedName name="__________LI9" localSheetId="10">#REF!</definedName>
    <definedName name="__________LI9" localSheetId="29">#REF!</definedName>
    <definedName name="__________LI9">#REF!</definedName>
    <definedName name="__________LII9" localSheetId="8">#REF!</definedName>
    <definedName name="__________LII9" localSheetId="10">#REF!</definedName>
    <definedName name="__________LII9" localSheetId="29">#REF!</definedName>
    <definedName name="__________LII9">#REF!</definedName>
    <definedName name="__________lm1" localSheetId="29">#REF!</definedName>
    <definedName name="__________ML11" localSheetId="8">#REF!</definedName>
    <definedName name="__________ML11" localSheetId="10">#REF!</definedName>
    <definedName name="__________ML11" localSheetId="29">#REF!</definedName>
    <definedName name="__________ML11">#REF!</definedName>
    <definedName name="__________ML110" localSheetId="8">#REF!</definedName>
    <definedName name="__________ML110" localSheetId="10">#REF!</definedName>
    <definedName name="__________ML110" localSheetId="29">#REF!</definedName>
    <definedName name="__________ML110">#REF!</definedName>
    <definedName name="__________ML111" localSheetId="8">#REF!</definedName>
    <definedName name="__________ML111" localSheetId="10">#REF!</definedName>
    <definedName name="__________ML111" localSheetId="29">#REF!</definedName>
    <definedName name="__________ML111">#REF!</definedName>
    <definedName name="__________ML112" localSheetId="8">#REF!</definedName>
    <definedName name="__________ML112" localSheetId="10">#REF!</definedName>
    <definedName name="__________ML112" localSheetId="29">#REF!</definedName>
    <definedName name="__________ML112">#REF!</definedName>
    <definedName name="__________ML113" localSheetId="8">#REF!</definedName>
    <definedName name="__________ML113" localSheetId="10">#REF!</definedName>
    <definedName name="__________ML113" localSheetId="29">#REF!</definedName>
    <definedName name="__________ML113">#REF!</definedName>
    <definedName name="__________ML114" localSheetId="8">#REF!</definedName>
    <definedName name="__________ML114" localSheetId="10">#REF!</definedName>
    <definedName name="__________ML114" localSheetId="29">#REF!</definedName>
    <definedName name="__________ML114">#REF!</definedName>
    <definedName name="__________ML115" localSheetId="8">#REF!</definedName>
    <definedName name="__________ML115" localSheetId="10">#REF!</definedName>
    <definedName name="__________ML115" localSheetId="29">#REF!</definedName>
    <definedName name="__________ML115">#REF!</definedName>
    <definedName name="__________ML12" localSheetId="8">#REF!</definedName>
    <definedName name="__________ML12" localSheetId="10">#REF!</definedName>
    <definedName name="__________ML12" localSheetId="29">#REF!</definedName>
    <definedName name="__________ML12">#REF!</definedName>
    <definedName name="__________ML13" localSheetId="8">#REF!</definedName>
    <definedName name="__________ML13" localSheetId="10">#REF!</definedName>
    <definedName name="__________ML13" localSheetId="29">#REF!</definedName>
    <definedName name="__________ML13">#REF!</definedName>
    <definedName name="__________ML14" localSheetId="8">#REF!</definedName>
    <definedName name="__________ML14" localSheetId="10">#REF!</definedName>
    <definedName name="__________ML14" localSheetId="29">#REF!</definedName>
    <definedName name="__________ML14">#REF!</definedName>
    <definedName name="__________ML15" localSheetId="8">#REF!</definedName>
    <definedName name="__________ML15" localSheetId="10">#REF!</definedName>
    <definedName name="__________ML15" localSheetId="29">#REF!</definedName>
    <definedName name="__________ML15">#REF!</definedName>
    <definedName name="__________ML16" localSheetId="8">#REF!</definedName>
    <definedName name="__________ML16" localSheetId="10">#REF!</definedName>
    <definedName name="__________ML16" localSheetId="29">#REF!</definedName>
    <definedName name="__________ML16">#REF!</definedName>
    <definedName name="__________ML17" localSheetId="8">#REF!</definedName>
    <definedName name="__________ML17" localSheetId="10">#REF!</definedName>
    <definedName name="__________ML17" localSheetId="29">#REF!</definedName>
    <definedName name="__________ML17">#REF!</definedName>
    <definedName name="__________ML18" localSheetId="8">#REF!</definedName>
    <definedName name="__________ML18" localSheetId="10">#REF!</definedName>
    <definedName name="__________ML18" localSheetId="29">#REF!</definedName>
    <definedName name="__________ML18">#REF!</definedName>
    <definedName name="__________ML19" localSheetId="8">#REF!</definedName>
    <definedName name="__________ML19" localSheetId="10">#REF!</definedName>
    <definedName name="__________ML19" localSheetId="29">#REF!</definedName>
    <definedName name="__________ML19">#REF!</definedName>
    <definedName name="__________ML21" localSheetId="8">#REF!</definedName>
    <definedName name="__________ML21" localSheetId="10">#REF!</definedName>
    <definedName name="__________ML21" localSheetId="29">#REF!</definedName>
    <definedName name="__________ML21">#REF!</definedName>
    <definedName name="__________ML210" localSheetId="8">#REF!</definedName>
    <definedName name="__________ML210" localSheetId="10">#REF!</definedName>
    <definedName name="__________ML210" localSheetId="29">#REF!</definedName>
    <definedName name="__________ML210">#REF!</definedName>
    <definedName name="__________ML211" localSheetId="8">#REF!</definedName>
    <definedName name="__________ML211" localSheetId="10">#REF!</definedName>
    <definedName name="__________ML211" localSheetId="29">#REF!</definedName>
    <definedName name="__________ML211">#REF!</definedName>
    <definedName name="__________ML212" localSheetId="8">#REF!</definedName>
    <definedName name="__________ML212" localSheetId="10">#REF!</definedName>
    <definedName name="__________ML212" localSheetId="29">#REF!</definedName>
    <definedName name="__________ML212">#REF!</definedName>
    <definedName name="__________ML213" localSheetId="8">#REF!</definedName>
    <definedName name="__________ML213" localSheetId="10">#REF!</definedName>
    <definedName name="__________ML213" localSheetId="29">#REF!</definedName>
    <definedName name="__________ML213">#REF!</definedName>
    <definedName name="__________ML214" localSheetId="8">#REF!</definedName>
    <definedName name="__________ML214" localSheetId="10">#REF!</definedName>
    <definedName name="__________ML214" localSheetId="29">#REF!</definedName>
    <definedName name="__________ML214">#REF!</definedName>
    <definedName name="__________ML215" localSheetId="8">#REF!</definedName>
    <definedName name="__________ML215" localSheetId="10">#REF!</definedName>
    <definedName name="__________ML215" localSheetId="29">#REF!</definedName>
    <definedName name="__________ML215">#REF!</definedName>
    <definedName name="__________ML22" localSheetId="8">#REF!</definedName>
    <definedName name="__________ML22" localSheetId="10">#REF!</definedName>
    <definedName name="__________ML22" localSheetId="29">#REF!</definedName>
    <definedName name="__________ML22">#REF!</definedName>
    <definedName name="__________ML23" localSheetId="8">#REF!</definedName>
    <definedName name="__________ML23" localSheetId="10">#REF!</definedName>
    <definedName name="__________ML23" localSheetId="29">#REF!</definedName>
    <definedName name="__________ML23">#REF!</definedName>
    <definedName name="__________ML24" localSheetId="8">#REF!</definedName>
    <definedName name="__________ML24" localSheetId="10">#REF!</definedName>
    <definedName name="__________ML24" localSheetId="29">#REF!</definedName>
    <definedName name="__________ML24">#REF!</definedName>
    <definedName name="__________ML25" localSheetId="8">#REF!</definedName>
    <definedName name="__________ML25" localSheetId="10">#REF!</definedName>
    <definedName name="__________ML25" localSheetId="29">#REF!</definedName>
    <definedName name="__________ML25">#REF!</definedName>
    <definedName name="__________ML26" localSheetId="8">#REF!</definedName>
    <definedName name="__________ML26" localSheetId="10">#REF!</definedName>
    <definedName name="__________ML26" localSheetId="29">#REF!</definedName>
    <definedName name="__________ML26">#REF!</definedName>
    <definedName name="__________ML27" localSheetId="8">#REF!</definedName>
    <definedName name="__________ML27" localSheetId="10">#REF!</definedName>
    <definedName name="__________ML27" localSheetId="29">#REF!</definedName>
    <definedName name="__________ML27">#REF!</definedName>
    <definedName name="__________ML28" localSheetId="8">#REF!</definedName>
    <definedName name="__________ML28" localSheetId="10">#REF!</definedName>
    <definedName name="__________ML28" localSheetId="29">#REF!</definedName>
    <definedName name="__________ML28">#REF!</definedName>
    <definedName name="__________ML29" localSheetId="8">#REF!</definedName>
    <definedName name="__________ML29" localSheetId="10">#REF!</definedName>
    <definedName name="__________ML29" localSheetId="29">#REF!</definedName>
    <definedName name="__________ML29">#REF!</definedName>
    <definedName name="__________ML31" localSheetId="8">#REF!</definedName>
    <definedName name="__________ML31" localSheetId="10">#REF!</definedName>
    <definedName name="__________ML31" localSheetId="29">#REF!</definedName>
    <definedName name="__________ML31">#REF!</definedName>
    <definedName name="__________ML310" localSheetId="8">#REF!</definedName>
    <definedName name="__________ML310" localSheetId="10">#REF!</definedName>
    <definedName name="__________ML310" localSheetId="29">#REF!</definedName>
    <definedName name="__________ML310">#REF!</definedName>
    <definedName name="__________ML311" localSheetId="8">#REF!</definedName>
    <definedName name="__________ML311" localSheetId="10">#REF!</definedName>
    <definedName name="__________ML311" localSheetId="29">#REF!</definedName>
    <definedName name="__________ML311">#REF!</definedName>
    <definedName name="__________ML312" localSheetId="8">#REF!</definedName>
    <definedName name="__________ML312" localSheetId="10">#REF!</definedName>
    <definedName name="__________ML312" localSheetId="29">#REF!</definedName>
    <definedName name="__________ML312">#REF!</definedName>
    <definedName name="__________ML313" localSheetId="8">#REF!</definedName>
    <definedName name="__________ML313" localSheetId="10">#REF!</definedName>
    <definedName name="__________ML313" localSheetId="29">#REF!</definedName>
    <definedName name="__________ML313">#REF!</definedName>
    <definedName name="__________ML314" localSheetId="8">#REF!</definedName>
    <definedName name="__________ML314" localSheetId="10">#REF!</definedName>
    <definedName name="__________ML314" localSheetId="29">#REF!</definedName>
    <definedName name="__________ML314">#REF!</definedName>
    <definedName name="__________ML315" localSheetId="8">#REF!</definedName>
    <definedName name="__________ML315" localSheetId="10">#REF!</definedName>
    <definedName name="__________ML315" localSheetId="29">#REF!</definedName>
    <definedName name="__________ML315">#REF!</definedName>
    <definedName name="__________ML32" localSheetId="8">#REF!</definedName>
    <definedName name="__________ML32" localSheetId="10">#REF!</definedName>
    <definedName name="__________ML32" localSheetId="29">#REF!</definedName>
    <definedName name="__________ML32">#REF!</definedName>
    <definedName name="__________ML33" localSheetId="8">#REF!</definedName>
    <definedName name="__________ML33" localSheetId="10">#REF!</definedName>
    <definedName name="__________ML33" localSheetId="29">#REF!</definedName>
    <definedName name="__________ML33">#REF!</definedName>
    <definedName name="__________ML34" localSheetId="8">#REF!</definedName>
    <definedName name="__________ML34" localSheetId="10">#REF!</definedName>
    <definedName name="__________ML34" localSheetId="29">#REF!</definedName>
    <definedName name="__________ML34">#REF!</definedName>
    <definedName name="__________ML35" localSheetId="8">#REF!</definedName>
    <definedName name="__________ML35" localSheetId="10">#REF!</definedName>
    <definedName name="__________ML35" localSheetId="29">#REF!</definedName>
    <definedName name="__________ML35">#REF!</definedName>
    <definedName name="__________ML36" localSheetId="8">#REF!</definedName>
    <definedName name="__________ML36" localSheetId="10">#REF!</definedName>
    <definedName name="__________ML36" localSheetId="29">#REF!</definedName>
    <definedName name="__________ML36">#REF!</definedName>
    <definedName name="__________ML37" localSheetId="8">#REF!</definedName>
    <definedName name="__________ML37" localSheetId="10">#REF!</definedName>
    <definedName name="__________ML37" localSheetId="29">#REF!</definedName>
    <definedName name="__________ML37">#REF!</definedName>
    <definedName name="__________ML38" localSheetId="8">#REF!</definedName>
    <definedName name="__________ML38" localSheetId="10">#REF!</definedName>
    <definedName name="__________ML38" localSheetId="29">#REF!</definedName>
    <definedName name="__________ML38">#REF!</definedName>
    <definedName name="__________ML39" localSheetId="8">#REF!</definedName>
    <definedName name="__________ML39" localSheetId="10">#REF!</definedName>
    <definedName name="__________ML39" localSheetId="29">#REF!</definedName>
    <definedName name="__________ML39">#REF!</definedName>
    <definedName name="__________ML7" localSheetId="8">#REF!</definedName>
    <definedName name="__________ML7" localSheetId="10">#REF!</definedName>
    <definedName name="__________ML7" localSheetId="29">#REF!</definedName>
    <definedName name="__________ML7">#REF!</definedName>
    <definedName name="__________ML8" localSheetId="8">#REF!</definedName>
    <definedName name="__________ML8" localSheetId="10">#REF!</definedName>
    <definedName name="__________ML8" localSheetId="29">#REF!</definedName>
    <definedName name="__________ML8">#REF!</definedName>
    <definedName name="__________ML9" localSheetId="8">#REF!</definedName>
    <definedName name="__________ML9" localSheetId="10">#REF!</definedName>
    <definedName name="__________ML9" localSheetId="29">#REF!</definedName>
    <definedName name="__________ML9">#REF!</definedName>
    <definedName name="__________mm20" localSheetId="29">#REF!</definedName>
    <definedName name="__________mm40">#REF!</definedName>
    <definedName name="__________pc2" localSheetId="21">#REF!</definedName>
    <definedName name="__________pc2" localSheetId="5">#REF!</definedName>
    <definedName name="__________pc2" localSheetId="8">#REF!</definedName>
    <definedName name="__________pc2" localSheetId="10">#REF!</definedName>
    <definedName name="__________pc2" localSheetId="11">#REF!</definedName>
    <definedName name="__________pc2" localSheetId="29">#REF!</definedName>
    <definedName name="__________pc2" localSheetId="31">#REF!</definedName>
    <definedName name="__________pc2" localSheetId="35">#REF!</definedName>
    <definedName name="__________pc2" localSheetId="36">#REF!</definedName>
    <definedName name="__________pc2">#REF!</definedName>
    <definedName name="__________PMS2" localSheetId="8">#REF!</definedName>
    <definedName name="__________PMS2" localSheetId="10">#REF!</definedName>
    <definedName name="__________PMS2" localSheetId="29">#REF!</definedName>
    <definedName name="__________PMS2">#REF!</definedName>
    <definedName name="__________pv2" localSheetId="21">#REF!</definedName>
    <definedName name="__________pv2" localSheetId="5">#REF!</definedName>
    <definedName name="__________pv2" localSheetId="8">#REF!</definedName>
    <definedName name="__________pv2" localSheetId="10">#REF!</definedName>
    <definedName name="__________pv2" localSheetId="11">#REF!</definedName>
    <definedName name="__________pv2" localSheetId="29">#REF!</definedName>
    <definedName name="__________pv2" localSheetId="31">#REF!</definedName>
    <definedName name="__________pv2" localSheetId="35">#REF!</definedName>
    <definedName name="__________pv2" localSheetId="36">#REF!</definedName>
    <definedName name="__________pv2">#REF!</definedName>
    <definedName name="__________sw1" localSheetId="29">#REF!</definedName>
    <definedName name="__________us1">#REF!</definedName>
    <definedName name="__________var1" localSheetId="21">#REF!</definedName>
    <definedName name="__________var1" localSheetId="5">#REF!</definedName>
    <definedName name="__________var1" localSheetId="8">#REF!</definedName>
    <definedName name="__________var1" localSheetId="10">#REF!</definedName>
    <definedName name="__________var1" localSheetId="11">#REF!</definedName>
    <definedName name="__________var1" localSheetId="29">#REF!</definedName>
    <definedName name="__________var1" localSheetId="31">#REF!</definedName>
    <definedName name="__________var1" localSheetId="35">#REF!</definedName>
    <definedName name="__________var1" localSheetId="36">#REF!</definedName>
    <definedName name="__________var1">#REF!</definedName>
    <definedName name="__________var4" localSheetId="21">#REF!</definedName>
    <definedName name="__________var4" localSheetId="5">#REF!</definedName>
    <definedName name="__________var4" localSheetId="8">#REF!</definedName>
    <definedName name="__________var4" localSheetId="10">#REF!</definedName>
    <definedName name="__________var4" localSheetId="11">#REF!</definedName>
    <definedName name="__________var4" localSheetId="29">#REF!</definedName>
    <definedName name="__________var4" localSheetId="31">#REF!</definedName>
    <definedName name="__________var4" localSheetId="35">#REF!</definedName>
    <definedName name="__________var4" localSheetId="36">#REF!</definedName>
    <definedName name="__________var4">#REF!</definedName>
    <definedName name="__________vat1">#REF!</definedName>
    <definedName name="__________vat2">#REF!</definedName>
    <definedName name="__________xlfn_BAHTTEXT">#N/A</definedName>
    <definedName name="_________abs1" localSheetId="8">#REF!</definedName>
    <definedName name="_________abs1" localSheetId="10">#REF!</definedName>
    <definedName name="_________abs1" localSheetId="29">#REF!</definedName>
    <definedName name="_________abs1">#REF!</definedName>
    <definedName name="_________AUX1" localSheetId="29">#REF!</definedName>
    <definedName name="_________aux2" localSheetId="29">#REF!</definedName>
    <definedName name="_________AUX3">#REF!</definedName>
    <definedName name="_________BSG100" localSheetId="8">#REF!</definedName>
    <definedName name="_________BSG100" localSheetId="10">#REF!</definedName>
    <definedName name="_________BSG100" localSheetId="29">#REF!</definedName>
    <definedName name="_________BSG100">#REF!</definedName>
    <definedName name="_________BSG150" localSheetId="8">#REF!</definedName>
    <definedName name="_________BSG150" localSheetId="10">#REF!</definedName>
    <definedName name="_________BSG150" localSheetId="29">#REF!</definedName>
    <definedName name="_________BSG150">#REF!</definedName>
    <definedName name="_________BSG5" localSheetId="8">#REF!</definedName>
    <definedName name="_________BSG5" localSheetId="10">#REF!</definedName>
    <definedName name="_________BSG5" localSheetId="29">#REF!</definedName>
    <definedName name="_________BSG5">#REF!</definedName>
    <definedName name="_________BSG75" localSheetId="8">#REF!</definedName>
    <definedName name="_________BSG75" localSheetId="10">#REF!</definedName>
    <definedName name="_________BSG75" localSheetId="29">#REF!</definedName>
    <definedName name="_________BSG75">#REF!</definedName>
    <definedName name="_________BTC1" localSheetId="8">#REF!</definedName>
    <definedName name="_________BTC1" localSheetId="10">#REF!</definedName>
    <definedName name="_________BTC1" localSheetId="29">#REF!</definedName>
    <definedName name="_________BTC1">#REF!</definedName>
    <definedName name="_________BTC10" localSheetId="8">#REF!</definedName>
    <definedName name="_________BTC10" localSheetId="10">#REF!</definedName>
    <definedName name="_________BTC10" localSheetId="29">#REF!</definedName>
    <definedName name="_________BTC10">#REF!</definedName>
    <definedName name="_________BTC11" localSheetId="8">#REF!</definedName>
    <definedName name="_________BTC11" localSheetId="10">#REF!</definedName>
    <definedName name="_________BTC11" localSheetId="29">#REF!</definedName>
    <definedName name="_________BTC11">#REF!</definedName>
    <definedName name="_________BTC12" localSheetId="8">#REF!</definedName>
    <definedName name="_________BTC12" localSheetId="10">#REF!</definedName>
    <definedName name="_________BTC12" localSheetId="29">#REF!</definedName>
    <definedName name="_________BTC12">#REF!</definedName>
    <definedName name="_________BTC13" localSheetId="8">#REF!</definedName>
    <definedName name="_________BTC13" localSheetId="10">#REF!</definedName>
    <definedName name="_________BTC13" localSheetId="29">#REF!</definedName>
    <definedName name="_________BTC13">#REF!</definedName>
    <definedName name="_________BTC14" localSheetId="8">#REF!</definedName>
    <definedName name="_________BTC14" localSheetId="10">#REF!</definedName>
    <definedName name="_________BTC14" localSheetId="29">#REF!</definedName>
    <definedName name="_________BTC14">#REF!</definedName>
    <definedName name="_________BTC15" localSheetId="8">#REF!</definedName>
    <definedName name="_________BTC15" localSheetId="10">#REF!</definedName>
    <definedName name="_________BTC15" localSheetId="29">#REF!</definedName>
    <definedName name="_________BTC15">#REF!</definedName>
    <definedName name="_________BTC2" localSheetId="8">#REF!</definedName>
    <definedName name="_________BTC2" localSheetId="10">#REF!</definedName>
    <definedName name="_________BTC2" localSheetId="29">#REF!</definedName>
    <definedName name="_________BTC2">#REF!</definedName>
    <definedName name="_________BTC3" localSheetId="8">#REF!</definedName>
    <definedName name="_________BTC3" localSheetId="10">#REF!</definedName>
    <definedName name="_________BTC3" localSheetId="29">#REF!</definedName>
    <definedName name="_________BTC3">#REF!</definedName>
    <definedName name="_________BTC4" localSheetId="8">#REF!</definedName>
    <definedName name="_________BTC4" localSheetId="10">#REF!</definedName>
    <definedName name="_________BTC4" localSheetId="29">#REF!</definedName>
    <definedName name="_________BTC4">#REF!</definedName>
    <definedName name="_________BTC5" localSheetId="8">#REF!</definedName>
    <definedName name="_________BTC5" localSheetId="10">#REF!</definedName>
    <definedName name="_________BTC5" localSheetId="29">#REF!</definedName>
    <definedName name="_________BTC5">#REF!</definedName>
    <definedName name="_________BTC6" localSheetId="8">#REF!</definedName>
    <definedName name="_________BTC6" localSheetId="10">#REF!</definedName>
    <definedName name="_________BTC6" localSheetId="29">#REF!</definedName>
    <definedName name="_________BTC6">#REF!</definedName>
    <definedName name="_________BTC7" localSheetId="8">#REF!</definedName>
    <definedName name="_________BTC7" localSheetId="10">#REF!</definedName>
    <definedName name="_________BTC7" localSheetId="29">#REF!</definedName>
    <definedName name="_________BTC7">#REF!</definedName>
    <definedName name="_________BTC8" localSheetId="8">#REF!</definedName>
    <definedName name="_________BTC8" localSheetId="10">#REF!</definedName>
    <definedName name="_________BTC8" localSheetId="29">#REF!</definedName>
    <definedName name="_________BTC8">#REF!</definedName>
    <definedName name="_________BTC9" localSheetId="8">#REF!</definedName>
    <definedName name="_________BTC9" localSheetId="10">#REF!</definedName>
    <definedName name="_________BTC9" localSheetId="29">#REF!</definedName>
    <definedName name="_________BTC9">#REF!</definedName>
    <definedName name="_________BTS1" localSheetId="8">#REF!</definedName>
    <definedName name="_________BTS1" localSheetId="10">#REF!</definedName>
    <definedName name="_________BTS1" localSheetId="29">#REF!</definedName>
    <definedName name="_________BTS1">#REF!</definedName>
    <definedName name="_________BTS10" localSheetId="8">#REF!</definedName>
    <definedName name="_________BTS10" localSheetId="10">#REF!</definedName>
    <definedName name="_________BTS10" localSheetId="29">#REF!</definedName>
    <definedName name="_________BTS10">#REF!</definedName>
    <definedName name="_________BTS11" localSheetId="8">#REF!</definedName>
    <definedName name="_________BTS11" localSheetId="10">#REF!</definedName>
    <definedName name="_________BTS11" localSheetId="29">#REF!</definedName>
    <definedName name="_________BTS11">#REF!</definedName>
    <definedName name="_________BTS12" localSheetId="8">#REF!</definedName>
    <definedName name="_________BTS12" localSheetId="10">#REF!</definedName>
    <definedName name="_________BTS12" localSheetId="29">#REF!</definedName>
    <definedName name="_________BTS12">#REF!</definedName>
    <definedName name="_________BTS13" localSheetId="8">#REF!</definedName>
    <definedName name="_________BTS13" localSheetId="10">#REF!</definedName>
    <definedName name="_________BTS13" localSheetId="29">#REF!</definedName>
    <definedName name="_________BTS13">#REF!</definedName>
    <definedName name="_________BTS14" localSheetId="8">#REF!</definedName>
    <definedName name="_________BTS14" localSheetId="10">#REF!</definedName>
    <definedName name="_________BTS14" localSheetId="29">#REF!</definedName>
    <definedName name="_________BTS14">#REF!</definedName>
    <definedName name="_________BTS15" localSheetId="8">#REF!</definedName>
    <definedName name="_________BTS15" localSheetId="10">#REF!</definedName>
    <definedName name="_________BTS15" localSheetId="29">#REF!</definedName>
    <definedName name="_________BTS15">#REF!</definedName>
    <definedName name="_________BTS2" localSheetId="8">#REF!</definedName>
    <definedName name="_________BTS2" localSheetId="10">#REF!</definedName>
    <definedName name="_________BTS2" localSheetId="29">#REF!</definedName>
    <definedName name="_________BTS2">#REF!</definedName>
    <definedName name="_________BTS3" localSheetId="8">#REF!</definedName>
    <definedName name="_________BTS3" localSheetId="10">#REF!</definedName>
    <definedName name="_________BTS3" localSheetId="29">#REF!</definedName>
    <definedName name="_________BTS3">#REF!</definedName>
    <definedName name="_________BTS4" localSheetId="8">#REF!</definedName>
    <definedName name="_________BTS4" localSheetId="10">#REF!</definedName>
    <definedName name="_________BTS4" localSheetId="29">#REF!</definedName>
    <definedName name="_________BTS4">#REF!</definedName>
    <definedName name="_________BTS5" localSheetId="8">#REF!</definedName>
    <definedName name="_________BTS5" localSheetId="10">#REF!</definedName>
    <definedName name="_________BTS5" localSheetId="29">#REF!</definedName>
    <definedName name="_________BTS5">#REF!</definedName>
    <definedName name="_________BTS6" localSheetId="8">#REF!</definedName>
    <definedName name="_________BTS6" localSheetId="10">#REF!</definedName>
    <definedName name="_________BTS6" localSheetId="29">#REF!</definedName>
    <definedName name="_________BTS6">#REF!</definedName>
    <definedName name="_________BTS7" localSheetId="8">#REF!</definedName>
    <definedName name="_________BTS7" localSheetId="10">#REF!</definedName>
    <definedName name="_________BTS7" localSheetId="29">#REF!</definedName>
    <definedName name="_________BTS7">#REF!</definedName>
    <definedName name="_________BTS8" localSheetId="8">#REF!</definedName>
    <definedName name="_________BTS8" localSheetId="10">#REF!</definedName>
    <definedName name="_________BTS8" localSheetId="29">#REF!</definedName>
    <definedName name="_________BTS8">#REF!</definedName>
    <definedName name="_________BTS9" localSheetId="8">#REF!</definedName>
    <definedName name="_________BTS9" localSheetId="10">#REF!</definedName>
    <definedName name="_________BTS9" localSheetId="29">#REF!</definedName>
    <definedName name="_________BTS9">#REF!</definedName>
    <definedName name="_________can430">40.73</definedName>
    <definedName name="_________can435">43.3</definedName>
    <definedName name="_________cbr1">#REF!</definedName>
    <definedName name="_________cbr2">#REF!</definedName>
    <definedName name="_________cbr3">#REF!</definedName>
    <definedName name="_________cbr4">#REF!</definedName>
    <definedName name="_________er1">#REF!</definedName>
    <definedName name="_________ewe1" localSheetId="29">#REF!</definedName>
    <definedName name="_________f1">#REF!</definedName>
    <definedName name="_________GBS11" localSheetId="8">#REF!</definedName>
    <definedName name="_________GBS11" localSheetId="10">#REF!</definedName>
    <definedName name="_________GBS11" localSheetId="29">#REF!</definedName>
    <definedName name="_________GBS11">#REF!</definedName>
    <definedName name="_________GBS110" localSheetId="8">#REF!</definedName>
    <definedName name="_________GBS110" localSheetId="10">#REF!</definedName>
    <definedName name="_________GBS110" localSheetId="29">#REF!</definedName>
    <definedName name="_________GBS110">#REF!</definedName>
    <definedName name="_________GBS111" localSheetId="8">#REF!</definedName>
    <definedName name="_________GBS111" localSheetId="10">#REF!</definedName>
    <definedName name="_________GBS111" localSheetId="29">#REF!</definedName>
    <definedName name="_________GBS111">#REF!</definedName>
    <definedName name="_________GBS112" localSheetId="8">#REF!</definedName>
    <definedName name="_________GBS112" localSheetId="10">#REF!</definedName>
    <definedName name="_________GBS112" localSheetId="29">#REF!</definedName>
    <definedName name="_________GBS112">#REF!</definedName>
    <definedName name="_________GBS113" localSheetId="8">#REF!</definedName>
    <definedName name="_________GBS113" localSheetId="10">#REF!</definedName>
    <definedName name="_________GBS113" localSheetId="29">#REF!</definedName>
    <definedName name="_________GBS113">#REF!</definedName>
    <definedName name="_________GBS114" localSheetId="8">#REF!</definedName>
    <definedName name="_________GBS114" localSheetId="10">#REF!</definedName>
    <definedName name="_________GBS114" localSheetId="29">#REF!</definedName>
    <definedName name="_________GBS114">#REF!</definedName>
    <definedName name="_________GBS115" localSheetId="8">#REF!</definedName>
    <definedName name="_________GBS115" localSheetId="10">#REF!</definedName>
    <definedName name="_________GBS115" localSheetId="29">#REF!</definedName>
    <definedName name="_________GBS115">#REF!</definedName>
    <definedName name="_________GBS12" localSheetId="8">#REF!</definedName>
    <definedName name="_________GBS12" localSheetId="10">#REF!</definedName>
    <definedName name="_________GBS12" localSheetId="29">#REF!</definedName>
    <definedName name="_________GBS12">#REF!</definedName>
    <definedName name="_________GBS13" localSheetId="8">#REF!</definedName>
    <definedName name="_________GBS13" localSheetId="10">#REF!</definedName>
    <definedName name="_________GBS13" localSheetId="29">#REF!</definedName>
    <definedName name="_________GBS13">#REF!</definedName>
    <definedName name="_________GBS14" localSheetId="8">#REF!</definedName>
    <definedName name="_________GBS14" localSheetId="10">#REF!</definedName>
    <definedName name="_________GBS14" localSheetId="29">#REF!</definedName>
    <definedName name="_________GBS14">#REF!</definedName>
    <definedName name="_________GBS15" localSheetId="8">#REF!</definedName>
    <definedName name="_________GBS15" localSheetId="10">#REF!</definedName>
    <definedName name="_________GBS15" localSheetId="29">#REF!</definedName>
    <definedName name="_________GBS15">#REF!</definedName>
    <definedName name="_________GBS16" localSheetId="8">#REF!</definedName>
    <definedName name="_________GBS16" localSheetId="10">#REF!</definedName>
    <definedName name="_________GBS16" localSheetId="29">#REF!</definedName>
    <definedName name="_________GBS16">#REF!</definedName>
    <definedName name="_________GBS17" localSheetId="8">#REF!</definedName>
    <definedName name="_________GBS17" localSheetId="10">#REF!</definedName>
    <definedName name="_________GBS17" localSheetId="29">#REF!</definedName>
    <definedName name="_________GBS17">#REF!</definedName>
    <definedName name="_________GBS18" localSheetId="8">#REF!</definedName>
    <definedName name="_________GBS18" localSheetId="10">#REF!</definedName>
    <definedName name="_________GBS18" localSheetId="29">#REF!</definedName>
    <definedName name="_________GBS18">#REF!</definedName>
    <definedName name="_________GBS19" localSheetId="8">#REF!</definedName>
    <definedName name="_________GBS19" localSheetId="10">#REF!</definedName>
    <definedName name="_________GBS19" localSheetId="29">#REF!</definedName>
    <definedName name="_________GBS19">#REF!</definedName>
    <definedName name="_________GBS21" localSheetId="8">#REF!</definedName>
    <definedName name="_________GBS21" localSheetId="10">#REF!</definedName>
    <definedName name="_________GBS21" localSheetId="29">#REF!</definedName>
    <definedName name="_________GBS21">#REF!</definedName>
    <definedName name="_________GBS210" localSheetId="8">#REF!</definedName>
    <definedName name="_________GBS210" localSheetId="10">#REF!</definedName>
    <definedName name="_________GBS210" localSheetId="29">#REF!</definedName>
    <definedName name="_________GBS210">#REF!</definedName>
    <definedName name="_________GBS211" localSheetId="8">#REF!</definedName>
    <definedName name="_________GBS211" localSheetId="10">#REF!</definedName>
    <definedName name="_________GBS211" localSheetId="29">#REF!</definedName>
    <definedName name="_________GBS211">#REF!</definedName>
    <definedName name="_________GBS212" localSheetId="8">#REF!</definedName>
    <definedName name="_________GBS212" localSheetId="10">#REF!</definedName>
    <definedName name="_________GBS212" localSheetId="29">#REF!</definedName>
    <definedName name="_________GBS212">#REF!</definedName>
    <definedName name="_________GBS213" localSheetId="8">#REF!</definedName>
    <definedName name="_________GBS213" localSheetId="10">#REF!</definedName>
    <definedName name="_________GBS213" localSheetId="29">#REF!</definedName>
    <definedName name="_________GBS213">#REF!</definedName>
    <definedName name="_________GBS214" localSheetId="8">#REF!</definedName>
    <definedName name="_________GBS214" localSheetId="10">#REF!</definedName>
    <definedName name="_________GBS214" localSheetId="29">#REF!</definedName>
    <definedName name="_________GBS214">#REF!</definedName>
    <definedName name="_________GBS215" localSheetId="8">#REF!</definedName>
    <definedName name="_________GBS215" localSheetId="10">#REF!</definedName>
    <definedName name="_________GBS215" localSheetId="29">#REF!</definedName>
    <definedName name="_________GBS215">#REF!</definedName>
    <definedName name="_________GBS22" localSheetId="8">#REF!</definedName>
    <definedName name="_________GBS22" localSheetId="10">#REF!</definedName>
    <definedName name="_________GBS22" localSheetId="29">#REF!</definedName>
    <definedName name="_________GBS22">#REF!</definedName>
    <definedName name="_________GBS23" localSheetId="8">#REF!</definedName>
    <definedName name="_________GBS23" localSheetId="10">#REF!</definedName>
    <definedName name="_________GBS23" localSheetId="29">#REF!</definedName>
    <definedName name="_________GBS23">#REF!</definedName>
    <definedName name="_________GBS24" localSheetId="8">#REF!</definedName>
    <definedName name="_________GBS24" localSheetId="10">#REF!</definedName>
    <definedName name="_________GBS24" localSheetId="29">#REF!</definedName>
    <definedName name="_________GBS24">#REF!</definedName>
    <definedName name="_________GBS25" localSheetId="8">#REF!</definedName>
    <definedName name="_________GBS25" localSheetId="10">#REF!</definedName>
    <definedName name="_________GBS25" localSheetId="29">#REF!</definedName>
    <definedName name="_________GBS25">#REF!</definedName>
    <definedName name="_________GBS26" localSheetId="8">#REF!</definedName>
    <definedName name="_________GBS26" localSheetId="10">#REF!</definedName>
    <definedName name="_________GBS26" localSheetId="29">#REF!</definedName>
    <definedName name="_________GBS26">#REF!</definedName>
    <definedName name="_________GBS27" localSheetId="8">#REF!</definedName>
    <definedName name="_________GBS27" localSheetId="10">#REF!</definedName>
    <definedName name="_________GBS27" localSheetId="29">#REF!</definedName>
    <definedName name="_________GBS27">#REF!</definedName>
    <definedName name="_________GBS28" localSheetId="8">#REF!</definedName>
    <definedName name="_________GBS28" localSheetId="10">#REF!</definedName>
    <definedName name="_________GBS28" localSheetId="29">#REF!</definedName>
    <definedName name="_________GBS28">#REF!</definedName>
    <definedName name="_________GBS29" localSheetId="8">#REF!</definedName>
    <definedName name="_________GBS29" localSheetId="10">#REF!</definedName>
    <definedName name="_________GBS29" localSheetId="29">#REF!</definedName>
    <definedName name="_________GBS29">#REF!</definedName>
    <definedName name="_________gus1">#REF!</definedName>
    <definedName name="_________hpm1">#REF!</definedName>
    <definedName name="_________knr2" localSheetId="5">#REF!</definedName>
    <definedName name="_________knr2" localSheetId="14">#REF!</definedName>
    <definedName name="_________knr2" localSheetId="8">#REF!</definedName>
    <definedName name="_________knr2" localSheetId="10">#REF!</definedName>
    <definedName name="_________knr2" localSheetId="29">#REF!</definedName>
    <definedName name="_________knr2">#REF!</definedName>
    <definedName name="_________l12" localSheetId="21">#REF!</definedName>
    <definedName name="_________l12" localSheetId="5">#REF!</definedName>
    <definedName name="_________l12" localSheetId="8">#REF!</definedName>
    <definedName name="_________l12" localSheetId="10">#REF!</definedName>
    <definedName name="_________l12" localSheetId="11">#REF!</definedName>
    <definedName name="_________l12" localSheetId="29">#REF!</definedName>
    <definedName name="_________l12" localSheetId="31">#REF!</definedName>
    <definedName name="_________l12" localSheetId="35">#REF!</definedName>
    <definedName name="_________l12" localSheetId="36">#REF!</definedName>
    <definedName name="_________l12">#REF!</definedName>
    <definedName name="_________l3" localSheetId="21">#REF!</definedName>
    <definedName name="_________l3" localSheetId="5">#REF!</definedName>
    <definedName name="_________l3" localSheetId="8">#REF!</definedName>
    <definedName name="_________l3" localSheetId="10">#REF!</definedName>
    <definedName name="_________l3" localSheetId="11">#REF!</definedName>
    <definedName name="_________l3" localSheetId="29">#REF!</definedName>
    <definedName name="_________l3" localSheetId="31">#REF!</definedName>
    <definedName name="_________l3" localSheetId="35">#REF!</definedName>
    <definedName name="_________l3" localSheetId="36">#REF!</definedName>
    <definedName name="_________l3">#REF!</definedName>
    <definedName name="_________l5" localSheetId="21">#REF!</definedName>
    <definedName name="_________l5" localSheetId="5">#REF!</definedName>
    <definedName name="_________l5" localSheetId="8">#REF!</definedName>
    <definedName name="_________l5" localSheetId="10">#REF!</definedName>
    <definedName name="_________l5" localSheetId="11">#REF!</definedName>
    <definedName name="_________l5" localSheetId="29">#REF!</definedName>
    <definedName name="_________l5" localSheetId="31">#REF!</definedName>
    <definedName name="_________l5" localSheetId="35">#REF!</definedName>
    <definedName name="_________l5" localSheetId="36">#REF!</definedName>
    <definedName name="_________l5">#REF!</definedName>
    <definedName name="_________lcn1">#REF!</definedName>
    <definedName name="_________LI9" localSheetId="8">#REF!</definedName>
    <definedName name="_________LI9" localSheetId="10">#REF!</definedName>
    <definedName name="_________LI9" localSheetId="29">#REF!</definedName>
    <definedName name="_________LI9">#REF!</definedName>
    <definedName name="_________LII9" localSheetId="8">#REF!</definedName>
    <definedName name="_________LII9" localSheetId="10">#REF!</definedName>
    <definedName name="_________LII9" localSheetId="29">#REF!</definedName>
    <definedName name="_________LII9">#REF!</definedName>
    <definedName name="_________lm1" localSheetId="29">#REF!</definedName>
    <definedName name="_________ML11" localSheetId="8">#REF!</definedName>
    <definedName name="_________ML11" localSheetId="10">#REF!</definedName>
    <definedName name="_________ML11" localSheetId="29">#REF!</definedName>
    <definedName name="_________ML11">#REF!</definedName>
    <definedName name="_________ML110" localSheetId="8">#REF!</definedName>
    <definedName name="_________ML110" localSheetId="10">#REF!</definedName>
    <definedName name="_________ML110" localSheetId="29">#REF!</definedName>
    <definedName name="_________ML110">#REF!</definedName>
    <definedName name="_________ML111" localSheetId="8">#REF!</definedName>
    <definedName name="_________ML111" localSheetId="10">#REF!</definedName>
    <definedName name="_________ML111" localSheetId="29">#REF!</definedName>
    <definedName name="_________ML111">#REF!</definedName>
    <definedName name="_________ML112" localSheetId="8">#REF!</definedName>
    <definedName name="_________ML112" localSheetId="10">#REF!</definedName>
    <definedName name="_________ML112" localSheetId="29">#REF!</definedName>
    <definedName name="_________ML112">#REF!</definedName>
    <definedName name="_________ML113" localSheetId="8">#REF!</definedName>
    <definedName name="_________ML113" localSheetId="10">#REF!</definedName>
    <definedName name="_________ML113" localSheetId="29">#REF!</definedName>
    <definedName name="_________ML113">#REF!</definedName>
    <definedName name="_________ML114" localSheetId="8">#REF!</definedName>
    <definedName name="_________ML114" localSheetId="10">#REF!</definedName>
    <definedName name="_________ML114" localSheetId="29">#REF!</definedName>
    <definedName name="_________ML114">#REF!</definedName>
    <definedName name="_________ML115" localSheetId="8">#REF!</definedName>
    <definedName name="_________ML115" localSheetId="10">#REF!</definedName>
    <definedName name="_________ML115" localSheetId="29">#REF!</definedName>
    <definedName name="_________ML115">#REF!</definedName>
    <definedName name="_________ML12" localSheetId="8">#REF!</definedName>
    <definedName name="_________ML12" localSheetId="10">#REF!</definedName>
    <definedName name="_________ML12" localSheetId="29">#REF!</definedName>
    <definedName name="_________ML12">#REF!</definedName>
    <definedName name="_________ML13" localSheetId="8">#REF!</definedName>
    <definedName name="_________ML13" localSheetId="10">#REF!</definedName>
    <definedName name="_________ML13" localSheetId="29">#REF!</definedName>
    <definedName name="_________ML13">#REF!</definedName>
    <definedName name="_________ML14" localSheetId="8">#REF!</definedName>
    <definedName name="_________ML14" localSheetId="10">#REF!</definedName>
    <definedName name="_________ML14" localSheetId="29">#REF!</definedName>
    <definedName name="_________ML14">#REF!</definedName>
    <definedName name="_________ML15" localSheetId="8">#REF!</definedName>
    <definedName name="_________ML15" localSheetId="10">#REF!</definedName>
    <definedName name="_________ML15" localSheetId="29">#REF!</definedName>
    <definedName name="_________ML15">#REF!</definedName>
    <definedName name="_________ML16" localSheetId="8">#REF!</definedName>
    <definedName name="_________ML16" localSheetId="10">#REF!</definedName>
    <definedName name="_________ML16" localSheetId="29">#REF!</definedName>
    <definedName name="_________ML16">#REF!</definedName>
    <definedName name="_________ML17" localSheetId="8">#REF!</definedName>
    <definedName name="_________ML17" localSheetId="10">#REF!</definedName>
    <definedName name="_________ML17" localSheetId="29">#REF!</definedName>
    <definedName name="_________ML17">#REF!</definedName>
    <definedName name="_________ML18" localSheetId="8">#REF!</definedName>
    <definedName name="_________ML18" localSheetId="10">#REF!</definedName>
    <definedName name="_________ML18" localSheetId="29">#REF!</definedName>
    <definedName name="_________ML18">#REF!</definedName>
    <definedName name="_________ML19" localSheetId="8">#REF!</definedName>
    <definedName name="_________ML19" localSheetId="10">#REF!</definedName>
    <definedName name="_________ML19" localSheetId="29">#REF!</definedName>
    <definedName name="_________ML19">#REF!</definedName>
    <definedName name="_________ML21" localSheetId="8">#REF!</definedName>
    <definedName name="_________ML21" localSheetId="10">#REF!</definedName>
    <definedName name="_________ML21" localSheetId="29">#REF!</definedName>
    <definedName name="_________ML21">#REF!</definedName>
    <definedName name="_________ML210" localSheetId="8">#REF!</definedName>
    <definedName name="_________ML210" localSheetId="10">#REF!</definedName>
    <definedName name="_________ML210" localSheetId="29">#REF!</definedName>
    <definedName name="_________ML210">#REF!</definedName>
    <definedName name="_________ML211" localSheetId="8">#REF!</definedName>
    <definedName name="_________ML211" localSheetId="10">#REF!</definedName>
    <definedName name="_________ML211" localSheetId="29">#REF!</definedName>
    <definedName name="_________ML211">#REF!</definedName>
    <definedName name="_________ML212" localSheetId="8">#REF!</definedName>
    <definedName name="_________ML212" localSheetId="10">#REF!</definedName>
    <definedName name="_________ML212" localSheetId="29">#REF!</definedName>
    <definedName name="_________ML212">#REF!</definedName>
    <definedName name="_________ML213" localSheetId="8">#REF!</definedName>
    <definedName name="_________ML213" localSheetId="10">#REF!</definedName>
    <definedName name="_________ML213" localSheetId="29">#REF!</definedName>
    <definedName name="_________ML213">#REF!</definedName>
    <definedName name="_________ML214" localSheetId="8">#REF!</definedName>
    <definedName name="_________ML214" localSheetId="10">#REF!</definedName>
    <definedName name="_________ML214" localSheetId="29">#REF!</definedName>
    <definedName name="_________ML214">#REF!</definedName>
    <definedName name="_________ML215" localSheetId="8">#REF!</definedName>
    <definedName name="_________ML215" localSheetId="10">#REF!</definedName>
    <definedName name="_________ML215" localSheetId="29">#REF!</definedName>
    <definedName name="_________ML215">#REF!</definedName>
    <definedName name="_________ML22" localSheetId="8">#REF!</definedName>
    <definedName name="_________ML22" localSheetId="10">#REF!</definedName>
    <definedName name="_________ML22" localSheetId="29">#REF!</definedName>
    <definedName name="_________ML22">#REF!</definedName>
    <definedName name="_________ML23" localSheetId="8">#REF!</definedName>
    <definedName name="_________ML23" localSheetId="10">#REF!</definedName>
    <definedName name="_________ML23" localSheetId="29">#REF!</definedName>
    <definedName name="_________ML23">#REF!</definedName>
    <definedName name="_________ML24" localSheetId="8">#REF!</definedName>
    <definedName name="_________ML24" localSheetId="10">#REF!</definedName>
    <definedName name="_________ML24" localSheetId="29">#REF!</definedName>
    <definedName name="_________ML24">#REF!</definedName>
    <definedName name="_________ML25" localSheetId="8">#REF!</definedName>
    <definedName name="_________ML25" localSheetId="10">#REF!</definedName>
    <definedName name="_________ML25" localSheetId="29">#REF!</definedName>
    <definedName name="_________ML25">#REF!</definedName>
    <definedName name="_________ML26" localSheetId="8">#REF!</definedName>
    <definedName name="_________ML26" localSheetId="10">#REF!</definedName>
    <definedName name="_________ML26" localSheetId="29">#REF!</definedName>
    <definedName name="_________ML26">#REF!</definedName>
    <definedName name="_________ML27" localSheetId="8">#REF!</definedName>
    <definedName name="_________ML27" localSheetId="10">#REF!</definedName>
    <definedName name="_________ML27" localSheetId="29">#REF!</definedName>
    <definedName name="_________ML27">#REF!</definedName>
    <definedName name="_________ML28" localSheetId="8">#REF!</definedName>
    <definedName name="_________ML28" localSheetId="10">#REF!</definedName>
    <definedName name="_________ML28" localSheetId="29">#REF!</definedName>
    <definedName name="_________ML28">#REF!</definedName>
    <definedName name="_________ML29" localSheetId="8">#REF!</definedName>
    <definedName name="_________ML29" localSheetId="10">#REF!</definedName>
    <definedName name="_________ML29" localSheetId="29">#REF!</definedName>
    <definedName name="_________ML29">#REF!</definedName>
    <definedName name="_________ML31" localSheetId="8">#REF!</definedName>
    <definedName name="_________ML31" localSheetId="10">#REF!</definedName>
    <definedName name="_________ML31" localSheetId="29">#REF!</definedName>
    <definedName name="_________ML31">#REF!</definedName>
    <definedName name="_________ML310" localSheetId="8">#REF!</definedName>
    <definedName name="_________ML310" localSheetId="10">#REF!</definedName>
    <definedName name="_________ML310" localSheetId="29">#REF!</definedName>
    <definedName name="_________ML310">#REF!</definedName>
    <definedName name="_________ML311" localSheetId="8">#REF!</definedName>
    <definedName name="_________ML311" localSheetId="10">#REF!</definedName>
    <definedName name="_________ML311" localSheetId="29">#REF!</definedName>
    <definedName name="_________ML311">#REF!</definedName>
    <definedName name="_________ML312" localSheetId="8">#REF!</definedName>
    <definedName name="_________ML312" localSheetId="10">#REF!</definedName>
    <definedName name="_________ML312" localSheetId="29">#REF!</definedName>
    <definedName name="_________ML312">#REF!</definedName>
    <definedName name="_________ML313" localSheetId="8">#REF!</definedName>
    <definedName name="_________ML313" localSheetId="10">#REF!</definedName>
    <definedName name="_________ML313" localSheetId="29">#REF!</definedName>
    <definedName name="_________ML313">#REF!</definedName>
    <definedName name="_________ML314" localSheetId="8">#REF!</definedName>
    <definedName name="_________ML314" localSheetId="10">#REF!</definedName>
    <definedName name="_________ML314" localSheetId="29">#REF!</definedName>
    <definedName name="_________ML314">#REF!</definedName>
    <definedName name="_________ML315" localSheetId="8">#REF!</definedName>
    <definedName name="_________ML315" localSheetId="10">#REF!</definedName>
    <definedName name="_________ML315" localSheetId="29">#REF!</definedName>
    <definedName name="_________ML315">#REF!</definedName>
    <definedName name="_________ML32" localSheetId="8">#REF!</definedName>
    <definedName name="_________ML32" localSheetId="10">#REF!</definedName>
    <definedName name="_________ML32" localSheetId="29">#REF!</definedName>
    <definedName name="_________ML32">#REF!</definedName>
    <definedName name="_________ML33" localSheetId="8">#REF!</definedName>
    <definedName name="_________ML33" localSheetId="10">#REF!</definedName>
    <definedName name="_________ML33" localSheetId="29">#REF!</definedName>
    <definedName name="_________ML33">#REF!</definedName>
    <definedName name="_________ML34" localSheetId="8">#REF!</definedName>
    <definedName name="_________ML34" localSheetId="10">#REF!</definedName>
    <definedName name="_________ML34" localSheetId="29">#REF!</definedName>
    <definedName name="_________ML34">#REF!</definedName>
    <definedName name="_________ML35" localSheetId="8">#REF!</definedName>
    <definedName name="_________ML35" localSheetId="10">#REF!</definedName>
    <definedName name="_________ML35" localSheetId="29">#REF!</definedName>
    <definedName name="_________ML35">#REF!</definedName>
    <definedName name="_________ML36" localSheetId="8">#REF!</definedName>
    <definedName name="_________ML36" localSheetId="10">#REF!</definedName>
    <definedName name="_________ML36" localSheetId="29">#REF!</definedName>
    <definedName name="_________ML36">#REF!</definedName>
    <definedName name="_________ML37" localSheetId="8">#REF!</definedName>
    <definedName name="_________ML37" localSheetId="10">#REF!</definedName>
    <definedName name="_________ML37" localSheetId="29">#REF!</definedName>
    <definedName name="_________ML37">#REF!</definedName>
    <definedName name="_________ML38" localSheetId="8">#REF!</definedName>
    <definedName name="_________ML38" localSheetId="10">#REF!</definedName>
    <definedName name="_________ML38" localSheetId="29">#REF!</definedName>
    <definedName name="_________ML38">#REF!</definedName>
    <definedName name="_________ML39" localSheetId="8">#REF!</definedName>
    <definedName name="_________ML39" localSheetId="10">#REF!</definedName>
    <definedName name="_________ML39" localSheetId="29">#REF!</definedName>
    <definedName name="_________ML39">#REF!</definedName>
    <definedName name="_________ML7" localSheetId="8">#REF!</definedName>
    <definedName name="_________ML7" localSheetId="10">#REF!</definedName>
    <definedName name="_________ML7" localSheetId="29">#REF!</definedName>
    <definedName name="_________ML7">#REF!</definedName>
    <definedName name="_________ML8" localSheetId="8">#REF!</definedName>
    <definedName name="_________ML8" localSheetId="10">#REF!</definedName>
    <definedName name="_________ML8" localSheetId="29">#REF!</definedName>
    <definedName name="_________ML8">#REF!</definedName>
    <definedName name="_________ML9" localSheetId="8">#REF!</definedName>
    <definedName name="_________ML9" localSheetId="10">#REF!</definedName>
    <definedName name="_________ML9" localSheetId="29">#REF!</definedName>
    <definedName name="_________ML9">#REF!</definedName>
    <definedName name="_________mm20" localSheetId="29">#REF!</definedName>
    <definedName name="_________mm40">#REF!</definedName>
    <definedName name="_________pc2" localSheetId="21">#REF!</definedName>
    <definedName name="_________pc2" localSheetId="5">#REF!</definedName>
    <definedName name="_________pc2" localSheetId="8">#REF!</definedName>
    <definedName name="_________pc2" localSheetId="10">#REF!</definedName>
    <definedName name="_________pc2" localSheetId="11">#REF!</definedName>
    <definedName name="_________pc2" localSheetId="29">#REF!</definedName>
    <definedName name="_________pc2" localSheetId="31">#REF!</definedName>
    <definedName name="_________pc2" localSheetId="35">#REF!</definedName>
    <definedName name="_________pc2" localSheetId="36">#REF!</definedName>
    <definedName name="_________pc2">#REF!</definedName>
    <definedName name="_________PMS2" localSheetId="8">#REF!</definedName>
    <definedName name="_________PMS2" localSheetId="10">#REF!</definedName>
    <definedName name="_________PMS2" localSheetId="29">#REF!</definedName>
    <definedName name="_________PMS2">#REF!</definedName>
    <definedName name="_________pv2" localSheetId="21">#REF!</definedName>
    <definedName name="_________pv2" localSheetId="5">#REF!</definedName>
    <definedName name="_________pv2" localSheetId="8">#REF!</definedName>
    <definedName name="_________pv2" localSheetId="10">#REF!</definedName>
    <definedName name="_________pv2" localSheetId="11">#REF!</definedName>
    <definedName name="_________pv2" localSheetId="29">#REF!</definedName>
    <definedName name="_________pv2" localSheetId="31">#REF!</definedName>
    <definedName name="_________pv2" localSheetId="35">#REF!</definedName>
    <definedName name="_________pv2" localSheetId="36">#REF!</definedName>
    <definedName name="_________pv2">#REF!</definedName>
    <definedName name="_________SO016" localSheetId="8">#REF!</definedName>
    <definedName name="_________SO016" localSheetId="10">#REF!</definedName>
    <definedName name="_________SO016" localSheetId="11">#REF!</definedName>
    <definedName name="_________SO016" localSheetId="29">#REF!</definedName>
    <definedName name="_________SO016">#REF!</definedName>
    <definedName name="_________SP001" localSheetId="8">#REF!</definedName>
    <definedName name="_________SP001" localSheetId="10">#REF!</definedName>
    <definedName name="_________SP001" localSheetId="11">#REF!</definedName>
    <definedName name="_________SP001" localSheetId="29">#REF!</definedName>
    <definedName name="_________SP001">#REF!</definedName>
    <definedName name="_________SP002" localSheetId="8">#REF!</definedName>
    <definedName name="_________SP002" localSheetId="10">#REF!</definedName>
    <definedName name="_________SP002" localSheetId="11">#REF!</definedName>
    <definedName name="_________SP002" localSheetId="29">#REF!</definedName>
    <definedName name="_________SP002">#REF!</definedName>
    <definedName name="_________SP003" localSheetId="8">#REF!</definedName>
    <definedName name="_________SP003" localSheetId="10">#REF!</definedName>
    <definedName name="_________SP003" localSheetId="11">#REF!</definedName>
    <definedName name="_________SP003" localSheetId="29">#REF!</definedName>
    <definedName name="_________SP003">#REF!</definedName>
    <definedName name="_________SP004" localSheetId="8">#REF!</definedName>
    <definedName name="_________SP004" localSheetId="10">#REF!</definedName>
    <definedName name="_________SP004" localSheetId="11">#REF!</definedName>
    <definedName name="_________SP004" localSheetId="29">#REF!</definedName>
    <definedName name="_________SP004">#REF!</definedName>
    <definedName name="_________SP005" localSheetId="8">#REF!</definedName>
    <definedName name="_________SP005" localSheetId="10">#REF!</definedName>
    <definedName name="_________SP005" localSheetId="11">#REF!</definedName>
    <definedName name="_________SP005" localSheetId="29">#REF!</definedName>
    <definedName name="_________SP005">#REF!</definedName>
    <definedName name="_________SP006" localSheetId="8">#REF!</definedName>
    <definedName name="_________SP006" localSheetId="10">#REF!</definedName>
    <definedName name="_________SP006" localSheetId="11">#REF!</definedName>
    <definedName name="_________SP006" localSheetId="29">#REF!</definedName>
    <definedName name="_________SP006">#REF!</definedName>
    <definedName name="_________SP007" localSheetId="8">#REF!</definedName>
    <definedName name="_________SP007" localSheetId="10">#REF!</definedName>
    <definedName name="_________SP007" localSheetId="11">#REF!</definedName>
    <definedName name="_________SP007" localSheetId="29">#REF!</definedName>
    <definedName name="_________SP007">#REF!</definedName>
    <definedName name="_________SP008" localSheetId="8">#REF!</definedName>
    <definedName name="_________SP008" localSheetId="10">#REF!</definedName>
    <definedName name="_________SP008" localSheetId="11">#REF!</definedName>
    <definedName name="_________SP008" localSheetId="29">#REF!</definedName>
    <definedName name="_________SP008">#REF!</definedName>
    <definedName name="_________SP009" localSheetId="8">#REF!</definedName>
    <definedName name="_________SP009" localSheetId="10">#REF!</definedName>
    <definedName name="_________SP009" localSheetId="11">#REF!</definedName>
    <definedName name="_________SP009" localSheetId="29">#REF!</definedName>
    <definedName name="_________SP009">#REF!</definedName>
    <definedName name="_________SP010" localSheetId="8">#REF!</definedName>
    <definedName name="_________SP010" localSheetId="10">#REF!</definedName>
    <definedName name="_________SP010" localSheetId="11">#REF!</definedName>
    <definedName name="_________SP010" localSheetId="29">#REF!</definedName>
    <definedName name="_________SP010">#REF!</definedName>
    <definedName name="_________SP011" localSheetId="8">#REF!</definedName>
    <definedName name="_________SP011" localSheetId="10">#REF!</definedName>
    <definedName name="_________SP011" localSheetId="11">#REF!</definedName>
    <definedName name="_________SP011" localSheetId="29">#REF!</definedName>
    <definedName name="_________SP011">#REF!</definedName>
    <definedName name="_________SP012" localSheetId="8">#REF!</definedName>
    <definedName name="_________SP012" localSheetId="10">#REF!</definedName>
    <definedName name="_________SP012" localSheetId="11">#REF!</definedName>
    <definedName name="_________SP012" localSheetId="29">#REF!</definedName>
    <definedName name="_________SP012">#REF!</definedName>
    <definedName name="_________SP013" localSheetId="8">#REF!</definedName>
    <definedName name="_________SP013" localSheetId="10">#REF!</definedName>
    <definedName name="_________SP013" localSheetId="11">#REF!</definedName>
    <definedName name="_________SP013" localSheetId="29">#REF!</definedName>
    <definedName name="_________SP013">#REF!</definedName>
    <definedName name="_________SP014" localSheetId="8">#REF!</definedName>
    <definedName name="_________SP014" localSheetId="10">#REF!</definedName>
    <definedName name="_________SP014" localSheetId="11">#REF!</definedName>
    <definedName name="_________SP014" localSheetId="29">#REF!</definedName>
    <definedName name="_________SP014">#REF!</definedName>
    <definedName name="_________SP015" localSheetId="8">#REF!</definedName>
    <definedName name="_________SP015" localSheetId="10">#REF!</definedName>
    <definedName name="_________SP015" localSheetId="11">#REF!</definedName>
    <definedName name="_________SP015" localSheetId="29">#REF!</definedName>
    <definedName name="_________SP015">#REF!</definedName>
    <definedName name="_________SP016" localSheetId="8">#REF!</definedName>
    <definedName name="_________SP016" localSheetId="10">#REF!</definedName>
    <definedName name="_________SP016" localSheetId="11">#REF!</definedName>
    <definedName name="_________SP016" localSheetId="29">#REF!</definedName>
    <definedName name="_________SP016">#REF!</definedName>
    <definedName name="_________SP017" localSheetId="8">#REF!</definedName>
    <definedName name="_________SP017" localSheetId="10">#REF!</definedName>
    <definedName name="_________SP017" localSheetId="11">#REF!</definedName>
    <definedName name="_________SP017" localSheetId="29">#REF!</definedName>
    <definedName name="_________SP017">#REF!</definedName>
    <definedName name="_________SP018" localSheetId="8">#REF!</definedName>
    <definedName name="_________SP018" localSheetId="10">#REF!</definedName>
    <definedName name="_________SP018" localSheetId="11">#REF!</definedName>
    <definedName name="_________SP018" localSheetId="29">#REF!</definedName>
    <definedName name="_________SP018">#REF!</definedName>
    <definedName name="_________SP019" localSheetId="8">#REF!</definedName>
    <definedName name="_________SP019" localSheetId="10">#REF!</definedName>
    <definedName name="_________SP019" localSheetId="11">#REF!</definedName>
    <definedName name="_________SP019" localSheetId="29">#REF!</definedName>
    <definedName name="_________SP019">#REF!</definedName>
    <definedName name="_________SP020" localSheetId="8">#REF!</definedName>
    <definedName name="_________SP020" localSheetId="10">#REF!</definedName>
    <definedName name="_________SP020" localSheetId="11">#REF!</definedName>
    <definedName name="_________SP020" localSheetId="29">#REF!</definedName>
    <definedName name="_________SP020">#REF!</definedName>
    <definedName name="_________SP021" localSheetId="8">#REF!</definedName>
    <definedName name="_________SP021" localSheetId="10">#REF!</definedName>
    <definedName name="_________SP021" localSheetId="11">#REF!</definedName>
    <definedName name="_________SP021" localSheetId="29">#REF!</definedName>
    <definedName name="_________SP021">#REF!</definedName>
    <definedName name="_________SP022" localSheetId="8">#REF!</definedName>
    <definedName name="_________SP022" localSheetId="10">#REF!</definedName>
    <definedName name="_________SP022" localSheetId="11">#REF!</definedName>
    <definedName name="_________SP022" localSheetId="29">#REF!</definedName>
    <definedName name="_________SP022">#REF!</definedName>
    <definedName name="_________SP023" localSheetId="8">#REF!</definedName>
    <definedName name="_________SP023" localSheetId="10">#REF!</definedName>
    <definedName name="_________SP023" localSheetId="11">#REF!</definedName>
    <definedName name="_________SP023" localSheetId="29">#REF!</definedName>
    <definedName name="_________SP023">#REF!</definedName>
    <definedName name="_________SP024" localSheetId="8">#REF!</definedName>
    <definedName name="_________SP024" localSheetId="10">#REF!</definedName>
    <definedName name="_________SP024" localSheetId="11">#REF!</definedName>
    <definedName name="_________SP024" localSheetId="29">#REF!</definedName>
    <definedName name="_________SP024">#REF!</definedName>
    <definedName name="_________SP025" localSheetId="8">#REF!</definedName>
    <definedName name="_________SP025" localSheetId="10">#REF!</definedName>
    <definedName name="_________SP025" localSheetId="11">#REF!</definedName>
    <definedName name="_________SP025" localSheetId="29">#REF!</definedName>
    <definedName name="_________SP025">#REF!</definedName>
    <definedName name="_________SP026" localSheetId="8">#REF!</definedName>
    <definedName name="_________SP026" localSheetId="10">#REF!</definedName>
    <definedName name="_________SP026" localSheetId="11">#REF!</definedName>
    <definedName name="_________SP026" localSheetId="29">#REF!</definedName>
    <definedName name="_________SP026">#REF!</definedName>
    <definedName name="_________SP027" localSheetId="8">#REF!</definedName>
    <definedName name="_________SP027" localSheetId="10">#REF!</definedName>
    <definedName name="_________SP027" localSheetId="11">#REF!</definedName>
    <definedName name="_________SP027" localSheetId="29">#REF!</definedName>
    <definedName name="_________SP027">#REF!</definedName>
    <definedName name="_________SP028" localSheetId="8">#REF!</definedName>
    <definedName name="_________SP028" localSheetId="10">#REF!</definedName>
    <definedName name="_________SP028" localSheetId="11">#REF!</definedName>
    <definedName name="_________SP028" localSheetId="29">#REF!</definedName>
    <definedName name="_________SP028">#REF!</definedName>
    <definedName name="_________SP029" localSheetId="8">#REF!</definedName>
    <definedName name="_________SP029" localSheetId="10">#REF!</definedName>
    <definedName name="_________SP029" localSheetId="11">#REF!</definedName>
    <definedName name="_________SP029" localSheetId="29">#REF!</definedName>
    <definedName name="_________SP029">#REF!</definedName>
    <definedName name="_________SP030" localSheetId="8">#REF!</definedName>
    <definedName name="_________SP030" localSheetId="10">#REF!</definedName>
    <definedName name="_________SP030" localSheetId="11">#REF!</definedName>
    <definedName name="_________SP030" localSheetId="29">#REF!</definedName>
    <definedName name="_________SP030">#REF!</definedName>
    <definedName name="_________SP031" localSheetId="8">#REF!</definedName>
    <definedName name="_________SP031" localSheetId="10">#REF!</definedName>
    <definedName name="_________SP031" localSheetId="11">#REF!</definedName>
    <definedName name="_________SP031" localSheetId="29">#REF!</definedName>
    <definedName name="_________SP031">#REF!</definedName>
    <definedName name="_________SP032" localSheetId="8">#REF!</definedName>
    <definedName name="_________SP032" localSheetId="10">#REF!</definedName>
    <definedName name="_________SP032" localSheetId="11">#REF!</definedName>
    <definedName name="_________SP032" localSheetId="29">#REF!</definedName>
    <definedName name="_________SP032">#REF!</definedName>
    <definedName name="_________SP033" localSheetId="8">#REF!</definedName>
    <definedName name="_________SP033" localSheetId="10">#REF!</definedName>
    <definedName name="_________SP033" localSheetId="11">#REF!</definedName>
    <definedName name="_________SP033" localSheetId="29">#REF!</definedName>
    <definedName name="_________SP033">#REF!</definedName>
    <definedName name="_________SP034" localSheetId="8">#REF!</definedName>
    <definedName name="_________SP034" localSheetId="10">#REF!</definedName>
    <definedName name="_________SP034" localSheetId="11">#REF!</definedName>
    <definedName name="_________SP034" localSheetId="29">#REF!</definedName>
    <definedName name="_________SP034">#REF!</definedName>
    <definedName name="_________SP035" localSheetId="8">#REF!</definedName>
    <definedName name="_________SP035" localSheetId="10">#REF!</definedName>
    <definedName name="_________SP035" localSheetId="11">#REF!</definedName>
    <definedName name="_________SP035" localSheetId="29">#REF!</definedName>
    <definedName name="_________SP035">#REF!</definedName>
    <definedName name="_________SP036" localSheetId="8">#REF!</definedName>
    <definedName name="_________SP036" localSheetId="10">#REF!</definedName>
    <definedName name="_________SP036" localSheetId="11">#REF!</definedName>
    <definedName name="_________SP036" localSheetId="29">#REF!</definedName>
    <definedName name="_________SP036">#REF!</definedName>
    <definedName name="_________SP037" localSheetId="8">#REF!</definedName>
    <definedName name="_________SP037" localSheetId="10">#REF!</definedName>
    <definedName name="_________SP037" localSheetId="11">#REF!</definedName>
    <definedName name="_________SP037" localSheetId="29">#REF!</definedName>
    <definedName name="_________SP037">#REF!</definedName>
    <definedName name="_________SP038" localSheetId="8">#REF!</definedName>
    <definedName name="_________SP038" localSheetId="10">#REF!</definedName>
    <definedName name="_________SP038" localSheetId="11">#REF!</definedName>
    <definedName name="_________SP038" localSheetId="29">#REF!</definedName>
    <definedName name="_________SP038">#REF!</definedName>
    <definedName name="_________SP039" localSheetId="8">#REF!</definedName>
    <definedName name="_________SP039" localSheetId="10">#REF!</definedName>
    <definedName name="_________SP039" localSheetId="11">#REF!</definedName>
    <definedName name="_________SP039" localSheetId="29">#REF!</definedName>
    <definedName name="_________SP039">#REF!</definedName>
    <definedName name="_________SP040" localSheetId="8">#REF!</definedName>
    <definedName name="_________SP040" localSheetId="10">#REF!</definedName>
    <definedName name="_________SP040" localSheetId="11">#REF!</definedName>
    <definedName name="_________SP040" localSheetId="29">#REF!</definedName>
    <definedName name="_________SP040">#REF!</definedName>
    <definedName name="_________SP041" localSheetId="8">#REF!</definedName>
    <definedName name="_________SP041" localSheetId="10">#REF!</definedName>
    <definedName name="_________SP041" localSheetId="11">#REF!</definedName>
    <definedName name="_________SP041" localSheetId="29">#REF!</definedName>
    <definedName name="_________SP041">#REF!</definedName>
    <definedName name="_________SP042" localSheetId="8">#REF!</definedName>
    <definedName name="_________SP042" localSheetId="10">#REF!</definedName>
    <definedName name="_________SP042" localSheetId="11">#REF!</definedName>
    <definedName name="_________SP042" localSheetId="29">#REF!</definedName>
    <definedName name="_________SP042">#REF!</definedName>
    <definedName name="_________SP043" localSheetId="8">#REF!</definedName>
    <definedName name="_________SP043" localSheetId="10">#REF!</definedName>
    <definedName name="_________SP043" localSheetId="11">#REF!</definedName>
    <definedName name="_________SP043" localSheetId="29">#REF!</definedName>
    <definedName name="_________SP043">#REF!</definedName>
    <definedName name="_________SP044" localSheetId="8">#REF!</definedName>
    <definedName name="_________SP044" localSheetId="10">#REF!</definedName>
    <definedName name="_________SP044" localSheetId="11">#REF!</definedName>
    <definedName name="_________SP044" localSheetId="29">#REF!</definedName>
    <definedName name="_________SP044">#REF!</definedName>
    <definedName name="_________SP045" localSheetId="8">#REF!</definedName>
    <definedName name="_________SP045" localSheetId="10">#REF!</definedName>
    <definedName name="_________SP045" localSheetId="11">#REF!</definedName>
    <definedName name="_________SP045" localSheetId="29">#REF!</definedName>
    <definedName name="_________SP045">#REF!</definedName>
    <definedName name="_________SP046" localSheetId="8">#REF!</definedName>
    <definedName name="_________SP046" localSheetId="10">#REF!</definedName>
    <definedName name="_________SP046" localSheetId="11">#REF!</definedName>
    <definedName name="_________SP046" localSheetId="29">#REF!</definedName>
    <definedName name="_________SP046">#REF!</definedName>
    <definedName name="_________SP047" localSheetId="8">#REF!</definedName>
    <definedName name="_________SP047" localSheetId="10">#REF!</definedName>
    <definedName name="_________SP047" localSheetId="11">#REF!</definedName>
    <definedName name="_________SP047" localSheetId="29">#REF!</definedName>
    <definedName name="_________SP047">#REF!</definedName>
    <definedName name="_________SP048" localSheetId="8">#REF!</definedName>
    <definedName name="_________SP048" localSheetId="10">#REF!</definedName>
    <definedName name="_________SP048" localSheetId="11">#REF!</definedName>
    <definedName name="_________SP048" localSheetId="29">#REF!</definedName>
    <definedName name="_________SP048">#REF!</definedName>
    <definedName name="_________SP049" localSheetId="8">#REF!</definedName>
    <definedName name="_________SP049" localSheetId="10">#REF!</definedName>
    <definedName name="_________SP049" localSheetId="11">#REF!</definedName>
    <definedName name="_________SP049" localSheetId="29">#REF!</definedName>
    <definedName name="_________SP049">#REF!</definedName>
    <definedName name="_________SP050" localSheetId="8">#REF!</definedName>
    <definedName name="_________SP050" localSheetId="10">#REF!</definedName>
    <definedName name="_________SP050" localSheetId="11">#REF!</definedName>
    <definedName name="_________SP050" localSheetId="29">#REF!</definedName>
    <definedName name="_________SP050">#REF!</definedName>
    <definedName name="_________SP051" localSheetId="8">#REF!</definedName>
    <definedName name="_________SP051" localSheetId="10">#REF!</definedName>
    <definedName name="_________SP051" localSheetId="11">#REF!</definedName>
    <definedName name="_________SP051" localSheetId="29">#REF!</definedName>
    <definedName name="_________SP051">#REF!</definedName>
    <definedName name="_________SP052" localSheetId="8">#REF!</definedName>
    <definedName name="_________SP052" localSheetId="10">#REF!</definedName>
    <definedName name="_________SP052" localSheetId="11">#REF!</definedName>
    <definedName name="_________SP052" localSheetId="29">#REF!</definedName>
    <definedName name="_________SP052">#REF!</definedName>
    <definedName name="_________SP053" localSheetId="8">#REF!</definedName>
    <definedName name="_________SP053" localSheetId="10">#REF!</definedName>
    <definedName name="_________SP053" localSheetId="11">#REF!</definedName>
    <definedName name="_________SP053" localSheetId="29">#REF!</definedName>
    <definedName name="_________SP053">#REF!</definedName>
    <definedName name="_________SP054" localSheetId="8">#REF!</definedName>
    <definedName name="_________SP054" localSheetId="10">#REF!</definedName>
    <definedName name="_________SP054" localSheetId="11">#REF!</definedName>
    <definedName name="_________SP054" localSheetId="29">#REF!</definedName>
    <definedName name="_________SP054">#REF!</definedName>
    <definedName name="_________SP055" localSheetId="8">#REF!</definedName>
    <definedName name="_________SP055" localSheetId="10">#REF!</definedName>
    <definedName name="_________SP055" localSheetId="11">#REF!</definedName>
    <definedName name="_________SP055" localSheetId="29">#REF!</definedName>
    <definedName name="_________SP055">#REF!</definedName>
    <definedName name="_________SP056" localSheetId="8">#REF!</definedName>
    <definedName name="_________SP056" localSheetId="10">#REF!</definedName>
    <definedName name="_________SP056" localSheetId="11">#REF!</definedName>
    <definedName name="_________SP056" localSheetId="29">#REF!</definedName>
    <definedName name="_________SP056">#REF!</definedName>
    <definedName name="_________SP057" localSheetId="8">#REF!</definedName>
    <definedName name="_________SP057" localSheetId="10">#REF!</definedName>
    <definedName name="_________SP057" localSheetId="11">#REF!</definedName>
    <definedName name="_________SP057" localSheetId="29">#REF!</definedName>
    <definedName name="_________SP057">#REF!</definedName>
    <definedName name="_________SP058" localSheetId="8">#REF!</definedName>
    <definedName name="_________SP058" localSheetId="10">#REF!</definedName>
    <definedName name="_________SP058" localSheetId="11">#REF!</definedName>
    <definedName name="_________SP058" localSheetId="29">#REF!</definedName>
    <definedName name="_________SP058">#REF!</definedName>
    <definedName name="_________SP059" localSheetId="8">#REF!</definedName>
    <definedName name="_________SP059" localSheetId="10">#REF!</definedName>
    <definedName name="_________SP059" localSheetId="11">#REF!</definedName>
    <definedName name="_________SP059" localSheetId="29">#REF!</definedName>
    <definedName name="_________SP059">#REF!</definedName>
    <definedName name="_________SP060" localSheetId="8">#REF!</definedName>
    <definedName name="_________SP060" localSheetId="10">#REF!</definedName>
    <definedName name="_________SP060" localSheetId="11">#REF!</definedName>
    <definedName name="_________SP060" localSheetId="29">#REF!</definedName>
    <definedName name="_________SP060">#REF!</definedName>
    <definedName name="_________SP061" localSheetId="8">#REF!</definedName>
    <definedName name="_________SP061" localSheetId="10">#REF!</definedName>
    <definedName name="_________SP061" localSheetId="11">#REF!</definedName>
    <definedName name="_________SP061" localSheetId="29">#REF!</definedName>
    <definedName name="_________SP061">#REF!</definedName>
    <definedName name="_________SP062" localSheetId="8">#REF!</definedName>
    <definedName name="_________SP062" localSheetId="10">#REF!</definedName>
    <definedName name="_________SP062" localSheetId="11">#REF!</definedName>
    <definedName name="_________SP062" localSheetId="29">#REF!</definedName>
    <definedName name="_________SP062">#REF!</definedName>
    <definedName name="_________SP063" localSheetId="8">#REF!</definedName>
    <definedName name="_________SP063" localSheetId="10">#REF!</definedName>
    <definedName name="_________SP063" localSheetId="11">#REF!</definedName>
    <definedName name="_________SP063" localSheetId="29">#REF!</definedName>
    <definedName name="_________SP063">#REF!</definedName>
    <definedName name="_________SP064" localSheetId="8">#REF!</definedName>
    <definedName name="_________SP064" localSheetId="10">#REF!</definedName>
    <definedName name="_________SP064" localSheetId="11">#REF!</definedName>
    <definedName name="_________SP064" localSheetId="29">#REF!</definedName>
    <definedName name="_________SP064">#REF!</definedName>
    <definedName name="_________SP065" localSheetId="8">#REF!</definedName>
    <definedName name="_________SP065" localSheetId="10">#REF!</definedName>
    <definedName name="_________SP065" localSheetId="11">#REF!</definedName>
    <definedName name="_________SP065" localSheetId="29">#REF!</definedName>
    <definedName name="_________SP065">#REF!</definedName>
    <definedName name="_________SP066" localSheetId="8">#REF!</definedName>
    <definedName name="_________SP066" localSheetId="10">#REF!</definedName>
    <definedName name="_________SP066" localSheetId="11">#REF!</definedName>
    <definedName name="_________SP066" localSheetId="29">#REF!</definedName>
    <definedName name="_________SP066">#REF!</definedName>
    <definedName name="_________SP067" localSheetId="8">#REF!</definedName>
    <definedName name="_________SP067" localSheetId="10">#REF!</definedName>
    <definedName name="_________SP067" localSheetId="11">#REF!</definedName>
    <definedName name="_________SP067" localSheetId="29">#REF!</definedName>
    <definedName name="_________SP067">#REF!</definedName>
    <definedName name="_________SP068" localSheetId="8">#REF!</definedName>
    <definedName name="_________SP068" localSheetId="10">#REF!</definedName>
    <definedName name="_________SP068" localSheetId="11">#REF!</definedName>
    <definedName name="_________SP068" localSheetId="29">#REF!</definedName>
    <definedName name="_________SP068">#REF!</definedName>
    <definedName name="_________SP069" localSheetId="8">#REF!</definedName>
    <definedName name="_________SP069" localSheetId="10">#REF!</definedName>
    <definedName name="_________SP069" localSheetId="11">#REF!</definedName>
    <definedName name="_________SP069" localSheetId="29">#REF!</definedName>
    <definedName name="_________SP069">#REF!</definedName>
    <definedName name="_________SP070" localSheetId="8">#REF!</definedName>
    <definedName name="_________SP070" localSheetId="10">#REF!</definedName>
    <definedName name="_________SP070" localSheetId="11">#REF!</definedName>
    <definedName name="_________SP070" localSheetId="29">#REF!</definedName>
    <definedName name="_________SP070">#REF!</definedName>
    <definedName name="_________sp071" localSheetId="8">#REF!</definedName>
    <definedName name="_________sp071" localSheetId="10">#REF!</definedName>
    <definedName name="_________sp071" localSheetId="11">#REF!</definedName>
    <definedName name="_________sp071" localSheetId="29">#REF!</definedName>
    <definedName name="_________sp071">#REF!</definedName>
    <definedName name="_________SP072" localSheetId="8">#REF!</definedName>
    <definedName name="_________SP072" localSheetId="10">#REF!</definedName>
    <definedName name="_________SP072" localSheetId="11">#REF!</definedName>
    <definedName name="_________SP072" localSheetId="29">#REF!</definedName>
    <definedName name="_________SP072">#REF!</definedName>
    <definedName name="_________SP073" localSheetId="8">#REF!</definedName>
    <definedName name="_________SP073" localSheetId="10">#REF!</definedName>
    <definedName name="_________SP073" localSheetId="11">#REF!</definedName>
    <definedName name="_________SP073" localSheetId="29">#REF!</definedName>
    <definedName name="_________SP073">#REF!</definedName>
    <definedName name="_________SP074" localSheetId="8">#REF!</definedName>
    <definedName name="_________SP074" localSheetId="10">#REF!</definedName>
    <definedName name="_________SP074" localSheetId="11">#REF!</definedName>
    <definedName name="_________SP074" localSheetId="29">#REF!</definedName>
    <definedName name="_________SP074">#REF!</definedName>
    <definedName name="_________SP075" localSheetId="8">#REF!</definedName>
    <definedName name="_________SP075" localSheetId="10">#REF!</definedName>
    <definedName name="_________SP075" localSheetId="11">#REF!</definedName>
    <definedName name="_________SP075" localSheetId="29">#REF!</definedName>
    <definedName name="_________SP075">#REF!</definedName>
    <definedName name="_________SP076" localSheetId="8">#REF!</definedName>
    <definedName name="_________SP076" localSheetId="10">#REF!</definedName>
    <definedName name="_________SP076" localSheetId="11">#REF!</definedName>
    <definedName name="_________SP076" localSheetId="29">#REF!</definedName>
    <definedName name="_________SP076">#REF!</definedName>
    <definedName name="_________SP077" localSheetId="8">#REF!</definedName>
    <definedName name="_________SP077" localSheetId="10">#REF!</definedName>
    <definedName name="_________SP077" localSheetId="11">#REF!</definedName>
    <definedName name="_________SP077" localSheetId="29">#REF!</definedName>
    <definedName name="_________SP077">#REF!</definedName>
    <definedName name="_________sp078" localSheetId="8">#REF!</definedName>
    <definedName name="_________sp078" localSheetId="10">#REF!</definedName>
    <definedName name="_________sp078" localSheetId="11">#REF!</definedName>
    <definedName name="_________sp078" localSheetId="29">#REF!</definedName>
    <definedName name="_________sp078">#REF!</definedName>
    <definedName name="_________SPO79" localSheetId="8">#REF!</definedName>
    <definedName name="_________SPO79" localSheetId="10">#REF!</definedName>
    <definedName name="_________SPO79" localSheetId="11">#REF!</definedName>
    <definedName name="_________SPO79" localSheetId="29">#REF!</definedName>
    <definedName name="_________SPO79">#REF!</definedName>
    <definedName name="_________sw1" localSheetId="29">#REF!</definedName>
    <definedName name="_________t1">#REF!</definedName>
    <definedName name="_________t2">#REF!</definedName>
    <definedName name="_________tab1">#REF!</definedName>
    <definedName name="_________us1">#REF!</definedName>
    <definedName name="_________var1" localSheetId="21">#REF!</definedName>
    <definedName name="_________var1" localSheetId="5">#REF!</definedName>
    <definedName name="_________var1" localSheetId="8">#REF!</definedName>
    <definedName name="_________var1" localSheetId="10">#REF!</definedName>
    <definedName name="_________var1" localSheetId="11">#REF!</definedName>
    <definedName name="_________var1" localSheetId="29">#REF!</definedName>
    <definedName name="_________var1" localSheetId="31">#REF!</definedName>
    <definedName name="_________var1" localSheetId="35">#REF!</definedName>
    <definedName name="_________var1" localSheetId="36">#REF!</definedName>
    <definedName name="_________var1">#REF!</definedName>
    <definedName name="_________var4" localSheetId="21">#REF!</definedName>
    <definedName name="_________var4" localSheetId="5">#REF!</definedName>
    <definedName name="_________var4" localSheetId="8">#REF!</definedName>
    <definedName name="_________var4" localSheetId="10">#REF!</definedName>
    <definedName name="_________var4" localSheetId="11">#REF!</definedName>
    <definedName name="_________var4" localSheetId="29">#REF!</definedName>
    <definedName name="_________var4" localSheetId="31">#REF!</definedName>
    <definedName name="_________var4" localSheetId="35">#REF!</definedName>
    <definedName name="_________var4" localSheetId="36">#REF!</definedName>
    <definedName name="_________var4">#REF!</definedName>
    <definedName name="_________vat1">#REF!</definedName>
    <definedName name="_________vat2">#REF!</definedName>
    <definedName name="_________xlfn_BAHTTEXT">#N/A</definedName>
    <definedName name="________abs1" localSheetId="5">#REF!</definedName>
    <definedName name="________abs1" localSheetId="8">#REF!</definedName>
    <definedName name="________abs1" localSheetId="10">#REF!</definedName>
    <definedName name="________abs1" localSheetId="29">#REF!</definedName>
    <definedName name="________abs1">#REF!</definedName>
    <definedName name="________AUX1">#REF!</definedName>
    <definedName name="________aux2" localSheetId="29">#REF!</definedName>
    <definedName name="________AUX3">#REF!</definedName>
    <definedName name="________BSG100" localSheetId="8">#REF!</definedName>
    <definedName name="________BSG100" localSheetId="10">#REF!</definedName>
    <definedName name="________BSG100" localSheetId="29">#REF!</definedName>
    <definedName name="________BSG100">#REF!</definedName>
    <definedName name="________BSG150" localSheetId="8">#REF!</definedName>
    <definedName name="________BSG150" localSheetId="10">#REF!</definedName>
    <definedName name="________BSG150" localSheetId="29">#REF!</definedName>
    <definedName name="________BSG150">#REF!</definedName>
    <definedName name="________BSG5" localSheetId="8">#REF!</definedName>
    <definedName name="________BSG5" localSheetId="10">#REF!</definedName>
    <definedName name="________BSG5" localSheetId="29">#REF!</definedName>
    <definedName name="________BSG5">#REF!</definedName>
    <definedName name="________BSG75" localSheetId="8">#REF!</definedName>
    <definedName name="________BSG75" localSheetId="10">#REF!</definedName>
    <definedName name="________BSG75" localSheetId="29">#REF!</definedName>
    <definedName name="________BSG75">#REF!</definedName>
    <definedName name="________BTC1" localSheetId="8">#REF!</definedName>
    <definedName name="________BTC1" localSheetId="10">#REF!</definedName>
    <definedName name="________BTC1" localSheetId="29">#REF!</definedName>
    <definedName name="________BTC1">#REF!</definedName>
    <definedName name="________BTC10" localSheetId="8">#REF!</definedName>
    <definedName name="________BTC10" localSheetId="10">#REF!</definedName>
    <definedName name="________BTC10" localSheetId="29">#REF!</definedName>
    <definedName name="________BTC10">#REF!</definedName>
    <definedName name="________BTC11" localSheetId="8">#REF!</definedName>
    <definedName name="________BTC11" localSheetId="10">#REF!</definedName>
    <definedName name="________BTC11" localSheetId="29">#REF!</definedName>
    <definedName name="________BTC11">#REF!</definedName>
    <definedName name="________BTC12" localSheetId="8">#REF!</definedName>
    <definedName name="________BTC12" localSheetId="10">#REF!</definedName>
    <definedName name="________BTC12" localSheetId="29">#REF!</definedName>
    <definedName name="________BTC12">#REF!</definedName>
    <definedName name="________BTC13" localSheetId="8">#REF!</definedName>
    <definedName name="________BTC13" localSheetId="10">#REF!</definedName>
    <definedName name="________BTC13" localSheetId="29">#REF!</definedName>
    <definedName name="________BTC13">#REF!</definedName>
    <definedName name="________BTC14" localSheetId="8">#REF!</definedName>
    <definedName name="________BTC14" localSheetId="10">#REF!</definedName>
    <definedName name="________BTC14" localSheetId="29">#REF!</definedName>
    <definedName name="________BTC14">#REF!</definedName>
    <definedName name="________BTC15" localSheetId="8">#REF!</definedName>
    <definedName name="________BTC15" localSheetId="10">#REF!</definedName>
    <definedName name="________BTC15" localSheetId="29">#REF!</definedName>
    <definedName name="________BTC15">#REF!</definedName>
    <definedName name="________BTC2" localSheetId="8">#REF!</definedName>
    <definedName name="________BTC2" localSheetId="10">#REF!</definedName>
    <definedName name="________BTC2" localSheetId="29">#REF!</definedName>
    <definedName name="________BTC2">#REF!</definedName>
    <definedName name="________BTC3" localSheetId="8">#REF!</definedName>
    <definedName name="________BTC3" localSheetId="10">#REF!</definedName>
    <definedName name="________BTC3" localSheetId="29">#REF!</definedName>
    <definedName name="________BTC3">#REF!</definedName>
    <definedName name="________BTC4" localSheetId="8">#REF!</definedName>
    <definedName name="________BTC4" localSheetId="10">#REF!</definedName>
    <definedName name="________BTC4" localSheetId="29">#REF!</definedName>
    <definedName name="________BTC4">#REF!</definedName>
    <definedName name="________BTC5" localSheetId="8">#REF!</definedName>
    <definedName name="________BTC5" localSheetId="10">#REF!</definedName>
    <definedName name="________BTC5" localSheetId="29">#REF!</definedName>
    <definedName name="________BTC5">#REF!</definedName>
    <definedName name="________BTC6" localSheetId="8">#REF!</definedName>
    <definedName name="________BTC6" localSheetId="10">#REF!</definedName>
    <definedName name="________BTC6" localSheetId="29">#REF!</definedName>
    <definedName name="________BTC6">#REF!</definedName>
    <definedName name="________BTC7" localSheetId="8">#REF!</definedName>
    <definedName name="________BTC7" localSheetId="10">#REF!</definedName>
    <definedName name="________BTC7" localSheetId="29">#REF!</definedName>
    <definedName name="________BTC7">#REF!</definedName>
    <definedName name="________BTC8" localSheetId="8">#REF!</definedName>
    <definedName name="________BTC8" localSheetId="10">#REF!</definedName>
    <definedName name="________BTC8" localSheetId="29">#REF!</definedName>
    <definedName name="________BTC8">#REF!</definedName>
    <definedName name="________BTC9" localSheetId="8">#REF!</definedName>
    <definedName name="________BTC9" localSheetId="10">#REF!</definedName>
    <definedName name="________BTC9" localSheetId="29">#REF!</definedName>
    <definedName name="________BTC9">#REF!</definedName>
    <definedName name="________BTS1" localSheetId="8">#REF!</definedName>
    <definedName name="________BTS1" localSheetId="10">#REF!</definedName>
    <definedName name="________BTS1" localSheetId="29">#REF!</definedName>
    <definedName name="________BTS1">#REF!</definedName>
    <definedName name="________BTS10" localSheetId="8">#REF!</definedName>
    <definedName name="________BTS10" localSheetId="10">#REF!</definedName>
    <definedName name="________BTS10" localSheetId="29">#REF!</definedName>
    <definedName name="________BTS10">#REF!</definedName>
    <definedName name="________BTS11" localSheetId="8">#REF!</definedName>
    <definedName name="________BTS11" localSheetId="10">#REF!</definedName>
    <definedName name="________BTS11" localSheetId="29">#REF!</definedName>
    <definedName name="________BTS11">#REF!</definedName>
    <definedName name="________BTS12" localSheetId="8">#REF!</definedName>
    <definedName name="________BTS12" localSheetId="10">#REF!</definedName>
    <definedName name="________BTS12" localSheetId="29">#REF!</definedName>
    <definedName name="________BTS12">#REF!</definedName>
    <definedName name="________BTS13" localSheetId="8">#REF!</definedName>
    <definedName name="________BTS13" localSheetId="10">#REF!</definedName>
    <definedName name="________BTS13" localSheetId="29">#REF!</definedName>
    <definedName name="________BTS13">#REF!</definedName>
    <definedName name="________BTS14" localSheetId="8">#REF!</definedName>
    <definedName name="________BTS14" localSheetId="10">#REF!</definedName>
    <definedName name="________BTS14" localSheetId="29">#REF!</definedName>
    <definedName name="________BTS14">#REF!</definedName>
    <definedName name="________BTS15" localSheetId="8">#REF!</definedName>
    <definedName name="________BTS15" localSheetId="10">#REF!</definedName>
    <definedName name="________BTS15" localSheetId="29">#REF!</definedName>
    <definedName name="________BTS15">#REF!</definedName>
    <definedName name="________BTS2" localSheetId="8">#REF!</definedName>
    <definedName name="________BTS2" localSheetId="10">#REF!</definedName>
    <definedName name="________BTS2" localSheetId="29">#REF!</definedName>
    <definedName name="________BTS2">#REF!</definedName>
    <definedName name="________BTS3" localSheetId="8">#REF!</definedName>
    <definedName name="________BTS3" localSheetId="10">#REF!</definedName>
    <definedName name="________BTS3" localSheetId="29">#REF!</definedName>
    <definedName name="________BTS3">#REF!</definedName>
    <definedName name="________BTS4" localSheetId="8">#REF!</definedName>
    <definedName name="________BTS4" localSheetId="10">#REF!</definedName>
    <definedName name="________BTS4" localSheetId="29">#REF!</definedName>
    <definedName name="________BTS4">#REF!</definedName>
    <definedName name="________BTS5" localSheetId="8">#REF!</definedName>
    <definedName name="________BTS5" localSheetId="10">#REF!</definedName>
    <definedName name="________BTS5" localSheetId="29">#REF!</definedName>
    <definedName name="________BTS5">#REF!</definedName>
    <definedName name="________BTS6" localSheetId="8">#REF!</definedName>
    <definedName name="________BTS6" localSheetId="10">#REF!</definedName>
    <definedName name="________BTS6" localSheetId="29">#REF!</definedName>
    <definedName name="________BTS6">#REF!</definedName>
    <definedName name="________BTS7" localSheetId="8">#REF!</definedName>
    <definedName name="________BTS7" localSheetId="10">#REF!</definedName>
    <definedName name="________BTS7" localSheetId="29">#REF!</definedName>
    <definedName name="________BTS7">#REF!</definedName>
    <definedName name="________BTS8" localSheetId="8">#REF!</definedName>
    <definedName name="________BTS8" localSheetId="10">#REF!</definedName>
    <definedName name="________BTS8" localSheetId="29">#REF!</definedName>
    <definedName name="________BTS8">#REF!</definedName>
    <definedName name="________BTS9" localSheetId="8">#REF!</definedName>
    <definedName name="________BTS9" localSheetId="10">#REF!</definedName>
    <definedName name="________BTS9" localSheetId="29">#REF!</definedName>
    <definedName name="________BTS9">#REF!</definedName>
    <definedName name="________can430">40.73</definedName>
    <definedName name="________can435">43.3</definedName>
    <definedName name="________cbr1">#REF!</definedName>
    <definedName name="________cbr2">#REF!</definedName>
    <definedName name="________cbr3">#REF!</definedName>
    <definedName name="________cbr4">#REF!</definedName>
    <definedName name="________er1">#REF!</definedName>
    <definedName name="________ewe1" localSheetId="29">#REF!</definedName>
    <definedName name="________f1">#REF!</definedName>
    <definedName name="________GBS11" localSheetId="8">#REF!</definedName>
    <definedName name="________GBS11" localSheetId="10">#REF!</definedName>
    <definedName name="________GBS11" localSheetId="29">#REF!</definedName>
    <definedName name="________GBS11">#REF!</definedName>
    <definedName name="________GBS110" localSheetId="8">#REF!</definedName>
    <definedName name="________GBS110" localSheetId="10">#REF!</definedName>
    <definedName name="________GBS110" localSheetId="29">#REF!</definedName>
    <definedName name="________GBS110">#REF!</definedName>
    <definedName name="________GBS111" localSheetId="8">#REF!</definedName>
    <definedName name="________GBS111" localSheetId="10">#REF!</definedName>
    <definedName name="________GBS111" localSheetId="29">#REF!</definedName>
    <definedName name="________GBS111">#REF!</definedName>
    <definedName name="________GBS112" localSheetId="8">#REF!</definedName>
    <definedName name="________GBS112" localSheetId="10">#REF!</definedName>
    <definedName name="________GBS112" localSheetId="29">#REF!</definedName>
    <definedName name="________GBS112">#REF!</definedName>
    <definedName name="________GBS113" localSheetId="8">#REF!</definedName>
    <definedName name="________GBS113" localSheetId="10">#REF!</definedName>
    <definedName name="________GBS113" localSheetId="29">#REF!</definedName>
    <definedName name="________GBS113">#REF!</definedName>
    <definedName name="________GBS114" localSheetId="8">#REF!</definedName>
    <definedName name="________GBS114" localSheetId="10">#REF!</definedName>
    <definedName name="________GBS114" localSheetId="29">#REF!</definedName>
    <definedName name="________GBS114">#REF!</definedName>
    <definedName name="________GBS115" localSheetId="8">#REF!</definedName>
    <definedName name="________GBS115" localSheetId="10">#REF!</definedName>
    <definedName name="________GBS115" localSheetId="29">#REF!</definedName>
    <definedName name="________GBS115">#REF!</definedName>
    <definedName name="________GBS12" localSheetId="8">#REF!</definedName>
    <definedName name="________GBS12" localSheetId="10">#REF!</definedName>
    <definedName name="________GBS12" localSheetId="29">#REF!</definedName>
    <definedName name="________GBS12">#REF!</definedName>
    <definedName name="________GBS13" localSheetId="8">#REF!</definedName>
    <definedName name="________GBS13" localSheetId="10">#REF!</definedName>
    <definedName name="________GBS13" localSheetId="29">#REF!</definedName>
    <definedName name="________GBS13">#REF!</definedName>
    <definedName name="________GBS14" localSheetId="8">#REF!</definedName>
    <definedName name="________GBS14" localSheetId="10">#REF!</definedName>
    <definedName name="________GBS14" localSheetId="29">#REF!</definedName>
    <definedName name="________GBS14">#REF!</definedName>
    <definedName name="________GBS15" localSheetId="8">#REF!</definedName>
    <definedName name="________GBS15" localSheetId="10">#REF!</definedName>
    <definedName name="________GBS15" localSheetId="29">#REF!</definedName>
    <definedName name="________GBS15">#REF!</definedName>
    <definedName name="________GBS16" localSheetId="8">#REF!</definedName>
    <definedName name="________GBS16" localSheetId="10">#REF!</definedName>
    <definedName name="________GBS16" localSheetId="29">#REF!</definedName>
    <definedName name="________GBS16">#REF!</definedName>
    <definedName name="________GBS17" localSheetId="8">#REF!</definedName>
    <definedName name="________GBS17" localSheetId="10">#REF!</definedName>
    <definedName name="________GBS17" localSheetId="29">#REF!</definedName>
    <definedName name="________GBS17">#REF!</definedName>
    <definedName name="________GBS18" localSheetId="8">#REF!</definedName>
    <definedName name="________GBS18" localSheetId="10">#REF!</definedName>
    <definedName name="________GBS18" localSheetId="29">#REF!</definedName>
    <definedName name="________GBS18">#REF!</definedName>
    <definedName name="________GBS19" localSheetId="8">#REF!</definedName>
    <definedName name="________GBS19" localSheetId="10">#REF!</definedName>
    <definedName name="________GBS19" localSheetId="29">#REF!</definedName>
    <definedName name="________GBS19">#REF!</definedName>
    <definedName name="________GBS21" localSheetId="8">#REF!</definedName>
    <definedName name="________GBS21" localSheetId="10">#REF!</definedName>
    <definedName name="________GBS21" localSheetId="29">#REF!</definedName>
    <definedName name="________GBS21">#REF!</definedName>
    <definedName name="________GBS210" localSheetId="8">#REF!</definedName>
    <definedName name="________GBS210" localSheetId="10">#REF!</definedName>
    <definedName name="________GBS210" localSheetId="29">#REF!</definedName>
    <definedName name="________GBS210">#REF!</definedName>
    <definedName name="________GBS211" localSheetId="8">#REF!</definedName>
    <definedName name="________GBS211" localSheetId="10">#REF!</definedName>
    <definedName name="________GBS211" localSheetId="29">#REF!</definedName>
    <definedName name="________GBS211">#REF!</definedName>
    <definedName name="________GBS212" localSheetId="8">#REF!</definedName>
    <definedName name="________GBS212" localSheetId="10">#REF!</definedName>
    <definedName name="________GBS212" localSheetId="29">#REF!</definedName>
    <definedName name="________GBS212">#REF!</definedName>
    <definedName name="________GBS213" localSheetId="8">#REF!</definedName>
    <definedName name="________GBS213" localSheetId="10">#REF!</definedName>
    <definedName name="________GBS213" localSheetId="29">#REF!</definedName>
    <definedName name="________GBS213">#REF!</definedName>
    <definedName name="________GBS214" localSheetId="8">#REF!</definedName>
    <definedName name="________GBS214" localSheetId="10">#REF!</definedName>
    <definedName name="________GBS214" localSheetId="29">#REF!</definedName>
    <definedName name="________GBS214">#REF!</definedName>
    <definedName name="________GBS215" localSheetId="8">#REF!</definedName>
    <definedName name="________GBS215" localSheetId="10">#REF!</definedName>
    <definedName name="________GBS215" localSheetId="29">#REF!</definedName>
    <definedName name="________GBS215">#REF!</definedName>
    <definedName name="________GBS22" localSheetId="8">#REF!</definedName>
    <definedName name="________GBS22" localSheetId="10">#REF!</definedName>
    <definedName name="________GBS22" localSheetId="29">#REF!</definedName>
    <definedName name="________GBS22">#REF!</definedName>
    <definedName name="________GBS23" localSheetId="8">#REF!</definedName>
    <definedName name="________GBS23" localSheetId="10">#REF!</definedName>
    <definedName name="________GBS23" localSheetId="29">#REF!</definedName>
    <definedName name="________GBS23">#REF!</definedName>
    <definedName name="________GBS24" localSheetId="8">#REF!</definedName>
    <definedName name="________GBS24" localSheetId="10">#REF!</definedName>
    <definedName name="________GBS24" localSheetId="29">#REF!</definedName>
    <definedName name="________GBS24">#REF!</definedName>
    <definedName name="________GBS25" localSheetId="8">#REF!</definedName>
    <definedName name="________GBS25" localSheetId="10">#REF!</definedName>
    <definedName name="________GBS25" localSheetId="29">#REF!</definedName>
    <definedName name="________GBS25">#REF!</definedName>
    <definedName name="________GBS26" localSheetId="8">#REF!</definedName>
    <definedName name="________GBS26" localSheetId="10">#REF!</definedName>
    <definedName name="________GBS26" localSheetId="29">#REF!</definedName>
    <definedName name="________GBS26">#REF!</definedName>
    <definedName name="________GBS27" localSheetId="8">#REF!</definedName>
    <definedName name="________GBS27" localSheetId="10">#REF!</definedName>
    <definedName name="________GBS27" localSheetId="29">#REF!</definedName>
    <definedName name="________GBS27">#REF!</definedName>
    <definedName name="________GBS28" localSheetId="8">#REF!</definedName>
    <definedName name="________GBS28" localSheetId="10">#REF!</definedName>
    <definedName name="________GBS28" localSheetId="29">#REF!</definedName>
    <definedName name="________GBS28">#REF!</definedName>
    <definedName name="________GBS29" localSheetId="8">#REF!</definedName>
    <definedName name="________GBS29" localSheetId="10">#REF!</definedName>
    <definedName name="________GBS29" localSheetId="29">#REF!</definedName>
    <definedName name="________GBS29">#REF!</definedName>
    <definedName name="________gus1">#REF!</definedName>
    <definedName name="________hpm1">#REF!</definedName>
    <definedName name="________knr2" localSheetId="5">#REF!</definedName>
    <definedName name="________knr2" localSheetId="14">#REF!</definedName>
    <definedName name="________knr2" localSheetId="8">#REF!</definedName>
    <definedName name="________knr2" localSheetId="10">#REF!</definedName>
    <definedName name="________knr2" localSheetId="29">#REF!</definedName>
    <definedName name="________knr2">#REF!</definedName>
    <definedName name="________l12" localSheetId="21">#REF!</definedName>
    <definedName name="________l12" localSheetId="5">#REF!</definedName>
    <definedName name="________l12" localSheetId="8">#REF!</definedName>
    <definedName name="________l12" localSheetId="10">#REF!</definedName>
    <definedName name="________l12" localSheetId="11">#REF!</definedName>
    <definedName name="________l12" localSheetId="29">#REF!</definedName>
    <definedName name="________l12" localSheetId="31">#REF!</definedName>
    <definedName name="________l12" localSheetId="35">#REF!</definedName>
    <definedName name="________l12" localSheetId="36">#REF!</definedName>
    <definedName name="________l12">#REF!</definedName>
    <definedName name="________l3" localSheetId="21">#REF!</definedName>
    <definedName name="________l3" localSheetId="5">#REF!</definedName>
    <definedName name="________l3" localSheetId="8">#REF!</definedName>
    <definedName name="________l3" localSheetId="10">#REF!</definedName>
    <definedName name="________l3" localSheetId="11">#REF!</definedName>
    <definedName name="________l3" localSheetId="29">#REF!</definedName>
    <definedName name="________l3" localSheetId="31">#REF!</definedName>
    <definedName name="________l3" localSheetId="35">#REF!</definedName>
    <definedName name="________l3" localSheetId="36">#REF!</definedName>
    <definedName name="________l3">#REF!</definedName>
    <definedName name="________l5" localSheetId="21">#REF!</definedName>
    <definedName name="________l5" localSheetId="5">#REF!</definedName>
    <definedName name="________l5" localSheetId="8">#REF!</definedName>
    <definedName name="________l5" localSheetId="10">#REF!</definedName>
    <definedName name="________l5" localSheetId="11">#REF!</definedName>
    <definedName name="________l5" localSheetId="29">#REF!</definedName>
    <definedName name="________l5" localSheetId="31">#REF!</definedName>
    <definedName name="________l5" localSheetId="35">#REF!</definedName>
    <definedName name="________l5" localSheetId="36">#REF!</definedName>
    <definedName name="________l5">#REF!</definedName>
    <definedName name="________lcn1">#REF!</definedName>
    <definedName name="________LI9" localSheetId="8">#REF!</definedName>
    <definedName name="________LI9" localSheetId="10">#REF!</definedName>
    <definedName name="________LI9" localSheetId="29">#REF!</definedName>
    <definedName name="________LI9">#REF!</definedName>
    <definedName name="________LII9" localSheetId="8">#REF!</definedName>
    <definedName name="________LII9" localSheetId="10">#REF!</definedName>
    <definedName name="________LII9" localSheetId="29">#REF!</definedName>
    <definedName name="________LII9">#REF!</definedName>
    <definedName name="________lm1" localSheetId="29">#REF!</definedName>
    <definedName name="________ML11" localSheetId="8">#REF!</definedName>
    <definedName name="________ML11" localSheetId="10">#REF!</definedName>
    <definedName name="________ML11" localSheetId="29">#REF!</definedName>
    <definedName name="________ML11">#REF!</definedName>
    <definedName name="________ML110" localSheetId="8">#REF!</definedName>
    <definedName name="________ML110" localSheetId="10">#REF!</definedName>
    <definedName name="________ML110" localSheetId="29">#REF!</definedName>
    <definedName name="________ML110">#REF!</definedName>
    <definedName name="________ML111" localSheetId="8">#REF!</definedName>
    <definedName name="________ML111" localSheetId="10">#REF!</definedName>
    <definedName name="________ML111" localSheetId="29">#REF!</definedName>
    <definedName name="________ML111">#REF!</definedName>
    <definedName name="________ML112" localSheetId="8">#REF!</definedName>
    <definedName name="________ML112" localSheetId="10">#REF!</definedName>
    <definedName name="________ML112" localSheetId="29">#REF!</definedName>
    <definedName name="________ML112">#REF!</definedName>
    <definedName name="________ML113" localSheetId="8">#REF!</definedName>
    <definedName name="________ML113" localSheetId="10">#REF!</definedName>
    <definedName name="________ML113" localSheetId="29">#REF!</definedName>
    <definedName name="________ML113">#REF!</definedName>
    <definedName name="________ML114" localSheetId="8">#REF!</definedName>
    <definedName name="________ML114" localSheetId="10">#REF!</definedName>
    <definedName name="________ML114" localSheetId="29">#REF!</definedName>
    <definedName name="________ML114">#REF!</definedName>
    <definedName name="________ML115" localSheetId="8">#REF!</definedName>
    <definedName name="________ML115" localSheetId="10">#REF!</definedName>
    <definedName name="________ML115" localSheetId="29">#REF!</definedName>
    <definedName name="________ML115">#REF!</definedName>
    <definedName name="________ML12" localSheetId="8">#REF!</definedName>
    <definedName name="________ML12" localSheetId="10">#REF!</definedName>
    <definedName name="________ML12" localSheetId="29">#REF!</definedName>
    <definedName name="________ML12">#REF!</definedName>
    <definedName name="________ML13" localSheetId="8">#REF!</definedName>
    <definedName name="________ML13" localSheetId="10">#REF!</definedName>
    <definedName name="________ML13" localSheetId="29">#REF!</definedName>
    <definedName name="________ML13">#REF!</definedName>
    <definedName name="________ML14" localSheetId="8">#REF!</definedName>
    <definedName name="________ML14" localSheetId="10">#REF!</definedName>
    <definedName name="________ML14" localSheetId="29">#REF!</definedName>
    <definedName name="________ML14">#REF!</definedName>
    <definedName name="________ML15" localSheetId="8">#REF!</definedName>
    <definedName name="________ML15" localSheetId="10">#REF!</definedName>
    <definedName name="________ML15" localSheetId="29">#REF!</definedName>
    <definedName name="________ML15">#REF!</definedName>
    <definedName name="________ML16" localSheetId="8">#REF!</definedName>
    <definedName name="________ML16" localSheetId="10">#REF!</definedName>
    <definedName name="________ML16" localSheetId="29">#REF!</definedName>
    <definedName name="________ML16">#REF!</definedName>
    <definedName name="________ML17" localSheetId="8">#REF!</definedName>
    <definedName name="________ML17" localSheetId="10">#REF!</definedName>
    <definedName name="________ML17" localSheetId="29">#REF!</definedName>
    <definedName name="________ML17">#REF!</definedName>
    <definedName name="________ML18" localSheetId="8">#REF!</definedName>
    <definedName name="________ML18" localSheetId="10">#REF!</definedName>
    <definedName name="________ML18" localSheetId="29">#REF!</definedName>
    <definedName name="________ML18">#REF!</definedName>
    <definedName name="________ML19" localSheetId="8">#REF!</definedName>
    <definedName name="________ML19" localSheetId="10">#REF!</definedName>
    <definedName name="________ML19" localSheetId="29">#REF!</definedName>
    <definedName name="________ML19">#REF!</definedName>
    <definedName name="________ML21" localSheetId="8">#REF!</definedName>
    <definedName name="________ML21" localSheetId="10">#REF!</definedName>
    <definedName name="________ML21" localSheetId="29">#REF!</definedName>
    <definedName name="________ML21">#REF!</definedName>
    <definedName name="________ML210" localSheetId="8">#REF!</definedName>
    <definedName name="________ML210" localSheetId="10">#REF!</definedName>
    <definedName name="________ML210" localSheetId="29">#REF!</definedName>
    <definedName name="________ML210">#REF!</definedName>
    <definedName name="________ML211" localSheetId="8">#REF!</definedName>
    <definedName name="________ML211" localSheetId="10">#REF!</definedName>
    <definedName name="________ML211" localSheetId="29">#REF!</definedName>
    <definedName name="________ML211">#REF!</definedName>
    <definedName name="________ML212" localSheetId="8">#REF!</definedName>
    <definedName name="________ML212" localSheetId="10">#REF!</definedName>
    <definedName name="________ML212" localSheetId="29">#REF!</definedName>
    <definedName name="________ML212">#REF!</definedName>
    <definedName name="________ML213" localSheetId="8">#REF!</definedName>
    <definedName name="________ML213" localSheetId="10">#REF!</definedName>
    <definedName name="________ML213" localSheetId="29">#REF!</definedName>
    <definedName name="________ML213">#REF!</definedName>
    <definedName name="________ML214" localSheetId="8">#REF!</definedName>
    <definedName name="________ML214" localSheetId="10">#REF!</definedName>
    <definedName name="________ML214" localSheetId="29">#REF!</definedName>
    <definedName name="________ML214">#REF!</definedName>
    <definedName name="________ML215" localSheetId="8">#REF!</definedName>
    <definedName name="________ML215" localSheetId="10">#REF!</definedName>
    <definedName name="________ML215" localSheetId="29">#REF!</definedName>
    <definedName name="________ML215">#REF!</definedName>
    <definedName name="________ML22" localSheetId="8">#REF!</definedName>
    <definedName name="________ML22" localSheetId="10">#REF!</definedName>
    <definedName name="________ML22" localSheetId="29">#REF!</definedName>
    <definedName name="________ML22">#REF!</definedName>
    <definedName name="________ML23" localSheetId="8">#REF!</definedName>
    <definedName name="________ML23" localSheetId="10">#REF!</definedName>
    <definedName name="________ML23" localSheetId="29">#REF!</definedName>
    <definedName name="________ML23">#REF!</definedName>
    <definedName name="________ML24" localSheetId="8">#REF!</definedName>
    <definedName name="________ML24" localSheetId="10">#REF!</definedName>
    <definedName name="________ML24" localSheetId="29">#REF!</definedName>
    <definedName name="________ML24">#REF!</definedName>
    <definedName name="________ML25" localSheetId="8">#REF!</definedName>
    <definedName name="________ML25" localSheetId="10">#REF!</definedName>
    <definedName name="________ML25" localSheetId="29">#REF!</definedName>
    <definedName name="________ML25">#REF!</definedName>
    <definedName name="________ML26" localSheetId="8">#REF!</definedName>
    <definedName name="________ML26" localSheetId="10">#REF!</definedName>
    <definedName name="________ML26" localSheetId="29">#REF!</definedName>
    <definedName name="________ML26">#REF!</definedName>
    <definedName name="________ML27" localSheetId="8">#REF!</definedName>
    <definedName name="________ML27" localSheetId="10">#REF!</definedName>
    <definedName name="________ML27" localSheetId="29">#REF!</definedName>
    <definedName name="________ML27">#REF!</definedName>
    <definedName name="________ML28" localSheetId="8">#REF!</definedName>
    <definedName name="________ML28" localSheetId="10">#REF!</definedName>
    <definedName name="________ML28" localSheetId="29">#REF!</definedName>
    <definedName name="________ML28">#REF!</definedName>
    <definedName name="________ML29" localSheetId="8">#REF!</definedName>
    <definedName name="________ML29" localSheetId="10">#REF!</definedName>
    <definedName name="________ML29" localSheetId="29">#REF!</definedName>
    <definedName name="________ML29">#REF!</definedName>
    <definedName name="________ML31" localSheetId="8">#REF!</definedName>
    <definedName name="________ML31" localSheetId="10">#REF!</definedName>
    <definedName name="________ML31" localSheetId="29">#REF!</definedName>
    <definedName name="________ML31">#REF!</definedName>
    <definedName name="________ML310" localSheetId="8">#REF!</definedName>
    <definedName name="________ML310" localSheetId="10">#REF!</definedName>
    <definedName name="________ML310" localSheetId="29">#REF!</definedName>
    <definedName name="________ML310">#REF!</definedName>
    <definedName name="________ML311" localSheetId="8">#REF!</definedName>
    <definedName name="________ML311" localSheetId="10">#REF!</definedName>
    <definedName name="________ML311" localSheetId="29">#REF!</definedName>
    <definedName name="________ML311">#REF!</definedName>
    <definedName name="________ML312" localSheetId="8">#REF!</definedName>
    <definedName name="________ML312" localSheetId="10">#REF!</definedName>
    <definedName name="________ML312" localSheetId="29">#REF!</definedName>
    <definedName name="________ML312">#REF!</definedName>
    <definedName name="________ML313" localSheetId="8">#REF!</definedName>
    <definedName name="________ML313" localSheetId="10">#REF!</definedName>
    <definedName name="________ML313" localSheetId="29">#REF!</definedName>
    <definedName name="________ML313">#REF!</definedName>
    <definedName name="________ML314" localSheetId="8">#REF!</definedName>
    <definedName name="________ML314" localSheetId="10">#REF!</definedName>
    <definedName name="________ML314" localSheetId="29">#REF!</definedName>
    <definedName name="________ML314">#REF!</definedName>
    <definedName name="________ML315" localSheetId="8">#REF!</definedName>
    <definedName name="________ML315" localSheetId="10">#REF!</definedName>
    <definedName name="________ML315" localSheetId="29">#REF!</definedName>
    <definedName name="________ML315">#REF!</definedName>
    <definedName name="________ML32" localSheetId="8">#REF!</definedName>
    <definedName name="________ML32" localSheetId="10">#REF!</definedName>
    <definedName name="________ML32" localSheetId="29">#REF!</definedName>
    <definedName name="________ML32">#REF!</definedName>
    <definedName name="________ML33" localSheetId="8">#REF!</definedName>
    <definedName name="________ML33" localSheetId="10">#REF!</definedName>
    <definedName name="________ML33" localSheetId="29">#REF!</definedName>
    <definedName name="________ML33">#REF!</definedName>
    <definedName name="________ML34" localSheetId="8">#REF!</definedName>
    <definedName name="________ML34" localSheetId="10">#REF!</definedName>
    <definedName name="________ML34" localSheetId="29">#REF!</definedName>
    <definedName name="________ML34">#REF!</definedName>
    <definedName name="________ML35" localSheetId="8">#REF!</definedName>
    <definedName name="________ML35" localSheetId="10">#REF!</definedName>
    <definedName name="________ML35" localSheetId="29">#REF!</definedName>
    <definedName name="________ML35">#REF!</definedName>
    <definedName name="________ML36" localSheetId="8">#REF!</definedName>
    <definedName name="________ML36" localSheetId="10">#REF!</definedName>
    <definedName name="________ML36" localSheetId="29">#REF!</definedName>
    <definedName name="________ML36">#REF!</definedName>
    <definedName name="________ML37" localSheetId="8">#REF!</definedName>
    <definedName name="________ML37" localSheetId="10">#REF!</definedName>
    <definedName name="________ML37" localSheetId="29">#REF!</definedName>
    <definedName name="________ML37">#REF!</definedName>
    <definedName name="________ML38" localSheetId="8">#REF!</definedName>
    <definedName name="________ML38" localSheetId="10">#REF!</definedName>
    <definedName name="________ML38" localSheetId="29">#REF!</definedName>
    <definedName name="________ML38">#REF!</definedName>
    <definedName name="________ML39" localSheetId="8">#REF!</definedName>
    <definedName name="________ML39" localSheetId="10">#REF!</definedName>
    <definedName name="________ML39" localSheetId="29">#REF!</definedName>
    <definedName name="________ML39">#REF!</definedName>
    <definedName name="________ML7" localSheetId="8">#REF!</definedName>
    <definedName name="________ML7" localSheetId="10">#REF!</definedName>
    <definedName name="________ML7" localSheetId="29">#REF!</definedName>
    <definedName name="________ML7">#REF!</definedName>
    <definedName name="________ML8" localSheetId="8">#REF!</definedName>
    <definedName name="________ML8" localSheetId="10">#REF!</definedName>
    <definedName name="________ML8" localSheetId="29">#REF!</definedName>
    <definedName name="________ML8">#REF!</definedName>
    <definedName name="________ML9" localSheetId="8">#REF!</definedName>
    <definedName name="________ML9" localSheetId="10">#REF!</definedName>
    <definedName name="________ML9" localSheetId="29">#REF!</definedName>
    <definedName name="________ML9">#REF!</definedName>
    <definedName name="________mm20" localSheetId="29">#REF!</definedName>
    <definedName name="________mm40">#REF!</definedName>
    <definedName name="________pc2" localSheetId="21">#REF!</definedName>
    <definedName name="________pc2" localSheetId="5">#REF!</definedName>
    <definedName name="________pc2" localSheetId="8">#REF!</definedName>
    <definedName name="________pc2" localSheetId="10">#REF!</definedName>
    <definedName name="________pc2" localSheetId="11">#REF!</definedName>
    <definedName name="________pc2" localSheetId="29">#REF!</definedName>
    <definedName name="________pc2" localSheetId="31">#REF!</definedName>
    <definedName name="________pc2" localSheetId="35">#REF!</definedName>
    <definedName name="________pc2" localSheetId="36">#REF!</definedName>
    <definedName name="________pc2">#REF!</definedName>
    <definedName name="________PMS2" localSheetId="8">#REF!</definedName>
    <definedName name="________PMS2" localSheetId="10">#REF!</definedName>
    <definedName name="________PMS2" localSheetId="29">#REF!</definedName>
    <definedName name="________PMS2">#REF!</definedName>
    <definedName name="________pv2" localSheetId="21">#REF!</definedName>
    <definedName name="________pv2" localSheetId="5">#REF!</definedName>
    <definedName name="________pv2" localSheetId="8">#REF!</definedName>
    <definedName name="________pv2" localSheetId="10">#REF!</definedName>
    <definedName name="________pv2" localSheetId="11">#REF!</definedName>
    <definedName name="________pv2" localSheetId="29">#REF!</definedName>
    <definedName name="________pv2" localSheetId="31">#REF!</definedName>
    <definedName name="________pv2" localSheetId="35">#REF!</definedName>
    <definedName name="________pv2" localSheetId="36">#REF!</definedName>
    <definedName name="________pv2">#REF!</definedName>
    <definedName name="________SO016" localSheetId="8">#REF!</definedName>
    <definedName name="________SO016" localSheetId="10">#REF!</definedName>
    <definedName name="________SO016" localSheetId="11">#REF!</definedName>
    <definedName name="________SO016" localSheetId="29">#REF!</definedName>
    <definedName name="________SO016">#REF!</definedName>
    <definedName name="________SP001" localSheetId="8">#REF!</definedName>
    <definedName name="________SP001" localSheetId="10">#REF!</definedName>
    <definedName name="________SP001" localSheetId="11">#REF!</definedName>
    <definedName name="________SP001" localSheetId="29">#REF!</definedName>
    <definedName name="________SP001">#REF!</definedName>
    <definedName name="________SP002" localSheetId="8">#REF!</definedName>
    <definedName name="________SP002" localSheetId="10">#REF!</definedName>
    <definedName name="________SP002" localSheetId="11">#REF!</definedName>
    <definedName name="________SP002" localSheetId="29">#REF!</definedName>
    <definedName name="________SP002">#REF!</definedName>
    <definedName name="________SP003" localSheetId="8">#REF!</definedName>
    <definedName name="________SP003" localSheetId="10">#REF!</definedName>
    <definedName name="________SP003" localSheetId="11">#REF!</definedName>
    <definedName name="________SP003" localSheetId="29">#REF!</definedName>
    <definedName name="________SP003">#REF!</definedName>
    <definedName name="________SP004" localSheetId="8">#REF!</definedName>
    <definedName name="________SP004" localSheetId="10">#REF!</definedName>
    <definedName name="________SP004" localSheetId="11">#REF!</definedName>
    <definedName name="________SP004" localSheetId="29">#REF!</definedName>
    <definedName name="________SP004">#REF!</definedName>
    <definedName name="________SP005" localSheetId="8">#REF!</definedName>
    <definedName name="________SP005" localSheetId="10">#REF!</definedName>
    <definedName name="________SP005" localSheetId="11">#REF!</definedName>
    <definedName name="________SP005" localSheetId="29">#REF!</definedName>
    <definedName name="________SP005">#REF!</definedName>
    <definedName name="________SP006" localSheetId="8">#REF!</definedName>
    <definedName name="________SP006" localSheetId="10">#REF!</definedName>
    <definedName name="________SP006" localSheetId="11">#REF!</definedName>
    <definedName name="________SP006" localSheetId="29">#REF!</definedName>
    <definedName name="________SP006">#REF!</definedName>
    <definedName name="________SP007" localSheetId="8">#REF!</definedName>
    <definedName name="________SP007" localSheetId="10">#REF!</definedName>
    <definedName name="________SP007" localSheetId="11">#REF!</definedName>
    <definedName name="________SP007" localSheetId="29">#REF!</definedName>
    <definedName name="________SP007">#REF!</definedName>
    <definedName name="________SP008" localSheetId="8">#REF!</definedName>
    <definedName name="________SP008" localSheetId="10">#REF!</definedName>
    <definedName name="________SP008" localSheetId="11">#REF!</definedName>
    <definedName name="________SP008" localSheetId="29">#REF!</definedName>
    <definedName name="________SP008">#REF!</definedName>
    <definedName name="________SP009" localSheetId="8">#REF!</definedName>
    <definedName name="________SP009" localSheetId="10">#REF!</definedName>
    <definedName name="________SP009" localSheetId="11">#REF!</definedName>
    <definedName name="________SP009" localSheetId="29">#REF!</definedName>
    <definedName name="________SP009">#REF!</definedName>
    <definedName name="________SP010" localSheetId="8">#REF!</definedName>
    <definedName name="________SP010" localSheetId="10">#REF!</definedName>
    <definedName name="________SP010" localSheetId="11">#REF!</definedName>
    <definedName name="________SP010" localSheetId="29">#REF!</definedName>
    <definedName name="________SP010">#REF!</definedName>
    <definedName name="________SP011" localSheetId="8">#REF!</definedName>
    <definedName name="________SP011" localSheetId="10">#REF!</definedName>
    <definedName name="________SP011" localSheetId="11">#REF!</definedName>
    <definedName name="________SP011" localSheetId="29">#REF!</definedName>
    <definedName name="________SP011">#REF!</definedName>
    <definedName name="________SP012" localSheetId="8">#REF!</definedName>
    <definedName name="________SP012" localSheetId="10">#REF!</definedName>
    <definedName name="________SP012" localSheetId="11">#REF!</definedName>
    <definedName name="________SP012" localSheetId="29">#REF!</definedName>
    <definedName name="________SP012">#REF!</definedName>
    <definedName name="________SP013" localSheetId="8">#REF!</definedName>
    <definedName name="________SP013" localSheetId="10">#REF!</definedName>
    <definedName name="________SP013" localSheetId="11">#REF!</definedName>
    <definedName name="________SP013" localSheetId="29">#REF!</definedName>
    <definedName name="________SP013">#REF!</definedName>
    <definedName name="________SP014" localSheetId="8">#REF!</definedName>
    <definedName name="________SP014" localSheetId="10">#REF!</definedName>
    <definedName name="________SP014" localSheetId="11">#REF!</definedName>
    <definedName name="________SP014" localSheetId="29">#REF!</definedName>
    <definedName name="________SP014">#REF!</definedName>
    <definedName name="________SP015" localSheetId="8">#REF!</definedName>
    <definedName name="________SP015" localSheetId="10">#REF!</definedName>
    <definedName name="________SP015" localSheetId="11">#REF!</definedName>
    <definedName name="________SP015" localSheetId="29">#REF!</definedName>
    <definedName name="________SP015">#REF!</definedName>
    <definedName name="________SP016" localSheetId="8">#REF!</definedName>
    <definedName name="________SP016" localSheetId="10">#REF!</definedName>
    <definedName name="________SP016" localSheetId="11">#REF!</definedName>
    <definedName name="________SP016" localSheetId="29">#REF!</definedName>
    <definedName name="________SP016">#REF!</definedName>
    <definedName name="________SP017" localSheetId="8">#REF!</definedName>
    <definedName name="________SP017" localSheetId="10">#REF!</definedName>
    <definedName name="________SP017" localSheetId="11">#REF!</definedName>
    <definedName name="________SP017" localSheetId="29">#REF!</definedName>
    <definedName name="________SP017">#REF!</definedName>
    <definedName name="________SP018" localSheetId="8">#REF!</definedName>
    <definedName name="________SP018" localSheetId="10">#REF!</definedName>
    <definedName name="________SP018" localSheetId="11">#REF!</definedName>
    <definedName name="________SP018" localSheetId="29">#REF!</definedName>
    <definedName name="________SP018">#REF!</definedName>
    <definedName name="________SP019" localSheetId="8">#REF!</definedName>
    <definedName name="________SP019" localSheetId="10">#REF!</definedName>
    <definedName name="________SP019" localSheetId="11">#REF!</definedName>
    <definedName name="________SP019" localSheetId="29">#REF!</definedName>
    <definedName name="________SP019">#REF!</definedName>
    <definedName name="________SP020" localSheetId="8">#REF!</definedName>
    <definedName name="________SP020" localSheetId="10">#REF!</definedName>
    <definedName name="________SP020" localSheetId="11">#REF!</definedName>
    <definedName name="________SP020" localSheetId="29">#REF!</definedName>
    <definedName name="________SP020">#REF!</definedName>
    <definedName name="________SP021" localSheetId="8">#REF!</definedName>
    <definedName name="________SP021" localSheetId="10">#REF!</definedName>
    <definedName name="________SP021" localSheetId="11">#REF!</definedName>
    <definedName name="________SP021" localSheetId="29">#REF!</definedName>
    <definedName name="________SP021">#REF!</definedName>
    <definedName name="________SP022" localSheetId="8">#REF!</definedName>
    <definedName name="________SP022" localSheetId="10">#REF!</definedName>
    <definedName name="________SP022" localSheetId="11">#REF!</definedName>
    <definedName name="________SP022" localSheetId="29">#REF!</definedName>
    <definedName name="________SP022">#REF!</definedName>
    <definedName name="________SP023" localSheetId="8">#REF!</definedName>
    <definedName name="________SP023" localSheetId="10">#REF!</definedName>
    <definedName name="________SP023" localSheetId="11">#REF!</definedName>
    <definedName name="________SP023" localSheetId="29">#REF!</definedName>
    <definedName name="________SP023">#REF!</definedName>
    <definedName name="________SP024" localSheetId="8">#REF!</definedName>
    <definedName name="________SP024" localSheetId="10">#REF!</definedName>
    <definedName name="________SP024" localSheetId="11">#REF!</definedName>
    <definedName name="________SP024" localSheetId="29">#REF!</definedName>
    <definedName name="________SP024">#REF!</definedName>
    <definedName name="________SP025" localSheetId="8">#REF!</definedName>
    <definedName name="________SP025" localSheetId="10">#REF!</definedName>
    <definedName name="________SP025" localSheetId="11">#REF!</definedName>
    <definedName name="________SP025" localSheetId="29">#REF!</definedName>
    <definedName name="________SP025">#REF!</definedName>
    <definedName name="________SP026" localSheetId="8">#REF!</definedName>
    <definedName name="________SP026" localSheetId="10">#REF!</definedName>
    <definedName name="________SP026" localSheetId="11">#REF!</definedName>
    <definedName name="________SP026" localSheetId="29">#REF!</definedName>
    <definedName name="________SP026">#REF!</definedName>
    <definedName name="________SP027" localSheetId="8">#REF!</definedName>
    <definedName name="________SP027" localSheetId="10">#REF!</definedName>
    <definedName name="________SP027" localSheetId="11">#REF!</definedName>
    <definedName name="________SP027" localSheetId="29">#REF!</definedName>
    <definedName name="________SP027">#REF!</definedName>
    <definedName name="________SP028" localSheetId="8">#REF!</definedName>
    <definedName name="________SP028" localSheetId="10">#REF!</definedName>
    <definedName name="________SP028" localSheetId="11">#REF!</definedName>
    <definedName name="________SP028" localSheetId="29">#REF!</definedName>
    <definedName name="________SP028">#REF!</definedName>
    <definedName name="________SP029" localSheetId="8">#REF!</definedName>
    <definedName name="________SP029" localSheetId="10">#REF!</definedName>
    <definedName name="________SP029" localSheetId="11">#REF!</definedName>
    <definedName name="________SP029" localSheetId="29">#REF!</definedName>
    <definedName name="________SP029">#REF!</definedName>
    <definedName name="________SP030" localSheetId="8">#REF!</definedName>
    <definedName name="________SP030" localSheetId="10">#REF!</definedName>
    <definedName name="________SP030" localSheetId="11">#REF!</definedName>
    <definedName name="________SP030" localSheetId="29">#REF!</definedName>
    <definedName name="________SP030">#REF!</definedName>
    <definedName name="________SP031" localSheetId="8">#REF!</definedName>
    <definedName name="________SP031" localSheetId="10">#REF!</definedName>
    <definedName name="________SP031" localSheetId="11">#REF!</definedName>
    <definedName name="________SP031" localSheetId="29">#REF!</definedName>
    <definedName name="________SP031">#REF!</definedName>
    <definedName name="________SP032" localSheetId="8">#REF!</definedName>
    <definedName name="________SP032" localSheetId="10">#REF!</definedName>
    <definedName name="________SP032" localSheetId="11">#REF!</definedName>
    <definedName name="________SP032" localSheetId="29">#REF!</definedName>
    <definedName name="________SP032">#REF!</definedName>
    <definedName name="________SP033" localSheetId="8">#REF!</definedName>
    <definedName name="________SP033" localSheetId="10">#REF!</definedName>
    <definedName name="________SP033" localSheetId="11">#REF!</definedName>
    <definedName name="________SP033" localSheetId="29">#REF!</definedName>
    <definedName name="________SP033">#REF!</definedName>
    <definedName name="________SP034" localSheetId="8">#REF!</definedName>
    <definedName name="________SP034" localSheetId="10">#REF!</definedName>
    <definedName name="________SP034" localSheetId="11">#REF!</definedName>
    <definedName name="________SP034" localSheetId="29">#REF!</definedName>
    <definedName name="________SP034">#REF!</definedName>
    <definedName name="________SP035" localSheetId="8">#REF!</definedName>
    <definedName name="________SP035" localSheetId="10">#REF!</definedName>
    <definedName name="________SP035" localSheetId="11">#REF!</definedName>
    <definedName name="________SP035" localSheetId="29">#REF!</definedName>
    <definedName name="________SP035">#REF!</definedName>
    <definedName name="________SP036" localSheetId="8">#REF!</definedName>
    <definedName name="________SP036" localSheetId="10">#REF!</definedName>
    <definedName name="________SP036" localSheetId="11">#REF!</definedName>
    <definedName name="________SP036" localSheetId="29">#REF!</definedName>
    <definedName name="________SP036">#REF!</definedName>
    <definedName name="________SP037" localSheetId="8">#REF!</definedName>
    <definedName name="________SP037" localSheetId="10">#REF!</definedName>
    <definedName name="________SP037" localSheetId="11">#REF!</definedName>
    <definedName name="________SP037" localSheetId="29">#REF!</definedName>
    <definedName name="________SP037">#REF!</definedName>
    <definedName name="________SP038" localSheetId="8">#REF!</definedName>
    <definedName name="________SP038" localSheetId="10">#REF!</definedName>
    <definedName name="________SP038" localSheetId="11">#REF!</definedName>
    <definedName name="________SP038" localSheetId="29">#REF!</definedName>
    <definedName name="________SP038">#REF!</definedName>
    <definedName name="________SP039" localSheetId="8">#REF!</definedName>
    <definedName name="________SP039" localSheetId="10">#REF!</definedName>
    <definedName name="________SP039" localSheetId="11">#REF!</definedName>
    <definedName name="________SP039" localSheetId="29">#REF!</definedName>
    <definedName name="________SP039">#REF!</definedName>
    <definedName name="________SP040" localSheetId="8">#REF!</definedName>
    <definedName name="________SP040" localSheetId="10">#REF!</definedName>
    <definedName name="________SP040" localSheetId="11">#REF!</definedName>
    <definedName name="________SP040" localSheetId="29">#REF!</definedName>
    <definedName name="________SP040">#REF!</definedName>
    <definedName name="________SP041" localSheetId="8">#REF!</definedName>
    <definedName name="________SP041" localSheetId="10">#REF!</definedName>
    <definedName name="________SP041" localSheetId="11">#REF!</definedName>
    <definedName name="________SP041" localSheetId="29">#REF!</definedName>
    <definedName name="________SP041">#REF!</definedName>
    <definedName name="________SP042" localSheetId="8">#REF!</definedName>
    <definedName name="________SP042" localSheetId="10">#REF!</definedName>
    <definedName name="________SP042" localSheetId="11">#REF!</definedName>
    <definedName name="________SP042" localSheetId="29">#REF!</definedName>
    <definedName name="________SP042">#REF!</definedName>
    <definedName name="________SP043" localSheetId="8">#REF!</definedName>
    <definedName name="________SP043" localSheetId="10">#REF!</definedName>
    <definedName name="________SP043" localSheetId="11">#REF!</definedName>
    <definedName name="________SP043" localSheetId="29">#REF!</definedName>
    <definedName name="________SP043">#REF!</definedName>
    <definedName name="________SP044" localSheetId="8">#REF!</definedName>
    <definedName name="________SP044" localSheetId="10">#REF!</definedName>
    <definedName name="________SP044" localSheetId="11">#REF!</definedName>
    <definedName name="________SP044" localSheetId="29">#REF!</definedName>
    <definedName name="________SP044">#REF!</definedName>
    <definedName name="________SP045" localSheetId="8">#REF!</definedName>
    <definedName name="________SP045" localSheetId="10">#REF!</definedName>
    <definedName name="________SP045" localSheetId="11">#REF!</definedName>
    <definedName name="________SP045" localSheetId="29">#REF!</definedName>
    <definedName name="________SP045">#REF!</definedName>
    <definedName name="________SP046" localSheetId="8">#REF!</definedName>
    <definedName name="________SP046" localSheetId="10">#REF!</definedName>
    <definedName name="________SP046" localSheetId="11">#REF!</definedName>
    <definedName name="________SP046" localSheetId="29">#REF!</definedName>
    <definedName name="________SP046">#REF!</definedName>
    <definedName name="________SP047" localSheetId="8">#REF!</definedName>
    <definedName name="________SP047" localSheetId="10">#REF!</definedName>
    <definedName name="________SP047" localSheetId="11">#REF!</definedName>
    <definedName name="________SP047" localSheetId="29">#REF!</definedName>
    <definedName name="________SP047">#REF!</definedName>
    <definedName name="________SP048" localSheetId="8">#REF!</definedName>
    <definedName name="________SP048" localSheetId="10">#REF!</definedName>
    <definedName name="________SP048" localSheetId="11">#REF!</definedName>
    <definedName name="________SP048" localSheetId="29">#REF!</definedName>
    <definedName name="________SP048">#REF!</definedName>
    <definedName name="________SP049" localSheetId="8">#REF!</definedName>
    <definedName name="________SP049" localSheetId="10">#REF!</definedName>
    <definedName name="________SP049" localSheetId="11">#REF!</definedName>
    <definedName name="________SP049" localSheetId="29">#REF!</definedName>
    <definedName name="________SP049">#REF!</definedName>
    <definedName name="________SP050" localSheetId="8">#REF!</definedName>
    <definedName name="________SP050" localSheetId="10">#REF!</definedName>
    <definedName name="________SP050" localSheetId="11">#REF!</definedName>
    <definedName name="________SP050" localSheetId="29">#REF!</definedName>
    <definedName name="________SP050">#REF!</definedName>
    <definedName name="________SP051" localSheetId="8">#REF!</definedName>
    <definedName name="________SP051" localSheetId="10">#REF!</definedName>
    <definedName name="________SP051" localSheetId="11">#REF!</definedName>
    <definedName name="________SP051" localSheetId="29">#REF!</definedName>
    <definedName name="________SP051">#REF!</definedName>
    <definedName name="________SP052" localSheetId="8">#REF!</definedName>
    <definedName name="________SP052" localSheetId="10">#REF!</definedName>
    <definedName name="________SP052" localSheetId="11">#REF!</definedName>
    <definedName name="________SP052" localSheetId="29">#REF!</definedName>
    <definedName name="________SP052">#REF!</definedName>
    <definedName name="________SP053" localSheetId="8">#REF!</definedName>
    <definedName name="________SP053" localSheetId="10">#REF!</definedName>
    <definedName name="________SP053" localSheetId="11">#REF!</definedName>
    <definedName name="________SP053" localSheetId="29">#REF!</definedName>
    <definedName name="________SP053">#REF!</definedName>
    <definedName name="________SP054" localSheetId="8">#REF!</definedName>
    <definedName name="________SP054" localSheetId="10">#REF!</definedName>
    <definedName name="________SP054" localSheetId="11">#REF!</definedName>
    <definedName name="________SP054" localSheetId="29">#REF!</definedName>
    <definedName name="________SP054">#REF!</definedName>
    <definedName name="________SP055" localSheetId="8">#REF!</definedName>
    <definedName name="________SP055" localSheetId="10">#REF!</definedName>
    <definedName name="________SP055" localSheetId="11">#REF!</definedName>
    <definedName name="________SP055" localSheetId="29">#REF!</definedName>
    <definedName name="________SP055">#REF!</definedName>
    <definedName name="________SP056" localSheetId="8">#REF!</definedName>
    <definedName name="________SP056" localSheetId="10">#REF!</definedName>
    <definedName name="________SP056" localSheetId="11">#REF!</definedName>
    <definedName name="________SP056" localSheetId="29">#REF!</definedName>
    <definedName name="________SP056">#REF!</definedName>
    <definedName name="________SP057" localSheetId="8">#REF!</definedName>
    <definedName name="________SP057" localSheetId="10">#REF!</definedName>
    <definedName name="________SP057" localSheetId="11">#REF!</definedName>
    <definedName name="________SP057" localSheetId="29">#REF!</definedName>
    <definedName name="________SP057">#REF!</definedName>
    <definedName name="________SP058" localSheetId="8">#REF!</definedName>
    <definedName name="________SP058" localSheetId="10">#REF!</definedName>
    <definedName name="________SP058" localSheetId="11">#REF!</definedName>
    <definedName name="________SP058" localSheetId="29">#REF!</definedName>
    <definedName name="________SP058">#REF!</definedName>
    <definedName name="________SP059" localSheetId="8">#REF!</definedName>
    <definedName name="________SP059" localSheetId="10">#REF!</definedName>
    <definedName name="________SP059" localSheetId="11">#REF!</definedName>
    <definedName name="________SP059" localSheetId="29">#REF!</definedName>
    <definedName name="________SP059">#REF!</definedName>
    <definedName name="________SP060" localSheetId="8">#REF!</definedName>
    <definedName name="________SP060" localSheetId="10">#REF!</definedName>
    <definedName name="________SP060" localSheetId="11">#REF!</definedName>
    <definedName name="________SP060" localSheetId="29">#REF!</definedName>
    <definedName name="________SP060">#REF!</definedName>
    <definedName name="________SP061" localSheetId="8">#REF!</definedName>
    <definedName name="________SP061" localSheetId="10">#REF!</definedName>
    <definedName name="________SP061" localSheetId="11">#REF!</definedName>
    <definedName name="________SP061" localSheetId="29">#REF!</definedName>
    <definedName name="________SP061">#REF!</definedName>
    <definedName name="________SP062" localSheetId="8">#REF!</definedName>
    <definedName name="________SP062" localSheetId="10">#REF!</definedName>
    <definedName name="________SP062" localSheetId="11">#REF!</definedName>
    <definedName name="________SP062" localSheetId="29">#REF!</definedName>
    <definedName name="________SP062">#REF!</definedName>
    <definedName name="________SP063" localSheetId="8">#REF!</definedName>
    <definedName name="________SP063" localSheetId="10">#REF!</definedName>
    <definedName name="________SP063" localSheetId="11">#REF!</definedName>
    <definedName name="________SP063" localSheetId="29">#REF!</definedName>
    <definedName name="________SP063">#REF!</definedName>
    <definedName name="________SP064" localSheetId="8">#REF!</definedName>
    <definedName name="________SP064" localSheetId="10">#REF!</definedName>
    <definedName name="________SP064" localSheetId="11">#REF!</definedName>
    <definedName name="________SP064" localSheetId="29">#REF!</definedName>
    <definedName name="________SP064">#REF!</definedName>
    <definedName name="________SP065" localSheetId="8">#REF!</definedName>
    <definedName name="________SP065" localSheetId="10">#REF!</definedName>
    <definedName name="________SP065" localSheetId="11">#REF!</definedName>
    <definedName name="________SP065" localSheetId="29">#REF!</definedName>
    <definedName name="________SP065">#REF!</definedName>
    <definedName name="________SP066" localSheetId="8">#REF!</definedName>
    <definedName name="________SP066" localSheetId="10">#REF!</definedName>
    <definedName name="________SP066" localSheetId="11">#REF!</definedName>
    <definedName name="________SP066" localSheetId="29">#REF!</definedName>
    <definedName name="________SP066">#REF!</definedName>
    <definedName name="________SP067" localSheetId="8">#REF!</definedName>
    <definedName name="________SP067" localSheetId="10">#REF!</definedName>
    <definedName name="________SP067" localSheetId="11">#REF!</definedName>
    <definedName name="________SP067" localSheetId="29">#REF!</definedName>
    <definedName name="________SP067">#REF!</definedName>
    <definedName name="________SP068" localSheetId="8">#REF!</definedName>
    <definedName name="________SP068" localSheetId="10">#REF!</definedName>
    <definedName name="________SP068" localSheetId="11">#REF!</definedName>
    <definedName name="________SP068" localSheetId="29">#REF!</definedName>
    <definedName name="________SP068">#REF!</definedName>
    <definedName name="________SP069" localSheetId="8">#REF!</definedName>
    <definedName name="________SP069" localSheetId="10">#REF!</definedName>
    <definedName name="________SP069" localSheetId="11">#REF!</definedName>
    <definedName name="________SP069" localSheetId="29">#REF!</definedName>
    <definedName name="________SP069">#REF!</definedName>
    <definedName name="________SP070" localSheetId="8">#REF!</definedName>
    <definedName name="________SP070" localSheetId="10">#REF!</definedName>
    <definedName name="________SP070" localSheetId="11">#REF!</definedName>
    <definedName name="________SP070" localSheetId="29">#REF!</definedName>
    <definedName name="________SP070">#REF!</definedName>
    <definedName name="________sp071" localSheetId="8">#REF!</definedName>
    <definedName name="________sp071" localSheetId="10">#REF!</definedName>
    <definedName name="________sp071" localSheetId="11">#REF!</definedName>
    <definedName name="________sp071" localSheetId="29">#REF!</definedName>
    <definedName name="________sp071">#REF!</definedName>
    <definedName name="________SP072" localSheetId="8">#REF!</definedName>
    <definedName name="________SP072" localSheetId="10">#REF!</definedName>
    <definedName name="________SP072" localSheetId="11">#REF!</definedName>
    <definedName name="________SP072" localSheetId="29">#REF!</definedName>
    <definedName name="________SP072">#REF!</definedName>
    <definedName name="________SP073" localSheetId="8">#REF!</definedName>
    <definedName name="________SP073" localSheetId="10">#REF!</definedName>
    <definedName name="________SP073" localSheetId="11">#REF!</definedName>
    <definedName name="________SP073" localSheetId="29">#REF!</definedName>
    <definedName name="________SP073">#REF!</definedName>
    <definedName name="________SP074" localSheetId="8">#REF!</definedName>
    <definedName name="________SP074" localSheetId="10">#REF!</definedName>
    <definedName name="________SP074" localSheetId="11">#REF!</definedName>
    <definedName name="________SP074" localSheetId="29">#REF!</definedName>
    <definedName name="________SP074">#REF!</definedName>
    <definedName name="________SP075" localSheetId="8">#REF!</definedName>
    <definedName name="________SP075" localSheetId="10">#REF!</definedName>
    <definedName name="________SP075" localSheetId="11">#REF!</definedName>
    <definedName name="________SP075" localSheetId="29">#REF!</definedName>
    <definedName name="________SP075">#REF!</definedName>
    <definedName name="________SP076" localSheetId="8">#REF!</definedName>
    <definedName name="________SP076" localSheetId="10">#REF!</definedName>
    <definedName name="________SP076" localSheetId="11">#REF!</definedName>
    <definedName name="________SP076" localSheetId="29">#REF!</definedName>
    <definedName name="________SP076">#REF!</definedName>
    <definedName name="________SP077" localSheetId="8">#REF!</definedName>
    <definedName name="________SP077" localSheetId="10">#REF!</definedName>
    <definedName name="________SP077" localSheetId="11">#REF!</definedName>
    <definedName name="________SP077" localSheetId="29">#REF!</definedName>
    <definedName name="________SP077">#REF!</definedName>
    <definedName name="________sp078" localSheetId="8">#REF!</definedName>
    <definedName name="________sp078" localSheetId="10">#REF!</definedName>
    <definedName name="________sp078" localSheetId="11">#REF!</definedName>
    <definedName name="________sp078" localSheetId="29">#REF!</definedName>
    <definedName name="________sp078">#REF!</definedName>
    <definedName name="________SPO79" localSheetId="8">#REF!</definedName>
    <definedName name="________SPO79" localSheetId="10">#REF!</definedName>
    <definedName name="________SPO79" localSheetId="11">#REF!</definedName>
    <definedName name="________SPO79" localSheetId="29">#REF!</definedName>
    <definedName name="________SPO79">#REF!</definedName>
    <definedName name="________sw1" localSheetId="29">#REF!</definedName>
    <definedName name="________us1">#REF!</definedName>
    <definedName name="________var1" localSheetId="21">#REF!</definedName>
    <definedName name="________var1" localSheetId="5">#REF!</definedName>
    <definedName name="________var1" localSheetId="8">#REF!</definedName>
    <definedName name="________var1" localSheetId="10">#REF!</definedName>
    <definedName name="________var1" localSheetId="11">#REF!</definedName>
    <definedName name="________var1" localSheetId="29">#REF!</definedName>
    <definedName name="________var1" localSheetId="31">#REF!</definedName>
    <definedName name="________var1" localSheetId="35">#REF!</definedName>
    <definedName name="________var1" localSheetId="36">#REF!</definedName>
    <definedName name="________var1">#REF!</definedName>
    <definedName name="________var4" localSheetId="21">#REF!</definedName>
    <definedName name="________var4" localSheetId="5">#REF!</definedName>
    <definedName name="________var4" localSheetId="8">#REF!</definedName>
    <definedName name="________var4" localSheetId="10">#REF!</definedName>
    <definedName name="________var4" localSheetId="11">#REF!</definedName>
    <definedName name="________var4" localSheetId="29">#REF!</definedName>
    <definedName name="________var4" localSheetId="31">#REF!</definedName>
    <definedName name="________var4" localSheetId="35">#REF!</definedName>
    <definedName name="________var4" localSheetId="36">#REF!</definedName>
    <definedName name="________var4">#REF!</definedName>
    <definedName name="________vat1">#REF!</definedName>
    <definedName name="________vat2">#REF!</definedName>
    <definedName name="________xlfn_BAHTTEXT">#N/A</definedName>
    <definedName name="_______abs1" localSheetId="5">#REF!</definedName>
    <definedName name="_______abs1" localSheetId="14">#REF!</definedName>
    <definedName name="_______abs1" localSheetId="8">#REF!</definedName>
    <definedName name="_______abs1" localSheetId="10">#REF!</definedName>
    <definedName name="_______abs1" localSheetId="29">#REF!</definedName>
    <definedName name="_______abs1">#REF!</definedName>
    <definedName name="_______AUX1">#REF!</definedName>
    <definedName name="_______aux2" localSheetId="29">#REF!</definedName>
    <definedName name="_______AUX3">#REF!</definedName>
    <definedName name="_______BSG100" localSheetId="8">#REF!</definedName>
    <definedName name="_______BSG100" localSheetId="10">#REF!</definedName>
    <definedName name="_______BSG100" localSheetId="29">#REF!</definedName>
    <definedName name="_______BSG100">#REF!</definedName>
    <definedName name="_______BSG150" localSheetId="8">#REF!</definedName>
    <definedName name="_______BSG150" localSheetId="10">#REF!</definedName>
    <definedName name="_______BSG150" localSheetId="29">#REF!</definedName>
    <definedName name="_______BSG150">#REF!</definedName>
    <definedName name="_______BSG5" localSheetId="8">#REF!</definedName>
    <definedName name="_______BSG5" localSheetId="10">#REF!</definedName>
    <definedName name="_______BSG5" localSheetId="29">#REF!</definedName>
    <definedName name="_______BSG5">#REF!</definedName>
    <definedName name="_______BSG75" localSheetId="8">#REF!</definedName>
    <definedName name="_______BSG75" localSheetId="10">#REF!</definedName>
    <definedName name="_______BSG75" localSheetId="29">#REF!</definedName>
    <definedName name="_______BSG75">#REF!</definedName>
    <definedName name="_______BTC1" localSheetId="8">#REF!</definedName>
    <definedName name="_______BTC1" localSheetId="10">#REF!</definedName>
    <definedName name="_______BTC1" localSheetId="29">#REF!</definedName>
    <definedName name="_______BTC1">#REF!</definedName>
    <definedName name="_______BTC10" localSheetId="8">#REF!</definedName>
    <definedName name="_______BTC10" localSheetId="10">#REF!</definedName>
    <definedName name="_______BTC10" localSheetId="29">#REF!</definedName>
    <definedName name="_______BTC10">#REF!</definedName>
    <definedName name="_______BTC11" localSheetId="8">#REF!</definedName>
    <definedName name="_______BTC11" localSheetId="10">#REF!</definedName>
    <definedName name="_______BTC11" localSheetId="29">#REF!</definedName>
    <definedName name="_______BTC11">#REF!</definedName>
    <definedName name="_______BTC12" localSheetId="8">#REF!</definedName>
    <definedName name="_______BTC12" localSheetId="10">#REF!</definedName>
    <definedName name="_______BTC12" localSheetId="29">#REF!</definedName>
    <definedName name="_______BTC12">#REF!</definedName>
    <definedName name="_______BTC13" localSheetId="8">#REF!</definedName>
    <definedName name="_______BTC13" localSheetId="10">#REF!</definedName>
    <definedName name="_______BTC13" localSheetId="29">#REF!</definedName>
    <definedName name="_______BTC13">#REF!</definedName>
    <definedName name="_______BTC14" localSheetId="8">#REF!</definedName>
    <definedName name="_______BTC14" localSheetId="10">#REF!</definedName>
    <definedName name="_______BTC14" localSheetId="29">#REF!</definedName>
    <definedName name="_______BTC14">#REF!</definedName>
    <definedName name="_______BTC15" localSheetId="8">#REF!</definedName>
    <definedName name="_______BTC15" localSheetId="10">#REF!</definedName>
    <definedName name="_______BTC15" localSheetId="29">#REF!</definedName>
    <definedName name="_______BTC15">#REF!</definedName>
    <definedName name="_______BTC2" localSheetId="8">#REF!</definedName>
    <definedName name="_______BTC2" localSheetId="10">#REF!</definedName>
    <definedName name="_______BTC2" localSheetId="29">#REF!</definedName>
    <definedName name="_______BTC2">#REF!</definedName>
    <definedName name="_______BTC3" localSheetId="8">#REF!</definedName>
    <definedName name="_______BTC3" localSheetId="10">#REF!</definedName>
    <definedName name="_______BTC3" localSheetId="29">#REF!</definedName>
    <definedName name="_______BTC3">#REF!</definedName>
    <definedName name="_______BTC4" localSheetId="8">#REF!</definedName>
    <definedName name="_______BTC4" localSheetId="10">#REF!</definedName>
    <definedName name="_______BTC4" localSheetId="29">#REF!</definedName>
    <definedName name="_______BTC4">#REF!</definedName>
    <definedName name="_______BTC5" localSheetId="8">#REF!</definedName>
    <definedName name="_______BTC5" localSheetId="10">#REF!</definedName>
    <definedName name="_______BTC5" localSheetId="29">#REF!</definedName>
    <definedName name="_______BTC5">#REF!</definedName>
    <definedName name="_______BTC6" localSheetId="8">#REF!</definedName>
    <definedName name="_______BTC6" localSheetId="10">#REF!</definedName>
    <definedName name="_______BTC6" localSheetId="29">#REF!</definedName>
    <definedName name="_______BTC6">#REF!</definedName>
    <definedName name="_______BTC7" localSheetId="8">#REF!</definedName>
    <definedName name="_______BTC7" localSheetId="10">#REF!</definedName>
    <definedName name="_______BTC7" localSheetId="29">#REF!</definedName>
    <definedName name="_______BTC7">#REF!</definedName>
    <definedName name="_______BTC8" localSheetId="8">#REF!</definedName>
    <definedName name="_______BTC8" localSheetId="10">#REF!</definedName>
    <definedName name="_______BTC8" localSheetId="29">#REF!</definedName>
    <definedName name="_______BTC8">#REF!</definedName>
    <definedName name="_______BTC9" localSheetId="8">#REF!</definedName>
    <definedName name="_______BTC9" localSheetId="10">#REF!</definedName>
    <definedName name="_______BTC9" localSheetId="29">#REF!</definedName>
    <definedName name="_______BTC9">#REF!</definedName>
    <definedName name="_______BTS1" localSheetId="8">#REF!</definedName>
    <definedName name="_______BTS1" localSheetId="10">#REF!</definedName>
    <definedName name="_______BTS1" localSheetId="29">#REF!</definedName>
    <definedName name="_______BTS1">#REF!</definedName>
    <definedName name="_______BTS10" localSheetId="8">#REF!</definedName>
    <definedName name="_______BTS10" localSheetId="10">#REF!</definedName>
    <definedName name="_______BTS10" localSheetId="29">#REF!</definedName>
    <definedName name="_______BTS10">#REF!</definedName>
    <definedName name="_______BTS11" localSheetId="8">#REF!</definedName>
    <definedName name="_______BTS11" localSheetId="10">#REF!</definedName>
    <definedName name="_______BTS11" localSheetId="29">#REF!</definedName>
    <definedName name="_______BTS11">#REF!</definedName>
    <definedName name="_______BTS12" localSheetId="8">#REF!</definedName>
    <definedName name="_______BTS12" localSheetId="10">#REF!</definedName>
    <definedName name="_______BTS12" localSheetId="29">#REF!</definedName>
    <definedName name="_______BTS12">#REF!</definedName>
    <definedName name="_______BTS13" localSheetId="8">#REF!</definedName>
    <definedName name="_______BTS13" localSheetId="10">#REF!</definedName>
    <definedName name="_______BTS13" localSheetId="29">#REF!</definedName>
    <definedName name="_______BTS13">#REF!</definedName>
    <definedName name="_______BTS14" localSheetId="8">#REF!</definedName>
    <definedName name="_______BTS14" localSheetId="10">#REF!</definedName>
    <definedName name="_______BTS14" localSheetId="29">#REF!</definedName>
    <definedName name="_______BTS14">#REF!</definedName>
    <definedName name="_______BTS15" localSheetId="8">#REF!</definedName>
    <definedName name="_______BTS15" localSheetId="10">#REF!</definedName>
    <definedName name="_______BTS15" localSheetId="29">#REF!</definedName>
    <definedName name="_______BTS15">#REF!</definedName>
    <definedName name="_______BTS2" localSheetId="8">#REF!</definedName>
    <definedName name="_______BTS2" localSheetId="10">#REF!</definedName>
    <definedName name="_______BTS2" localSheetId="29">#REF!</definedName>
    <definedName name="_______BTS2">#REF!</definedName>
    <definedName name="_______BTS3" localSheetId="8">#REF!</definedName>
    <definedName name="_______BTS3" localSheetId="10">#REF!</definedName>
    <definedName name="_______BTS3" localSheetId="29">#REF!</definedName>
    <definedName name="_______BTS3">#REF!</definedName>
    <definedName name="_______BTS4" localSheetId="8">#REF!</definedName>
    <definedName name="_______BTS4" localSheetId="10">#REF!</definedName>
    <definedName name="_______BTS4" localSheetId="29">#REF!</definedName>
    <definedName name="_______BTS4">#REF!</definedName>
    <definedName name="_______BTS5" localSheetId="8">#REF!</definedName>
    <definedName name="_______BTS5" localSheetId="10">#REF!</definedName>
    <definedName name="_______BTS5" localSheetId="29">#REF!</definedName>
    <definedName name="_______BTS5">#REF!</definedName>
    <definedName name="_______BTS6" localSheetId="8">#REF!</definedName>
    <definedName name="_______BTS6" localSheetId="10">#REF!</definedName>
    <definedName name="_______BTS6" localSheetId="29">#REF!</definedName>
    <definedName name="_______BTS6">#REF!</definedName>
    <definedName name="_______BTS7" localSheetId="8">#REF!</definedName>
    <definedName name="_______BTS7" localSheetId="10">#REF!</definedName>
    <definedName name="_______BTS7" localSheetId="29">#REF!</definedName>
    <definedName name="_______BTS7">#REF!</definedName>
    <definedName name="_______BTS8" localSheetId="8">#REF!</definedName>
    <definedName name="_______BTS8" localSheetId="10">#REF!</definedName>
    <definedName name="_______BTS8" localSheetId="29">#REF!</definedName>
    <definedName name="_______BTS8">#REF!</definedName>
    <definedName name="_______BTS9" localSheetId="8">#REF!</definedName>
    <definedName name="_______BTS9" localSheetId="10">#REF!</definedName>
    <definedName name="_______BTS9" localSheetId="29">#REF!</definedName>
    <definedName name="_______BTS9">#REF!</definedName>
    <definedName name="_______can430">40.73</definedName>
    <definedName name="_______can435">43.3</definedName>
    <definedName name="_______cbr1">#REF!</definedName>
    <definedName name="_______cbr2">#REF!</definedName>
    <definedName name="_______cbr3">#REF!</definedName>
    <definedName name="_______cbr4">#REF!</definedName>
    <definedName name="_______er1">#REF!</definedName>
    <definedName name="_______ewe1" localSheetId="8">#REF!</definedName>
    <definedName name="_______ewe1" localSheetId="10">#REF!</definedName>
    <definedName name="_______ewe1" localSheetId="29">#REF!</definedName>
    <definedName name="_______ewe1">#REF!</definedName>
    <definedName name="_______f1">#REF!</definedName>
    <definedName name="_______GBS11" localSheetId="8">#REF!</definedName>
    <definedName name="_______GBS11" localSheetId="10">#REF!</definedName>
    <definedName name="_______GBS11" localSheetId="29">#REF!</definedName>
    <definedName name="_______GBS11">#REF!</definedName>
    <definedName name="_______GBS110" localSheetId="8">#REF!</definedName>
    <definedName name="_______GBS110" localSheetId="10">#REF!</definedName>
    <definedName name="_______GBS110" localSheetId="29">#REF!</definedName>
    <definedName name="_______GBS110">#REF!</definedName>
    <definedName name="_______GBS111" localSheetId="8">#REF!</definedName>
    <definedName name="_______GBS111" localSheetId="10">#REF!</definedName>
    <definedName name="_______GBS111" localSheetId="29">#REF!</definedName>
    <definedName name="_______GBS111">#REF!</definedName>
    <definedName name="_______GBS112" localSheetId="8">#REF!</definedName>
    <definedName name="_______GBS112" localSheetId="10">#REF!</definedName>
    <definedName name="_______GBS112" localSheetId="29">#REF!</definedName>
    <definedName name="_______GBS112">#REF!</definedName>
    <definedName name="_______GBS113" localSheetId="8">#REF!</definedName>
    <definedName name="_______GBS113" localSheetId="10">#REF!</definedName>
    <definedName name="_______GBS113" localSheetId="29">#REF!</definedName>
    <definedName name="_______GBS113">#REF!</definedName>
    <definedName name="_______GBS114" localSheetId="8">#REF!</definedName>
    <definedName name="_______GBS114" localSheetId="10">#REF!</definedName>
    <definedName name="_______GBS114" localSheetId="29">#REF!</definedName>
    <definedName name="_______GBS114">#REF!</definedName>
    <definedName name="_______GBS115" localSheetId="8">#REF!</definedName>
    <definedName name="_______GBS115" localSheetId="10">#REF!</definedName>
    <definedName name="_______GBS115" localSheetId="29">#REF!</definedName>
    <definedName name="_______GBS115">#REF!</definedName>
    <definedName name="_______GBS12" localSheetId="8">#REF!</definedName>
    <definedName name="_______GBS12" localSheetId="10">#REF!</definedName>
    <definedName name="_______GBS12" localSheetId="29">#REF!</definedName>
    <definedName name="_______GBS12">#REF!</definedName>
    <definedName name="_______GBS13" localSheetId="8">#REF!</definedName>
    <definedName name="_______GBS13" localSheetId="10">#REF!</definedName>
    <definedName name="_______GBS13" localSheetId="29">#REF!</definedName>
    <definedName name="_______GBS13">#REF!</definedName>
    <definedName name="_______GBS14" localSheetId="8">#REF!</definedName>
    <definedName name="_______GBS14" localSheetId="10">#REF!</definedName>
    <definedName name="_______GBS14" localSheetId="29">#REF!</definedName>
    <definedName name="_______GBS14">#REF!</definedName>
    <definedName name="_______GBS15" localSheetId="8">#REF!</definedName>
    <definedName name="_______GBS15" localSheetId="10">#REF!</definedName>
    <definedName name="_______GBS15" localSheetId="29">#REF!</definedName>
    <definedName name="_______GBS15">#REF!</definedName>
    <definedName name="_______GBS16" localSheetId="8">#REF!</definedName>
    <definedName name="_______GBS16" localSheetId="10">#REF!</definedName>
    <definedName name="_______GBS16" localSheetId="29">#REF!</definedName>
    <definedName name="_______GBS16">#REF!</definedName>
    <definedName name="_______GBS17" localSheetId="8">#REF!</definedName>
    <definedName name="_______GBS17" localSheetId="10">#REF!</definedName>
    <definedName name="_______GBS17" localSheetId="29">#REF!</definedName>
    <definedName name="_______GBS17">#REF!</definedName>
    <definedName name="_______GBS18" localSheetId="8">#REF!</definedName>
    <definedName name="_______GBS18" localSheetId="10">#REF!</definedName>
    <definedName name="_______GBS18" localSheetId="29">#REF!</definedName>
    <definedName name="_______GBS18">#REF!</definedName>
    <definedName name="_______GBS19" localSheetId="8">#REF!</definedName>
    <definedName name="_______GBS19" localSheetId="10">#REF!</definedName>
    <definedName name="_______GBS19" localSheetId="29">#REF!</definedName>
    <definedName name="_______GBS19">#REF!</definedName>
    <definedName name="_______GBS21" localSheetId="8">#REF!</definedName>
    <definedName name="_______GBS21" localSheetId="10">#REF!</definedName>
    <definedName name="_______GBS21" localSheetId="29">#REF!</definedName>
    <definedName name="_______GBS21">#REF!</definedName>
    <definedName name="_______GBS210" localSheetId="8">#REF!</definedName>
    <definedName name="_______GBS210" localSheetId="10">#REF!</definedName>
    <definedName name="_______GBS210" localSheetId="29">#REF!</definedName>
    <definedName name="_______GBS210">#REF!</definedName>
    <definedName name="_______GBS211" localSheetId="8">#REF!</definedName>
    <definedName name="_______GBS211" localSheetId="10">#REF!</definedName>
    <definedName name="_______GBS211" localSheetId="29">#REF!</definedName>
    <definedName name="_______GBS211">#REF!</definedName>
    <definedName name="_______GBS212" localSheetId="8">#REF!</definedName>
    <definedName name="_______GBS212" localSheetId="10">#REF!</definedName>
    <definedName name="_______GBS212" localSheetId="29">#REF!</definedName>
    <definedName name="_______GBS212">#REF!</definedName>
    <definedName name="_______GBS213" localSheetId="8">#REF!</definedName>
    <definedName name="_______GBS213" localSheetId="10">#REF!</definedName>
    <definedName name="_______GBS213" localSheetId="29">#REF!</definedName>
    <definedName name="_______GBS213">#REF!</definedName>
    <definedName name="_______GBS214" localSheetId="8">#REF!</definedName>
    <definedName name="_______GBS214" localSheetId="10">#REF!</definedName>
    <definedName name="_______GBS214" localSheetId="29">#REF!</definedName>
    <definedName name="_______GBS214">#REF!</definedName>
    <definedName name="_______GBS215" localSheetId="8">#REF!</definedName>
    <definedName name="_______GBS215" localSheetId="10">#REF!</definedName>
    <definedName name="_______GBS215" localSheetId="29">#REF!</definedName>
    <definedName name="_______GBS215">#REF!</definedName>
    <definedName name="_______GBS22" localSheetId="8">#REF!</definedName>
    <definedName name="_______GBS22" localSheetId="10">#REF!</definedName>
    <definedName name="_______GBS22" localSheetId="29">#REF!</definedName>
    <definedName name="_______GBS22">#REF!</definedName>
    <definedName name="_______GBS23" localSheetId="8">#REF!</definedName>
    <definedName name="_______GBS23" localSheetId="10">#REF!</definedName>
    <definedName name="_______GBS23" localSheetId="29">#REF!</definedName>
    <definedName name="_______GBS23">#REF!</definedName>
    <definedName name="_______GBS24" localSheetId="8">#REF!</definedName>
    <definedName name="_______GBS24" localSheetId="10">#REF!</definedName>
    <definedName name="_______GBS24" localSheetId="29">#REF!</definedName>
    <definedName name="_______GBS24">#REF!</definedName>
    <definedName name="_______GBS25" localSheetId="8">#REF!</definedName>
    <definedName name="_______GBS25" localSheetId="10">#REF!</definedName>
    <definedName name="_______GBS25" localSheetId="29">#REF!</definedName>
    <definedName name="_______GBS25">#REF!</definedName>
    <definedName name="_______GBS26" localSheetId="8">#REF!</definedName>
    <definedName name="_______GBS26" localSheetId="10">#REF!</definedName>
    <definedName name="_______GBS26" localSheetId="29">#REF!</definedName>
    <definedName name="_______GBS26">#REF!</definedName>
    <definedName name="_______GBS27" localSheetId="8">#REF!</definedName>
    <definedName name="_______GBS27" localSheetId="10">#REF!</definedName>
    <definedName name="_______GBS27" localSheetId="29">#REF!</definedName>
    <definedName name="_______GBS27">#REF!</definedName>
    <definedName name="_______GBS28" localSheetId="8">#REF!</definedName>
    <definedName name="_______GBS28" localSheetId="10">#REF!</definedName>
    <definedName name="_______GBS28" localSheetId="29">#REF!</definedName>
    <definedName name="_______GBS28">#REF!</definedName>
    <definedName name="_______GBS29" localSheetId="8">#REF!</definedName>
    <definedName name="_______GBS29" localSheetId="10">#REF!</definedName>
    <definedName name="_______GBS29" localSheetId="29">#REF!</definedName>
    <definedName name="_______GBS29">#REF!</definedName>
    <definedName name="_______gus1">#REF!</definedName>
    <definedName name="_______hpm1">#REF!</definedName>
    <definedName name="_______knr2" localSheetId="5">#REF!</definedName>
    <definedName name="_______knr2" localSheetId="14">#REF!</definedName>
    <definedName name="_______knr2" localSheetId="8">#REF!</definedName>
    <definedName name="_______knr2" localSheetId="10">#REF!</definedName>
    <definedName name="_______knr2" localSheetId="29">#REF!</definedName>
    <definedName name="_______knr2">#REF!</definedName>
    <definedName name="_______l12" localSheetId="21">#REF!</definedName>
    <definedName name="_______l12" localSheetId="5">#REF!</definedName>
    <definedName name="_______l12" localSheetId="8">#REF!</definedName>
    <definedName name="_______l12" localSheetId="10">#REF!</definedName>
    <definedName name="_______l12" localSheetId="11">#REF!</definedName>
    <definedName name="_______l12" localSheetId="29">#REF!</definedName>
    <definedName name="_______l12" localSheetId="31">#REF!</definedName>
    <definedName name="_______l12" localSheetId="35">#REF!</definedName>
    <definedName name="_______l12" localSheetId="36">#REF!</definedName>
    <definedName name="_______l12">#REF!</definedName>
    <definedName name="_______l12_33">"$#REF!.$#REF!$#REF!"</definedName>
    <definedName name="_______l12_38">"$#REF!.$#REF!$#REF!"</definedName>
    <definedName name="_______l12_41">"$#REF!.$#REF!$#REF!"</definedName>
    <definedName name="_______l12_7">"$#REF!.$#REF!$#REF!"</definedName>
    <definedName name="_______l12_8">"$#REF!.$#REF!$#REF!"</definedName>
    <definedName name="_______l3" localSheetId="21">#REF!</definedName>
    <definedName name="_______l3" localSheetId="5">#REF!</definedName>
    <definedName name="_______l3" localSheetId="8">#REF!</definedName>
    <definedName name="_______l3" localSheetId="10">#REF!</definedName>
    <definedName name="_______l3" localSheetId="11">#REF!</definedName>
    <definedName name="_______l3" localSheetId="29">#REF!</definedName>
    <definedName name="_______l3" localSheetId="31">#REF!</definedName>
    <definedName name="_______l3" localSheetId="35">#REF!</definedName>
    <definedName name="_______l3" localSheetId="36">#REF!</definedName>
    <definedName name="_______l3">#REF!</definedName>
    <definedName name="_______l3_33">"$#REF!.$#REF!$#REF!"</definedName>
    <definedName name="_______l3_38">"$#REF!.$#REF!$#REF!"</definedName>
    <definedName name="_______l3_41">"$#REF!.$#REF!$#REF!"</definedName>
    <definedName name="_______l3_7">"$#REF!.$#REF!$#REF!"</definedName>
    <definedName name="_______l3_8">"$#REF!.$#REF!$#REF!"</definedName>
    <definedName name="_______l5" localSheetId="21">#REF!</definedName>
    <definedName name="_______l5" localSheetId="5">#REF!</definedName>
    <definedName name="_______l5" localSheetId="8">#REF!</definedName>
    <definedName name="_______l5" localSheetId="10">#REF!</definedName>
    <definedName name="_______l5" localSheetId="11">#REF!</definedName>
    <definedName name="_______l5" localSheetId="29">#REF!</definedName>
    <definedName name="_______l5" localSheetId="31">#REF!</definedName>
    <definedName name="_______l5" localSheetId="35">#REF!</definedName>
    <definedName name="_______l5" localSheetId="36">#REF!</definedName>
    <definedName name="_______l5">#REF!</definedName>
    <definedName name="_______l5_33">"$#REF!.$#REF!$#REF!"</definedName>
    <definedName name="_______l5_38">"$#REF!.$#REF!$#REF!"</definedName>
    <definedName name="_______l5_41">"$#REF!.$#REF!$#REF!"</definedName>
    <definedName name="_______l5_7">"$#REF!.$#REF!$#REF!"</definedName>
    <definedName name="_______l5_8">"$#REF!.$#REF!$#REF!"</definedName>
    <definedName name="_______lcn1">#REF!</definedName>
    <definedName name="_______LI9" localSheetId="8">#REF!</definedName>
    <definedName name="_______LI9" localSheetId="10">#REF!</definedName>
    <definedName name="_______LI9" localSheetId="29">#REF!</definedName>
    <definedName name="_______LI9">#REF!</definedName>
    <definedName name="_______LII9" localSheetId="8">#REF!</definedName>
    <definedName name="_______LII9" localSheetId="10">#REF!</definedName>
    <definedName name="_______LII9" localSheetId="29">#REF!</definedName>
    <definedName name="_______LII9">#REF!</definedName>
    <definedName name="_______lm1">#REF!</definedName>
    <definedName name="_______ML11" localSheetId="8">#REF!</definedName>
    <definedName name="_______ML11" localSheetId="10">#REF!</definedName>
    <definedName name="_______ML11" localSheetId="29">#REF!</definedName>
    <definedName name="_______ML11">#REF!</definedName>
    <definedName name="_______ML110" localSheetId="8">#REF!</definedName>
    <definedName name="_______ML110" localSheetId="10">#REF!</definedName>
    <definedName name="_______ML110" localSheetId="29">#REF!</definedName>
    <definedName name="_______ML110">#REF!</definedName>
    <definedName name="_______ML111" localSheetId="8">#REF!</definedName>
    <definedName name="_______ML111" localSheetId="10">#REF!</definedName>
    <definedName name="_______ML111" localSheetId="29">#REF!</definedName>
    <definedName name="_______ML111">#REF!</definedName>
    <definedName name="_______ML112" localSheetId="8">#REF!</definedName>
    <definedName name="_______ML112" localSheetId="10">#REF!</definedName>
    <definedName name="_______ML112" localSheetId="29">#REF!</definedName>
    <definedName name="_______ML112">#REF!</definedName>
    <definedName name="_______ML113" localSheetId="8">#REF!</definedName>
    <definedName name="_______ML113" localSheetId="10">#REF!</definedName>
    <definedName name="_______ML113" localSheetId="29">#REF!</definedName>
    <definedName name="_______ML113">#REF!</definedName>
    <definedName name="_______ML114" localSheetId="8">#REF!</definedName>
    <definedName name="_______ML114" localSheetId="10">#REF!</definedName>
    <definedName name="_______ML114" localSheetId="29">#REF!</definedName>
    <definedName name="_______ML114">#REF!</definedName>
    <definedName name="_______ML115" localSheetId="8">#REF!</definedName>
    <definedName name="_______ML115" localSheetId="10">#REF!</definedName>
    <definedName name="_______ML115" localSheetId="29">#REF!</definedName>
    <definedName name="_______ML115">#REF!</definedName>
    <definedName name="_______ML12" localSheetId="8">#REF!</definedName>
    <definedName name="_______ML12" localSheetId="10">#REF!</definedName>
    <definedName name="_______ML12" localSheetId="29">#REF!</definedName>
    <definedName name="_______ML12">#REF!</definedName>
    <definedName name="_______ML13" localSheetId="8">#REF!</definedName>
    <definedName name="_______ML13" localSheetId="10">#REF!</definedName>
    <definedName name="_______ML13" localSheetId="29">#REF!</definedName>
    <definedName name="_______ML13">#REF!</definedName>
    <definedName name="_______ML14" localSheetId="8">#REF!</definedName>
    <definedName name="_______ML14" localSheetId="10">#REF!</definedName>
    <definedName name="_______ML14" localSheetId="29">#REF!</definedName>
    <definedName name="_______ML14">#REF!</definedName>
    <definedName name="_______ML15" localSheetId="8">#REF!</definedName>
    <definedName name="_______ML15" localSheetId="10">#REF!</definedName>
    <definedName name="_______ML15" localSheetId="29">#REF!</definedName>
    <definedName name="_______ML15">#REF!</definedName>
    <definedName name="_______ML16" localSheetId="8">#REF!</definedName>
    <definedName name="_______ML16" localSheetId="10">#REF!</definedName>
    <definedName name="_______ML16" localSheetId="29">#REF!</definedName>
    <definedName name="_______ML16">#REF!</definedName>
    <definedName name="_______ML17" localSheetId="8">#REF!</definedName>
    <definedName name="_______ML17" localSheetId="10">#REF!</definedName>
    <definedName name="_______ML17" localSheetId="29">#REF!</definedName>
    <definedName name="_______ML17">#REF!</definedName>
    <definedName name="_______ML18" localSheetId="8">#REF!</definedName>
    <definedName name="_______ML18" localSheetId="10">#REF!</definedName>
    <definedName name="_______ML18" localSheetId="29">#REF!</definedName>
    <definedName name="_______ML18">#REF!</definedName>
    <definedName name="_______ML19" localSheetId="8">#REF!</definedName>
    <definedName name="_______ML19" localSheetId="10">#REF!</definedName>
    <definedName name="_______ML19" localSheetId="29">#REF!</definedName>
    <definedName name="_______ML19">#REF!</definedName>
    <definedName name="_______ML21" localSheetId="8">#REF!</definedName>
    <definedName name="_______ML21" localSheetId="10">#REF!</definedName>
    <definedName name="_______ML21" localSheetId="29">#REF!</definedName>
    <definedName name="_______ML21">#REF!</definedName>
    <definedName name="_______ML210" localSheetId="8">#REF!</definedName>
    <definedName name="_______ML210" localSheetId="10">#REF!</definedName>
    <definedName name="_______ML210" localSheetId="29">#REF!</definedName>
    <definedName name="_______ML210">#REF!</definedName>
    <definedName name="_______ML211" localSheetId="8">#REF!</definedName>
    <definedName name="_______ML211" localSheetId="10">#REF!</definedName>
    <definedName name="_______ML211" localSheetId="29">#REF!</definedName>
    <definedName name="_______ML211">#REF!</definedName>
    <definedName name="_______ML212" localSheetId="8">#REF!</definedName>
    <definedName name="_______ML212" localSheetId="10">#REF!</definedName>
    <definedName name="_______ML212" localSheetId="29">#REF!</definedName>
    <definedName name="_______ML212">#REF!</definedName>
    <definedName name="_______ML213" localSheetId="8">#REF!</definedName>
    <definedName name="_______ML213" localSheetId="10">#REF!</definedName>
    <definedName name="_______ML213" localSheetId="29">#REF!</definedName>
    <definedName name="_______ML213">#REF!</definedName>
    <definedName name="_______ML214" localSheetId="8">#REF!</definedName>
    <definedName name="_______ML214" localSheetId="10">#REF!</definedName>
    <definedName name="_______ML214" localSheetId="29">#REF!</definedName>
    <definedName name="_______ML214">#REF!</definedName>
    <definedName name="_______ML215" localSheetId="8">#REF!</definedName>
    <definedName name="_______ML215" localSheetId="10">#REF!</definedName>
    <definedName name="_______ML215" localSheetId="29">#REF!</definedName>
    <definedName name="_______ML215">#REF!</definedName>
    <definedName name="_______ML22" localSheetId="8">#REF!</definedName>
    <definedName name="_______ML22" localSheetId="10">#REF!</definedName>
    <definedName name="_______ML22" localSheetId="29">#REF!</definedName>
    <definedName name="_______ML22">#REF!</definedName>
    <definedName name="_______ML23" localSheetId="8">#REF!</definedName>
    <definedName name="_______ML23" localSheetId="10">#REF!</definedName>
    <definedName name="_______ML23" localSheetId="29">#REF!</definedName>
    <definedName name="_______ML23">#REF!</definedName>
    <definedName name="_______ML24" localSheetId="8">#REF!</definedName>
    <definedName name="_______ML24" localSheetId="10">#REF!</definedName>
    <definedName name="_______ML24" localSheetId="29">#REF!</definedName>
    <definedName name="_______ML24">#REF!</definedName>
    <definedName name="_______ML25" localSheetId="8">#REF!</definedName>
    <definedName name="_______ML25" localSheetId="10">#REF!</definedName>
    <definedName name="_______ML25" localSheetId="29">#REF!</definedName>
    <definedName name="_______ML25">#REF!</definedName>
    <definedName name="_______ML26" localSheetId="8">#REF!</definedName>
    <definedName name="_______ML26" localSheetId="10">#REF!</definedName>
    <definedName name="_______ML26" localSheetId="29">#REF!</definedName>
    <definedName name="_______ML26">#REF!</definedName>
    <definedName name="_______ML27" localSheetId="8">#REF!</definedName>
    <definedName name="_______ML27" localSheetId="10">#REF!</definedName>
    <definedName name="_______ML27" localSheetId="29">#REF!</definedName>
    <definedName name="_______ML27">#REF!</definedName>
    <definedName name="_______ML28" localSheetId="8">#REF!</definedName>
    <definedName name="_______ML28" localSheetId="10">#REF!</definedName>
    <definedName name="_______ML28" localSheetId="29">#REF!</definedName>
    <definedName name="_______ML28">#REF!</definedName>
    <definedName name="_______ML29" localSheetId="8">#REF!</definedName>
    <definedName name="_______ML29" localSheetId="10">#REF!</definedName>
    <definedName name="_______ML29" localSheetId="29">#REF!</definedName>
    <definedName name="_______ML29">#REF!</definedName>
    <definedName name="_______ML31" localSheetId="8">#REF!</definedName>
    <definedName name="_______ML31" localSheetId="10">#REF!</definedName>
    <definedName name="_______ML31" localSheetId="29">#REF!</definedName>
    <definedName name="_______ML31">#REF!</definedName>
    <definedName name="_______ML310" localSheetId="8">#REF!</definedName>
    <definedName name="_______ML310" localSheetId="10">#REF!</definedName>
    <definedName name="_______ML310" localSheetId="29">#REF!</definedName>
    <definedName name="_______ML310">#REF!</definedName>
    <definedName name="_______ML311" localSheetId="8">#REF!</definedName>
    <definedName name="_______ML311" localSheetId="10">#REF!</definedName>
    <definedName name="_______ML311" localSheetId="29">#REF!</definedName>
    <definedName name="_______ML311">#REF!</definedName>
    <definedName name="_______ML312" localSheetId="8">#REF!</definedName>
    <definedName name="_______ML312" localSheetId="10">#REF!</definedName>
    <definedName name="_______ML312" localSheetId="29">#REF!</definedName>
    <definedName name="_______ML312">#REF!</definedName>
    <definedName name="_______ML313" localSheetId="8">#REF!</definedName>
    <definedName name="_______ML313" localSheetId="10">#REF!</definedName>
    <definedName name="_______ML313" localSheetId="29">#REF!</definedName>
    <definedName name="_______ML313">#REF!</definedName>
    <definedName name="_______ML314" localSheetId="8">#REF!</definedName>
    <definedName name="_______ML314" localSheetId="10">#REF!</definedName>
    <definedName name="_______ML314" localSheetId="29">#REF!</definedName>
    <definedName name="_______ML314">#REF!</definedName>
    <definedName name="_______ML315" localSheetId="8">#REF!</definedName>
    <definedName name="_______ML315" localSheetId="10">#REF!</definedName>
    <definedName name="_______ML315" localSheetId="29">#REF!</definedName>
    <definedName name="_______ML315">#REF!</definedName>
    <definedName name="_______ML32" localSheetId="8">#REF!</definedName>
    <definedName name="_______ML32" localSheetId="10">#REF!</definedName>
    <definedName name="_______ML32" localSheetId="29">#REF!</definedName>
    <definedName name="_______ML32">#REF!</definedName>
    <definedName name="_______ML33" localSheetId="8">#REF!</definedName>
    <definedName name="_______ML33" localSheetId="10">#REF!</definedName>
    <definedName name="_______ML33" localSheetId="29">#REF!</definedName>
    <definedName name="_______ML33">#REF!</definedName>
    <definedName name="_______ML34" localSheetId="8">#REF!</definedName>
    <definedName name="_______ML34" localSheetId="10">#REF!</definedName>
    <definedName name="_______ML34" localSheetId="29">#REF!</definedName>
    <definedName name="_______ML34">#REF!</definedName>
    <definedName name="_______ML35" localSheetId="8">#REF!</definedName>
    <definedName name="_______ML35" localSheetId="10">#REF!</definedName>
    <definedName name="_______ML35" localSheetId="29">#REF!</definedName>
    <definedName name="_______ML35">#REF!</definedName>
    <definedName name="_______ML36" localSheetId="8">#REF!</definedName>
    <definedName name="_______ML36" localSheetId="10">#REF!</definedName>
    <definedName name="_______ML36" localSheetId="29">#REF!</definedName>
    <definedName name="_______ML36">#REF!</definedName>
    <definedName name="_______ML37" localSheetId="8">#REF!</definedName>
    <definedName name="_______ML37" localSheetId="10">#REF!</definedName>
    <definedName name="_______ML37" localSheetId="29">#REF!</definedName>
    <definedName name="_______ML37">#REF!</definedName>
    <definedName name="_______ML38" localSheetId="8">#REF!</definedName>
    <definedName name="_______ML38" localSheetId="10">#REF!</definedName>
    <definedName name="_______ML38" localSheetId="29">#REF!</definedName>
    <definedName name="_______ML38">#REF!</definedName>
    <definedName name="_______ML39" localSheetId="8">#REF!</definedName>
    <definedName name="_______ML39" localSheetId="10">#REF!</definedName>
    <definedName name="_______ML39" localSheetId="29">#REF!</definedName>
    <definedName name="_______ML39">#REF!</definedName>
    <definedName name="_______ML7" localSheetId="8">#REF!</definedName>
    <definedName name="_______ML7" localSheetId="10">#REF!</definedName>
    <definedName name="_______ML7" localSheetId="29">#REF!</definedName>
    <definedName name="_______ML7">#REF!</definedName>
    <definedName name="_______ML8" localSheetId="8">#REF!</definedName>
    <definedName name="_______ML8" localSheetId="10">#REF!</definedName>
    <definedName name="_______ML8" localSheetId="29">#REF!</definedName>
    <definedName name="_______ML8">#REF!</definedName>
    <definedName name="_______ML9" localSheetId="8">#REF!</definedName>
    <definedName name="_______ML9" localSheetId="10">#REF!</definedName>
    <definedName name="_______ML9" localSheetId="29">#REF!</definedName>
    <definedName name="_______ML9">#REF!</definedName>
    <definedName name="_______mm20" localSheetId="29">#REF!</definedName>
    <definedName name="_______mm40">#REF!</definedName>
    <definedName name="_______pc2" localSheetId="21">#REF!</definedName>
    <definedName name="_______pc2" localSheetId="5">#REF!</definedName>
    <definedName name="_______pc2" localSheetId="8">#REF!</definedName>
    <definedName name="_______pc2" localSheetId="10">#REF!</definedName>
    <definedName name="_______pc2" localSheetId="11">#REF!</definedName>
    <definedName name="_______pc2" localSheetId="29">#REF!</definedName>
    <definedName name="_______pc2" localSheetId="31">#REF!</definedName>
    <definedName name="_______pc2" localSheetId="35">#REF!</definedName>
    <definedName name="_______pc2" localSheetId="36">#REF!</definedName>
    <definedName name="_______pc2">#REF!</definedName>
    <definedName name="_______PMS2" localSheetId="8">#REF!</definedName>
    <definedName name="_______PMS2" localSheetId="10">#REF!</definedName>
    <definedName name="_______PMS2" localSheetId="29">#REF!</definedName>
    <definedName name="_______PMS2">#REF!</definedName>
    <definedName name="_______pv2" localSheetId="21">#REF!</definedName>
    <definedName name="_______pv2" localSheetId="5">#REF!</definedName>
    <definedName name="_______pv2" localSheetId="8">#REF!</definedName>
    <definedName name="_______pv2" localSheetId="10">#REF!</definedName>
    <definedName name="_______pv2" localSheetId="11">#REF!</definedName>
    <definedName name="_______pv2" localSheetId="29">#REF!</definedName>
    <definedName name="_______pv2" localSheetId="31">#REF!</definedName>
    <definedName name="_______pv2" localSheetId="35">#REF!</definedName>
    <definedName name="_______pv2" localSheetId="36">#REF!</definedName>
    <definedName name="_______pv2">#REF!</definedName>
    <definedName name="_______SO016" localSheetId="8">#REF!</definedName>
    <definedName name="_______SO016" localSheetId="10">#REF!</definedName>
    <definedName name="_______SO016" localSheetId="11">#REF!</definedName>
    <definedName name="_______SO016" localSheetId="29">#REF!</definedName>
    <definedName name="_______SO016">#REF!</definedName>
    <definedName name="_______SP001" localSheetId="8">#REF!</definedName>
    <definedName name="_______SP001" localSheetId="10">#REF!</definedName>
    <definedName name="_______SP001" localSheetId="11">#REF!</definedName>
    <definedName name="_______SP001" localSheetId="29">#REF!</definedName>
    <definedName name="_______SP001">#REF!</definedName>
    <definedName name="_______SP002" localSheetId="8">#REF!</definedName>
    <definedName name="_______SP002" localSheetId="10">#REF!</definedName>
    <definedName name="_______SP002" localSheetId="11">#REF!</definedName>
    <definedName name="_______SP002" localSheetId="29">#REF!</definedName>
    <definedName name="_______SP002">#REF!</definedName>
    <definedName name="_______SP003" localSheetId="8">#REF!</definedName>
    <definedName name="_______SP003" localSheetId="10">#REF!</definedName>
    <definedName name="_______SP003" localSheetId="11">#REF!</definedName>
    <definedName name="_______SP003" localSheetId="29">#REF!</definedName>
    <definedName name="_______SP003">#REF!</definedName>
    <definedName name="_______SP004" localSheetId="8">#REF!</definedName>
    <definedName name="_______SP004" localSheetId="10">#REF!</definedName>
    <definedName name="_______SP004" localSheetId="11">#REF!</definedName>
    <definedName name="_______SP004" localSheetId="29">#REF!</definedName>
    <definedName name="_______SP004">#REF!</definedName>
    <definedName name="_______SP005" localSheetId="8">#REF!</definedName>
    <definedName name="_______SP005" localSheetId="10">#REF!</definedName>
    <definedName name="_______SP005" localSheetId="11">#REF!</definedName>
    <definedName name="_______SP005" localSheetId="29">#REF!</definedName>
    <definedName name="_______SP005">#REF!</definedName>
    <definedName name="_______SP006" localSheetId="8">#REF!</definedName>
    <definedName name="_______SP006" localSheetId="10">#REF!</definedName>
    <definedName name="_______SP006" localSheetId="11">#REF!</definedName>
    <definedName name="_______SP006" localSheetId="29">#REF!</definedName>
    <definedName name="_______SP006">#REF!</definedName>
    <definedName name="_______SP007" localSheetId="8">#REF!</definedName>
    <definedName name="_______SP007" localSheetId="10">#REF!</definedName>
    <definedName name="_______SP007" localSheetId="11">#REF!</definedName>
    <definedName name="_______SP007" localSheetId="29">#REF!</definedName>
    <definedName name="_______SP007">#REF!</definedName>
    <definedName name="_______SP008" localSheetId="8">#REF!</definedName>
    <definedName name="_______SP008" localSheetId="10">#REF!</definedName>
    <definedName name="_______SP008" localSheetId="11">#REF!</definedName>
    <definedName name="_______SP008" localSheetId="29">#REF!</definedName>
    <definedName name="_______SP008">#REF!</definedName>
    <definedName name="_______SP009" localSheetId="8">#REF!</definedName>
    <definedName name="_______SP009" localSheetId="10">#REF!</definedName>
    <definedName name="_______SP009" localSheetId="11">#REF!</definedName>
    <definedName name="_______SP009" localSheetId="29">#REF!</definedName>
    <definedName name="_______SP009">#REF!</definedName>
    <definedName name="_______SP010" localSheetId="8">#REF!</definedName>
    <definedName name="_______SP010" localSheetId="10">#REF!</definedName>
    <definedName name="_______SP010" localSheetId="11">#REF!</definedName>
    <definedName name="_______SP010" localSheetId="29">#REF!</definedName>
    <definedName name="_______SP010">#REF!</definedName>
    <definedName name="_______SP011" localSheetId="8">#REF!</definedName>
    <definedName name="_______SP011" localSheetId="10">#REF!</definedName>
    <definedName name="_______SP011" localSheetId="11">#REF!</definedName>
    <definedName name="_______SP011" localSheetId="29">#REF!</definedName>
    <definedName name="_______SP011">#REF!</definedName>
    <definedName name="_______SP012" localSheetId="8">#REF!</definedName>
    <definedName name="_______SP012" localSheetId="10">#REF!</definedName>
    <definedName name="_______SP012" localSheetId="11">#REF!</definedName>
    <definedName name="_______SP012" localSheetId="29">#REF!</definedName>
    <definedName name="_______SP012">#REF!</definedName>
    <definedName name="_______SP013" localSheetId="8">#REF!</definedName>
    <definedName name="_______SP013" localSheetId="10">#REF!</definedName>
    <definedName name="_______SP013" localSheetId="11">#REF!</definedName>
    <definedName name="_______SP013" localSheetId="29">#REF!</definedName>
    <definedName name="_______SP013">#REF!</definedName>
    <definedName name="_______SP014" localSheetId="8">#REF!</definedName>
    <definedName name="_______SP014" localSheetId="10">#REF!</definedName>
    <definedName name="_______SP014" localSheetId="11">#REF!</definedName>
    <definedName name="_______SP014" localSheetId="29">#REF!</definedName>
    <definedName name="_______SP014">#REF!</definedName>
    <definedName name="_______SP015" localSheetId="8">#REF!</definedName>
    <definedName name="_______SP015" localSheetId="10">#REF!</definedName>
    <definedName name="_______SP015" localSheetId="11">#REF!</definedName>
    <definedName name="_______SP015" localSheetId="29">#REF!</definedName>
    <definedName name="_______SP015">#REF!</definedName>
    <definedName name="_______SP016" localSheetId="8">#REF!</definedName>
    <definedName name="_______SP016" localSheetId="10">#REF!</definedName>
    <definedName name="_______SP016" localSheetId="11">#REF!</definedName>
    <definedName name="_______SP016" localSheetId="29">#REF!</definedName>
    <definedName name="_______SP016">#REF!</definedName>
    <definedName name="_______SP017" localSheetId="8">#REF!</definedName>
    <definedName name="_______SP017" localSheetId="10">#REF!</definedName>
    <definedName name="_______SP017" localSheetId="11">#REF!</definedName>
    <definedName name="_______SP017" localSheetId="29">#REF!</definedName>
    <definedName name="_______SP017">#REF!</definedName>
    <definedName name="_______SP018" localSheetId="8">#REF!</definedName>
    <definedName name="_______SP018" localSheetId="10">#REF!</definedName>
    <definedName name="_______SP018" localSheetId="11">#REF!</definedName>
    <definedName name="_______SP018" localSheetId="29">#REF!</definedName>
    <definedName name="_______SP018">#REF!</definedName>
    <definedName name="_______SP019" localSheetId="8">#REF!</definedName>
    <definedName name="_______SP019" localSheetId="10">#REF!</definedName>
    <definedName name="_______SP019" localSheetId="11">#REF!</definedName>
    <definedName name="_______SP019" localSheetId="29">#REF!</definedName>
    <definedName name="_______SP019">#REF!</definedName>
    <definedName name="_______SP020" localSheetId="8">#REF!</definedName>
    <definedName name="_______SP020" localSheetId="10">#REF!</definedName>
    <definedName name="_______SP020" localSheetId="11">#REF!</definedName>
    <definedName name="_______SP020" localSheetId="29">#REF!</definedName>
    <definedName name="_______SP020">#REF!</definedName>
    <definedName name="_______SP021" localSheetId="8">#REF!</definedName>
    <definedName name="_______SP021" localSheetId="10">#REF!</definedName>
    <definedName name="_______SP021" localSheetId="11">#REF!</definedName>
    <definedName name="_______SP021" localSheetId="29">#REF!</definedName>
    <definedName name="_______SP021">#REF!</definedName>
    <definedName name="_______SP022" localSheetId="8">#REF!</definedName>
    <definedName name="_______SP022" localSheetId="10">#REF!</definedName>
    <definedName name="_______SP022" localSheetId="11">#REF!</definedName>
    <definedName name="_______SP022" localSheetId="29">#REF!</definedName>
    <definedName name="_______SP022">#REF!</definedName>
    <definedName name="_______SP023" localSheetId="8">#REF!</definedName>
    <definedName name="_______SP023" localSheetId="10">#REF!</definedName>
    <definedName name="_______SP023" localSheetId="11">#REF!</definedName>
    <definedName name="_______SP023" localSheetId="29">#REF!</definedName>
    <definedName name="_______SP023">#REF!</definedName>
    <definedName name="_______SP024" localSheetId="8">#REF!</definedName>
    <definedName name="_______SP024" localSheetId="10">#REF!</definedName>
    <definedName name="_______SP024" localSheetId="11">#REF!</definedName>
    <definedName name="_______SP024" localSheetId="29">#REF!</definedName>
    <definedName name="_______SP024">#REF!</definedName>
    <definedName name="_______SP025" localSheetId="8">#REF!</definedName>
    <definedName name="_______SP025" localSheetId="10">#REF!</definedName>
    <definedName name="_______SP025" localSheetId="11">#REF!</definedName>
    <definedName name="_______SP025" localSheetId="29">#REF!</definedName>
    <definedName name="_______SP025">#REF!</definedName>
    <definedName name="_______SP026" localSheetId="8">#REF!</definedName>
    <definedName name="_______SP026" localSheetId="10">#REF!</definedName>
    <definedName name="_______SP026" localSheetId="11">#REF!</definedName>
    <definedName name="_______SP026" localSheetId="29">#REF!</definedName>
    <definedName name="_______SP026">#REF!</definedName>
    <definedName name="_______SP027" localSheetId="8">#REF!</definedName>
    <definedName name="_______SP027" localSheetId="10">#REF!</definedName>
    <definedName name="_______SP027" localSheetId="11">#REF!</definedName>
    <definedName name="_______SP027" localSheetId="29">#REF!</definedName>
    <definedName name="_______SP027">#REF!</definedName>
    <definedName name="_______SP028" localSheetId="8">#REF!</definedName>
    <definedName name="_______SP028" localSheetId="10">#REF!</definedName>
    <definedName name="_______SP028" localSheetId="11">#REF!</definedName>
    <definedName name="_______SP028" localSheetId="29">#REF!</definedName>
    <definedName name="_______SP028">#REF!</definedName>
    <definedName name="_______SP029" localSheetId="8">#REF!</definedName>
    <definedName name="_______SP029" localSheetId="10">#REF!</definedName>
    <definedName name="_______SP029" localSheetId="11">#REF!</definedName>
    <definedName name="_______SP029" localSheetId="29">#REF!</definedName>
    <definedName name="_______SP029">#REF!</definedName>
    <definedName name="_______SP030" localSheetId="8">#REF!</definedName>
    <definedName name="_______SP030" localSheetId="10">#REF!</definedName>
    <definedName name="_______SP030" localSheetId="11">#REF!</definedName>
    <definedName name="_______SP030" localSheetId="29">#REF!</definedName>
    <definedName name="_______SP030">#REF!</definedName>
    <definedName name="_______SP031" localSheetId="8">#REF!</definedName>
    <definedName name="_______SP031" localSheetId="10">#REF!</definedName>
    <definedName name="_______SP031" localSheetId="11">#REF!</definedName>
    <definedName name="_______SP031" localSheetId="29">#REF!</definedName>
    <definedName name="_______SP031">#REF!</definedName>
    <definedName name="_______SP032" localSheetId="8">#REF!</definedName>
    <definedName name="_______SP032" localSheetId="10">#REF!</definedName>
    <definedName name="_______SP032" localSheetId="11">#REF!</definedName>
    <definedName name="_______SP032" localSheetId="29">#REF!</definedName>
    <definedName name="_______SP032">#REF!</definedName>
    <definedName name="_______SP033" localSheetId="8">#REF!</definedName>
    <definedName name="_______SP033" localSheetId="10">#REF!</definedName>
    <definedName name="_______SP033" localSheetId="11">#REF!</definedName>
    <definedName name="_______SP033" localSheetId="29">#REF!</definedName>
    <definedName name="_______SP033">#REF!</definedName>
    <definedName name="_______SP034" localSheetId="8">#REF!</definedName>
    <definedName name="_______SP034" localSheetId="10">#REF!</definedName>
    <definedName name="_______SP034" localSheetId="11">#REF!</definedName>
    <definedName name="_______SP034" localSheetId="29">#REF!</definedName>
    <definedName name="_______SP034">#REF!</definedName>
    <definedName name="_______SP035" localSheetId="8">#REF!</definedName>
    <definedName name="_______SP035" localSheetId="10">#REF!</definedName>
    <definedName name="_______SP035" localSheetId="11">#REF!</definedName>
    <definedName name="_______SP035" localSheetId="29">#REF!</definedName>
    <definedName name="_______SP035">#REF!</definedName>
    <definedName name="_______SP036" localSheetId="8">#REF!</definedName>
    <definedName name="_______SP036" localSheetId="10">#REF!</definedName>
    <definedName name="_______SP036" localSheetId="11">#REF!</definedName>
    <definedName name="_______SP036" localSheetId="29">#REF!</definedName>
    <definedName name="_______SP036">#REF!</definedName>
    <definedName name="_______SP037" localSheetId="8">#REF!</definedName>
    <definedName name="_______SP037" localSheetId="10">#REF!</definedName>
    <definedName name="_______SP037" localSheetId="11">#REF!</definedName>
    <definedName name="_______SP037" localSheetId="29">#REF!</definedName>
    <definedName name="_______SP037">#REF!</definedName>
    <definedName name="_______SP038" localSheetId="8">#REF!</definedName>
    <definedName name="_______SP038" localSheetId="10">#REF!</definedName>
    <definedName name="_______SP038" localSheetId="11">#REF!</definedName>
    <definedName name="_______SP038" localSheetId="29">#REF!</definedName>
    <definedName name="_______SP038">#REF!</definedName>
    <definedName name="_______SP039" localSheetId="8">#REF!</definedName>
    <definedName name="_______SP039" localSheetId="10">#REF!</definedName>
    <definedName name="_______SP039" localSheetId="11">#REF!</definedName>
    <definedName name="_______SP039" localSheetId="29">#REF!</definedName>
    <definedName name="_______SP039">#REF!</definedName>
    <definedName name="_______SP040" localSheetId="8">#REF!</definedName>
    <definedName name="_______SP040" localSheetId="10">#REF!</definedName>
    <definedName name="_______SP040" localSheetId="11">#REF!</definedName>
    <definedName name="_______SP040" localSheetId="29">#REF!</definedName>
    <definedName name="_______SP040">#REF!</definedName>
    <definedName name="_______SP041" localSheetId="8">#REF!</definedName>
    <definedName name="_______SP041" localSheetId="10">#REF!</definedName>
    <definedName name="_______SP041" localSheetId="11">#REF!</definedName>
    <definedName name="_______SP041" localSheetId="29">#REF!</definedName>
    <definedName name="_______SP041">#REF!</definedName>
    <definedName name="_______SP042" localSheetId="8">#REF!</definedName>
    <definedName name="_______SP042" localSheetId="10">#REF!</definedName>
    <definedName name="_______SP042" localSheetId="11">#REF!</definedName>
    <definedName name="_______SP042" localSheetId="29">#REF!</definedName>
    <definedName name="_______SP042">#REF!</definedName>
    <definedName name="_______SP043" localSheetId="8">#REF!</definedName>
    <definedName name="_______SP043" localSheetId="10">#REF!</definedName>
    <definedName name="_______SP043" localSheetId="11">#REF!</definedName>
    <definedName name="_______SP043" localSheetId="29">#REF!</definedName>
    <definedName name="_______SP043">#REF!</definedName>
    <definedName name="_______SP044" localSheetId="8">#REF!</definedName>
    <definedName name="_______SP044" localSheetId="10">#REF!</definedName>
    <definedName name="_______SP044" localSheetId="11">#REF!</definedName>
    <definedName name="_______SP044" localSheetId="29">#REF!</definedName>
    <definedName name="_______SP044">#REF!</definedName>
    <definedName name="_______SP045" localSheetId="8">#REF!</definedName>
    <definedName name="_______SP045" localSheetId="10">#REF!</definedName>
    <definedName name="_______SP045" localSheetId="11">#REF!</definedName>
    <definedName name="_______SP045" localSheetId="29">#REF!</definedName>
    <definedName name="_______SP045">#REF!</definedName>
    <definedName name="_______SP046" localSheetId="8">#REF!</definedName>
    <definedName name="_______SP046" localSheetId="10">#REF!</definedName>
    <definedName name="_______SP046" localSheetId="11">#REF!</definedName>
    <definedName name="_______SP046" localSheetId="29">#REF!</definedName>
    <definedName name="_______SP046">#REF!</definedName>
    <definedName name="_______SP047" localSheetId="8">#REF!</definedName>
    <definedName name="_______SP047" localSheetId="10">#REF!</definedName>
    <definedName name="_______SP047" localSheetId="11">#REF!</definedName>
    <definedName name="_______SP047" localSheetId="29">#REF!</definedName>
    <definedName name="_______SP047">#REF!</definedName>
    <definedName name="_______SP048" localSheetId="8">#REF!</definedName>
    <definedName name="_______SP048" localSheetId="10">#REF!</definedName>
    <definedName name="_______SP048" localSheetId="11">#REF!</definedName>
    <definedName name="_______SP048" localSheetId="29">#REF!</definedName>
    <definedName name="_______SP048">#REF!</definedName>
    <definedName name="_______SP049" localSheetId="8">#REF!</definedName>
    <definedName name="_______SP049" localSheetId="10">#REF!</definedName>
    <definedName name="_______SP049" localSheetId="11">#REF!</definedName>
    <definedName name="_______SP049" localSheetId="29">#REF!</definedName>
    <definedName name="_______SP049">#REF!</definedName>
    <definedName name="_______SP050" localSheetId="8">#REF!</definedName>
    <definedName name="_______SP050" localSheetId="10">#REF!</definedName>
    <definedName name="_______SP050" localSheetId="11">#REF!</definedName>
    <definedName name="_______SP050" localSheetId="29">#REF!</definedName>
    <definedName name="_______SP050">#REF!</definedName>
    <definedName name="_______SP051" localSheetId="8">#REF!</definedName>
    <definedName name="_______SP051" localSheetId="10">#REF!</definedName>
    <definedName name="_______SP051" localSheetId="11">#REF!</definedName>
    <definedName name="_______SP051" localSheetId="29">#REF!</definedName>
    <definedName name="_______SP051">#REF!</definedName>
    <definedName name="_______SP052" localSheetId="8">#REF!</definedName>
    <definedName name="_______SP052" localSheetId="10">#REF!</definedName>
    <definedName name="_______SP052" localSheetId="11">#REF!</definedName>
    <definedName name="_______SP052" localSheetId="29">#REF!</definedName>
    <definedName name="_______SP052">#REF!</definedName>
    <definedName name="_______SP053" localSheetId="8">#REF!</definedName>
    <definedName name="_______SP053" localSheetId="10">#REF!</definedName>
    <definedName name="_______SP053" localSheetId="11">#REF!</definedName>
    <definedName name="_______SP053" localSheetId="29">#REF!</definedName>
    <definedName name="_______SP053">#REF!</definedName>
    <definedName name="_______SP054" localSheetId="8">#REF!</definedName>
    <definedName name="_______SP054" localSheetId="10">#REF!</definedName>
    <definedName name="_______SP054" localSheetId="11">#REF!</definedName>
    <definedName name="_______SP054" localSheetId="29">#REF!</definedName>
    <definedName name="_______SP054">#REF!</definedName>
    <definedName name="_______SP055" localSheetId="8">#REF!</definedName>
    <definedName name="_______SP055" localSheetId="10">#REF!</definedName>
    <definedName name="_______SP055" localSheetId="11">#REF!</definedName>
    <definedName name="_______SP055" localSheetId="29">#REF!</definedName>
    <definedName name="_______SP055">#REF!</definedName>
    <definedName name="_______SP056" localSheetId="8">#REF!</definedName>
    <definedName name="_______SP056" localSheetId="10">#REF!</definedName>
    <definedName name="_______SP056" localSheetId="11">#REF!</definedName>
    <definedName name="_______SP056" localSheetId="29">#REF!</definedName>
    <definedName name="_______SP056">#REF!</definedName>
    <definedName name="_______SP057" localSheetId="8">#REF!</definedName>
    <definedName name="_______SP057" localSheetId="10">#REF!</definedName>
    <definedName name="_______SP057" localSheetId="11">#REF!</definedName>
    <definedName name="_______SP057" localSheetId="29">#REF!</definedName>
    <definedName name="_______SP057">#REF!</definedName>
    <definedName name="_______SP058" localSheetId="8">#REF!</definedName>
    <definedName name="_______SP058" localSheetId="10">#REF!</definedName>
    <definedName name="_______SP058" localSheetId="11">#REF!</definedName>
    <definedName name="_______SP058" localSheetId="29">#REF!</definedName>
    <definedName name="_______SP058">#REF!</definedName>
    <definedName name="_______SP059" localSheetId="8">#REF!</definedName>
    <definedName name="_______SP059" localSheetId="10">#REF!</definedName>
    <definedName name="_______SP059" localSheetId="11">#REF!</definedName>
    <definedName name="_______SP059" localSheetId="29">#REF!</definedName>
    <definedName name="_______SP059">#REF!</definedName>
    <definedName name="_______SP060" localSheetId="8">#REF!</definedName>
    <definedName name="_______SP060" localSheetId="10">#REF!</definedName>
    <definedName name="_______SP060" localSheetId="11">#REF!</definedName>
    <definedName name="_______SP060" localSheetId="29">#REF!</definedName>
    <definedName name="_______SP060">#REF!</definedName>
    <definedName name="_______SP061" localSheetId="8">#REF!</definedName>
    <definedName name="_______SP061" localSheetId="10">#REF!</definedName>
    <definedName name="_______SP061" localSheetId="11">#REF!</definedName>
    <definedName name="_______SP061" localSheetId="29">#REF!</definedName>
    <definedName name="_______SP061">#REF!</definedName>
    <definedName name="_______SP062" localSheetId="8">#REF!</definedName>
    <definedName name="_______SP062" localSheetId="10">#REF!</definedName>
    <definedName name="_______SP062" localSheetId="11">#REF!</definedName>
    <definedName name="_______SP062" localSheetId="29">#REF!</definedName>
    <definedName name="_______SP062">#REF!</definedName>
    <definedName name="_______SP063" localSheetId="8">#REF!</definedName>
    <definedName name="_______SP063" localSheetId="10">#REF!</definedName>
    <definedName name="_______SP063" localSheetId="11">#REF!</definedName>
    <definedName name="_______SP063" localSheetId="29">#REF!</definedName>
    <definedName name="_______SP063">#REF!</definedName>
    <definedName name="_______SP064" localSheetId="8">#REF!</definedName>
    <definedName name="_______SP064" localSheetId="10">#REF!</definedName>
    <definedName name="_______SP064" localSheetId="11">#REF!</definedName>
    <definedName name="_______SP064" localSheetId="29">#REF!</definedName>
    <definedName name="_______SP064">#REF!</definedName>
    <definedName name="_______SP065" localSheetId="8">#REF!</definedName>
    <definedName name="_______SP065" localSheetId="10">#REF!</definedName>
    <definedName name="_______SP065" localSheetId="11">#REF!</definedName>
    <definedName name="_______SP065" localSheetId="29">#REF!</definedName>
    <definedName name="_______SP065">#REF!</definedName>
    <definedName name="_______SP066" localSheetId="8">#REF!</definedName>
    <definedName name="_______SP066" localSheetId="10">#REF!</definedName>
    <definedName name="_______SP066" localSheetId="11">#REF!</definedName>
    <definedName name="_______SP066" localSheetId="29">#REF!</definedName>
    <definedName name="_______SP066">#REF!</definedName>
    <definedName name="_______SP067" localSheetId="8">#REF!</definedName>
    <definedName name="_______SP067" localSheetId="10">#REF!</definedName>
    <definedName name="_______SP067" localSheetId="11">#REF!</definedName>
    <definedName name="_______SP067" localSheetId="29">#REF!</definedName>
    <definedName name="_______SP067">#REF!</definedName>
    <definedName name="_______SP068" localSheetId="8">#REF!</definedName>
    <definedName name="_______SP068" localSheetId="10">#REF!</definedName>
    <definedName name="_______SP068" localSheetId="11">#REF!</definedName>
    <definedName name="_______SP068" localSheetId="29">#REF!</definedName>
    <definedName name="_______SP068">#REF!</definedName>
    <definedName name="_______SP069" localSheetId="8">#REF!</definedName>
    <definedName name="_______SP069" localSheetId="10">#REF!</definedName>
    <definedName name="_______SP069" localSheetId="11">#REF!</definedName>
    <definedName name="_______SP069" localSheetId="29">#REF!</definedName>
    <definedName name="_______SP069">#REF!</definedName>
    <definedName name="_______SP070" localSheetId="8">#REF!</definedName>
    <definedName name="_______SP070" localSheetId="10">#REF!</definedName>
    <definedName name="_______SP070" localSheetId="11">#REF!</definedName>
    <definedName name="_______SP070" localSheetId="29">#REF!</definedName>
    <definedName name="_______SP070">#REF!</definedName>
    <definedName name="_______sp071" localSheetId="8">#REF!</definedName>
    <definedName name="_______sp071" localSheetId="10">#REF!</definedName>
    <definedName name="_______sp071" localSheetId="11">#REF!</definedName>
    <definedName name="_______sp071" localSheetId="29">#REF!</definedName>
    <definedName name="_______sp071">#REF!</definedName>
    <definedName name="_______SP072" localSheetId="8">#REF!</definedName>
    <definedName name="_______SP072" localSheetId="10">#REF!</definedName>
    <definedName name="_______SP072" localSheetId="11">#REF!</definedName>
    <definedName name="_______SP072" localSheetId="29">#REF!</definedName>
    <definedName name="_______SP072">#REF!</definedName>
    <definedName name="_______SP073" localSheetId="8">#REF!</definedName>
    <definedName name="_______SP073" localSheetId="10">#REF!</definedName>
    <definedName name="_______SP073" localSheetId="11">#REF!</definedName>
    <definedName name="_______SP073" localSheetId="29">#REF!</definedName>
    <definedName name="_______SP073">#REF!</definedName>
    <definedName name="_______SP074" localSheetId="8">#REF!</definedName>
    <definedName name="_______SP074" localSheetId="10">#REF!</definedName>
    <definedName name="_______SP074" localSheetId="11">#REF!</definedName>
    <definedName name="_______SP074" localSheetId="29">#REF!</definedName>
    <definedName name="_______SP074">#REF!</definedName>
    <definedName name="_______SP075" localSheetId="8">#REF!</definedName>
    <definedName name="_______SP075" localSheetId="10">#REF!</definedName>
    <definedName name="_______SP075" localSheetId="11">#REF!</definedName>
    <definedName name="_______SP075" localSheetId="29">#REF!</definedName>
    <definedName name="_______SP075">#REF!</definedName>
    <definedName name="_______SP076" localSheetId="8">#REF!</definedName>
    <definedName name="_______SP076" localSheetId="10">#REF!</definedName>
    <definedName name="_______SP076" localSheetId="11">#REF!</definedName>
    <definedName name="_______SP076" localSheetId="29">#REF!</definedName>
    <definedName name="_______SP076">#REF!</definedName>
    <definedName name="_______SP077" localSheetId="8">#REF!</definedName>
    <definedName name="_______SP077" localSheetId="10">#REF!</definedName>
    <definedName name="_______SP077" localSheetId="11">#REF!</definedName>
    <definedName name="_______SP077" localSheetId="29">#REF!</definedName>
    <definedName name="_______SP077">#REF!</definedName>
    <definedName name="_______sp078" localSheetId="8">#REF!</definedName>
    <definedName name="_______sp078" localSheetId="10">#REF!</definedName>
    <definedName name="_______sp078" localSheetId="11">#REF!</definedName>
    <definedName name="_______sp078" localSheetId="29">#REF!</definedName>
    <definedName name="_______sp078">#REF!</definedName>
    <definedName name="_______SPO79" localSheetId="8">#REF!</definedName>
    <definedName name="_______SPO79" localSheetId="10">#REF!</definedName>
    <definedName name="_______SPO79" localSheetId="11">#REF!</definedName>
    <definedName name="_______SPO79" localSheetId="29">#REF!</definedName>
    <definedName name="_______SPO79">#REF!</definedName>
    <definedName name="_______sw1" localSheetId="29">#REF!</definedName>
    <definedName name="_______t1">#REF!</definedName>
    <definedName name="_______t2">#REF!</definedName>
    <definedName name="_______tab1">#REF!</definedName>
    <definedName name="_______us1">#REF!</definedName>
    <definedName name="_______var1" localSheetId="21">#REF!</definedName>
    <definedName name="_______var1" localSheetId="5">#REF!</definedName>
    <definedName name="_______var1" localSheetId="8">#REF!</definedName>
    <definedName name="_______var1" localSheetId="10">#REF!</definedName>
    <definedName name="_______var1" localSheetId="11">#REF!</definedName>
    <definedName name="_______var1" localSheetId="29">#REF!</definedName>
    <definedName name="_______var1" localSheetId="31">#REF!</definedName>
    <definedName name="_______var1" localSheetId="35">#REF!</definedName>
    <definedName name="_______var1" localSheetId="36">#REF!</definedName>
    <definedName name="_______var1">#REF!</definedName>
    <definedName name="_______var1_33">"$#REF!.$#REF!$#REF!"</definedName>
    <definedName name="_______var1_38">"$#REF!.$#REF!$#REF!"</definedName>
    <definedName name="_______var1_41">"$#REF!.$#REF!$#REF!"</definedName>
    <definedName name="_______var1_7">"$#REF!.$#REF!$#REF!"</definedName>
    <definedName name="_______var1_8">"$#REF!.$#REF!$#REF!"</definedName>
    <definedName name="_______var4" localSheetId="21">#REF!</definedName>
    <definedName name="_______var4" localSheetId="5">#REF!</definedName>
    <definedName name="_______var4" localSheetId="8">#REF!</definedName>
    <definedName name="_______var4" localSheetId="10">#REF!</definedName>
    <definedName name="_______var4" localSheetId="11">#REF!</definedName>
    <definedName name="_______var4" localSheetId="29">#REF!</definedName>
    <definedName name="_______var4" localSheetId="31">#REF!</definedName>
    <definedName name="_______var4" localSheetId="35">#REF!</definedName>
    <definedName name="_______var4" localSheetId="36">#REF!</definedName>
    <definedName name="_______var4">#REF!</definedName>
    <definedName name="_______var4_33">"$#REF!.$#REF!$#REF!"</definedName>
    <definedName name="_______var4_38">"$#REF!.$#REF!$#REF!"</definedName>
    <definedName name="_______var4_41">"$#REF!.$#REF!$#REF!"</definedName>
    <definedName name="_______var4_7">"$#REF!.$#REF!$#REF!"</definedName>
    <definedName name="_______var4_8">"$#REF!.$#REF!$#REF!"</definedName>
    <definedName name="_______vat1">#REF!</definedName>
    <definedName name="_______vat2">#REF!</definedName>
    <definedName name="_______xlfn_BAHTTEXT">#N/A</definedName>
    <definedName name="______abs1" localSheetId="5">#REF!</definedName>
    <definedName name="______abs1" localSheetId="14">#REF!</definedName>
    <definedName name="______abs1" localSheetId="8">#REF!</definedName>
    <definedName name="______abs1" localSheetId="10">#REF!</definedName>
    <definedName name="______abs1" localSheetId="29">#REF!</definedName>
    <definedName name="______abs1">#REF!</definedName>
    <definedName name="______AUX1">#REF!</definedName>
    <definedName name="______aux2" localSheetId="29">#REF!</definedName>
    <definedName name="______AUX3">#REF!</definedName>
    <definedName name="______BSG100" localSheetId="8">#REF!</definedName>
    <definedName name="______BSG100" localSheetId="10">#REF!</definedName>
    <definedName name="______BSG100" localSheetId="29">#REF!</definedName>
    <definedName name="______BSG100">#REF!</definedName>
    <definedName name="______BSG150" localSheetId="8">#REF!</definedName>
    <definedName name="______BSG150" localSheetId="10">#REF!</definedName>
    <definedName name="______BSG150" localSheetId="29">#REF!</definedName>
    <definedName name="______BSG150">#REF!</definedName>
    <definedName name="______BSG5" localSheetId="8">#REF!</definedName>
    <definedName name="______BSG5" localSheetId="10">#REF!</definedName>
    <definedName name="______BSG5" localSheetId="29">#REF!</definedName>
    <definedName name="______BSG5">#REF!</definedName>
    <definedName name="______BSG75" localSheetId="8">#REF!</definedName>
    <definedName name="______BSG75" localSheetId="10">#REF!</definedName>
    <definedName name="______BSG75" localSheetId="29">#REF!</definedName>
    <definedName name="______BSG75">#REF!</definedName>
    <definedName name="______BTC1" localSheetId="8">#REF!</definedName>
    <definedName name="______BTC1" localSheetId="10">#REF!</definedName>
    <definedName name="______BTC1" localSheetId="29">#REF!</definedName>
    <definedName name="______BTC1">#REF!</definedName>
    <definedName name="______BTC10" localSheetId="8">#REF!</definedName>
    <definedName name="______BTC10" localSheetId="10">#REF!</definedName>
    <definedName name="______BTC10" localSheetId="29">#REF!</definedName>
    <definedName name="______BTC10">#REF!</definedName>
    <definedName name="______BTC11" localSheetId="8">#REF!</definedName>
    <definedName name="______BTC11" localSheetId="10">#REF!</definedName>
    <definedName name="______BTC11" localSheetId="29">#REF!</definedName>
    <definedName name="______BTC11">#REF!</definedName>
    <definedName name="______BTC12" localSheetId="8">#REF!</definedName>
    <definedName name="______BTC12" localSheetId="10">#REF!</definedName>
    <definedName name="______BTC12" localSheetId="29">#REF!</definedName>
    <definedName name="______BTC12">#REF!</definedName>
    <definedName name="______BTC13" localSheetId="8">#REF!</definedName>
    <definedName name="______BTC13" localSheetId="10">#REF!</definedName>
    <definedName name="______BTC13" localSheetId="29">#REF!</definedName>
    <definedName name="______BTC13">#REF!</definedName>
    <definedName name="______BTC14" localSheetId="8">#REF!</definedName>
    <definedName name="______BTC14" localSheetId="10">#REF!</definedName>
    <definedName name="______BTC14" localSheetId="29">#REF!</definedName>
    <definedName name="______BTC14">#REF!</definedName>
    <definedName name="______BTC15" localSheetId="8">#REF!</definedName>
    <definedName name="______BTC15" localSheetId="10">#REF!</definedName>
    <definedName name="______BTC15" localSheetId="29">#REF!</definedName>
    <definedName name="______BTC15">#REF!</definedName>
    <definedName name="______BTC2" localSheetId="8">#REF!</definedName>
    <definedName name="______BTC2" localSheetId="10">#REF!</definedName>
    <definedName name="______BTC2" localSheetId="29">#REF!</definedName>
    <definedName name="______BTC2">#REF!</definedName>
    <definedName name="______BTC3" localSheetId="8">#REF!</definedName>
    <definedName name="______BTC3" localSheetId="10">#REF!</definedName>
    <definedName name="______BTC3" localSheetId="29">#REF!</definedName>
    <definedName name="______BTC3">#REF!</definedName>
    <definedName name="______BTC4" localSheetId="8">#REF!</definedName>
    <definedName name="______BTC4" localSheetId="10">#REF!</definedName>
    <definedName name="______BTC4" localSheetId="29">#REF!</definedName>
    <definedName name="______BTC4">#REF!</definedName>
    <definedName name="______BTC5" localSheetId="8">#REF!</definedName>
    <definedName name="______BTC5" localSheetId="10">#REF!</definedName>
    <definedName name="______BTC5" localSheetId="29">#REF!</definedName>
    <definedName name="______BTC5">#REF!</definedName>
    <definedName name="______BTC6" localSheetId="8">#REF!</definedName>
    <definedName name="______BTC6" localSheetId="10">#REF!</definedName>
    <definedName name="______BTC6" localSheetId="29">#REF!</definedName>
    <definedName name="______BTC6">#REF!</definedName>
    <definedName name="______BTC7" localSheetId="8">#REF!</definedName>
    <definedName name="______BTC7" localSheetId="10">#REF!</definedName>
    <definedName name="______BTC7" localSheetId="29">#REF!</definedName>
    <definedName name="______BTC7">#REF!</definedName>
    <definedName name="______BTC8" localSheetId="8">#REF!</definedName>
    <definedName name="______BTC8" localSheetId="10">#REF!</definedName>
    <definedName name="______BTC8" localSheetId="29">#REF!</definedName>
    <definedName name="______BTC8">#REF!</definedName>
    <definedName name="______BTC9" localSheetId="8">#REF!</definedName>
    <definedName name="______BTC9" localSheetId="10">#REF!</definedName>
    <definedName name="______BTC9" localSheetId="29">#REF!</definedName>
    <definedName name="______BTC9">#REF!</definedName>
    <definedName name="______BTS1" localSheetId="8">#REF!</definedName>
    <definedName name="______BTS1" localSheetId="10">#REF!</definedName>
    <definedName name="______BTS1" localSheetId="29">#REF!</definedName>
    <definedName name="______BTS1">#REF!</definedName>
    <definedName name="______BTS10" localSheetId="8">#REF!</definedName>
    <definedName name="______BTS10" localSheetId="10">#REF!</definedName>
    <definedName name="______BTS10" localSheetId="29">#REF!</definedName>
    <definedName name="______BTS10">#REF!</definedName>
    <definedName name="______BTS11" localSheetId="8">#REF!</definedName>
    <definedName name="______BTS11" localSheetId="10">#REF!</definedName>
    <definedName name="______BTS11" localSheetId="29">#REF!</definedName>
    <definedName name="______BTS11">#REF!</definedName>
    <definedName name="______BTS12" localSheetId="8">#REF!</definedName>
    <definedName name="______BTS12" localSheetId="10">#REF!</definedName>
    <definedName name="______BTS12" localSheetId="29">#REF!</definedName>
    <definedName name="______BTS12">#REF!</definedName>
    <definedName name="______BTS13" localSheetId="8">#REF!</definedName>
    <definedName name="______BTS13" localSheetId="10">#REF!</definedName>
    <definedName name="______BTS13" localSheetId="29">#REF!</definedName>
    <definedName name="______BTS13">#REF!</definedName>
    <definedName name="______BTS14" localSheetId="8">#REF!</definedName>
    <definedName name="______BTS14" localSheetId="10">#REF!</definedName>
    <definedName name="______BTS14" localSheetId="29">#REF!</definedName>
    <definedName name="______BTS14">#REF!</definedName>
    <definedName name="______BTS15" localSheetId="8">#REF!</definedName>
    <definedName name="______BTS15" localSheetId="10">#REF!</definedName>
    <definedName name="______BTS15" localSheetId="29">#REF!</definedName>
    <definedName name="______BTS15">#REF!</definedName>
    <definedName name="______BTS2" localSheetId="8">#REF!</definedName>
    <definedName name="______BTS2" localSheetId="10">#REF!</definedName>
    <definedName name="______BTS2" localSheetId="29">#REF!</definedName>
    <definedName name="______BTS2">#REF!</definedName>
    <definedName name="______BTS3" localSheetId="8">#REF!</definedName>
    <definedName name="______BTS3" localSheetId="10">#REF!</definedName>
    <definedName name="______BTS3" localSheetId="29">#REF!</definedName>
    <definedName name="______BTS3">#REF!</definedName>
    <definedName name="______BTS4" localSheetId="8">#REF!</definedName>
    <definedName name="______BTS4" localSheetId="10">#REF!</definedName>
    <definedName name="______BTS4" localSheetId="29">#REF!</definedName>
    <definedName name="______BTS4">#REF!</definedName>
    <definedName name="______BTS5" localSheetId="8">#REF!</definedName>
    <definedName name="______BTS5" localSheetId="10">#REF!</definedName>
    <definedName name="______BTS5" localSheetId="29">#REF!</definedName>
    <definedName name="______BTS5">#REF!</definedName>
    <definedName name="______BTS6" localSheetId="8">#REF!</definedName>
    <definedName name="______BTS6" localSheetId="10">#REF!</definedName>
    <definedName name="______BTS6" localSheetId="29">#REF!</definedName>
    <definedName name="______BTS6">#REF!</definedName>
    <definedName name="______BTS7" localSheetId="8">#REF!</definedName>
    <definedName name="______BTS7" localSheetId="10">#REF!</definedName>
    <definedName name="______BTS7" localSheetId="29">#REF!</definedName>
    <definedName name="______BTS7">#REF!</definedName>
    <definedName name="______BTS8" localSheetId="8">#REF!</definedName>
    <definedName name="______BTS8" localSheetId="10">#REF!</definedName>
    <definedName name="______BTS8" localSheetId="29">#REF!</definedName>
    <definedName name="______BTS8">#REF!</definedName>
    <definedName name="______BTS9" localSheetId="8">#REF!</definedName>
    <definedName name="______BTS9" localSheetId="10">#REF!</definedName>
    <definedName name="______BTS9" localSheetId="29">#REF!</definedName>
    <definedName name="______BTS9">#REF!</definedName>
    <definedName name="______can430">40.73</definedName>
    <definedName name="______can435">43.3</definedName>
    <definedName name="______cbr1" localSheetId="8">#REF!</definedName>
    <definedName name="______cbr1" localSheetId="10">#REF!</definedName>
    <definedName name="______cbr1" localSheetId="29">#REF!</definedName>
    <definedName name="______cbr1">#REF!</definedName>
    <definedName name="______cbr2" localSheetId="8">#REF!</definedName>
    <definedName name="______cbr2" localSheetId="10">#REF!</definedName>
    <definedName name="______cbr2" localSheetId="29">#REF!</definedName>
    <definedName name="______cbr2">#REF!</definedName>
    <definedName name="______cbr3" localSheetId="8">#REF!</definedName>
    <definedName name="______cbr3" localSheetId="10">#REF!</definedName>
    <definedName name="______cbr3" localSheetId="29">#REF!</definedName>
    <definedName name="______cbr3">#REF!</definedName>
    <definedName name="______cbr4" localSheetId="8">#REF!</definedName>
    <definedName name="______cbr4" localSheetId="10">#REF!</definedName>
    <definedName name="______cbr4" localSheetId="29">#REF!</definedName>
    <definedName name="______cbr4">#REF!</definedName>
    <definedName name="______er1">#REF!</definedName>
    <definedName name="______ewe1" localSheetId="29">#REF!</definedName>
    <definedName name="______f1" localSheetId="8">#REF!</definedName>
    <definedName name="______f1" localSheetId="10">#REF!</definedName>
    <definedName name="______f1" localSheetId="11">#REF!</definedName>
    <definedName name="______f1" localSheetId="29">#REF!</definedName>
    <definedName name="______f1">#REF!</definedName>
    <definedName name="______GBS11" localSheetId="8">#REF!</definedName>
    <definedName name="______GBS11" localSheetId="10">#REF!</definedName>
    <definedName name="______GBS11" localSheetId="29">#REF!</definedName>
    <definedName name="______GBS11">#REF!</definedName>
    <definedName name="______GBS110" localSheetId="8">#REF!</definedName>
    <definedName name="______GBS110" localSheetId="10">#REF!</definedName>
    <definedName name="______GBS110" localSheetId="29">#REF!</definedName>
    <definedName name="______GBS110">#REF!</definedName>
    <definedName name="______GBS111" localSheetId="8">#REF!</definedName>
    <definedName name="______GBS111" localSheetId="10">#REF!</definedName>
    <definedName name="______GBS111" localSheetId="29">#REF!</definedName>
    <definedName name="______GBS111">#REF!</definedName>
    <definedName name="______GBS112" localSheetId="8">#REF!</definedName>
    <definedName name="______GBS112" localSheetId="10">#REF!</definedName>
    <definedName name="______GBS112" localSheetId="29">#REF!</definedName>
    <definedName name="______GBS112">#REF!</definedName>
    <definedName name="______GBS113" localSheetId="8">#REF!</definedName>
    <definedName name="______GBS113" localSheetId="10">#REF!</definedName>
    <definedName name="______GBS113" localSheetId="29">#REF!</definedName>
    <definedName name="______GBS113">#REF!</definedName>
    <definedName name="______GBS114" localSheetId="8">#REF!</definedName>
    <definedName name="______GBS114" localSheetId="10">#REF!</definedName>
    <definedName name="______GBS114" localSheetId="29">#REF!</definedName>
    <definedName name="______GBS114">#REF!</definedName>
    <definedName name="______GBS115" localSheetId="8">#REF!</definedName>
    <definedName name="______GBS115" localSheetId="10">#REF!</definedName>
    <definedName name="______GBS115" localSheetId="29">#REF!</definedName>
    <definedName name="______GBS115">#REF!</definedName>
    <definedName name="______GBS12" localSheetId="8">#REF!</definedName>
    <definedName name="______GBS12" localSheetId="10">#REF!</definedName>
    <definedName name="______GBS12" localSheetId="29">#REF!</definedName>
    <definedName name="______GBS12">#REF!</definedName>
    <definedName name="______GBS13" localSheetId="8">#REF!</definedName>
    <definedName name="______GBS13" localSheetId="10">#REF!</definedName>
    <definedName name="______GBS13" localSheetId="29">#REF!</definedName>
    <definedName name="______GBS13">#REF!</definedName>
    <definedName name="______GBS14" localSheetId="8">#REF!</definedName>
    <definedName name="______GBS14" localSheetId="10">#REF!</definedName>
    <definedName name="______GBS14" localSheetId="29">#REF!</definedName>
    <definedName name="______GBS14">#REF!</definedName>
    <definedName name="______GBS15" localSheetId="8">#REF!</definedName>
    <definedName name="______GBS15" localSheetId="10">#REF!</definedName>
    <definedName name="______GBS15" localSheetId="29">#REF!</definedName>
    <definedName name="______GBS15">#REF!</definedName>
    <definedName name="______GBS16" localSheetId="8">#REF!</definedName>
    <definedName name="______GBS16" localSheetId="10">#REF!</definedName>
    <definedName name="______GBS16" localSheetId="29">#REF!</definedName>
    <definedName name="______GBS16">#REF!</definedName>
    <definedName name="______GBS17" localSheetId="8">#REF!</definedName>
    <definedName name="______GBS17" localSheetId="10">#REF!</definedName>
    <definedName name="______GBS17" localSheetId="29">#REF!</definedName>
    <definedName name="______GBS17">#REF!</definedName>
    <definedName name="______GBS18" localSheetId="8">#REF!</definedName>
    <definedName name="______GBS18" localSheetId="10">#REF!</definedName>
    <definedName name="______GBS18" localSheetId="29">#REF!</definedName>
    <definedName name="______GBS18">#REF!</definedName>
    <definedName name="______GBS19" localSheetId="8">#REF!</definedName>
    <definedName name="______GBS19" localSheetId="10">#REF!</definedName>
    <definedName name="______GBS19" localSheetId="29">#REF!</definedName>
    <definedName name="______GBS19">#REF!</definedName>
    <definedName name="______GBS21" localSheetId="8">#REF!</definedName>
    <definedName name="______GBS21" localSheetId="10">#REF!</definedName>
    <definedName name="______GBS21" localSheetId="29">#REF!</definedName>
    <definedName name="______GBS21">#REF!</definedName>
    <definedName name="______GBS210" localSheetId="8">#REF!</definedName>
    <definedName name="______GBS210" localSheetId="10">#REF!</definedName>
    <definedName name="______GBS210" localSheetId="29">#REF!</definedName>
    <definedName name="______GBS210">#REF!</definedName>
    <definedName name="______GBS211" localSheetId="8">#REF!</definedName>
    <definedName name="______GBS211" localSheetId="10">#REF!</definedName>
    <definedName name="______GBS211" localSheetId="29">#REF!</definedName>
    <definedName name="______GBS211">#REF!</definedName>
    <definedName name="______GBS212" localSheetId="8">#REF!</definedName>
    <definedName name="______GBS212" localSheetId="10">#REF!</definedName>
    <definedName name="______GBS212" localSheetId="29">#REF!</definedName>
    <definedName name="______GBS212">#REF!</definedName>
    <definedName name="______GBS213" localSheetId="8">#REF!</definedName>
    <definedName name="______GBS213" localSheetId="10">#REF!</definedName>
    <definedName name="______GBS213" localSheetId="29">#REF!</definedName>
    <definedName name="______GBS213">#REF!</definedName>
    <definedName name="______GBS214" localSheetId="8">#REF!</definedName>
    <definedName name="______GBS214" localSheetId="10">#REF!</definedName>
    <definedName name="______GBS214" localSheetId="29">#REF!</definedName>
    <definedName name="______GBS214">#REF!</definedName>
    <definedName name="______GBS215" localSheetId="8">#REF!</definedName>
    <definedName name="______GBS215" localSheetId="10">#REF!</definedName>
    <definedName name="______GBS215" localSheetId="29">#REF!</definedName>
    <definedName name="______GBS215">#REF!</definedName>
    <definedName name="______GBS22" localSheetId="8">#REF!</definedName>
    <definedName name="______GBS22" localSheetId="10">#REF!</definedName>
    <definedName name="______GBS22" localSheetId="29">#REF!</definedName>
    <definedName name="______GBS22">#REF!</definedName>
    <definedName name="______GBS23" localSheetId="8">#REF!</definedName>
    <definedName name="______GBS23" localSheetId="10">#REF!</definedName>
    <definedName name="______GBS23" localSheetId="29">#REF!</definedName>
    <definedName name="______GBS23">#REF!</definedName>
    <definedName name="______GBS24" localSheetId="8">#REF!</definedName>
    <definedName name="______GBS24" localSheetId="10">#REF!</definedName>
    <definedName name="______GBS24" localSheetId="29">#REF!</definedName>
    <definedName name="______GBS24">#REF!</definedName>
    <definedName name="______GBS25" localSheetId="8">#REF!</definedName>
    <definedName name="______GBS25" localSheetId="10">#REF!</definedName>
    <definedName name="______GBS25" localSheetId="29">#REF!</definedName>
    <definedName name="______GBS25">#REF!</definedName>
    <definedName name="______GBS26" localSheetId="8">#REF!</definedName>
    <definedName name="______GBS26" localSheetId="10">#REF!</definedName>
    <definedName name="______GBS26" localSheetId="29">#REF!</definedName>
    <definedName name="______GBS26">#REF!</definedName>
    <definedName name="______GBS27" localSheetId="8">#REF!</definedName>
    <definedName name="______GBS27" localSheetId="10">#REF!</definedName>
    <definedName name="______GBS27" localSheetId="29">#REF!</definedName>
    <definedName name="______GBS27">#REF!</definedName>
    <definedName name="______GBS28" localSheetId="8">#REF!</definedName>
    <definedName name="______GBS28" localSheetId="10">#REF!</definedName>
    <definedName name="______GBS28" localSheetId="29">#REF!</definedName>
    <definedName name="______GBS28">#REF!</definedName>
    <definedName name="______GBS29" localSheetId="8">#REF!</definedName>
    <definedName name="______GBS29" localSheetId="10">#REF!</definedName>
    <definedName name="______GBS29" localSheetId="29">#REF!</definedName>
    <definedName name="______GBS29">#REF!</definedName>
    <definedName name="______gus1">#REF!</definedName>
    <definedName name="______hpm1">#REF!</definedName>
    <definedName name="______knr2" localSheetId="5">#REF!</definedName>
    <definedName name="______knr2" localSheetId="14">#REF!</definedName>
    <definedName name="______knr2" localSheetId="8">#REF!</definedName>
    <definedName name="______knr2" localSheetId="10">#REF!</definedName>
    <definedName name="______knr2" localSheetId="29">#REF!</definedName>
    <definedName name="______knr2">#REF!</definedName>
    <definedName name="______l12" localSheetId="21">#REF!</definedName>
    <definedName name="______l12" localSheetId="5">#REF!</definedName>
    <definedName name="______l12" localSheetId="8">#REF!</definedName>
    <definedName name="______l12" localSheetId="10">#REF!</definedName>
    <definedName name="______l12" localSheetId="11">#REF!</definedName>
    <definedName name="______l12" localSheetId="29">#REF!</definedName>
    <definedName name="______l12" localSheetId="31">#REF!</definedName>
    <definedName name="______l12" localSheetId="35">#REF!</definedName>
    <definedName name="______l12" localSheetId="36">#REF!</definedName>
    <definedName name="______l12">#REF!</definedName>
    <definedName name="______l12_33">"$#REF!.$#REF!$#REF!"</definedName>
    <definedName name="______l12_38">"$#REF!.$#REF!$#REF!"</definedName>
    <definedName name="______l12_41">"$#REF!.$#REF!$#REF!"</definedName>
    <definedName name="______l12_7">"$#REF!.$#REF!$#REF!"</definedName>
    <definedName name="______l12_8">"$#REF!.$#REF!$#REF!"</definedName>
    <definedName name="______l3" localSheetId="21">#REF!</definedName>
    <definedName name="______l3" localSheetId="5">#REF!</definedName>
    <definedName name="______l3" localSheetId="8">#REF!</definedName>
    <definedName name="______l3" localSheetId="10">#REF!</definedName>
    <definedName name="______l3" localSheetId="11">#REF!</definedName>
    <definedName name="______l3" localSheetId="29">#REF!</definedName>
    <definedName name="______l3" localSheetId="31">#REF!</definedName>
    <definedName name="______l3" localSheetId="35">#REF!</definedName>
    <definedName name="______l3" localSheetId="36">#REF!</definedName>
    <definedName name="______l3">#REF!</definedName>
    <definedName name="______l3_33">"$#REF!.$#REF!$#REF!"</definedName>
    <definedName name="______l3_38">"$#REF!.$#REF!$#REF!"</definedName>
    <definedName name="______l3_41">"$#REF!.$#REF!$#REF!"</definedName>
    <definedName name="______l3_7">"$#REF!.$#REF!$#REF!"</definedName>
    <definedName name="______l3_8">"$#REF!.$#REF!$#REF!"</definedName>
    <definedName name="______l5" localSheetId="21">#REF!</definedName>
    <definedName name="______l5" localSheetId="5">#REF!</definedName>
    <definedName name="______l5" localSheetId="8">#REF!</definedName>
    <definedName name="______l5" localSheetId="10">#REF!</definedName>
    <definedName name="______l5" localSheetId="11">#REF!</definedName>
    <definedName name="______l5" localSheetId="29">#REF!</definedName>
    <definedName name="______l5" localSheetId="31">#REF!</definedName>
    <definedName name="______l5" localSheetId="35">#REF!</definedName>
    <definedName name="______l5" localSheetId="36">#REF!</definedName>
    <definedName name="______l5">#REF!</definedName>
    <definedName name="______l5_33">"$#REF!.$#REF!$#REF!"</definedName>
    <definedName name="______l5_38">"$#REF!.$#REF!$#REF!"</definedName>
    <definedName name="______l5_41">"$#REF!.$#REF!$#REF!"</definedName>
    <definedName name="______l5_7">"$#REF!.$#REF!$#REF!"</definedName>
    <definedName name="______l5_8">"$#REF!.$#REF!$#REF!"</definedName>
    <definedName name="______lcn1">#REF!</definedName>
    <definedName name="______LI9" localSheetId="8">#REF!</definedName>
    <definedName name="______LI9" localSheetId="10">#REF!</definedName>
    <definedName name="______LI9" localSheetId="29">#REF!</definedName>
    <definedName name="______LI9">#REF!</definedName>
    <definedName name="______LII9" localSheetId="8">#REF!</definedName>
    <definedName name="______LII9" localSheetId="10">#REF!</definedName>
    <definedName name="______LII9" localSheetId="29">#REF!</definedName>
    <definedName name="______LII9">#REF!</definedName>
    <definedName name="______lm1">#REF!</definedName>
    <definedName name="______ML11" localSheetId="8">#REF!</definedName>
    <definedName name="______ML11" localSheetId="10">#REF!</definedName>
    <definedName name="______ML11" localSheetId="29">#REF!</definedName>
    <definedName name="______ML11">#REF!</definedName>
    <definedName name="______ML110" localSheetId="8">#REF!</definedName>
    <definedName name="______ML110" localSheetId="10">#REF!</definedName>
    <definedName name="______ML110" localSheetId="29">#REF!</definedName>
    <definedName name="______ML110">#REF!</definedName>
    <definedName name="______ML111" localSheetId="8">#REF!</definedName>
    <definedName name="______ML111" localSheetId="10">#REF!</definedName>
    <definedName name="______ML111" localSheetId="29">#REF!</definedName>
    <definedName name="______ML111">#REF!</definedName>
    <definedName name="______ML112" localSheetId="8">#REF!</definedName>
    <definedName name="______ML112" localSheetId="10">#REF!</definedName>
    <definedName name="______ML112" localSheetId="29">#REF!</definedName>
    <definedName name="______ML112">#REF!</definedName>
    <definedName name="______ML113" localSheetId="8">#REF!</definedName>
    <definedName name="______ML113" localSheetId="10">#REF!</definedName>
    <definedName name="______ML113" localSheetId="29">#REF!</definedName>
    <definedName name="______ML113">#REF!</definedName>
    <definedName name="______ML114" localSheetId="8">#REF!</definedName>
    <definedName name="______ML114" localSheetId="10">#REF!</definedName>
    <definedName name="______ML114" localSheetId="29">#REF!</definedName>
    <definedName name="______ML114">#REF!</definedName>
    <definedName name="______ML115" localSheetId="8">#REF!</definedName>
    <definedName name="______ML115" localSheetId="10">#REF!</definedName>
    <definedName name="______ML115" localSheetId="29">#REF!</definedName>
    <definedName name="______ML115">#REF!</definedName>
    <definedName name="______ML12" localSheetId="8">#REF!</definedName>
    <definedName name="______ML12" localSheetId="10">#REF!</definedName>
    <definedName name="______ML12" localSheetId="29">#REF!</definedName>
    <definedName name="______ML12">#REF!</definedName>
    <definedName name="______ML13" localSheetId="8">#REF!</definedName>
    <definedName name="______ML13" localSheetId="10">#REF!</definedName>
    <definedName name="______ML13" localSheetId="29">#REF!</definedName>
    <definedName name="______ML13">#REF!</definedName>
    <definedName name="______ML14" localSheetId="8">#REF!</definedName>
    <definedName name="______ML14" localSheetId="10">#REF!</definedName>
    <definedName name="______ML14" localSheetId="29">#REF!</definedName>
    <definedName name="______ML14">#REF!</definedName>
    <definedName name="______ML15" localSheetId="8">#REF!</definedName>
    <definedName name="______ML15" localSheetId="10">#REF!</definedName>
    <definedName name="______ML15" localSheetId="29">#REF!</definedName>
    <definedName name="______ML15">#REF!</definedName>
    <definedName name="______ML16" localSheetId="8">#REF!</definedName>
    <definedName name="______ML16" localSheetId="10">#REF!</definedName>
    <definedName name="______ML16" localSheetId="29">#REF!</definedName>
    <definedName name="______ML16">#REF!</definedName>
    <definedName name="______ML17" localSheetId="8">#REF!</definedName>
    <definedName name="______ML17" localSheetId="10">#REF!</definedName>
    <definedName name="______ML17" localSheetId="29">#REF!</definedName>
    <definedName name="______ML17">#REF!</definedName>
    <definedName name="______ML18" localSheetId="8">#REF!</definedName>
    <definedName name="______ML18" localSheetId="10">#REF!</definedName>
    <definedName name="______ML18" localSheetId="29">#REF!</definedName>
    <definedName name="______ML18">#REF!</definedName>
    <definedName name="______ML19" localSheetId="8">#REF!</definedName>
    <definedName name="______ML19" localSheetId="10">#REF!</definedName>
    <definedName name="______ML19" localSheetId="29">#REF!</definedName>
    <definedName name="______ML19">#REF!</definedName>
    <definedName name="______ML21" localSheetId="8">#REF!</definedName>
    <definedName name="______ML21" localSheetId="10">#REF!</definedName>
    <definedName name="______ML21" localSheetId="29">#REF!</definedName>
    <definedName name="______ML21">#REF!</definedName>
    <definedName name="______ML210" localSheetId="8">#REF!</definedName>
    <definedName name="______ML210" localSheetId="10">#REF!</definedName>
    <definedName name="______ML210" localSheetId="29">#REF!</definedName>
    <definedName name="______ML210">#REF!</definedName>
    <definedName name="______ML211" localSheetId="8">#REF!</definedName>
    <definedName name="______ML211" localSheetId="10">#REF!</definedName>
    <definedName name="______ML211" localSheetId="29">#REF!</definedName>
    <definedName name="______ML211">#REF!</definedName>
    <definedName name="______ML212" localSheetId="8">#REF!</definedName>
    <definedName name="______ML212" localSheetId="10">#REF!</definedName>
    <definedName name="______ML212" localSheetId="29">#REF!</definedName>
    <definedName name="______ML212">#REF!</definedName>
    <definedName name="______ML213" localSheetId="8">#REF!</definedName>
    <definedName name="______ML213" localSheetId="10">#REF!</definedName>
    <definedName name="______ML213" localSheetId="29">#REF!</definedName>
    <definedName name="______ML213">#REF!</definedName>
    <definedName name="______ML214" localSheetId="8">#REF!</definedName>
    <definedName name="______ML214" localSheetId="10">#REF!</definedName>
    <definedName name="______ML214" localSheetId="29">#REF!</definedName>
    <definedName name="______ML214">#REF!</definedName>
    <definedName name="______ML215" localSheetId="8">#REF!</definedName>
    <definedName name="______ML215" localSheetId="10">#REF!</definedName>
    <definedName name="______ML215" localSheetId="29">#REF!</definedName>
    <definedName name="______ML215">#REF!</definedName>
    <definedName name="______ML22" localSheetId="8">#REF!</definedName>
    <definedName name="______ML22" localSheetId="10">#REF!</definedName>
    <definedName name="______ML22" localSheetId="29">#REF!</definedName>
    <definedName name="______ML22">#REF!</definedName>
    <definedName name="______ML23" localSheetId="8">#REF!</definedName>
    <definedName name="______ML23" localSheetId="10">#REF!</definedName>
    <definedName name="______ML23" localSheetId="29">#REF!</definedName>
    <definedName name="______ML23">#REF!</definedName>
    <definedName name="______ML24" localSheetId="8">#REF!</definedName>
    <definedName name="______ML24" localSheetId="10">#REF!</definedName>
    <definedName name="______ML24" localSheetId="29">#REF!</definedName>
    <definedName name="______ML24">#REF!</definedName>
    <definedName name="______ML25" localSheetId="8">#REF!</definedName>
    <definedName name="______ML25" localSheetId="10">#REF!</definedName>
    <definedName name="______ML25" localSheetId="29">#REF!</definedName>
    <definedName name="______ML25">#REF!</definedName>
    <definedName name="______ML26" localSheetId="8">#REF!</definedName>
    <definedName name="______ML26" localSheetId="10">#REF!</definedName>
    <definedName name="______ML26" localSheetId="29">#REF!</definedName>
    <definedName name="______ML26">#REF!</definedName>
    <definedName name="______ML27" localSheetId="8">#REF!</definedName>
    <definedName name="______ML27" localSheetId="10">#REF!</definedName>
    <definedName name="______ML27" localSheetId="29">#REF!</definedName>
    <definedName name="______ML27">#REF!</definedName>
    <definedName name="______ML28" localSheetId="8">#REF!</definedName>
    <definedName name="______ML28" localSheetId="10">#REF!</definedName>
    <definedName name="______ML28" localSheetId="29">#REF!</definedName>
    <definedName name="______ML28">#REF!</definedName>
    <definedName name="______ML29" localSheetId="8">#REF!</definedName>
    <definedName name="______ML29" localSheetId="10">#REF!</definedName>
    <definedName name="______ML29" localSheetId="29">#REF!</definedName>
    <definedName name="______ML29">#REF!</definedName>
    <definedName name="______ML31" localSheetId="8">#REF!</definedName>
    <definedName name="______ML31" localSheetId="10">#REF!</definedName>
    <definedName name="______ML31" localSheetId="29">#REF!</definedName>
    <definedName name="______ML31">#REF!</definedName>
    <definedName name="______ML310" localSheetId="8">#REF!</definedName>
    <definedName name="______ML310" localSheetId="10">#REF!</definedName>
    <definedName name="______ML310" localSheetId="29">#REF!</definedName>
    <definedName name="______ML310">#REF!</definedName>
    <definedName name="______ML311" localSheetId="8">#REF!</definedName>
    <definedName name="______ML311" localSheetId="10">#REF!</definedName>
    <definedName name="______ML311" localSheetId="29">#REF!</definedName>
    <definedName name="______ML311">#REF!</definedName>
    <definedName name="______ML312" localSheetId="8">#REF!</definedName>
    <definedName name="______ML312" localSheetId="10">#REF!</definedName>
    <definedName name="______ML312" localSheetId="29">#REF!</definedName>
    <definedName name="______ML312">#REF!</definedName>
    <definedName name="______ML313" localSheetId="8">#REF!</definedName>
    <definedName name="______ML313" localSheetId="10">#REF!</definedName>
    <definedName name="______ML313" localSheetId="29">#REF!</definedName>
    <definedName name="______ML313">#REF!</definedName>
    <definedName name="______ML314" localSheetId="8">#REF!</definedName>
    <definedName name="______ML314" localSheetId="10">#REF!</definedName>
    <definedName name="______ML314" localSheetId="29">#REF!</definedName>
    <definedName name="______ML314">#REF!</definedName>
    <definedName name="______ML315" localSheetId="8">#REF!</definedName>
    <definedName name="______ML315" localSheetId="10">#REF!</definedName>
    <definedName name="______ML315" localSheetId="29">#REF!</definedName>
    <definedName name="______ML315">#REF!</definedName>
    <definedName name="______ML32" localSheetId="8">#REF!</definedName>
    <definedName name="______ML32" localSheetId="10">#REF!</definedName>
    <definedName name="______ML32" localSheetId="29">#REF!</definedName>
    <definedName name="______ML32">#REF!</definedName>
    <definedName name="______ML33" localSheetId="8">#REF!</definedName>
    <definedName name="______ML33" localSheetId="10">#REF!</definedName>
    <definedName name="______ML33" localSheetId="29">#REF!</definedName>
    <definedName name="______ML33">#REF!</definedName>
    <definedName name="______ML34" localSheetId="8">#REF!</definedName>
    <definedName name="______ML34" localSheetId="10">#REF!</definedName>
    <definedName name="______ML34" localSheetId="29">#REF!</definedName>
    <definedName name="______ML34">#REF!</definedName>
    <definedName name="______ML35" localSheetId="8">#REF!</definedName>
    <definedName name="______ML35" localSheetId="10">#REF!</definedName>
    <definedName name="______ML35" localSheetId="29">#REF!</definedName>
    <definedName name="______ML35">#REF!</definedName>
    <definedName name="______ML36" localSheetId="8">#REF!</definedName>
    <definedName name="______ML36" localSheetId="10">#REF!</definedName>
    <definedName name="______ML36" localSheetId="29">#REF!</definedName>
    <definedName name="______ML36">#REF!</definedName>
    <definedName name="______ML37" localSheetId="8">#REF!</definedName>
    <definedName name="______ML37" localSheetId="10">#REF!</definedName>
    <definedName name="______ML37" localSheetId="29">#REF!</definedName>
    <definedName name="______ML37">#REF!</definedName>
    <definedName name="______ML38" localSheetId="8">#REF!</definedName>
    <definedName name="______ML38" localSheetId="10">#REF!</definedName>
    <definedName name="______ML38" localSheetId="29">#REF!</definedName>
    <definedName name="______ML38">#REF!</definedName>
    <definedName name="______ML39" localSheetId="8">#REF!</definedName>
    <definedName name="______ML39" localSheetId="10">#REF!</definedName>
    <definedName name="______ML39" localSheetId="29">#REF!</definedName>
    <definedName name="______ML39">#REF!</definedName>
    <definedName name="______ML7" localSheetId="8">#REF!</definedName>
    <definedName name="______ML7" localSheetId="10">#REF!</definedName>
    <definedName name="______ML7" localSheetId="29">#REF!</definedName>
    <definedName name="______ML7">#REF!</definedName>
    <definedName name="______ML8" localSheetId="8">#REF!</definedName>
    <definedName name="______ML8" localSheetId="10">#REF!</definedName>
    <definedName name="______ML8" localSheetId="29">#REF!</definedName>
    <definedName name="______ML8">#REF!</definedName>
    <definedName name="______ML9" localSheetId="8">#REF!</definedName>
    <definedName name="______ML9" localSheetId="10">#REF!</definedName>
    <definedName name="______ML9" localSheetId="29">#REF!</definedName>
    <definedName name="______ML9">#REF!</definedName>
    <definedName name="______mm20" localSheetId="8">#REF!</definedName>
    <definedName name="______mm20" localSheetId="10">#REF!</definedName>
    <definedName name="______mm20" localSheetId="29">#REF!</definedName>
    <definedName name="______mm20">#REF!</definedName>
    <definedName name="______mm40" localSheetId="8">#REF!</definedName>
    <definedName name="______mm40" localSheetId="10">#REF!</definedName>
    <definedName name="______mm40" localSheetId="29">#REF!</definedName>
    <definedName name="______mm40">#REF!</definedName>
    <definedName name="______pc2" localSheetId="21">#REF!</definedName>
    <definedName name="______pc2" localSheetId="5">#REF!</definedName>
    <definedName name="______pc2" localSheetId="8">#REF!</definedName>
    <definedName name="______pc2" localSheetId="10">#REF!</definedName>
    <definedName name="______pc2" localSheetId="11">#REF!</definedName>
    <definedName name="______pc2" localSheetId="29">#REF!</definedName>
    <definedName name="______pc2" localSheetId="31">#REF!</definedName>
    <definedName name="______pc2" localSheetId="35">#REF!</definedName>
    <definedName name="______pc2" localSheetId="36">#REF!</definedName>
    <definedName name="______pc2">#REF!</definedName>
    <definedName name="______pc2_33">"$#REF!.$#REF!$#REF!"</definedName>
    <definedName name="______pc2_38">"$#REF!.$#REF!$#REF!"</definedName>
    <definedName name="______pc2_41">"$#REF!.$#REF!$#REF!"</definedName>
    <definedName name="______pc2_7">"$#REF!.$#REF!$#REF!"</definedName>
    <definedName name="______pc2_8">"$#REF!.$#REF!$#REF!"</definedName>
    <definedName name="______PMS2" localSheetId="8">#REF!</definedName>
    <definedName name="______PMS2" localSheetId="10">#REF!</definedName>
    <definedName name="______PMS2" localSheetId="29">#REF!</definedName>
    <definedName name="______PMS2">#REF!</definedName>
    <definedName name="______pv2" localSheetId="21">#REF!</definedName>
    <definedName name="______pv2" localSheetId="5">#REF!</definedName>
    <definedName name="______pv2" localSheetId="8">#REF!</definedName>
    <definedName name="______pv2" localSheetId="10">#REF!</definedName>
    <definedName name="______pv2" localSheetId="11">#REF!</definedName>
    <definedName name="______pv2" localSheetId="29">#REF!</definedName>
    <definedName name="______pv2" localSheetId="31">#REF!</definedName>
    <definedName name="______pv2" localSheetId="35">#REF!</definedName>
    <definedName name="______pv2" localSheetId="36">#REF!</definedName>
    <definedName name="______pv2">#REF!</definedName>
    <definedName name="______pv2_33">"$#REF!.$#REF!$#REF!"</definedName>
    <definedName name="______pv2_38">"$#REF!.$#REF!$#REF!"</definedName>
    <definedName name="______pv2_41">"$#REF!.$#REF!$#REF!"</definedName>
    <definedName name="______pv2_7">"$#REF!.$#REF!$#REF!"</definedName>
    <definedName name="______pv2_8">"$#REF!.$#REF!$#REF!"</definedName>
    <definedName name="______SO016" localSheetId="8">#REF!</definedName>
    <definedName name="______SO016" localSheetId="10">#REF!</definedName>
    <definedName name="______SO016" localSheetId="11">#REF!</definedName>
    <definedName name="______SO016" localSheetId="29">#REF!</definedName>
    <definedName name="______SO016">#REF!</definedName>
    <definedName name="______SP001" localSheetId="8">#REF!</definedName>
    <definedName name="______SP001" localSheetId="10">#REF!</definedName>
    <definedName name="______SP001" localSheetId="11">#REF!</definedName>
    <definedName name="______SP001" localSheetId="29">#REF!</definedName>
    <definedName name="______SP001">#REF!</definedName>
    <definedName name="______SP002" localSheetId="8">#REF!</definedName>
    <definedName name="______SP002" localSheetId="10">#REF!</definedName>
    <definedName name="______SP002" localSheetId="11">#REF!</definedName>
    <definedName name="______SP002" localSheetId="29">#REF!</definedName>
    <definedName name="______SP002">#REF!</definedName>
    <definedName name="______SP003" localSheetId="8">#REF!</definedName>
    <definedName name="______SP003" localSheetId="10">#REF!</definedName>
    <definedName name="______SP003" localSheetId="11">#REF!</definedName>
    <definedName name="______SP003" localSheetId="29">#REF!</definedName>
    <definedName name="______SP003">#REF!</definedName>
    <definedName name="______SP004" localSheetId="8">#REF!</definedName>
    <definedName name="______SP004" localSheetId="10">#REF!</definedName>
    <definedName name="______SP004" localSheetId="11">#REF!</definedName>
    <definedName name="______SP004" localSheetId="29">#REF!</definedName>
    <definedName name="______SP004">#REF!</definedName>
    <definedName name="______SP005" localSheetId="8">#REF!</definedName>
    <definedName name="______SP005" localSheetId="10">#REF!</definedName>
    <definedName name="______SP005" localSheetId="11">#REF!</definedName>
    <definedName name="______SP005" localSheetId="29">#REF!</definedName>
    <definedName name="______SP005">#REF!</definedName>
    <definedName name="______SP006" localSheetId="8">#REF!</definedName>
    <definedName name="______SP006" localSheetId="10">#REF!</definedName>
    <definedName name="______SP006" localSheetId="11">#REF!</definedName>
    <definedName name="______SP006" localSheetId="29">#REF!</definedName>
    <definedName name="______SP006">#REF!</definedName>
    <definedName name="______SP007" localSheetId="8">#REF!</definedName>
    <definedName name="______SP007" localSheetId="10">#REF!</definedName>
    <definedName name="______SP007" localSheetId="11">#REF!</definedName>
    <definedName name="______SP007" localSheetId="29">#REF!</definedName>
    <definedName name="______SP007">#REF!</definedName>
    <definedName name="______SP008" localSheetId="8">#REF!</definedName>
    <definedName name="______SP008" localSheetId="10">#REF!</definedName>
    <definedName name="______SP008" localSheetId="11">#REF!</definedName>
    <definedName name="______SP008" localSheetId="29">#REF!</definedName>
    <definedName name="______SP008">#REF!</definedName>
    <definedName name="______SP009" localSheetId="8">#REF!</definedName>
    <definedName name="______SP009" localSheetId="10">#REF!</definedName>
    <definedName name="______SP009" localSheetId="11">#REF!</definedName>
    <definedName name="______SP009" localSheetId="29">#REF!</definedName>
    <definedName name="______SP009">#REF!</definedName>
    <definedName name="______SP010" localSheetId="8">#REF!</definedName>
    <definedName name="______SP010" localSheetId="10">#REF!</definedName>
    <definedName name="______SP010" localSheetId="11">#REF!</definedName>
    <definedName name="______SP010" localSheetId="29">#REF!</definedName>
    <definedName name="______SP010">#REF!</definedName>
    <definedName name="______SP011" localSheetId="8">#REF!</definedName>
    <definedName name="______SP011" localSheetId="10">#REF!</definedName>
    <definedName name="______SP011" localSheetId="11">#REF!</definedName>
    <definedName name="______SP011" localSheetId="29">#REF!</definedName>
    <definedName name="______SP011">#REF!</definedName>
    <definedName name="______SP012" localSheetId="8">#REF!</definedName>
    <definedName name="______SP012" localSheetId="10">#REF!</definedName>
    <definedName name="______SP012" localSheetId="11">#REF!</definedName>
    <definedName name="______SP012" localSheetId="29">#REF!</definedName>
    <definedName name="______SP012">#REF!</definedName>
    <definedName name="______SP013" localSheetId="8">#REF!</definedName>
    <definedName name="______SP013" localSheetId="10">#REF!</definedName>
    <definedName name="______SP013" localSheetId="11">#REF!</definedName>
    <definedName name="______SP013" localSheetId="29">#REF!</definedName>
    <definedName name="______SP013">#REF!</definedName>
    <definedName name="______SP014" localSheetId="8">#REF!</definedName>
    <definedName name="______SP014" localSheetId="10">#REF!</definedName>
    <definedName name="______SP014" localSheetId="11">#REF!</definedName>
    <definedName name="______SP014" localSheetId="29">#REF!</definedName>
    <definedName name="______SP014">#REF!</definedName>
    <definedName name="______SP015" localSheetId="8">#REF!</definedName>
    <definedName name="______SP015" localSheetId="10">#REF!</definedName>
    <definedName name="______SP015" localSheetId="11">#REF!</definedName>
    <definedName name="______SP015" localSheetId="29">#REF!</definedName>
    <definedName name="______SP015">#REF!</definedName>
    <definedName name="______SP016" localSheetId="8">#REF!</definedName>
    <definedName name="______SP016" localSheetId="10">#REF!</definedName>
    <definedName name="______SP016" localSheetId="11">#REF!</definedName>
    <definedName name="______SP016" localSheetId="29">#REF!</definedName>
    <definedName name="______SP016">#REF!</definedName>
    <definedName name="______SP017" localSheetId="8">#REF!</definedName>
    <definedName name="______SP017" localSheetId="10">#REF!</definedName>
    <definedName name="______SP017" localSheetId="11">#REF!</definedName>
    <definedName name="______SP017" localSheetId="29">#REF!</definedName>
    <definedName name="______SP017">#REF!</definedName>
    <definedName name="______SP018" localSheetId="8">#REF!</definedName>
    <definedName name="______SP018" localSheetId="10">#REF!</definedName>
    <definedName name="______SP018" localSheetId="11">#REF!</definedName>
    <definedName name="______SP018" localSheetId="29">#REF!</definedName>
    <definedName name="______SP018">#REF!</definedName>
    <definedName name="______SP019" localSheetId="8">#REF!</definedName>
    <definedName name="______SP019" localSheetId="10">#REF!</definedName>
    <definedName name="______SP019" localSheetId="11">#REF!</definedName>
    <definedName name="______SP019" localSheetId="29">#REF!</definedName>
    <definedName name="______SP019">#REF!</definedName>
    <definedName name="______SP020" localSheetId="8">#REF!</definedName>
    <definedName name="______SP020" localSheetId="10">#REF!</definedName>
    <definedName name="______SP020" localSheetId="11">#REF!</definedName>
    <definedName name="______SP020" localSheetId="29">#REF!</definedName>
    <definedName name="______SP020">#REF!</definedName>
    <definedName name="______SP021" localSheetId="8">#REF!</definedName>
    <definedName name="______SP021" localSheetId="10">#REF!</definedName>
    <definedName name="______SP021" localSheetId="11">#REF!</definedName>
    <definedName name="______SP021" localSheetId="29">#REF!</definedName>
    <definedName name="______SP021">#REF!</definedName>
    <definedName name="______SP022" localSheetId="8">#REF!</definedName>
    <definedName name="______SP022" localSheetId="10">#REF!</definedName>
    <definedName name="______SP022" localSheetId="11">#REF!</definedName>
    <definedName name="______SP022" localSheetId="29">#REF!</definedName>
    <definedName name="______SP022">#REF!</definedName>
    <definedName name="______SP023" localSheetId="8">#REF!</definedName>
    <definedName name="______SP023" localSheetId="10">#REF!</definedName>
    <definedName name="______SP023" localSheetId="11">#REF!</definedName>
    <definedName name="______SP023" localSheetId="29">#REF!</definedName>
    <definedName name="______SP023">#REF!</definedName>
    <definedName name="______SP024" localSheetId="8">#REF!</definedName>
    <definedName name="______SP024" localSheetId="10">#REF!</definedName>
    <definedName name="______SP024" localSheetId="11">#REF!</definedName>
    <definedName name="______SP024" localSheetId="29">#REF!</definedName>
    <definedName name="______SP024">#REF!</definedName>
    <definedName name="______SP025" localSheetId="8">#REF!</definedName>
    <definedName name="______SP025" localSheetId="10">#REF!</definedName>
    <definedName name="______SP025" localSheetId="11">#REF!</definedName>
    <definedName name="______SP025" localSheetId="29">#REF!</definedName>
    <definedName name="______SP025">#REF!</definedName>
    <definedName name="______SP026" localSheetId="8">#REF!</definedName>
    <definedName name="______SP026" localSheetId="10">#REF!</definedName>
    <definedName name="______SP026" localSheetId="11">#REF!</definedName>
    <definedName name="______SP026" localSheetId="29">#REF!</definedName>
    <definedName name="______SP026">#REF!</definedName>
    <definedName name="______SP027" localSheetId="8">#REF!</definedName>
    <definedName name="______SP027" localSheetId="10">#REF!</definedName>
    <definedName name="______SP027" localSheetId="11">#REF!</definedName>
    <definedName name="______SP027" localSheetId="29">#REF!</definedName>
    <definedName name="______SP027">#REF!</definedName>
    <definedName name="______SP028" localSheetId="8">#REF!</definedName>
    <definedName name="______SP028" localSheetId="10">#REF!</definedName>
    <definedName name="______SP028" localSheetId="11">#REF!</definedName>
    <definedName name="______SP028" localSheetId="29">#REF!</definedName>
    <definedName name="______SP028">#REF!</definedName>
    <definedName name="______SP029" localSheetId="8">#REF!</definedName>
    <definedName name="______SP029" localSheetId="10">#REF!</definedName>
    <definedName name="______SP029" localSheetId="11">#REF!</definedName>
    <definedName name="______SP029" localSheetId="29">#REF!</definedName>
    <definedName name="______SP029">#REF!</definedName>
    <definedName name="______SP030" localSheetId="8">#REF!</definedName>
    <definedName name="______SP030" localSheetId="10">#REF!</definedName>
    <definedName name="______SP030" localSheetId="11">#REF!</definedName>
    <definedName name="______SP030" localSheetId="29">#REF!</definedName>
    <definedName name="______SP030">#REF!</definedName>
    <definedName name="______SP031" localSheetId="8">#REF!</definedName>
    <definedName name="______SP031" localSheetId="10">#REF!</definedName>
    <definedName name="______SP031" localSheetId="11">#REF!</definedName>
    <definedName name="______SP031" localSheetId="29">#REF!</definedName>
    <definedName name="______SP031">#REF!</definedName>
    <definedName name="______SP032" localSheetId="8">#REF!</definedName>
    <definedName name="______SP032" localSheetId="10">#REF!</definedName>
    <definedName name="______SP032" localSheetId="11">#REF!</definedName>
    <definedName name="______SP032" localSheetId="29">#REF!</definedName>
    <definedName name="______SP032">#REF!</definedName>
    <definedName name="______SP033" localSheetId="8">#REF!</definedName>
    <definedName name="______SP033" localSheetId="10">#REF!</definedName>
    <definedName name="______SP033" localSheetId="11">#REF!</definedName>
    <definedName name="______SP033" localSheetId="29">#REF!</definedName>
    <definedName name="______SP033">#REF!</definedName>
    <definedName name="______SP034" localSheetId="8">#REF!</definedName>
    <definedName name="______SP034" localSheetId="10">#REF!</definedName>
    <definedName name="______SP034" localSheetId="11">#REF!</definedName>
    <definedName name="______SP034" localSheetId="29">#REF!</definedName>
    <definedName name="______SP034">#REF!</definedName>
    <definedName name="______SP035" localSheetId="8">#REF!</definedName>
    <definedName name="______SP035" localSheetId="10">#REF!</definedName>
    <definedName name="______SP035" localSheetId="11">#REF!</definedName>
    <definedName name="______SP035" localSheetId="29">#REF!</definedName>
    <definedName name="______SP035">#REF!</definedName>
    <definedName name="______SP036" localSheetId="8">#REF!</definedName>
    <definedName name="______SP036" localSheetId="10">#REF!</definedName>
    <definedName name="______SP036" localSheetId="11">#REF!</definedName>
    <definedName name="______SP036" localSheetId="29">#REF!</definedName>
    <definedName name="______SP036">#REF!</definedName>
    <definedName name="______SP037" localSheetId="8">#REF!</definedName>
    <definedName name="______SP037" localSheetId="10">#REF!</definedName>
    <definedName name="______SP037" localSheetId="11">#REF!</definedName>
    <definedName name="______SP037" localSheetId="29">#REF!</definedName>
    <definedName name="______SP037">#REF!</definedName>
    <definedName name="______SP038" localSheetId="8">#REF!</definedName>
    <definedName name="______SP038" localSheetId="10">#REF!</definedName>
    <definedName name="______SP038" localSheetId="11">#REF!</definedName>
    <definedName name="______SP038" localSheetId="29">#REF!</definedName>
    <definedName name="______SP038">#REF!</definedName>
    <definedName name="______SP039" localSheetId="8">#REF!</definedName>
    <definedName name="______SP039" localSheetId="10">#REF!</definedName>
    <definedName name="______SP039" localSheetId="11">#REF!</definedName>
    <definedName name="______SP039" localSheetId="29">#REF!</definedName>
    <definedName name="______SP039">#REF!</definedName>
    <definedName name="______SP040" localSheetId="8">#REF!</definedName>
    <definedName name="______SP040" localSheetId="10">#REF!</definedName>
    <definedName name="______SP040" localSheetId="11">#REF!</definedName>
    <definedName name="______SP040" localSheetId="29">#REF!</definedName>
    <definedName name="______SP040">#REF!</definedName>
    <definedName name="______SP041" localSheetId="8">#REF!</definedName>
    <definedName name="______SP041" localSheetId="10">#REF!</definedName>
    <definedName name="______SP041" localSheetId="11">#REF!</definedName>
    <definedName name="______SP041" localSheetId="29">#REF!</definedName>
    <definedName name="______SP041">#REF!</definedName>
    <definedName name="______SP042" localSheetId="8">#REF!</definedName>
    <definedName name="______SP042" localSheetId="10">#REF!</definedName>
    <definedName name="______SP042" localSheetId="11">#REF!</definedName>
    <definedName name="______SP042" localSheetId="29">#REF!</definedName>
    <definedName name="______SP042">#REF!</definedName>
    <definedName name="______SP043" localSheetId="8">#REF!</definedName>
    <definedName name="______SP043" localSheetId="10">#REF!</definedName>
    <definedName name="______SP043" localSheetId="11">#REF!</definedName>
    <definedName name="______SP043" localSheetId="29">#REF!</definedName>
    <definedName name="______SP043">#REF!</definedName>
    <definedName name="______SP044" localSheetId="8">#REF!</definedName>
    <definedName name="______SP044" localSheetId="10">#REF!</definedName>
    <definedName name="______SP044" localSheetId="11">#REF!</definedName>
    <definedName name="______SP044" localSheetId="29">#REF!</definedName>
    <definedName name="______SP044">#REF!</definedName>
    <definedName name="______SP045" localSheetId="8">#REF!</definedName>
    <definedName name="______SP045" localSheetId="10">#REF!</definedName>
    <definedName name="______SP045" localSheetId="11">#REF!</definedName>
    <definedName name="______SP045" localSheetId="29">#REF!</definedName>
    <definedName name="______SP045">#REF!</definedName>
    <definedName name="______SP046" localSheetId="8">#REF!</definedName>
    <definedName name="______SP046" localSheetId="10">#REF!</definedName>
    <definedName name="______SP046" localSheetId="11">#REF!</definedName>
    <definedName name="______SP046" localSheetId="29">#REF!</definedName>
    <definedName name="______SP046">#REF!</definedName>
    <definedName name="______SP047" localSheetId="8">#REF!</definedName>
    <definedName name="______SP047" localSheetId="10">#REF!</definedName>
    <definedName name="______SP047" localSheetId="11">#REF!</definedName>
    <definedName name="______SP047" localSheetId="29">#REF!</definedName>
    <definedName name="______SP047">#REF!</definedName>
    <definedName name="______SP048" localSheetId="8">#REF!</definedName>
    <definedName name="______SP048" localSheetId="10">#REF!</definedName>
    <definedName name="______SP048" localSheetId="11">#REF!</definedName>
    <definedName name="______SP048" localSheetId="29">#REF!</definedName>
    <definedName name="______SP048">#REF!</definedName>
    <definedName name="______SP049" localSheetId="8">#REF!</definedName>
    <definedName name="______SP049" localSheetId="10">#REF!</definedName>
    <definedName name="______SP049" localSheetId="11">#REF!</definedName>
    <definedName name="______SP049" localSheetId="29">#REF!</definedName>
    <definedName name="______SP049">#REF!</definedName>
    <definedName name="______SP050" localSheetId="8">#REF!</definedName>
    <definedName name="______SP050" localSheetId="10">#REF!</definedName>
    <definedName name="______SP050" localSheetId="11">#REF!</definedName>
    <definedName name="______SP050" localSheetId="29">#REF!</definedName>
    <definedName name="______SP050">#REF!</definedName>
    <definedName name="______SP051" localSheetId="8">#REF!</definedName>
    <definedName name="______SP051" localSheetId="10">#REF!</definedName>
    <definedName name="______SP051" localSheetId="11">#REF!</definedName>
    <definedName name="______SP051" localSheetId="29">#REF!</definedName>
    <definedName name="______SP051">#REF!</definedName>
    <definedName name="______SP052" localSheetId="8">#REF!</definedName>
    <definedName name="______SP052" localSheetId="10">#REF!</definedName>
    <definedName name="______SP052" localSheetId="11">#REF!</definedName>
    <definedName name="______SP052" localSheetId="29">#REF!</definedName>
    <definedName name="______SP052">#REF!</definedName>
    <definedName name="______SP053" localSheetId="8">#REF!</definedName>
    <definedName name="______SP053" localSheetId="10">#REF!</definedName>
    <definedName name="______SP053" localSheetId="11">#REF!</definedName>
    <definedName name="______SP053" localSheetId="29">#REF!</definedName>
    <definedName name="______SP053">#REF!</definedName>
    <definedName name="______SP054" localSheetId="8">#REF!</definedName>
    <definedName name="______SP054" localSheetId="10">#REF!</definedName>
    <definedName name="______SP054" localSheetId="11">#REF!</definedName>
    <definedName name="______SP054" localSheetId="29">#REF!</definedName>
    <definedName name="______SP054">#REF!</definedName>
    <definedName name="______SP055" localSheetId="8">#REF!</definedName>
    <definedName name="______SP055" localSheetId="10">#REF!</definedName>
    <definedName name="______SP055" localSheetId="11">#REF!</definedName>
    <definedName name="______SP055" localSheetId="29">#REF!</definedName>
    <definedName name="______SP055">#REF!</definedName>
    <definedName name="______SP056" localSheetId="8">#REF!</definedName>
    <definedName name="______SP056" localSheetId="10">#REF!</definedName>
    <definedName name="______SP056" localSheetId="11">#REF!</definedName>
    <definedName name="______SP056" localSheetId="29">#REF!</definedName>
    <definedName name="______SP056">#REF!</definedName>
    <definedName name="______SP057" localSheetId="8">#REF!</definedName>
    <definedName name="______SP057" localSheetId="10">#REF!</definedName>
    <definedName name="______SP057" localSheetId="11">#REF!</definedName>
    <definedName name="______SP057" localSheetId="29">#REF!</definedName>
    <definedName name="______SP057">#REF!</definedName>
    <definedName name="______SP058" localSheetId="8">#REF!</definedName>
    <definedName name="______SP058" localSheetId="10">#REF!</definedName>
    <definedName name="______SP058" localSheetId="11">#REF!</definedName>
    <definedName name="______SP058" localSheetId="29">#REF!</definedName>
    <definedName name="______SP058">#REF!</definedName>
    <definedName name="______SP059" localSheetId="8">#REF!</definedName>
    <definedName name="______SP059" localSheetId="10">#REF!</definedName>
    <definedName name="______SP059" localSheetId="11">#REF!</definedName>
    <definedName name="______SP059" localSheetId="29">#REF!</definedName>
    <definedName name="______SP059">#REF!</definedName>
    <definedName name="______SP060" localSheetId="8">#REF!</definedName>
    <definedName name="______SP060" localSheetId="10">#REF!</definedName>
    <definedName name="______SP060" localSheetId="11">#REF!</definedName>
    <definedName name="______SP060" localSheetId="29">#REF!</definedName>
    <definedName name="______SP060">#REF!</definedName>
    <definedName name="______SP061" localSheetId="8">#REF!</definedName>
    <definedName name="______SP061" localSheetId="10">#REF!</definedName>
    <definedName name="______SP061" localSheetId="11">#REF!</definedName>
    <definedName name="______SP061" localSheetId="29">#REF!</definedName>
    <definedName name="______SP061">#REF!</definedName>
    <definedName name="______SP062" localSheetId="8">#REF!</definedName>
    <definedName name="______SP062" localSheetId="10">#REF!</definedName>
    <definedName name="______SP062" localSheetId="11">#REF!</definedName>
    <definedName name="______SP062" localSheetId="29">#REF!</definedName>
    <definedName name="______SP062">#REF!</definedName>
    <definedName name="______SP063" localSheetId="8">#REF!</definedName>
    <definedName name="______SP063" localSheetId="10">#REF!</definedName>
    <definedName name="______SP063" localSheetId="11">#REF!</definedName>
    <definedName name="______SP063" localSheetId="29">#REF!</definedName>
    <definedName name="______SP063">#REF!</definedName>
    <definedName name="______SP064" localSheetId="8">#REF!</definedName>
    <definedName name="______SP064" localSheetId="10">#REF!</definedName>
    <definedName name="______SP064" localSheetId="11">#REF!</definedName>
    <definedName name="______SP064" localSheetId="29">#REF!</definedName>
    <definedName name="______SP064">#REF!</definedName>
    <definedName name="______SP065" localSheetId="8">#REF!</definedName>
    <definedName name="______SP065" localSheetId="10">#REF!</definedName>
    <definedName name="______SP065" localSheetId="11">#REF!</definedName>
    <definedName name="______SP065" localSheetId="29">#REF!</definedName>
    <definedName name="______SP065">#REF!</definedName>
    <definedName name="______SP066" localSheetId="8">#REF!</definedName>
    <definedName name="______SP066" localSheetId="10">#REF!</definedName>
    <definedName name="______SP066" localSheetId="11">#REF!</definedName>
    <definedName name="______SP066" localSheetId="29">#REF!</definedName>
    <definedName name="______SP066">#REF!</definedName>
    <definedName name="______SP067" localSheetId="8">#REF!</definedName>
    <definedName name="______SP067" localSheetId="10">#REF!</definedName>
    <definedName name="______SP067" localSheetId="11">#REF!</definedName>
    <definedName name="______SP067" localSheetId="29">#REF!</definedName>
    <definedName name="______SP067">#REF!</definedName>
    <definedName name="______SP068" localSheetId="8">#REF!</definedName>
    <definedName name="______SP068" localSheetId="10">#REF!</definedName>
    <definedName name="______SP068" localSheetId="11">#REF!</definedName>
    <definedName name="______SP068" localSheetId="29">#REF!</definedName>
    <definedName name="______SP068">#REF!</definedName>
    <definedName name="______SP069" localSheetId="8">#REF!</definedName>
    <definedName name="______SP069" localSheetId="10">#REF!</definedName>
    <definedName name="______SP069" localSheetId="11">#REF!</definedName>
    <definedName name="______SP069" localSheetId="29">#REF!</definedName>
    <definedName name="______SP069">#REF!</definedName>
    <definedName name="______SP070" localSheetId="8">#REF!</definedName>
    <definedName name="______SP070" localSheetId="10">#REF!</definedName>
    <definedName name="______SP070" localSheetId="11">#REF!</definedName>
    <definedName name="______SP070" localSheetId="29">#REF!</definedName>
    <definedName name="______SP070">#REF!</definedName>
    <definedName name="______sp071" localSheetId="8">#REF!</definedName>
    <definedName name="______sp071" localSheetId="10">#REF!</definedName>
    <definedName name="______sp071" localSheetId="11">#REF!</definedName>
    <definedName name="______sp071" localSheetId="29">#REF!</definedName>
    <definedName name="______sp071">#REF!</definedName>
    <definedName name="______SP072" localSheetId="8">#REF!</definedName>
    <definedName name="______SP072" localSheetId="10">#REF!</definedName>
    <definedName name="______SP072" localSheetId="11">#REF!</definedName>
    <definedName name="______SP072" localSheetId="29">#REF!</definedName>
    <definedName name="______SP072">#REF!</definedName>
    <definedName name="______SP073" localSheetId="8">#REF!</definedName>
    <definedName name="______SP073" localSheetId="10">#REF!</definedName>
    <definedName name="______SP073" localSheetId="11">#REF!</definedName>
    <definedName name="______SP073" localSheetId="29">#REF!</definedName>
    <definedName name="______SP073">#REF!</definedName>
    <definedName name="______SP074" localSheetId="8">#REF!</definedName>
    <definedName name="______SP074" localSheetId="10">#REF!</definedName>
    <definedName name="______SP074" localSheetId="11">#REF!</definedName>
    <definedName name="______SP074" localSheetId="29">#REF!</definedName>
    <definedName name="______SP074">#REF!</definedName>
    <definedName name="______SP075" localSheetId="8">#REF!</definedName>
    <definedName name="______SP075" localSheetId="10">#REF!</definedName>
    <definedName name="______SP075" localSheetId="11">#REF!</definedName>
    <definedName name="______SP075" localSheetId="29">#REF!</definedName>
    <definedName name="______SP075">#REF!</definedName>
    <definedName name="______SP076" localSheetId="8">#REF!</definedName>
    <definedName name="______SP076" localSheetId="10">#REF!</definedName>
    <definedName name="______SP076" localSheetId="11">#REF!</definedName>
    <definedName name="______SP076" localSheetId="29">#REF!</definedName>
    <definedName name="______SP076">#REF!</definedName>
    <definedName name="______SP077" localSheetId="8">#REF!</definedName>
    <definedName name="______SP077" localSheetId="10">#REF!</definedName>
    <definedName name="______SP077" localSheetId="11">#REF!</definedName>
    <definedName name="______SP077" localSheetId="29">#REF!</definedName>
    <definedName name="______SP077">#REF!</definedName>
    <definedName name="______sp078" localSheetId="8">#REF!</definedName>
    <definedName name="______sp078" localSheetId="10">#REF!</definedName>
    <definedName name="______sp078" localSheetId="11">#REF!</definedName>
    <definedName name="______sp078" localSheetId="29">#REF!</definedName>
    <definedName name="______sp078">#REF!</definedName>
    <definedName name="______SPO79" localSheetId="8">#REF!</definedName>
    <definedName name="______SPO79" localSheetId="10">#REF!</definedName>
    <definedName name="______SPO79" localSheetId="11">#REF!</definedName>
    <definedName name="______SPO79" localSheetId="29">#REF!</definedName>
    <definedName name="______SPO79">#REF!</definedName>
    <definedName name="______sw1" localSheetId="29">#REF!</definedName>
    <definedName name="______t1">#REF!</definedName>
    <definedName name="______t2">#REF!</definedName>
    <definedName name="______tab1">#REF!</definedName>
    <definedName name="______us1">#REF!</definedName>
    <definedName name="______var1" localSheetId="21">#REF!</definedName>
    <definedName name="______var1" localSheetId="5">#REF!</definedName>
    <definedName name="______var1" localSheetId="8">#REF!</definedName>
    <definedName name="______var1" localSheetId="10">#REF!</definedName>
    <definedName name="______var1" localSheetId="11">#REF!</definedName>
    <definedName name="______var1" localSheetId="29">#REF!</definedName>
    <definedName name="______var1" localSheetId="31">#REF!</definedName>
    <definedName name="______var1" localSheetId="35">#REF!</definedName>
    <definedName name="______var1" localSheetId="36">#REF!</definedName>
    <definedName name="______var1">#REF!</definedName>
    <definedName name="______var1_33">"$#REF!.$#REF!$#REF!"</definedName>
    <definedName name="______var1_38">"$#REF!.$#REF!$#REF!"</definedName>
    <definedName name="______var1_41">"$#REF!.$#REF!$#REF!"</definedName>
    <definedName name="______var1_7">"$#REF!.$#REF!$#REF!"</definedName>
    <definedName name="______var1_8">"$#REF!.$#REF!$#REF!"</definedName>
    <definedName name="______var4" localSheetId="21">#REF!</definedName>
    <definedName name="______var4" localSheetId="5">#REF!</definedName>
    <definedName name="______var4" localSheetId="8">#REF!</definedName>
    <definedName name="______var4" localSheetId="10">#REF!</definedName>
    <definedName name="______var4" localSheetId="11">#REF!</definedName>
    <definedName name="______var4" localSheetId="29">#REF!</definedName>
    <definedName name="______var4" localSheetId="31">#REF!</definedName>
    <definedName name="______var4" localSheetId="35">#REF!</definedName>
    <definedName name="______var4" localSheetId="36">#REF!</definedName>
    <definedName name="______var4">#REF!</definedName>
    <definedName name="______var4_33">"$#REF!.$#REF!$#REF!"</definedName>
    <definedName name="______var4_38">"$#REF!.$#REF!$#REF!"</definedName>
    <definedName name="______var4_41">"$#REF!.$#REF!$#REF!"</definedName>
    <definedName name="______var4_7">"$#REF!.$#REF!$#REF!"</definedName>
    <definedName name="______var4_8">"$#REF!.$#REF!$#REF!"</definedName>
    <definedName name="______vat1" localSheetId="8">#REF!</definedName>
    <definedName name="______vat1" localSheetId="10">#REF!</definedName>
    <definedName name="______vat1" localSheetId="29">#REF!</definedName>
    <definedName name="______vat1">#REF!</definedName>
    <definedName name="______vat2" localSheetId="8">#REF!</definedName>
    <definedName name="______vat2" localSheetId="10">#REF!</definedName>
    <definedName name="______vat2" localSheetId="29">#REF!</definedName>
    <definedName name="______vat2">#REF!</definedName>
    <definedName name="______xlfn_BAHTTEXT">#N/A</definedName>
    <definedName name="_____abs1" localSheetId="5">#REF!</definedName>
    <definedName name="_____abs1" localSheetId="14">#REF!</definedName>
    <definedName name="_____abs1" localSheetId="8">#REF!</definedName>
    <definedName name="_____abs1" localSheetId="10">#REF!</definedName>
    <definedName name="_____abs1" localSheetId="29">#REF!</definedName>
    <definedName name="_____abs1">#REF!</definedName>
    <definedName name="_____AUX1">#REF!</definedName>
    <definedName name="_____aux2" localSheetId="29">#REF!</definedName>
    <definedName name="_____AUX3">#REF!</definedName>
    <definedName name="_____BSG100" localSheetId="8">#REF!</definedName>
    <definedName name="_____BSG100" localSheetId="10">#REF!</definedName>
    <definedName name="_____BSG100" localSheetId="29">#REF!</definedName>
    <definedName name="_____BSG100">#REF!</definedName>
    <definedName name="_____BSG150" localSheetId="8">#REF!</definedName>
    <definedName name="_____BSG150" localSheetId="10">#REF!</definedName>
    <definedName name="_____BSG150" localSheetId="29">#REF!</definedName>
    <definedName name="_____BSG150">#REF!</definedName>
    <definedName name="_____BSG5" localSheetId="8">#REF!</definedName>
    <definedName name="_____BSG5" localSheetId="10">#REF!</definedName>
    <definedName name="_____BSG5" localSheetId="29">#REF!</definedName>
    <definedName name="_____BSG5">#REF!</definedName>
    <definedName name="_____BSG75" localSheetId="8">#REF!</definedName>
    <definedName name="_____BSG75" localSheetId="10">#REF!</definedName>
    <definedName name="_____BSG75" localSheetId="29">#REF!</definedName>
    <definedName name="_____BSG75">#REF!</definedName>
    <definedName name="_____BTC1" localSheetId="8">#REF!</definedName>
    <definedName name="_____BTC1" localSheetId="10">#REF!</definedName>
    <definedName name="_____BTC1" localSheetId="29">#REF!</definedName>
    <definedName name="_____BTC1">#REF!</definedName>
    <definedName name="_____BTC10" localSheetId="8">#REF!</definedName>
    <definedName name="_____BTC10" localSheetId="10">#REF!</definedName>
    <definedName name="_____BTC10" localSheetId="29">#REF!</definedName>
    <definedName name="_____BTC10">#REF!</definedName>
    <definedName name="_____BTC11" localSheetId="8">#REF!</definedName>
    <definedName name="_____BTC11" localSheetId="10">#REF!</definedName>
    <definedName name="_____BTC11" localSheetId="29">#REF!</definedName>
    <definedName name="_____BTC11">#REF!</definedName>
    <definedName name="_____BTC12" localSheetId="8">#REF!</definedName>
    <definedName name="_____BTC12" localSheetId="10">#REF!</definedName>
    <definedName name="_____BTC12" localSheetId="29">#REF!</definedName>
    <definedName name="_____BTC12">#REF!</definedName>
    <definedName name="_____BTC13" localSheetId="8">#REF!</definedName>
    <definedName name="_____BTC13" localSheetId="10">#REF!</definedName>
    <definedName name="_____BTC13" localSheetId="29">#REF!</definedName>
    <definedName name="_____BTC13">#REF!</definedName>
    <definedName name="_____BTC14" localSheetId="8">#REF!</definedName>
    <definedName name="_____BTC14" localSheetId="10">#REF!</definedName>
    <definedName name="_____BTC14" localSheetId="29">#REF!</definedName>
    <definedName name="_____BTC14">#REF!</definedName>
    <definedName name="_____BTC15" localSheetId="8">#REF!</definedName>
    <definedName name="_____BTC15" localSheetId="10">#REF!</definedName>
    <definedName name="_____BTC15" localSheetId="29">#REF!</definedName>
    <definedName name="_____BTC15">#REF!</definedName>
    <definedName name="_____BTC16">#REF!</definedName>
    <definedName name="_____BTC17">#REF!</definedName>
    <definedName name="_____BTC18">#REF!</definedName>
    <definedName name="_____BTC19">#REF!</definedName>
    <definedName name="_____BTC2" localSheetId="8">#REF!</definedName>
    <definedName name="_____BTC2" localSheetId="10">#REF!</definedName>
    <definedName name="_____BTC2" localSheetId="29">#REF!</definedName>
    <definedName name="_____BTC2">#REF!</definedName>
    <definedName name="_____BTC20">#REF!</definedName>
    <definedName name="_____BTC21">#REF!</definedName>
    <definedName name="_____BTC22">#REF!</definedName>
    <definedName name="_____BTC23">#REF!</definedName>
    <definedName name="_____BTC24">#REF!</definedName>
    <definedName name="_____BTC3" localSheetId="8">#REF!</definedName>
    <definedName name="_____BTC3" localSheetId="10">#REF!</definedName>
    <definedName name="_____BTC3" localSheetId="29">#REF!</definedName>
    <definedName name="_____BTC3">#REF!</definedName>
    <definedName name="_____BTC4" localSheetId="8">#REF!</definedName>
    <definedName name="_____BTC4" localSheetId="10">#REF!</definedName>
    <definedName name="_____BTC4" localSheetId="29">#REF!</definedName>
    <definedName name="_____BTC4">#REF!</definedName>
    <definedName name="_____BTC5" localSheetId="8">#REF!</definedName>
    <definedName name="_____BTC5" localSheetId="10">#REF!</definedName>
    <definedName name="_____BTC5" localSheetId="29">#REF!</definedName>
    <definedName name="_____BTC5">#REF!</definedName>
    <definedName name="_____BTC6" localSheetId="8">#REF!</definedName>
    <definedName name="_____BTC6" localSheetId="10">#REF!</definedName>
    <definedName name="_____BTC6" localSheetId="29">#REF!</definedName>
    <definedName name="_____BTC6">#REF!</definedName>
    <definedName name="_____BTC7" localSheetId="8">#REF!</definedName>
    <definedName name="_____BTC7" localSheetId="10">#REF!</definedName>
    <definedName name="_____BTC7" localSheetId="29">#REF!</definedName>
    <definedName name="_____BTC7">#REF!</definedName>
    <definedName name="_____BTC8" localSheetId="8">#REF!</definedName>
    <definedName name="_____BTC8" localSheetId="10">#REF!</definedName>
    <definedName name="_____BTC8" localSheetId="29">#REF!</definedName>
    <definedName name="_____BTC8">#REF!</definedName>
    <definedName name="_____BTC9" localSheetId="8">#REF!</definedName>
    <definedName name="_____BTC9" localSheetId="10">#REF!</definedName>
    <definedName name="_____BTC9" localSheetId="29">#REF!</definedName>
    <definedName name="_____BTC9">#REF!</definedName>
    <definedName name="_____BTR1">#REF!</definedName>
    <definedName name="_____BTR10">#REF!</definedName>
    <definedName name="_____BTR11">#REF!</definedName>
    <definedName name="_____BTR12">#REF!</definedName>
    <definedName name="_____BTR13">#REF!</definedName>
    <definedName name="_____BTR14">#REF!</definedName>
    <definedName name="_____BTR15">#REF!</definedName>
    <definedName name="_____BTR16">#REF!</definedName>
    <definedName name="_____BTR17">#REF!</definedName>
    <definedName name="_____BTR18">#REF!</definedName>
    <definedName name="_____BTR19">#REF!</definedName>
    <definedName name="_____BTR2">#REF!</definedName>
    <definedName name="_____BTR20">#REF!</definedName>
    <definedName name="_____BTR21">#REF!</definedName>
    <definedName name="_____BTR22">#REF!</definedName>
    <definedName name="_____BTR23">#REF!</definedName>
    <definedName name="_____BTR24">#REF!</definedName>
    <definedName name="_____BTR3">#REF!</definedName>
    <definedName name="_____BTR4">#REF!</definedName>
    <definedName name="_____BTR5">#REF!</definedName>
    <definedName name="_____BTR6">#REF!</definedName>
    <definedName name="_____BTR7">#REF!</definedName>
    <definedName name="_____BTR8">#REF!</definedName>
    <definedName name="_____BTR9">#REF!</definedName>
    <definedName name="_____BTS1" localSheetId="8">#REF!</definedName>
    <definedName name="_____BTS1" localSheetId="10">#REF!</definedName>
    <definedName name="_____BTS1" localSheetId="29">#REF!</definedName>
    <definedName name="_____BTS1">#REF!</definedName>
    <definedName name="_____BTS10" localSheetId="8">#REF!</definedName>
    <definedName name="_____BTS10" localSheetId="10">#REF!</definedName>
    <definedName name="_____BTS10" localSheetId="29">#REF!</definedName>
    <definedName name="_____BTS10">#REF!</definedName>
    <definedName name="_____BTS11" localSheetId="8">#REF!</definedName>
    <definedName name="_____BTS11" localSheetId="10">#REF!</definedName>
    <definedName name="_____BTS11" localSheetId="29">#REF!</definedName>
    <definedName name="_____BTS11">#REF!</definedName>
    <definedName name="_____BTS12" localSheetId="8">#REF!</definedName>
    <definedName name="_____BTS12" localSheetId="10">#REF!</definedName>
    <definedName name="_____BTS12" localSheetId="29">#REF!</definedName>
    <definedName name="_____BTS12">#REF!</definedName>
    <definedName name="_____BTS13" localSheetId="8">#REF!</definedName>
    <definedName name="_____BTS13" localSheetId="10">#REF!</definedName>
    <definedName name="_____BTS13" localSheetId="29">#REF!</definedName>
    <definedName name="_____BTS13">#REF!</definedName>
    <definedName name="_____BTS14" localSheetId="8">#REF!</definedName>
    <definedName name="_____BTS14" localSheetId="10">#REF!</definedName>
    <definedName name="_____BTS14" localSheetId="29">#REF!</definedName>
    <definedName name="_____BTS14">#REF!</definedName>
    <definedName name="_____BTS15" localSheetId="8">#REF!</definedName>
    <definedName name="_____BTS15" localSheetId="10">#REF!</definedName>
    <definedName name="_____BTS15" localSheetId="29">#REF!</definedName>
    <definedName name="_____BTS15">#REF!</definedName>
    <definedName name="_____BTS16">#REF!</definedName>
    <definedName name="_____BTS17">#REF!</definedName>
    <definedName name="_____BTS18">#REF!</definedName>
    <definedName name="_____BTS19">#REF!</definedName>
    <definedName name="_____BTS2" localSheetId="8">#REF!</definedName>
    <definedName name="_____BTS2" localSheetId="10">#REF!</definedName>
    <definedName name="_____BTS2" localSheetId="29">#REF!</definedName>
    <definedName name="_____BTS2">#REF!</definedName>
    <definedName name="_____BTS20">#REF!</definedName>
    <definedName name="_____BTS21">#REF!</definedName>
    <definedName name="_____BTS22">#REF!</definedName>
    <definedName name="_____BTS23">#REF!</definedName>
    <definedName name="_____BTS24">#REF!</definedName>
    <definedName name="_____BTS3" localSheetId="8">#REF!</definedName>
    <definedName name="_____BTS3" localSheetId="10">#REF!</definedName>
    <definedName name="_____BTS3" localSheetId="29">#REF!</definedName>
    <definedName name="_____BTS3">#REF!</definedName>
    <definedName name="_____BTS4" localSheetId="8">#REF!</definedName>
    <definedName name="_____BTS4" localSheetId="10">#REF!</definedName>
    <definedName name="_____BTS4" localSheetId="29">#REF!</definedName>
    <definedName name="_____BTS4">#REF!</definedName>
    <definedName name="_____BTS5" localSheetId="8">#REF!</definedName>
    <definedName name="_____BTS5" localSheetId="10">#REF!</definedName>
    <definedName name="_____BTS5" localSheetId="29">#REF!</definedName>
    <definedName name="_____BTS5">#REF!</definedName>
    <definedName name="_____BTS6" localSheetId="8">#REF!</definedName>
    <definedName name="_____BTS6" localSheetId="10">#REF!</definedName>
    <definedName name="_____BTS6" localSheetId="29">#REF!</definedName>
    <definedName name="_____BTS6">#REF!</definedName>
    <definedName name="_____BTS7" localSheetId="8">#REF!</definedName>
    <definedName name="_____BTS7" localSheetId="10">#REF!</definedName>
    <definedName name="_____BTS7" localSheetId="29">#REF!</definedName>
    <definedName name="_____BTS7">#REF!</definedName>
    <definedName name="_____BTS8" localSheetId="8">#REF!</definedName>
    <definedName name="_____BTS8" localSheetId="10">#REF!</definedName>
    <definedName name="_____BTS8" localSheetId="29">#REF!</definedName>
    <definedName name="_____BTS8">#REF!</definedName>
    <definedName name="_____BTS9" localSheetId="8">#REF!</definedName>
    <definedName name="_____BTS9" localSheetId="10">#REF!</definedName>
    <definedName name="_____BTS9" localSheetId="29">#REF!</definedName>
    <definedName name="_____BTS9">#REF!</definedName>
    <definedName name="_____can430">40.73</definedName>
    <definedName name="_____can435">43.3</definedName>
    <definedName name="_____cbr1" localSheetId="8">#REF!</definedName>
    <definedName name="_____cbr1" localSheetId="10">#REF!</definedName>
    <definedName name="_____cbr1" localSheetId="29">#REF!</definedName>
    <definedName name="_____cbr1">#REF!</definedName>
    <definedName name="_____cbr2" localSheetId="8">#REF!</definedName>
    <definedName name="_____cbr2" localSheetId="10">#REF!</definedName>
    <definedName name="_____cbr2" localSheetId="29">#REF!</definedName>
    <definedName name="_____cbr2">#REF!</definedName>
    <definedName name="_____cbr3" localSheetId="8">#REF!</definedName>
    <definedName name="_____cbr3" localSheetId="10">#REF!</definedName>
    <definedName name="_____cbr3" localSheetId="29">#REF!</definedName>
    <definedName name="_____cbr3">#REF!</definedName>
    <definedName name="_____cbr4" localSheetId="8">#REF!</definedName>
    <definedName name="_____cbr4" localSheetId="10">#REF!</definedName>
    <definedName name="_____cbr4" localSheetId="29">#REF!</definedName>
    <definedName name="_____cbr4">#REF!</definedName>
    <definedName name="_____er1">#REF!</definedName>
    <definedName name="_____ewe1" localSheetId="29">#REF!</definedName>
    <definedName name="_____f1" localSheetId="8">#REF!</definedName>
    <definedName name="_____f1" localSheetId="10">#REF!</definedName>
    <definedName name="_____f1" localSheetId="11">#REF!</definedName>
    <definedName name="_____f1" localSheetId="29">#REF!</definedName>
    <definedName name="_____f1">#REF!</definedName>
    <definedName name="_____GBS11" localSheetId="8">#REF!</definedName>
    <definedName name="_____GBS11" localSheetId="10">#REF!</definedName>
    <definedName name="_____GBS11" localSheetId="29">#REF!</definedName>
    <definedName name="_____GBS11">#REF!</definedName>
    <definedName name="_____GBS110" localSheetId="8">#REF!</definedName>
    <definedName name="_____GBS110" localSheetId="10">#REF!</definedName>
    <definedName name="_____GBS110" localSheetId="29">#REF!</definedName>
    <definedName name="_____GBS110">#REF!</definedName>
    <definedName name="_____GBS111" localSheetId="8">#REF!</definedName>
    <definedName name="_____GBS111" localSheetId="10">#REF!</definedName>
    <definedName name="_____GBS111" localSheetId="29">#REF!</definedName>
    <definedName name="_____GBS111">#REF!</definedName>
    <definedName name="_____GBS112" localSheetId="8">#REF!</definedName>
    <definedName name="_____GBS112" localSheetId="10">#REF!</definedName>
    <definedName name="_____GBS112" localSheetId="29">#REF!</definedName>
    <definedName name="_____GBS112">#REF!</definedName>
    <definedName name="_____GBS113" localSheetId="8">#REF!</definedName>
    <definedName name="_____GBS113" localSheetId="10">#REF!</definedName>
    <definedName name="_____GBS113" localSheetId="29">#REF!</definedName>
    <definedName name="_____GBS113">#REF!</definedName>
    <definedName name="_____GBS114" localSheetId="8">#REF!</definedName>
    <definedName name="_____GBS114" localSheetId="10">#REF!</definedName>
    <definedName name="_____GBS114" localSheetId="29">#REF!</definedName>
    <definedName name="_____GBS114">#REF!</definedName>
    <definedName name="_____GBS115" localSheetId="8">#REF!</definedName>
    <definedName name="_____GBS115" localSheetId="10">#REF!</definedName>
    <definedName name="_____GBS115" localSheetId="29">#REF!</definedName>
    <definedName name="_____GBS115">#REF!</definedName>
    <definedName name="_____GBS116">#REF!</definedName>
    <definedName name="_____GBS117">#REF!</definedName>
    <definedName name="_____GBS118">#REF!</definedName>
    <definedName name="_____GBS119">#REF!</definedName>
    <definedName name="_____GBS12" localSheetId="8">#REF!</definedName>
    <definedName name="_____GBS12" localSheetId="10">#REF!</definedName>
    <definedName name="_____GBS12" localSheetId="29">#REF!</definedName>
    <definedName name="_____GBS12">#REF!</definedName>
    <definedName name="_____GBS120">#REF!</definedName>
    <definedName name="_____GBS121">#REF!</definedName>
    <definedName name="_____GBS122">#REF!</definedName>
    <definedName name="_____GBS123">#REF!</definedName>
    <definedName name="_____GBS124">#REF!</definedName>
    <definedName name="_____GBS13" localSheetId="8">#REF!</definedName>
    <definedName name="_____GBS13" localSheetId="10">#REF!</definedName>
    <definedName name="_____GBS13" localSheetId="29">#REF!</definedName>
    <definedName name="_____GBS13">#REF!</definedName>
    <definedName name="_____GBS14" localSheetId="8">#REF!</definedName>
    <definedName name="_____GBS14" localSheetId="10">#REF!</definedName>
    <definedName name="_____GBS14" localSheetId="29">#REF!</definedName>
    <definedName name="_____GBS14">#REF!</definedName>
    <definedName name="_____GBS15" localSheetId="8">#REF!</definedName>
    <definedName name="_____GBS15" localSheetId="10">#REF!</definedName>
    <definedName name="_____GBS15" localSheetId="29">#REF!</definedName>
    <definedName name="_____GBS15">#REF!</definedName>
    <definedName name="_____GBS16" localSheetId="8">#REF!</definedName>
    <definedName name="_____GBS16" localSheetId="10">#REF!</definedName>
    <definedName name="_____GBS16" localSheetId="29">#REF!</definedName>
    <definedName name="_____GBS16">#REF!</definedName>
    <definedName name="_____GBS17" localSheetId="8">#REF!</definedName>
    <definedName name="_____GBS17" localSheetId="10">#REF!</definedName>
    <definedName name="_____GBS17" localSheetId="29">#REF!</definedName>
    <definedName name="_____GBS17">#REF!</definedName>
    <definedName name="_____GBS18" localSheetId="8">#REF!</definedName>
    <definedName name="_____GBS18" localSheetId="10">#REF!</definedName>
    <definedName name="_____GBS18" localSheetId="29">#REF!</definedName>
    <definedName name="_____GBS18">#REF!</definedName>
    <definedName name="_____GBS19" localSheetId="8">#REF!</definedName>
    <definedName name="_____GBS19" localSheetId="10">#REF!</definedName>
    <definedName name="_____GBS19" localSheetId="29">#REF!</definedName>
    <definedName name="_____GBS19">#REF!</definedName>
    <definedName name="_____GBS21" localSheetId="8">#REF!</definedName>
    <definedName name="_____GBS21" localSheetId="10">#REF!</definedName>
    <definedName name="_____GBS21" localSheetId="29">#REF!</definedName>
    <definedName name="_____GBS21">#REF!</definedName>
    <definedName name="_____GBS210" localSheetId="8">#REF!</definedName>
    <definedName name="_____GBS210" localSheetId="10">#REF!</definedName>
    <definedName name="_____GBS210" localSheetId="29">#REF!</definedName>
    <definedName name="_____GBS210">#REF!</definedName>
    <definedName name="_____GBS211" localSheetId="8">#REF!</definedName>
    <definedName name="_____GBS211" localSheetId="10">#REF!</definedName>
    <definedName name="_____GBS211" localSheetId="29">#REF!</definedName>
    <definedName name="_____GBS211">#REF!</definedName>
    <definedName name="_____GBS212" localSheetId="8">#REF!</definedName>
    <definedName name="_____GBS212" localSheetId="10">#REF!</definedName>
    <definedName name="_____GBS212" localSheetId="29">#REF!</definedName>
    <definedName name="_____GBS212">#REF!</definedName>
    <definedName name="_____GBS213" localSheetId="8">#REF!</definedName>
    <definedName name="_____GBS213" localSheetId="10">#REF!</definedName>
    <definedName name="_____GBS213" localSheetId="29">#REF!</definedName>
    <definedName name="_____GBS213">#REF!</definedName>
    <definedName name="_____GBS214" localSheetId="8">#REF!</definedName>
    <definedName name="_____GBS214" localSheetId="10">#REF!</definedName>
    <definedName name="_____GBS214" localSheetId="29">#REF!</definedName>
    <definedName name="_____GBS214">#REF!</definedName>
    <definedName name="_____GBS215" localSheetId="8">#REF!</definedName>
    <definedName name="_____GBS215" localSheetId="10">#REF!</definedName>
    <definedName name="_____GBS215" localSheetId="29">#REF!</definedName>
    <definedName name="_____GBS215">#REF!</definedName>
    <definedName name="_____GBS216">#REF!</definedName>
    <definedName name="_____GBS217">#REF!</definedName>
    <definedName name="_____GBS218">#REF!</definedName>
    <definedName name="_____GBS219">#REF!</definedName>
    <definedName name="_____GBS22" localSheetId="8">#REF!</definedName>
    <definedName name="_____GBS22" localSheetId="10">#REF!</definedName>
    <definedName name="_____GBS22" localSheetId="29">#REF!</definedName>
    <definedName name="_____GBS22">#REF!</definedName>
    <definedName name="_____GBS220">#REF!</definedName>
    <definedName name="_____GBS221">#REF!</definedName>
    <definedName name="_____GBS222">#REF!</definedName>
    <definedName name="_____GBS223">#REF!</definedName>
    <definedName name="_____GBS224">#REF!</definedName>
    <definedName name="_____GBS23" localSheetId="8">#REF!</definedName>
    <definedName name="_____GBS23" localSheetId="10">#REF!</definedName>
    <definedName name="_____GBS23" localSheetId="29">#REF!</definedName>
    <definedName name="_____GBS23">#REF!</definedName>
    <definedName name="_____GBS24" localSheetId="8">#REF!</definedName>
    <definedName name="_____GBS24" localSheetId="10">#REF!</definedName>
    <definedName name="_____GBS24" localSheetId="29">#REF!</definedName>
    <definedName name="_____GBS24">#REF!</definedName>
    <definedName name="_____GBS25" localSheetId="8">#REF!</definedName>
    <definedName name="_____GBS25" localSheetId="10">#REF!</definedName>
    <definedName name="_____GBS25" localSheetId="29">#REF!</definedName>
    <definedName name="_____GBS25">#REF!</definedName>
    <definedName name="_____GBS26" localSheetId="8">#REF!</definedName>
    <definedName name="_____GBS26" localSheetId="10">#REF!</definedName>
    <definedName name="_____GBS26" localSheetId="29">#REF!</definedName>
    <definedName name="_____GBS26">#REF!</definedName>
    <definedName name="_____GBS27" localSheetId="8">#REF!</definedName>
    <definedName name="_____GBS27" localSheetId="10">#REF!</definedName>
    <definedName name="_____GBS27" localSheetId="29">#REF!</definedName>
    <definedName name="_____GBS27">#REF!</definedName>
    <definedName name="_____GBS28" localSheetId="8">#REF!</definedName>
    <definedName name="_____GBS28" localSheetId="10">#REF!</definedName>
    <definedName name="_____GBS28" localSheetId="29">#REF!</definedName>
    <definedName name="_____GBS28">#REF!</definedName>
    <definedName name="_____GBS29" localSheetId="8">#REF!</definedName>
    <definedName name="_____GBS29" localSheetId="10">#REF!</definedName>
    <definedName name="_____GBS29" localSheetId="29">#REF!</definedName>
    <definedName name="_____GBS29">#REF!</definedName>
    <definedName name="_____gus1">#REF!</definedName>
    <definedName name="_____hpm1">#REF!</definedName>
    <definedName name="_____I12" localSheetId="5">#REF!</definedName>
    <definedName name="_____I12" localSheetId="8">#REF!</definedName>
    <definedName name="_____I12" localSheetId="10">#REF!</definedName>
    <definedName name="_____I12" localSheetId="11">#REF!</definedName>
    <definedName name="_____I12" localSheetId="29">#REF!</definedName>
    <definedName name="_____I12" localSheetId="35">#REF!</definedName>
    <definedName name="_____I12" localSheetId="36">#REF!</definedName>
    <definedName name="_____I12">#REF!</definedName>
    <definedName name="_____knr2" localSheetId="5">#REF!</definedName>
    <definedName name="_____knr2" localSheetId="8">#REF!</definedName>
    <definedName name="_____knr2" localSheetId="10">#REF!</definedName>
    <definedName name="_____knr2" localSheetId="29">#REF!</definedName>
    <definedName name="_____knr2">#REF!</definedName>
    <definedName name="_____l12" localSheetId="21">#REF!</definedName>
    <definedName name="_____l12" localSheetId="5">#REF!</definedName>
    <definedName name="_____l12" localSheetId="8">#REF!</definedName>
    <definedName name="_____l12" localSheetId="10">#REF!</definedName>
    <definedName name="_____l12" localSheetId="11">#REF!</definedName>
    <definedName name="_____l12" localSheetId="29">#REF!</definedName>
    <definedName name="_____l12" localSheetId="31">#REF!</definedName>
    <definedName name="_____l12" localSheetId="35">#REF!</definedName>
    <definedName name="_____l12" localSheetId="36">#REF!</definedName>
    <definedName name="_____l12">#REF!</definedName>
    <definedName name="_____l12_33">"$#REF!.$#REF!$#REF!"</definedName>
    <definedName name="_____l12_38">"$#REF!.$#REF!$#REF!"</definedName>
    <definedName name="_____l12_41">"$#REF!.$#REF!$#REF!"</definedName>
    <definedName name="_____l12_7">"$#REF!.$#REF!$#REF!"</definedName>
    <definedName name="_____l12_8">"$#REF!.$#REF!$#REF!"</definedName>
    <definedName name="_____l3" localSheetId="21">#REF!</definedName>
    <definedName name="_____l3" localSheetId="5">#REF!</definedName>
    <definedName name="_____l3" localSheetId="8">#REF!</definedName>
    <definedName name="_____l3" localSheetId="10">#REF!</definedName>
    <definedName name="_____l3" localSheetId="11">#REF!</definedName>
    <definedName name="_____l3" localSheetId="29">#REF!</definedName>
    <definedName name="_____l3" localSheetId="31">#REF!</definedName>
    <definedName name="_____l3" localSheetId="35">#REF!</definedName>
    <definedName name="_____l3" localSheetId="36">#REF!</definedName>
    <definedName name="_____l3">#REF!</definedName>
    <definedName name="_____l3_33">"$#REF!.$#REF!$#REF!"</definedName>
    <definedName name="_____l3_38">"$#REF!.$#REF!$#REF!"</definedName>
    <definedName name="_____l3_41">"$#REF!.$#REF!$#REF!"</definedName>
    <definedName name="_____l3_7">"$#REF!.$#REF!$#REF!"</definedName>
    <definedName name="_____l3_8">"$#REF!.$#REF!$#REF!"</definedName>
    <definedName name="_____l5" localSheetId="21">#REF!</definedName>
    <definedName name="_____l5" localSheetId="5">#REF!</definedName>
    <definedName name="_____l5" localSheetId="8">#REF!</definedName>
    <definedName name="_____l5" localSheetId="10">#REF!</definedName>
    <definedName name="_____l5" localSheetId="11">#REF!</definedName>
    <definedName name="_____l5" localSheetId="29">#REF!</definedName>
    <definedName name="_____l5" localSheetId="31">#REF!</definedName>
    <definedName name="_____l5" localSheetId="35">#REF!</definedName>
    <definedName name="_____l5" localSheetId="36">#REF!</definedName>
    <definedName name="_____l5">#REF!</definedName>
    <definedName name="_____l5_33">"$#REF!.$#REF!$#REF!"</definedName>
    <definedName name="_____l5_38">"$#REF!.$#REF!$#REF!"</definedName>
    <definedName name="_____l5_41">"$#REF!.$#REF!$#REF!"</definedName>
    <definedName name="_____l5_7">"$#REF!.$#REF!$#REF!"</definedName>
    <definedName name="_____l5_8">"$#REF!.$#REF!$#REF!"</definedName>
    <definedName name="_____lcn1">#REF!</definedName>
    <definedName name="_____LI9" localSheetId="8">#REF!</definedName>
    <definedName name="_____LI9" localSheetId="10">#REF!</definedName>
    <definedName name="_____LI9" localSheetId="29">#REF!</definedName>
    <definedName name="_____LI9">#REF!</definedName>
    <definedName name="_____LII9" localSheetId="8">#REF!</definedName>
    <definedName name="_____LII9" localSheetId="10">#REF!</definedName>
    <definedName name="_____LII9" localSheetId="29">#REF!</definedName>
    <definedName name="_____LII9">#REF!</definedName>
    <definedName name="_____lj600" localSheetId="29">#REF!</definedName>
    <definedName name="_____lj900">#REF!</definedName>
    <definedName name="_____LL3">#REF!</definedName>
    <definedName name="_____lm1">#REF!</definedName>
    <definedName name="_____MA1">#REF!</definedName>
    <definedName name="_____MA2">#REF!</definedName>
    <definedName name="_____ML11" localSheetId="8">#REF!</definedName>
    <definedName name="_____ML11" localSheetId="10">#REF!</definedName>
    <definedName name="_____ML11" localSheetId="29">#REF!</definedName>
    <definedName name="_____ML11">#REF!</definedName>
    <definedName name="_____ML110" localSheetId="8">#REF!</definedName>
    <definedName name="_____ML110" localSheetId="10">#REF!</definedName>
    <definedName name="_____ML110" localSheetId="29">#REF!</definedName>
    <definedName name="_____ML110">#REF!</definedName>
    <definedName name="_____ML111" localSheetId="8">#REF!</definedName>
    <definedName name="_____ML111" localSheetId="10">#REF!</definedName>
    <definedName name="_____ML111" localSheetId="29">#REF!</definedName>
    <definedName name="_____ML111">#REF!</definedName>
    <definedName name="_____ML112" localSheetId="8">#REF!</definedName>
    <definedName name="_____ML112" localSheetId="10">#REF!</definedName>
    <definedName name="_____ML112" localSheetId="29">#REF!</definedName>
    <definedName name="_____ML112">#REF!</definedName>
    <definedName name="_____ML113" localSheetId="8">#REF!</definedName>
    <definedName name="_____ML113" localSheetId="10">#REF!</definedName>
    <definedName name="_____ML113" localSheetId="29">#REF!</definedName>
    <definedName name="_____ML113">#REF!</definedName>
    <definedName name="_____ML114" localSheetId="8">#REF!</definedName>
    <definedName name="_____ML114" localSheetId="10">#REF!</definedName>
    <definedName name="_____ML114" localSheetId="29">#REF!</definedName>
    <definedName name="_____ML114">#REF!</definedName>
    <definedName name="_____ML115" localSheetId="8">#REF!</definedName>
    <definedName name="_____ML115" localSheetId="10">#REF!</definedName>
    <definedName name="_____ML115" localSheetId="29">#REF!</definedName>
    <definedName name="_____ML115">#REF!</definedName>
    <definedName name="_____ML12" localSheetId="8">#REF!</definedName>
    <definedName name="_____ML12" localSheetId="10">#REF!</definedName>
    <definedName name="_____ML12" localSheetId="29">#REF!</definedName>
    <definedName name="_____ML12">#REF!</definedName>
    <definedName name="_____ML13" localSheetId="8">#REF!</definedName>
    <definedName name="_____ML13" localSheetId="10">#REF!</definedName>
    <definedName name="_____ML13" localSheetId="29">#REF!</definedName>
    <definedName name="_____ML13">#REF!</definedName>
    <definedName name="_____ML14" localSheetId="8">#REF!</definedName>
    <definedName name="_____ML14" localSheetId="10">#REF!</definedName>
    <definedName name="_____ML14" localSheetId="29">#REF!</definedName>
    <definedName name="_____ML14">#REF!</definedName>
    <definedName name="_____ML15" localSheetId="8">#REF!</definedName>
    <definedName name="_____ML15" localSheetId="10">#REF!</definedName>
    <definedName name="_____ML15" localSheetId="29">#REF!</definedName>
    <definedName name="_____ML15">#REF!</definedName>
    <definedName name="_____ML16" localSheetId="8">#REF!</definedName>
    <definedName name="_____ML16" localSheetId="10">#REF!</definedName>
    <definedName name="_____ML16" localSheetId="29">#REF!</definedName>
    <definedName name="_____ML16">#REF!</definedName>
    <definedName name="_____ML17" localSheetId="8">#REF!</definedName>
    <definedName name="_____ML17" localSheetId="10">#REF!</definedName>
    <definedName name="_____ML17" localSheetId="29">#REF!</definedName>
    <definedName name="_____ML17">#REF!</definedName>
    <definedName name="_____ML18" localSheetId="8">#REF!</definedName>
    <definedName name="_____ML18" localSheetId="10">#REF!</definedName>
    <definedName name="_____ML18" localSheetId="29">#REF!</definedName>
    <definedName name="_____ML18">#REF!</definedName>
    <definedName name="_____ML19" localSheetId="8">#REF!</definedName>
    <definedName name="_____ML19" localSheetId="10">#REF!</definedName>
    <definedName name="_____ML19" localSheetId="29">#REF!</definedName>
    <definedName name="_____ML19">#REF!</definedName>
    <definedName name="_____ML21" localSheetId="8">#REF!</definedName>
    <definedName name="_____ML21" localSheetId="10">#REF!</definedName>
    <definedName name="_____ML21" localSheetId="29">#REF!</definedName>
    <definedName name="_____ML21">#REF!</definedName>
    <definedName name="_____ML210" localSheetId="8">#REF!</definedName>
    <definedName name="_____ML210" localSheetId="10">#REF!</definedName>
    <definedName name="_____ML210" localSheetId="29">#REF!</definedName>
    <definedName name="_____ML210">#REF!</definedName>
    <definedName name="_____ML211" localSheetId="8">#REF!</definedName>
    <definedName name="_____ML211" localSheetId="10">#REF!</definedName>
    <definedName name="_____ML211" localSheetId="29">#REF!</definedName>
    <definedName name="_____ML211">#REF!</definedName>
    <definedName name="_____ML212" localSheetId="8">#REF!</definedName>
    <definedName name="_____ML212" localSheetId="10">#REF!</definedName>
    <definedName name="_____ML212" localSheetId="29">#REF!</definedName>
    <definedName name="_____ML212">#REF!</definedName>
    <definedName name="_____ML213" localSheetId="8">#REF!</definedName>
    <definedName name="_____ML213" localSheetId="10">#REF!</definedName>
    <definedName name="_____ML213" localSheetId="29">#REF!</definedName>
    <definedName name="_____ML213">#REF!</definedName>
    <definedName name="_____ML214" localSheetId="8">#REF!</definedName>
    <definedName name="_____ML214" localSheetId="10">#REF!</definedName>
    <definedName name="_____ML214" localSheetId="29">#REF!</definedName>
    <definedName name="_____ML214">#REF!</definedName>
    <definedName name="_____ML215" localSheetId="8">#REF!</definedName>
    <definedName name="_____ML215" localSheetId="10">#REF!</definedName>
    <definedName name="_____ML215" localSheetId="29">#REF!</definedName>
    <definedName name="_____ML215">#REF!</definedName>
    <definedName name="_____ML216">#REF!</definedName>
    <definedName name="_____ML217">#REF!</definedName>
    <definedName name="_____ML218">#REF!</definedName>
    <definedName name="_____ML219">#REF!</definedName>
    <definedName name="_____ML22" localSheetId="8">#REF!</definedName>
    <definedName name="_____ML22" localSheetId="10">#REF!</definedName>
    <definedName name="_____ML22" localSheetId="29">#REF!</definedName>
    <definedName name="_____ML22">#REF!</definedName>
    <definedName name="_____ML220">#REF!</definedName>
    <definedName name="_____ML221">#REF!</definedName>
    <definedName name="_____ML222">#REF!</definedName>
    <definedName name="_____ML223">#REF!</definedName>
    <definedName name="_____ML224">#REF!</definedName>
    <definedName name="_____ML23" localSheetId="8">#REF!</definedName>
    <definedName name="_____ML23" localSheetId="10">#REF!</definedName>
    <definedName name="_____ML23" localSheetId="29">#REF!</definedName>
    <definedName name="_____ML23">#REF!</definedName>
    <definedName name="_____ML24" localSheetId="8">#REF!</definedName>
    <definedName name="_____ML24" localSheetId="10">#REF!</definedName>
    <definedName name="_____ML24" localSheetId="29">#REF!</definedName>
    <definedName name="_____ML24">#REF!</definedName>
    <definedName name="_____ML25" localSheetId="8">#REF!</definedName>
    <definedName name="_____ML25" localSheetId="10">#REF!</definedName>
    <definedName name="_____ML25" localSheetId="29">#REF!</definedName>
    <definedName name="_____ML25">#REF!</definedName>
    <definedName name="_____ML26" localSheetId="8">#REF!</definedName>
    <definedName name="_____ML26" localSheetId="10">#REF!</definedName>
    <definedName name="_____ML26" localSheetId="29">#REF!</definedName>
    <definedName name="_____ML26">#REF!</definedName>
    <definedName name="_____ML27" localSheetId="8">#REF!</definedName>
    <definedName name="_____ML27" localSheetId="10">#REF!</definedName>
    <definedName name="_____ML27" localSheetId="29">#REF!</definedName>
    <definedName name="_____ML27">#REF!</definedName>
    <definedName name="_____ML28" localSheetId="8">#REF!</definedName>
    <definedName name="_____ML28" localSheetId="10">#REF!</definedName>
    <definedName name="_____ML28" localSheetId="29">#REF!</definedName>
    <definedName name="_____ML28">#REF!</definedName>
    <definedName name="_____ML29" localSheetId="8">#REF!</definedName>
    <definedName name="_____ML29" localSheetId="10">#REF!</definedName>
    <definedName name="_____ML29" localSheetId="29">#REF!</definedName>
    <definedName name="_____ML29">#REF!</definedName>
    <definedName name="_____ML31" localSheetId="8">#REF!</definedName>
    <definedName name="_____ML31" localSheetId="10">#REF!</definedName>
    <definedName name="_____ML31" localSheetId="29">#REF!</definedName>
    <definedName name="_____ML31">#REF!</definedName>
    <definedName name="_____ML310" localSheetId="8">#REF!</definedName>
    <definedName name="_____ML310" localSheetId="10">#REF!</definedName>
    <definedName name="_____ML310" localSheetId="29">#REF!</definedName>
    <definedName name="_____ML310">#REF!</definedName>
    <definedName name="_____ML311" localSheetId="8">#REF!</definedName>
    <definedName name="_____ML311" localSheetId="10">#REF!</definedName>
    <definedName name="_____ML311" localSheetId="29">#REF!</definedName>
    <definedName name="_____ML311">#REF!</definedName>
    <definedName name="_____ML312" localSheetId="8">#REF!</definedName>
    <definedName name="_____ML312" localSheetId="10">#REF!</definedName>
    <definedName name="_____ML312" localSheetId="29">#REF!</definedName>
    <definedName name="_____ML312">#REF!</definedName>
    <definedName name="_____ML313" localSheetId="8">#REF!</definedName>
    <definedName name="_____ML313" localSheetId="10">#REF!</definedName>
    <definedName name="_____ML313" localSheetId="29">#REF!</definedName>
    <definedName name="_____ML313">#REF!</definedName>
    <definedName name="_____ML314" localSheetId="8">#REF!</definedName>
    <definedName name="_____ML314" localSheetId="10">#REF!</definedName>
    <definedName name="_____ML314" localSheetId="29">#REF!</definedName>
    <definedName name="_____ML314">#REF!</definedName>
    <definedName name="_____ML315" localSheetId="8">#REF!</definedName>
    <definedName name="_____ML315" localSheetId="10">#REF!</definedName>
    <definedName name="_____ML315" localSheetId="29">#REF!</definedName>
    <definedName name="_____ML315">#REF!</definedName>
    <definedName name="_____ML316">#REF!</definedName>
    <definedName name="_____ML317">#REF!</definedName>
    <definedName name="_____ML318">#REF!</definedName>
    <definedName name="_____ML319">#REF!</definedName>
    <definedName name="_____ML32" localSheetId="8">#REF!</definedName>
    <definedName name="_____ML32" localSheetId="10">#REF!</definedName>
    <definedName name="_____ML32" localSheetId="29">#REF!</definedName>
    <definedName name="_____ML32">#REF!</definedName>
    <definedName name="_____ML320">#REF!</definedName>
    <definedName name="_____ML321">#REF!</definedName>
    <definedName name="_____ML322">#REF!</definedName>
    <definedName name="_____ML323">#REF!</definedName>
    <definedName name="_____ML324">#REF!</definedName>
    <definedName name="_____ML33" localSheetId="8">#REF!</definedName>
    <definedName name="_____ML33" localSheetId="10">#REF!</definedName>
    <definedName name="_____ML33" localSheetId="29">#REF!</definedName>
    <definedName name="_____ML33">#REF!</definedName>
    <definedName name="_____ML34" localSheetId="8">#REF!</definedName>
    <definedName name="_____ML34" localSheetId="10">#REF!</definedName>
    <definedName name="_____ML34" localSheetId="29">#REF!</definedName>
    <definedName name="_____ML34">#REF!</definedName>
    <definedName name="_____ML35" localSheetId="8">#REF!</definedName>
    <definedName name="_____ML35" localSheetId="10">#REF!</definedName>
    <definedName name="_____ML35" localSheetId="29">#REF!</definedName>
    <definedName name="_____ML35">#REF!</definedName>
    <definedName name="_____ML36" localSheetId="8">#REF!</definedName>
    <definedName name="_____ML36" localSheetId="10">#REF!</definedName>
    <definedName name="_____ML36" localSheetId="29">#REF!</definedName>
    <definedName name="_____ML36">#REF!</definedName>
    <definedName name="_____ML37" localSheetId="8">#REF!</definedName>
    <definedName name="_____ML37" localSheetId="10">#REF!</definedName>
    <definedName name="_____ML37" localSheetId="29">#REF!</definedName>
    <definedName name="_____ML37">#REF!</definedName>
    <definedName name="_____ML38" localSheetId="8">#REF!</definedName>
    <definedName name="_____ML38" localSheetId="10">#REF!</definedName>
    <definedName name="_____ML38" localSheetId="29">#REF!</definedName>
    <definedName name="_____ML38">#REF!</definedName>
    <definedName name="_____ML39" localSheetId="8">#REF!</definedName>
    <definedName name="_____ML39" localSheetId="10">#REF!</definedName>
    <definedName name="_____ML39" localSheetId="29">#REF!</definedName>
    <definedName name="_____ML39">#REF!</definedName>
    <definedName name="_____ML7" localSheetId="8">#REF!</definedName>
    <definedName name="_____ML7" localSheetId="10">#REF!</definedName>
    <definedName name="_____ML7" localSheetId="29">#REF!</definedName>
    <definedName name="_____ML7">#REF!</definedName>
    <definedName name="_____ML8" localSheetId="8">#REF!</definedName>
    <definedName name="_____ML8" localSheetId="10">#REF!</definedName>
    <definedName name="_____ML8" localSheetId="29">#REF!</definedName>
    <definedName name="_____ML8">#REF!</definedName>
    <definedName name="_____ML9" localSheetId="8">#REF!</definedName>
    <definedName name="_____ML9" localSheetId="10">#REF!</definedName>
    <definedName name="_____ML9" localSheetId="29">#REF!</definedName>
    <definedName name="_____ML9">#REF!</definedName>
    <definedName name="_____mm20" localSheetId="8">#REF!</definedName>
    <definedName name="_____mm20" localSheetId="10">#REF!</definedName>
    <definedName name="_____mm20" localSheetId="29">#REF!</definedName>
    <definedName name="_____mm20">#REF!</definedName>
    <definedName name="_____mm40" localSheetId="8">#REF!</definedName>
    <definedName name="_____mm40" localSheetId="10">#REF!</definedName>
    <definedName name="_____mm40" localSheetId="29">#REF!</definedName>
    <definedName name="_____mm40">#REF!</definedName>
    <definedName name="_____o3" localSheetId="29">#REF!</definedName>
    <definedName name="_____PC1" localSheetId="29">#REF!</definedName>
    <definedName name="_____PC10">#REF!</definedName>
    <definedName name="_____PC11">#REF!</definedName>
    <definedName name="_____PC12">#REF!</definedName>
    <definedName name="_____PC13">#REF!</definedName>
    <definedName name="_____PC14">#REF!</definedName>
    <definedName name="_____PC15">#REF!</definedName>
    <definedName name="_____PC16">#REF!</definedName>
    <definedName name="_____PC17">#REF!</definedName>
    <definedName name="_____PC18">#REF!</definedName>
    <definedName name="_____PC19">#REF!</definedName>
    <definedName name="_____pc2" localSheetId="21">#REF!</definedName>
    <definedName name="_____pc2" localSheetId="5">#REF!</definedName>
    <definedName name="_____pc2" localSheetId="8">#REF!</definedName>
    <definedName name="_____pc2" localSheetId="10">#REF!</definedName>
    <definedName name="_____pc2" localSheetId="11">#REF!</definedName>
    <definedName name="_____pc2" localSheetId="29">#REF!</definedName>
    <definedName name="_____pc2" localSheetId="31">#REF!</definedName>
    <definedName name="_____pc2" localSheetId="35">#REF!</definedName>
    <definedName name="_____pc2" localSheetId="36">#REF!</definedName>
    <definedName name="_____pc2">#REF!</definedName>
    <definedName name="_____pc2_33">"$#REF!.$#REF!$#REF!"</definedName>
    <definedName name="_____pc2_38">"$#REF!.$#REF!$#REF!"</definedName>
    <definedName name="_____pc2_41">"$#REF!.$#REF!$#REF!"</definedName>
    <definedName name="_____pc2_7">"$#REF!.$#REF!$#REF!"</definedName>
    <definedName name="_____pc2_8">"$#REF!.$#REF!$#REF!"</definedName>
    <definedName name="_____PC20">#REF!</definedName>
    <definedName name="_____PC21">#REF!</definedName>
    <definedName name="_____PC22">#REF!</definedName>
    <definedName name="_____PC23">#REF!</definedName>
    <definedName name="_____PC24">#REF!</definedName>
    <definedName name="_____PC3">#REF!</definedName>
    <definedName name="_____PC4">#REF!</definedName>
    <definedName name="_____PC5">#REF!</definedName>
    <definedName name="_____PC6">#REF!</definedName>
    <definedName name="_____pc600">#REF!</definedName>
    <definedName name="_____PC7">#REF!</definedName>
    <definedName name="_____PC8">#REF!</definedName>
    <definedName name="_____PC9">#REF!</definedName>
    <definedName name="_____pc900">#REF!</definedName>
    <definedName name="_____PMS2" localSheetId="8">#REF!</definedName>
    <definedName name="_____PMS2" localSheetId="10">#REF!</definedName>
    <definedName name="_____PMS2" localSheetId="29">#REF!</definedName>
    <definedName name="_____PMS2">#REF!</definedName>
    <definedName name="_____pv1" localSheetId="8">#REF!</definedName>
    <definedName name="_____pv1" localSheetId="10">#REF!</definedName>
    <definedName name="_____pv1" localSheetId="29">#REF!</definedName>
    <definedName name="_____pv1">#REF!</definedName>
    <definedName name="_____pv2" localSheetId="21">#REF!</definedName>
    <definedName name="_____pv2" localSheetId="5">#REF!</definedName>
    <definedName name="_____pv2" localSheetId="8">#REF!</definedName>
    <definedName name="_____pv2" localSheetId="10">#REF!</definedName>
    <definedName name="_____pv2" localSheetId="11">#REF!</definedName>
    <definedName name="_____pv2" localSheetId="29">#REF!</definedName>
    <definedName name="_____pv2" localSheetId="31">#REF!</definedName>
    <definedName name="_____pv2" localSheetId="35">#REF!</definedName>
    <definedName name="_____pv2" localSheetId="36">#REF!</definedName>
    <definedName name="_____pv2">#REF!</definedName>
    <definedName name="_____pv2_33">"$#REF!.$#REF!$#REF!"</definedName>
    <definedName name="_____pv2_38">"$#REF!.$#REF!$#REF!"</definedName>
    <definedName name="_____pv2_41">"$#REF!.$#REF!$#REF!"</definedName>
    <definedName name="_____pv2_7">"$#REF!.$#REF!$#REF!"</definedName>
    <definedName name="_____pv2_8">"$#REF!.$#REF!$#REF!"</definedName>
    <definedName name="_____SO016" localSheetId="8">#REF!</definedName>
    <definedName name="_____SO016" localSheetId="10">#REF!</definedName>
    <definedName name="_____SO016" localSheetId="11">#REF!</definedName>
    <definedName name="_____SO016" localSheetId="29">#REF!</definedName>
    <definedName name="_____SO016">#REF!</definedName>
    <definedName name="_____SP001" localSheetId="8">#REF!</definedName>
    <definedName name="_____SP001" localSheetId="10">#REF!</definedName>
    <definedName name="_____SP001" localSheetId="11">#REF!</definedName>
    <definedName name="_____SP001" localSheetId="29">#REF!</definedName>
    <definedName name="_____SP001">#REF!</definedName>
    <definedName name="_____SP002" localSheetId="8">#REF!</definedName>
    <definedName name="_____SP002" localSheetId="10">#REF!</definedName>
    <definedName name="_____SP002" localSheetId="11">#REF!</definedName>
    <definedName name="_____SP002" localSheetId="29">#REF!</definedName>
    <definedName name="_____SP002">#REF!</definedName>
    <definedName name="_____SP003" localSheetId="8">#REF!</definedName>
    <definedName name="_____SP003" localSheetId="10">#REF!</definedName>
    <definedName name="_____SP003" localSheetId="11">#REF!</definedName>
    <definedName name="_____SP003" localSheetId="29">#REF!</definedName>
    <definedName name="_____SP003">#REF!</definedName>
    <definedName name="_____SP004" localSheetId="8">#REF!</definedName>
    <definedName name="_____SP004" localSheetId="10">#REF!</definedName>
    <definedName name="_____SP004" localSheetId="11">#REF!</definedName>
    <definedName name="_____SP004" localSheetId="29">#REF!</definedName>
    <definedName name="_____SP004">#REF!</definedName>
    <definedName name="_____SP005" localSheetId="8">#REF!</definedName>
    <definedName name="_____SP005" localSheetId="10">#REF!</definedName>
    <definedName name="_____SP005" localSheetId="11">#REF!</definedName>
    <definedName name="_____SP005" localSheetId="29">#REF!</definedName>
    <definedName name="_____SP005">#REF!</definedName>
    <definedName name="_____SP006" localSheetId="8">#REF!</definedName>
    <definedName name="_____SP006" localSheetId="10">#REF!</definedName>
    <definedName name="_____SP006" localSheetId="11">#REF!</definedName>
    <definedName name="_____SP006" localSheetId="29">#REF!</definedName>
    <definedName name="_____SP006">#REF!</definedName>
    <definedName name="_____SP007" localSheetId="8">#REF!</definedName>
    <definedName name="_____SP007" localSheetId="10">#REF!</definedName>
    <definedName name="_____SP007" localSheetId="11">#REF!</definedName>
    <definedName name="_____SP007" localSheetId="29">#REF!</definedName>
    <definedName name="_____SP007">#REF!</definedName>
    <definedName name="_____SP008" localSheetId="8">#REF!</definedName>
    <definedName name="_____SP008" localSheetId="10">#REF!</definedName>
    <definedName name="_____SP008" localSheetId="11">#REF!</definedName>
    <definedName name="_____SP008" localSheetId="29">#REF!</definedName>
    <definedName name="_____SP008">#REF!</definedName>
    <definedName name="_____SP009" localSheetId="8">#REF!</definedName>
    <definedName name="_____SP009" localSheetId="10">#REF!</definedName>
    <definedName name="_____SP009" localSheetId="11">#REF!</definedName>
    <definedName name="_____SP009" localSheetId="29">#REF!</definedName>
    <definedName name="_____SP009">#REF!</definedName>
    <definedName name="_____SP010" localSheetId="8">#REF!</definedName>
    <definedName name="_____SP010" localSheetId="10">#REF!</definedName>
    <definedName name="_____SP010" localSheetId="11">#REF!</definedName>
    <definedName name="_____SP010" localSheetId="29">#REF!</definedName>
    <definedName name="_____SP010">#REF!</definedName>
    <definedName name="_____SP011" localSheetId="8">#REF!</definedName>
    <definedName name="_____SP011" localSheetId="10">#REF!</definedName>
    <definedName name="_____SP011" localSheetId="11">#REF!</definedName>
    <definedName name="_____SP011" localSheetId="29">#REF!</definedName>
    <definedName name="_____SP011">#REF!</definedName>
    <definedName name="_____SP012" localSheetId="8">#REF!</definedName>
    <definedName name="_____SP012" localSheetId="10">#REF!</definedName>
    <definedName name="_____SP012" localSheetId="11">#REF!</definedName>
    <definedName name="_____SP012" localSheetId="29">#REF!</definedName>
    <definedName name="_____SP012">#REF!</definedName>
    <definedName name="_____SP013" localSheetId="8">#REF!</definedName>
    <definedName name="_____SP013" localSheetId="10">#REF!</definedName>
    <definedName name="_____SP013" localSheetId="11">#REF!</definedName>
    <definedName name="_____SP013" localSheetId="29">#REF!</definedName>
    <definedName name="_____SP013">#REF!</definedName>
    <definedName name="_____SP014" localSheetId="8">#REF!</definedName>
    <definedName name="_____SP014" localSheetId="10">#REF!</definedName>
    <definedName name="_____SP014" localSheetId="11">#REF!</definedName>
    <definedName name="_____SP014" localSheetId="29">#REF!</definedName>
    <definedName name="_____SP014">#REF!</definedName>
    <definedName name="_____SP015" localSheetId="8">#REF!</definedName>
    <definedName name="_____SP015" localSheetId="10">#REF!</definedName>
    <definedName name="_____SP015" localSheetId="11">#REF!</definedName>
    <definedName name="_____SP015" localSheetId="29">#REF!</definedName>
    <definedName name="_____SP015">#REF!</definedName>
    <definedName name="_____SP016" localSheetId="8">#REF!</definedName>
    <definedName name="_____SP016" localSheetId="10">#REF!</definedName>
    <definedName name="_____SP016" localSheetId="11">#REF!</definedName>
    <definedName name="_____SP016" localSheetId="29">#REF!</definedName>
    <definedName name="_____SP016">#REF!</definedName>
    <definedName name="_____SP017" localSheetId="8">#REF!</definedName>
    <definedName name="_____SP017" localSheetId="10">#REF!</definedName>
    <definedName name="_____SP017" localSheetId="11">#REF!</definedName>
    <definedName name="_____SP017" localSheetId="29">#REF!</definedName>
    <definedName name="_____SP017">#REF!</definedName>
    <definedName name="_____SP018" localSheetId="8">#REF!</definedName>
    <definedName name="_____SP018" localSheetId="10">#REF!</definedName>
    <definedName name="_____SP018" localSheetId="11">#REF!</definedName>
    <definedName name="_____SP018" localSheetId="29">#REF!</definedName>
    <definedName name="_____SP018">#REF!</definedName>
    <definedName name="_____SP019" localSheetId="8">#REF!</definedName>
    <definedName name="_____SP019" localSheetId="10">#REF!</definedName>
    <definedName name="_____SP019" localSheetId="11">#REF!</definedName>
    <definedName name="_____SP019" localSheetId="29">#REF!</definedName>
    <definedName name="_____SP019">#REF!</definedName>
    <definedName name="_____SP020" localSheetId="8">#REF!</definedName>
    <definedName name="_____SP020" localSheetId="10">#REF!</definedName>
    <definedName name="_____SP020" localSheetId="11">#REF!</definedName>
    <definedName name="_____SP020" localSheetId="29">#REF!</definedName>
    <definedName name="_____SP020">#REF!</definedName>
    <definedName name="_____SP021" localSheetId="8">#REF!</definedName>
    <definedName name="_____SP021" localSheetId="10">#REF!</definedName>
    <definedName name="_____SP021" localSheetId="11">#REF!</definedName>
    <definedName name="_____SP021" localSheetId="29">#REF!</definedName>
    <definedName name="_____SP021">#REF!</definedName>
    <definedName name="_____SP022" localSheetId="8">#REF!</definedName>
    <definedName name="_____SP022" localSheetId="10">#REF!</definedName>
    <definedName name="_____SP022" localSheetId="11">#REF!</definedName>
    <definedName name="_____SP022" localSheetId="29">#REF!</definedName>
    <definedName name="_____SP022">#REF!</definedName>
    <definedName name="_____SP023" localSheetId="8">#REF!</definedName>
    <definedName name="_____SP023" localSheetId="10">#REF!</definedName>
    <definedName name="_____SP023" localSheetId="11">#REF!</definedName>
    <definedName name="_____SP023" localSheetId="29">#REF!</definedName>
    <definedName name="_____SP023">#REF!</definedName>
    <definedName name="_____SP024" localSheetId="8">#REF!</definedName>
    <definedName name="_____SP024" localSheetId="10">#REF!</definedName>
    <definedName name="_____SP024" localSheetId="11">#REF!</definedName>
    <definedName name="_____SP024" localSheetId="29">#REF!</definedName>
    <definedName name="_____SP024">#REF!</definedName>
    <definedName name="_____SP025" localSheetId="8">#REF!</definedName>
    <definedName name="_____SP025" localSheetId="10">#REF!</definedName>
    <definedName name="_____SP025" localSheetId="11">#REF!</definedName>
    <definedName name="_____SP025" localSheetId="29">#REF!</definedName>
    <definedName name="_____SP025">#REF!</definedName>
    <definedName name="_____SP026" localSheetId="8">#REF!</definedName>
    <definedName name="_____SP026" localSheetId="10">#REF!</definedName>
    <definedName name="_____SP026" localSheetId="11">#REF!</definedName>
    <definedName name="_____SP026" localSheetId="29">#REF!</definedName>
    <definedName name="_____SP026">#REF!</definedName>
    <definedName name="_____SP027" localSheetId="8">#REF!</definedName>
    <definedName name="_____SP027" localSheetId="10">#REF!</definedName>
    <definedName name="_____SP027" localSheetId="11">#REF!</definedName>
    <definedName name="_____SP027" localSheetId="29">#REF!</definedName>
    <definedName name="_____SP027">#REF!</definedName>
    <definedName name="_____SP028" localSheetId="8">#REF!</definedName>
    <definedName name="_____SP028" localSheetId="10">#REF!</definedName>
    <definedName name="_____SP028" localSheetId="11">#REF!</definedName>
    <definedName name="_____SP028" localSheetId="29">#REF!</definedName>
    <definedName name="_____SP028">#REF!</definedName>
    <definedName name="_____SP029" localSheetId="8">#REF!</definedName>
    <definedName name="_____SP029" localSheetId="10">#REF!</definedName>
    <definedName name="_____SP029" localSheetId="11">#REF!</definedName>
    <definedName name="_____SP029" localSheetId="29">#REF!</definedName>
    <definedName name="_____SP029">#REF!</definedName>
    <definedName name="_____SP030" localSheetId="8">#REF!</definedName>
    <definedName name="_____SP030" localSheetId="10">#REF!</definedName>
    <definedName name="_____SP030" localSheetId="11">#REF!</definedName>
    <definedName name="_____SP030" localSheetId="29">#REF!</definedName>
    <definedName name="_____SP030">#REF!</definedName>
    <definedName name="_____SP031" localSheetId="8">#REF!</definedName>
    <definedName name="_____SP031" localSheetId="10">#REF!</definedName>
    <definedName name="_____SP031" localSheetId="11">#REF!</definedName>
    <definedName name="_____SP031" localSheetId="29">#REF!</definedName>
    <definedName name="_____SP031">#REF!</definedName>
    <definedName name="_____SP032" localSheetId="8">#REF!</definedName>
    <definedName name="_____SP032" localSheetId="10">#REF!</definedName>
    <definedName name="_____SP032" localSheetId="11">#REF!</definedName>
    <definedName name="_____SP032" localSheetId="29">#REF!</definedName>
    <definedName name="_____SP032">#REF!</definedName>
    <definedName name="_____SP033" localSheetId="8">#REF!</definedName>
    <definedName name="_____SP033" localSheetId="10">#REF!</definedName>
    <definedName name="_____SP033" localSheetId="11">#REF!</definedName>
    <definedName name="_____SP033" localSheetId="29">#REF!</definedName>
    <definedName name="_____SP033">#REF!</definedName>
    <definedName name="_____SP034" localSheetId="8">#REF!</definedName>
    <definedName name="_____SP034" localSheetId="10">#REF!</definedName>
    <definedName name="_____SP034" localSheetId="11">#REF!</definedName>
    <definedName name="_____SP034" localSheetId="29">#REF!</definedName>
    <definedName name="_____SP034">#REF!</definedName>
    <definedName name="_____SP035" localSheetId="8">#REF!</definedName>
    <definedName name="_____SP035" localSheetId="10">#REF!</definedName>
    <definedName name="_____SP035" localSheetId="11">#REF!</definedName>
    <definedName name="_____SP035" localSheetId="29">#REF!</definedName>
    <definedName name="_____SP035">#REF!</definedName>
    <definedName name="_____SP036" localSheetId="8">#REF!</definedName>
    <definedName name="_____SP036" localSheetId="10">#REF!</definedName>
    <definedName name="_____SP036" localSheetId="11">#REF!</definedName>
    <definedName name="_____SP036" localSheetId="29">#REF!</definedName>
    <definedName name="_____SP036">#REF!</definedName>
    <definedName name="_____SP037" localSheetId="8">#REF!</definedName>
    <definedName name="_____SP037" localSheetId="10">#REF!</definedName>
    <definedName name="_____SP037" localSheetId="11">#REF!</definedName>
    <definedName name="_____SP037" localSheetId="29">#REF!</definedName>
    <definedName name="_____SP037">#REF!</definedName>
    <definedName name="_____SP038" localSheetId="8">#REF!</definedName>
    <definedName name="_____SP038" localSheetId="10">#REF!</definedName>
    <definedName name="_____SP038" localSheetId="11">#REF!</definedName>
    <definedName name="_____SP038" localSheetId="29">#REF!</definedName>
    <definedName name="_____SP038">#REF!</definedName>
    <definedName name="_____SP039" localSheetId="8">#REF!</definedName>
    <definedName name="_____SP039" localSheetId="10">#REF!</definedName>
    <definedName name="_____SP039" localSheetId="11">#REF!</definedName>
    <definedName name="_____SP039" localSheetId="29">#REF!</definedName>
    <definedName name="_____SP039">#REF!</definedName>
    <definedName name="_____SP040" localSheetId="8">#REF!</definedName>
    <definedName name="_____SP040" localSheetId="10">#REF!</definedName>
    <definedName name="_____SP040" localSheetId="11">#REF!</definedName>
    <definedName name="_____SP040" localSheetId="29">#REF!</definedName>
    <definedName name="_____SP040">#REF!</definedName>
    <definedName name="_____SP041" localSheetId="8">#REF!</definedName>
    <definedName name="_____SP041" localSheetId="10">#REF!</definedName>
    <definedName name="_____SP041" localSheetId="11">#REF!</definedName>
    <definedName name="_____SP041" localSheetId="29">#REF!</definedName>
    <definedName name="_____SP041">#REF!</definedName>
    <definedName name="_____SP042" localSheetId="8">#REF!</definedName>
    <definedName name="_____SP042" localSheetId="10">#REF!</definedName>
    <definedName name="_____SP042" localSheetId="11">#REF!</definedName>
    <definedName name="_____SP042" localSheetId="29">#REF!</definedName>
    <definedName name="_____SP042">#REF!</definedName>
    <definedName name="_____SP043" localSheetId="8">#REF!</definedName>
    <definedName name="_____SP043" localSheetId="10">#REF!</definedName>
    <definedName name="_____SP043" localSheetId="11">#REF!</definedName>
    <definedName name="_____SP043" localSheetId="29">#REF!</definedName>
    <definedName name="_____SP043">#REF!</definedName>
    <definedName name="_____SP044" localSheetId="8">#REF!</definedName>
    <definedName name="_____SP044" localSheetId="10">#REF!</definedName>
    <definedName name="_____SP044" localSheetId="11">#REF!</definedName>
    <definedName name="_____SP044" localSheetId="29">#REF!</definedName>
    <definedName name="_____SP044">#REF!</definedName>
    <definedName name="_____SP045" localSheetId="8">#REF!</definedName>
    <definedName name="_____SP045" localSheetId="10">#REF!</definedName>
    <definedName name="_____SP045" localSheetId="11">#REF!</definedName>
    <definedName name="_____SP045" localSheetId="29">#REF!</definedName>
    <definedName name="_____SP045">#REF!</definedName>
    <definedName name="_____SP046" localSheetId="8">#REF!</definedName>
    <definedName name="_____SP046" localSheetId="10">#REF!</definedName>
    <definedName name="_____SP046" localSheetId="11">#REF!</definedName>
    <definedName name="_____SP046" localSheetId="29">#REF!</definedName>
    <definedName name="_____SP046">#REF!</definedName>
    <definedName name="_____SP047" localSheetId="8">#REF!</definedName>
    <definedName name="_____SP047" localSheetId="10">#REF!</definedName>
    <definedName name="_____SP047" localSheetId="11">#REF!</definedName>
    <definedName name="_____SP047" localSheetId="29">#REF!</definedName>
    <definedName name="_____SP047">#REF!</definedName>
    <definedName name="_____SP048" localSheetId="8">#REF!</definedName>
    <definedName name="_____SP048" localSheetId="10">#REF!</definedName>
    <definedName name="_____SP048" localSheetId="11">#REF!</definedName>
    <definedName name="_____SP048" localSheetId="29">#REF!</definedName>
    <definedName name="_____SP048">#REF!</definedName>
    <definedName name="_____SP049" localSheetId="8">#REF!</definedName>
    <definedName name="_____SP049" localSheetId="10">#REF!</definedName>
    <definedName name="_____SP049" localSheetId="11">#REF!</definedName>
    <definedName name="_____SP049" localSheetId="29">#REF!</definedName>
    <definedName name="_____SP049">#REF!</definedName>
    <definedName name="_____SP050" localSheetId="8">#REF!</definedName>
    <definedName name="_____SP050" localSheetId="10">#REF!</definedName>
    <definedName name="_____SP050" localSheetId="11">#REF!</definedName>
    <definedName name="_____SP050" localSheetId="29">#REF!</definedName>
    <definedName name="_____SP050">#REF!</definedName>
    <definedName name="_____SP051" localSheetId="8">#REF!</definedName>
    <definedName name="_____SP051" localSheetId="10">#REF!</definedName>
    <definedName name="_____SP051" localSheetId="11">#REF!</definedName>
    <definedName name="_____SP051" localSheetId="29">#REF!</definedName>
    <definedName name="_____SP051">#REF!</definedName>
    <definedName name="_____SP052" localSheetId="8">#REF!</definedName>
    <definedName name="_____SP052" localSheetId="10">#REF!</definedName>
    <definedName name="_____SP052" localSheetId="11">#REF!</definedName>
    <definedName name="_____SP052" localSheetId="29">#REF!</definedName>
    <definedName name="_____SP052">#REF!</definedName>
    <definedName name="_____SP053" localSheetId="8">#REF!</definedName>
    <definedName name="_____SP053" localSheetId="10">#REF!</definedName>
    <definedName name="_____SP053" localSheetId="11">#REF!</definedName>
    <definedName name="_____SP053" localSheetId="29">#REF!</definedName>
    <definedName name="_____SP053">#REF!</definedName>
    <definedName name="_____SP054" localSheetId="8">#REF!</definedName>
    <definedName name="_____SP054" localSheetId="10">#REF!</definedName>
    <definedName name="_____SP054" localSheetId="11">#REF!</definedName>
    <definedName name="_____SP054" localSheetId="29">#REF!</definedName>
    <definedName name="_____SP054">#REF!</definedName>
    <definedName name="_____SP055" localSheetId="8">#REF!</definedName>
    <definedName name="_____SP055" localSheetId="10">#REF!</definedName>
    <definedName name="_____SP055" localSheetId="11">#REF!</definedName>
    <definedName name="_____SP055" localSheetId="29">#REF!</definedName>
    <definedName name="_____SP055">#REF!</definedName>
    <definedName name="_____SP056" localSheetId="8">#REF!</definedName>
    <definedName name="_____SP056" localSheetId="10">#REF!</definedName>
    <definedName name="_____SP056" localSheetId="11">#REF!</definedName>
    <definedName name="_____SP056" localSheetId="29">#REF!</definedName>
    <definedName name="_____SP056">#REF!</definedName>
    <definedName name="_____SP057" localSheetId="8">#REF!</definedName>
    <definedName name="_____SP057" localSheetId="10">#REF!</definedName>
    <definedName name="_____SP057" localSheetId="11">#REF!</definedName>
    <definedName name="_____SP057" localSheetId="29">#REF!</definedName>
    <definedName name="_____SP057">#REF!</definedName>
    <definedName name="_____SP058" localSheetId="8">#REF!</definedName>
    <definedName name="_____SP058" localSheetId="10">#REF!</definedName>
    <definedName name="_____SP058" localSheetId="11">#REF!</definedName>
    <definedName name="_____SP058" localSheetId="29">#REF!</definedName>
    <definedName name="_____SP058">#REF!</definedName>
    <definedName name="_____SP059" localSheetId="8">#REF!</definedName>
    <definedName name="_____SP059" localSheetId="10">#REF!</definedName>
    <definedName name="_____SP059" localSheetId="11">#REF!</definedName>
    <definedName name="_____SP059" localSheetId="29">#REF!</definedName>
    <definedName name="_____SP059">#REF!</definedName>
    <definedName name="_____SP060" localSheetId="8">#REF!</definedName>
    <definedName name="_____SP060" localSheetId="10">#REF!</definedName>
    <definedName name="_____SP060" localSheetId="11">#REF!</definedName>
    <definedName name="_____SP060" localSheetId="29">#REF!</definedName>
    <definedName name="_____SP060">#REF!</definedName>
    <definedName name="_____SP061" localSheetId="8">#REF!</definedName>
    <definedName name="_____SP061" localSheetId="10">#REF!</definedName>
    <definedName name="_____SP061" localSheetId="11">#REF!</definedName>
    <definedName name="_____SP061" localSheetId="29">#REF!</definedName>
    <definedName name="_____SP061">#REF!</definedName>
    <definedName name="_____SP062" localSheetId="8">#REF!</definedName>
    <definedName name="_____SP062" localSheetId="10">#REF!</definedName>
    <definedName name="_____SP062" localSheetId="11">#REF!</definedName>
    <definedName name="_____SP062" localSheetId="29">#REF!</definedName>
    <definedName name="_____SP062">#REF!</definedName>
    <definedName name="_____SP063" localSheetId="8">#REF!</definedName>
    <definedName name="_____SP063" localSheetId="10">#REF!</definedName>
    <definedName name="_____SP063" localSheetId="11">#REF!</definedName>
    <definedName name="_____SP063" localSheetId="29">#REF!</definedName>
    <definedName name="_____SP063">#REF!</definedName>
    <definedName name="_____SP064" localSheetId="8">#REF!</definedName>
    <definedName name="_____SP064" localSheetId="10">#REF!</definedName>
    <definedName name="_____SP064" localSheetId="11">#REF!</definedName>
    <definedName name="_____SP064" localSheetId="29">#REF!</definedName>
    <definedName name="_____SP064">#REF!</definedName>
    <definedName name="_____SP065" localSheetId="8">#REF!</definedName>
    <definedName name="_____SP065" localSheetId="10">#REF!</definedName>
    <definedName name="_____SP065" localSheetId="11">#REF!</definedName>
    <definedName name="_____SP065" localSheetId="29">#REF!</definedName>
    <definedName name="_____SP065">#REF!</definedName>
    <definedName name="_____SP066" localSheetId="8">#REF!</definedName>
    <definedName name="_____SP066" localSheetId="10">#REF!</definedName>
    <definedName name="_____SP066" localSheetId="11">#REF!</definedName>
    <definedName name="_____SP066" localSheetId="29">#REF!</definedName>
    <definedName name="_____SP066">#REF!</definedName>
    <definedName name="_____SP067" localSheetId="8">#REF!</definedName>
    <definedName name="_____SP067" localSheetId="10">#REF!</definedName>
    <definedName name="_____SP067" localSheetId="11">#REF!</definedName>
    <definedName name="_____SP067" localSheetId="29">#REF!</definedName>
    <definedName name="_____SP067">#REF!</definedName>
    <definedName name="_____SP068" localSheetId="8">#REF!</definedName>
    <definedName name="_____SP068" localSheetId="10">#REF!</definedName>
    <definedName name="_____SP068" localSheetId="11">#REF!</definedName>
    <definedName name="_____SP068" localSheetId="29">#REF!</definedName>
    <definedName name="_____SP068">#REF!</definedName>
    <definedName name="_____SP069" localSheetId="8">#REF!</definedName>
    <definedName name="_____SP069" localSheetId="10">#REF!</definedName>
    <definedName name="_____SP069" localSheetId="11">#REF!</definedName>
    <definedName name="_____SP069" localSheetId="29">#REF!</definedName>
    <definedName name="_____SP069">#REF!</definedName>
    <definedName name="_____SP070" localSheetId="8">#REF!</definedName>
    <definedName name="_____SP070" localSheetId="10">#REF!</definedName>
    <definedName name="_____SP070" localSheetId="11">#REF!</definedName>
    <definedName name="_____SP070" localSheetId="29">#REF!</definedName>
    <definedName name="_____SP070">#REF!</definedName>
    <definedName name="_____sp071" localSheetId="8">#REF!</definedName>
    <definedName name="_____sp071" localSheetId="10">#REF!</definedName>
    <definedName name="_____sp071" localSheetId="11">#REF!</definedName>
    <definedName name="_____sp071" localSheetId="29">#REF!</definedName>
    <definedName name="_____sp071">#REF!</definedName>
    <definedName name="_____SP072" localSheetId="8">#REF!</definedName>
    <definedName name="_____SP072" localSheetId="10">#REF!</definedName>
    <definedName name="_____SP072" localSheetId="11">#REF!</definedName>
    <definedName name="_____SP072" localSheetId="29">#REF!</definedName>
    <definedName name="_____SP072">#REF!</definedName>
    <definedName name="_____SP073" localSheetId="8">#REF!</definedName>
    <definedName name="_____SP073" localSheetId="10">#REF!</definedName>
    <definedName name="_____SP073" localSheetId="11">#REF!</definedName>
    <definedName name="_____SP073" localSheetId="29">#REF!</definedName>
    <definedName name="_____SP073">#REF!</definedName>
    <definedName name="_____SP074" localSheetId="8">#REF!</definedName>
    <definedName name="_____SP074" localSheetId="10">#REF!</definedName>
    <definedName name="_____SP074" localSheetId="11">#REF!</definedName>
    <definedName name="_____SP074" localSheetId="29">#REF!</definedName>
    <definedName name="_____SP074">#REF!</definedName>
    <definedName name="_____SP075" localSheetId="8">#REF!</definedName>
    <definedName name="_____SP075" localSheetId="10">#REF!</definedName>
    <definedName name="_____SP075" localSheetId="11">#REF!</definedName>
    <definedName name="_____SP075" localSheetId="29">#REF!</definedName>
    <definedName name="_____SP075">#REF!</definedName>
    <definedName name="_____SP076" localSheetId="8">#REF!</definedName>
    <definedName name="_____SP076" localSheetId="10">#REF!</definedName>
    <definedName name="_____SP076" localSheetId="11">#REF!</definedName>
    <definedName name="_____SP076" localSheetId="29">#REF!</definedName>
    <definedName name="_____SP076">#REF!</definedName>
    <definedName name="_____SP077" localSheetId="8">#REF!</definedName>
    <definedName name="_____SP077" localSheetId="10">#REF!</definedName>
    <definedName name="_____SP077" localSheetId="11">#REF!</definedName>
    <definedName name="_____SP077" localSheetId="29">#REF!</definedName>
    <definedName name="_____SP077">#REF!</definedName>
    <definedName name="_____sp078" localSheetId="8">#REF!</definedName>
    <definedName name="_____sp078" localSheetId="10">#REF!</definedName>
    <definedName name="_____sp078" localSheetId="11">#REF!</definedName>
    <definedName name="_____sp078" localSheetId="29">#REF!</definedName>
    <definedName name="_____sp078">#REF!</definedName>
    <definedName name="_____SPO79" localSheetId="8">#REF!</definedName>
    <definedName name="_____SPO79" localSheetId="10">#REF!</definedName>
    <definedName name="_____SPO79" localSheetId="11">#REF!</definedName>
    <definedName name="_____SPO79" localSheetId="29">#REF!</definedName>
    <definedName name="_____SPO79">#REF!</definedName>
    <definedName name="_____sw1" localSheetId="29">#REF!</definedName>
    <definedName name="_____t1">#REF!</definedName>
    <definedName name="_____t2">#REF!</definedName>
    <definedName name="_____tab1">#REF!</definedName>
    <definedName name="_____us1">#REF!</definedName>
    <definedName name="_____var1" localSheetId="21">#REF!</definedName>
    <definedName name="_____var1" localSheetId="5">#REF!</definedName>
    <definedName name="_____var1" localSheetId="8">#REF!</definedName>
    <definedName name="_____var1" localSheetId="10">#REF!</definedName>
    <definedName name="_____var1" localSheetId="11">#REF!</definedName>
    <definedName name="_____var1" localSheetId="29">#REF!</definedName>
    <definedName name="_____var1" localSheetId="31">#REF!</definedName>
    <definedName name="_____var1" localSheetId="35">#REF!</definedName>
    <definedName name="_____var1" localSheetId="36">#REF!</definedName>
    <definedName name="_____var1">#REF!</definedName>
    <definedName name="_____var1_33">"$#REF!.$#REF!$#REF!"</definedName>
    <definedName name="_____var1_38">"$#REF!.$#REF!$#REF!"</definedName>
    <definedName name="_____var1_41">"$#REF!.$#REF!$#REF!"</definedName>
    <definedName name="_____var1_7">"$#REF!.$#REF!$#REF!"</definedName>
    <definedName name="_____var1_8">"$#REF!.$#REF!$#REF!"</definedName>
    <definedName name="_____var4" localSheetId="21">#REF!</definedName>
    <definedName name="_____var4" localSheetId="5">#REF!</definedName>
    <definedName name="_____var4" localSheetId="8">#REF!</definedName>
    <definedName name="_____var4" localSheetId="10">#REF!</definedName>
    <definedName name="_____var4" localSheetId="11">#REF!</definedName>
    <definedName name="_____var4" localSheetId="29">#REF!</definedName>
    <definedName name="_____var4" localSheetId="31">#REF!</definedName>
    <definedName name="_____var4" localSheetId="35">#REF!</definedName>
    <definedName name="_____var4" localSheetId="36">#REF!</definedName>
    <definedName name="_____var4">#REF!</definedName>
    <definedName name="_____var4_33">"$#REF!.$#REF!$#REF!"</definedName>
    <definedName name="_____var4_38">"$#REF!.$#REF!$#REF!"</definedName>
    <definedName name="_____var4_41">"$#REF!.$#REF!$#REF!"</definedName>
    <definedName name="_____var4_7">"$#REF!.$#REF!$#REF!"</definedName>
    <definedName name="_____var4_8">"$#REF!.$#REF!$#REF!"</definedName>
    <definedName name="_____vat1" localSheetId="8">#REF!</definedName>
    <definedName name="_____vat1" localSheetId="10">#REF!</definedName>
    <definedName name="_____vat1" localSheetId="29">#REF!</definedName>
    <definedName name="_____vat1">#REF!</definedName>
    <definedName name="_____vat2" localSheetId="8">#REF!</definedName>
    <definedName name="_____vat2" localSheetId="10">#REF!</definedName>
    <definedName name="_____vat2" localSheetId="29">#REF!</definedName>
    <definedName name="_____vat2">#REF!</definedName>
    <definedName name="_____xlfn_BAHTTEXT">#N/A</definedName>
    <definedName name="____abs1" localSheetId="5">#REF!</definedName>
    <definedName name="____abs1" localSheetId="14">#REF!</definedName>
    <definedName name="____abs1" localSheetId="8">#REF!</definedName>
    <definedName name="____abs1" localSheetId="10">#REF!</definedName>
    <definedName name="____abs1" localSheetId="29">#REF!</definedName>
    <definedName name="____abs1">#REF!</definedName>
    <definedName name="____AUX1">#REF!</definedName>
    <definedName name="____aux2" localSheetId="29">#REF!</definedName>
    <definedName name="____AUX3">#REF!</definedName>
    <definedName name="____BSG100" localSheetId="8">#REF!</definedName>
    <definedName name="____BSG100" localSheetId="10">#REF!</definedName>
    <definedName name="____BSG100" localSheetId="29">#REF!</definedName>
    <definedName name="____BSG100">#REF!</definedName>
    <definedName name="____BSG150" localSheetId="8">#REF!</definedName>
    <definedName name="____BSG150" localSheetId="10">#REF!</definedName>
    <definedName name="____BSG150" localSheetId="29">#REF!</definedName>
    <definedName name="____BSG150">#REF!</definedName>
    <definedName name="____BSG5" localSheetId="8">#REF!</definedName>
    <definedName name="____BSG5" localSheetId="10">#REF!</definedName>
    <definedName name="____BSG5" localSheetId="29">#REF!</definedName>
    <definedName name="____BSG5">#REF!</definedName>
    <definedName name="____BSG75" localSheetId="8">#REF!</definedName>
    <definedName name="____BSG75" localSheetId="10">#REF!</definedName>
    <definedName name="____BSG75" localSheetId="29">#REF!</definedName>
    <definedName name="____BSG75">#REF!</definedName>
    <definedName name="____BTC1" localSheetId="8">#REF!</definedName>
    <definedName name="____BTC1" localSheetId="10">#REF!</definedName>
    <definedName name="____BTC1" localSheetId="29">#REF!</definedName>
    <definedName name="____BTC1">#REF!</definedName>
    <definedName name="____BTC10" localSheetId="8">#REF!</definedName>
    <definedName name="____BTC10" localSheetId="10">#REF!</definedName>
    <definedName name="____BTC10" localSheetId="29">#REF!</definedName>
    <definedName name="____BTC10">#REF!</definedName>
    <definedName name="____BTC11" localSheetId="8">#REF!</definedName>
    <definedName name="____BTC11" localSheetId="10">#REF!</definedName>
    <definedName name="____BTC11" localSheetId="29">#REF!</definedName>
    <definedName name="____BTC11">#REF!</definedName>
    <definedName name="____BTC12" localSheetId="8">#REF!</definedName>
    <definedName name="____BTC12" localSheetId="10">#REF!</definedName>
    <definedName name="____BTC12" localSheetId="29">#REF!</definedName>
    <definedName name="____BTC12">#REF!</definedName>
    <definedName name="____BTC13" localSheetId="8">#REF!</definedName>
    <definedName name="____BTC13" localSheetId="10">#REF!</definedName>
    <definedName name="____BTC13" localSheetId="29">#REF!</definedName>
    <definedName name="____BTC13">#REF!</definedName>
    <definedName name="____BTC14" localSheetId="8">#REF!</definedName>
    <definedName name="____BTC14" localSheetId="10">#REF!</definedName>
    <definedName name="____BTC14" localSheetId="29">#REF!</definedName>
    <definedName name="____BTC14">#REF!</definedName>
    <definedName name="____BTC15" localSheetId="8">#REF!</definedName>
    <definedName name="____BTC15" localSheetId="10">#REF!</definedName>
    <definedName name="____BTC15" localSheetId="29">#REF!</definedName>
    <definedName name="____BTC15">#REF!</definedName>
    <definedName name="____BTC16">#REF!</definedName>
    <definedName name="____BTC17">#REF!</definedName>
    <definedName name="____BTC18">#REF!</definedName>
    <definedName name="____BTC19">#REF!</definedName>
    <definedName name="____BTC2" localSheetId="8">#REF!</definedName>
    <definedName name="____BTC2" localSheetId="10">#REF!</definedName>
    <definedName name="____BTC2" localSheetId="29">#REF!</definedName>
    <definedName name="____BTC2">#REF!</definedName>
    <definedName name="____BTC20">#REF!</definedName>
    <definedName name="____BTC21">#REF!</definedName>
    <definedName name="____BTC22">#REF!</definedName>
    <definedName name="____BTC23">#REF!</definedName>
    <definedName name="____BTC24">#REF!</definedName>
    <definedName name="____BTC3" localSheetId="8">#REF!</definedName>
    <definedName name="____BTC3" localSheetId="10">#REF!</definedName>
    <definedName name="____BTC3" localSheetId="29">#REF!</definedName>
    <definedName name="____BTC3">#REF!</definedName>
    <definedName name="____BTC4" localSheetId="8">#REF!</definedName>
    <definedName name="____BTC4" localSheetId="10">#REF!</definedName>
    <definedName name="____BTC4" localSheetId="29">#REF!</definedName>
    <definedName name="____BTC4">#REF!</definedName>
    <definedName name="____BTC5" localSheetId="8">#REF!</definedName>
    <definedName name="____BTC5" localSheetId="10">#REF!</definedName>
    <definedName name="____BTC5" localSheetId="29">#REF!</definedName>
    <definedName name="____BTC5">#REF!</definedName>
    <definedName name="____BTC6" localSheetId="8">#REF!</definedName>
    <definedName name="____BTC6" localSheetId="10">#REF!</definedName>
    <definedName name="____BTC6" localSheetId="29">#REF!</definedName>
    <definedName name="____BTC6">#REF!</definedName>
    <definedName name="____BTC7" localSheetId="8">#REF!</definedName>
    <definedName name="____BTC7" localSheetId="10">#REF!</definedName>
    <definedName name="____BTC7" localSheetId="29">#REF!</definedName>
    <definedName name="____BTC7">#REF!</definedName>
    <definedName name="____BTC8" localSheetId="8">#REF!</definedName>
    <definedName name="____BTC8" localSheetId="10">#REF!</definedName>
    <definedName name="____BTC8" localSheetId="29">#REF!</definedName>
    <definedName name="____BTC8">#REF!</definedName>
    <definedName name="____BTC9" localSheetId="8">#REF!</definedName>
    <definedName name="____BTC9" localSheetId="10">#REF!</definedName>
    <definedName name="____BTC9" localSheetId="29">#REF!</definedName>
    <definedName name="____BTC9">#REF!</definedName>
    <definedName name="____BTR1">#REF!</definedName>
    <definedName name="____BTR10">#REF!</definedName>
    <definedName name="____BTR11">#REF!</definedName>
    <definedName name="____BTR12">#REF!</definedName>
    <definedName name="____BTR13">#REF!</definedName>
    <definedName name="____BTR14">#REF!</definedName>
    <definedName name="____BTR15">#REF!</definedName>
    <definedName name="____BTR16">#REF!</definedName>
    <definedName name="____BTR17">#REF!</definedName>
    <definedName name="____BTR18">#REF!</definedName>
    <definedName name="____BTR19">#REF!</definedName>
    <definedName name="____BTR2">#REF!</definedName>
    <definedName name="____BTR20">#REF!</definedName>
    <definedName name="____BTR21">#REF!</definedName>
    <definedName name="____BTR22">#REF!</definedName>
    <definedName name="____BTR23">#REF!</definedName>
    <definedName name="____BTR24">#REF!</definedName>
    <definedName name="____BTR3">#REF!</definedName>
    <definedName name="____BTR4">#REF!</definedName>
    <definedName name="____BTR5">#REF!</definedName>
    <definedName name="____BTR6">#REF!</definedName>
    <definedName name="____BTR7">#REF!</definedName>
    <definedName name="____BTR8">#REF!</definedName>
    <definedName name="____BTR9">#REF!</definedName>
    <definedName name="____BTS1" localSheetId="8">#REF!</definedName>
    <definedName name="____BTS1" localSheetId="10">#REF!</definedName>
    <definedName name="____BTS1" localSheetId="29">#REF!</definedName>
    <definedName name="____BTS1">#REF!</definedName>
    <definedName name="____BTS10" localSheetId="8">#REF!</definedName>
    <definedName name="____BTS10" localSheetId="10">#REF!</definedName>
    <definedName name="____BTS10" localSheetId="29">#REF!</definedName>
    <definedName name="____BTS10">#REF!</definedName>
    <definedName name="____BTS11" localSheetId="8">#REF!</definedName>
    <definedName name="____BTS11" localSheetId="10">#REF!</definedName>
    <definedName name="____BTS11" localSheetId="29">#REF!</definedName>
    <definedName name="____BTS11">#REF!</definedName>
    <definedName name="____BTS12" localSheetId="8">#REF!</definedName>
    <definedName name="____BTS12" localSheetId="10">#REF!</definedName>
    <definedName name="____BTS12" localSheetId="29">#REF!</definedName>
    <definedName name="____BTS12">#REF!</definedName>
    <definedName name="____BTS13" localSheetId="8">#REF!</definedName>
    <definedName name="____BTS13" localSheetId="10">#REF!</definedName>
    <definedName name="____BTS13" localSheetId="29">#REF!</definedName>
    <definedName name="____BTS13">#REF!</definedName>
    <definedName name="____BTS14" localSheetId="8">#REF!</definedName>
    <definedName name="____BTS14" localSheetId="10">#REF!</definedName>
    <definedName name="____BTS14" localSheetId="29">#REF!</definedName>
    <definedName name="____BTS14">#REF!</definedName>
    <definedName name="____BTS15" localSheetId="8">#REF!</definedName>
    <definedName name="____BTS15" localSheetId="10">#REF!</definedName>
    <definedName name="____BTS15" localSheetId="29">#REF!</definedName>
    <definedName name="____BTS15">#REF!</definedName>
    <definedName name="____BTS16">#REF!</definedName>
    <definedName name="____BTS17">#REF!</definedName>
    <definedName name="____BTS18">#REF!</definedName>
    <definedName name="____BTS19">#REF!</definedName>
    <definedName name="____BTS2" localSheetId="8">#REF!</definedName>
    <definedName name="____BTS2" localSheetId="10">#REF!</definedName>
    <definedName name="____BTS2" localSheetId="29">#REF!</definedName>
    <definedName name="____BTS2">#REF!</definedName>
    <definedName name="____BTS20">#REF!</definedName>
    <definedName name="____BTS21">#REF!</definedName>
    <definedName name="____BTS22">#REF!</definedName>
    <definedName name="____BTS23">#REF!</definedName>
    <definedName name="____BTS24">#REF!</definedName>
    <definedName name="____BTS3" localSheetId="8">#REF!</definedName>
    <definedName name="____BTS3" localSheetId="10">#REF!</definedName>
    <definedName name="____BTS3" localSheetId="29">#REF!</definedName>
    <definedName name="____BTS3">#REF!</definedName>
    <definedName name="____BTS4" localSheetId="8">#REF!</definedName>
    <definedName name="____BTS4" localSheetId="10">#REF!</definedName>
    <definedName name="____BTS4" localSheetId="29">#REF!</definedName>
    <definedName name="____BTS4">#REF!</definedName>
    <definedName name="____BTS5" localSheetId="8">#REF!</definedName>
    <definedName name="____BTS5" localSheetId="10">#REF!</definedName>
    <definedName name="____BTS5" localSheetId="29">#REF!</definedName>
    <definedName name="____BTS5">#REF!</definedName>
    <definedName name="____BTS6" localSheetId="8">#REF!</definedName>
    <definedName name="____BTS6" localSheetId="10">#REF!</definedName>
    <definedName name="____BTS6" localSheetId="29">#REF!</definedName>
    <definedName name="____BTS6">#REF!</definedName>
    <definedName name="____BTS7" localSheetId="8">#REF!</definedName>
    <definedName name="____BTS7" localSheetId="10">#REF!</definedName>
    <definedName name="____BTS7" localSheetId="29">#REF!</definedName>
    <definedName name="____BTS7">#REF!</definedName>
    <definedName name="____BTS8" localSheetId="8">#REF!</definedName>
    <definedName name="____BTS8" localSheetId="10">#REF!</definedName>
    <definedName name="____BTS8" localSheetId="29">#REF!</definedName>
    <definedName name="____BTS8">#REF!</definedName>
    <definedName name="____BTS9" localSheetId="8">#REF!</definedName>
    <definedName name="____BTS9" localSheetId="10">#REF!</definedName>
    <definedName name="____BTS9" localSheetId="29">#REF!</definedName>
    <definedName name="____BTS9">#REF!</definedName>
    <definedName name="____can430">40.73</definedName>
    <definedName name="____can435">43.3</definedName>
    <definedName name="____cbr1" localSheetId="8">#REF!</definedName>
    <definedName name="____cbr1" localSheetId="10">#REF!</definedName>
    <definedName name="____cbr1" localSheetId="29">#REF!</definedName>
    <definedName name="____cbr1">#REF!</definedName>
    <definedName name="____cbr2" localSheetId="8">#REF!</definedName>
    <definedName name="____cbr2" localSheetId="10">#REF!</definedName>
    <definedName name="____cbr2" localSheetId="29">#REF!</definedName>
    <definedName name="____cbr2">#REF!</definedName>
    <definedName name="____cbr3" localSheetId="8">#REF!</definedName>
    <definedName name="____cbr3" localSheetId="10">#REF!</definedName>
    <definedName name="____cbr3" localSheetId="29">#REF!</definedName>
    <definedName name="____cbr3">#REF!</definedName>
    <definedName name="____cbr4" localSheetId="8">#REF!</definedName>
    <definedName name="____cbr4" localSheetId="10">#REF!</definedName>
    <definedName name="____cbr4" localSheetId="29">#REF!</definedName>
    <definedName name="____cbr4">#REF!</definedName>
    <definedName name="____df3" localSheetId="8">#REF!</definedName>
    <definedName name="____df3" localSheetId="10">#REF!</definedName>
    <definedName name="____df3" localSheetId="11">#REF!</definedName>
    <definedName name="____df3" localSheetId="29">#REF!</definedName>
    <definedName name="____df3">#REF!</definedName>
    <definedName name="____er1">#REF!</definedName>
    <definedName name="____ewe1" localSheetId="11">#REF!</definedName>
    <definedName name="____ewe1" localSheetId="29">#REF!</definedName>
    <definedName name="____f1" localSheetId="8">#REF!</definedName>
    <definedName name="____f1" localSheetId="10">#REF!</definedName>
    <definedName name="____f1" localSheetId="11">#REF!</definedName>
    <definedName name="____f1" localSheetId="29">#REF!</definedName>
    <definedName name="____f1">#REF!</definedName>
    <definedName name="____GBS11" localSheetId="8">#REF!</definedName>
    <definedName name="____GBS11" localSheetId="10">#REF!</definedName>
    <definedName name="____GBS11" localSheetId="29">#REF!</definedName>
    <definedName name="____GBS11">#REF!</definedName>
    <definedName name="____GBS110" localSheetId="8">#REF!</definedName>
    <definedName name="____GBS110" localSheetId="10">#REF!</definedName>
    <definedName name="____GBS110" localSheetId="29">#REF!</definedName>
    <definedName name="____GBS110">#REF!</definedName>
    <definedName name="____GBS111" localSheetId="8">#REF!</definedName>
    <definedName name="____GBS111" localSheetId="10">#REF!</definedName>
    <definedName name="____GBS111" localSheetId="29">#REF!</definedName>
    <definedName name="____GBS111">#REF!</definedName>
    <definedName name="____GBS112" localSheetId="8">#REF!</definedName>
    <definedName name="____GBS112" localSheetId="10">#REF!</definedName>
    <definedName name="____GBS112" localSheetId="29">#REF!</definedName>
    <definedName name="____GBS112">#REF!</definedName>
    <definedName name="____GBS113" localSheetId="8">#REF!</definedName>
    <definedName name="____GBS113" localSheetId="10">#REF!</definedName>
    <definedName name="____GBS113" localSheetId="29">#REF!</definedName>
    <definedName name="____GBS113">#REF!</definedName>
    <definedName name="____GBS114" localSheetId="8">#REF!</definedName>
    <definedName name="____GBS114" localSheetId="10">#REF!</definedName>
    <definedName name="____GBS114" localSheetId="29">#REF!</definedName>
    <definedName name="____GBS114">#REF!</definedName>
    <definedName name="____GBS115" localSheetId="8">#REF!</definedName>
    <definedName name="____GBS115" localSheetId="10">#REF!</definedName>
    <definedName name="____GBS115" localSheetId="29">#REF!</definedName>
    <definedName name="____GBS115">#REF!</definedName>
    <definedName name="____GBS116">#REF!</definedName>
    <definedName name="____GBS117">#REF!</definedName>
    <definedName name="____GBS118">#REF!</definedName>
    <definedName name="____GBS119">#REF!</definedName>
    <definedName name="____GBS12" localSheetId="8">#REF!</definedName>
    <definedName name="____GBS12" localSheetId="10">#REF!</definedName>
    <definedName name="____GBS12" localSheetId="29">#REF!</definedName>
    <definedName name="____GBS12">#REF!</definedName>
    <definedName name="____GBS120">#REF!</definedName>
    <definedName name="____GBS121">#REF!</definedName>
    <definedName name="____GBS122">#REF!</definedName>
    <definedName name="____GBS123">#REF!</definedName>
    <definedName name="____GBS124">#REF!</definedName>
    <definedName name="____GBS13" localSheetId="8">#REF!</definedName>
    <definedName name="____GBS13" localSheetId="10">#REF!</definedName>
    <definedName name="____GBS13" localSheetId="29">#REF!</definedName>
    <definedName name="____GBS13">#REF!</definedName>
    <definedName name="____GBS14" localSheetId="8">#REF!</definedName>
    <definedName name="____GBS14" localSheetId="10">#REF!</definedName>
    <definedName name="____GBS14" localSheetId="29">#REF!</definedName>
    <definedName name="____GBS14">#REF!</definedName>
    <definedName name="____GBS15" localSheetId="8">#REF!</definedName>
    <definedName name="____GBS15" localSheetId="10">#REF!</definedName>
    <definedName name="____GBS15" localSheetId="29">#REF!</definedName>
    <definedName name="____GBS15">#REF!</definedName>
    <definedName name="____GBS16" localSheetId="8">#REF!</definedName>
    <definedName name="____GBS16" localSheetId="10">#REF!</definedName>
    <definedName name="____GBS16" localSheetId="29">#REF!</definedName>
    <definedName name="____GBS16">#REF!</definedName>
    <definedName name="____GBS17" localSheetId="8">#REF!</definedName>
    <definedName name="____GBS17" localSheetId="10">#REF!</definedName>
    <definedName name="____GBS17" localSheetId="29">#REF!</definedName>
    <definedName name="____GBS17">#REF!</definedName>
    <definedName name="____GBS18" localSheetId="8">#REF!</definedName>
    <definedName name="____GBS18" localSheetId="10">#REF!</definedName>
    <definedName name="____GBS18" localSheetId="29">#REF!</definedName>
    <definedName name="____GBS18">#REF!</definedName>
    <definedName name="____GBS19" localSheetId="8">#REF!</definedName>
    <definedName name="____GBS19" localSheetId="10">#REF!</definedName>
    <definedName name="____GBS19" localSheetId="29">#REF!</definedName>
    <definedName name="____GBS19">#REF!</definedName>
    <definedName name="____GBS21" localSheetId="8">#REF!</definedName>
    <definedName name="____GBS21" localSheetId="10">#REF!</definedName>
    <definedName name="____GBS21" localSheetId="29">#REF!</definedName>
    <definedName name="____GBS21">#REF!</definedName>
    <definedName name="____GBS210" localSheetId="8">#REF!</definedName>
    <definedName name="____GBS210" localSheetId="10">#REF!</definedName>
    <definedName name="____GBS210" localSheetId="29">#REF!</definedName>
    <definedName name="____GBS210">#REF!</definedName>
    <definedName name="____GBS211" localSheetId="8">#REF!</definedName>
    <definedName name="____GBS211" localSheetId="10">#REF!</definedName>
    <definedName name="____GBS211" localSheetId="29">#REF!</definedName>
    <definedName name="____GBS211">#REF!</definedName>
    <definedName name="____GBS212" localSheetId="8">#REF!</definedName>
    <definedName name="____GBS212" localSheetId="10">#REF!</definedName>
    <definedName name="____GBS212" localSheetId="29">#REF!</definedName>
    <definedName name="____GBS212">#REF!</definedName>
    <definedName name="____GBS213" localSheetId="8">#REF!</definedName>
    <definedName name="____GBS213" localSheetId="10">#REF!</definedName>
    <definedName name="____GBS213" localSheetId="29">#REF!</definedName>
    <definedName name="____GBS213">#REF!</definedName>
    <definedName name="____GBS214" localSheetId="8">#REF!</definedName>
    <definedName name="____GBS214" localSheetId="10">#REF!</definedName>
    <definedName name="____GBS214" localSheetId="29">#REF!</definedName>
    <definedName name="____GBS214">#REF!</definedName>
    <definedName name="____GBS215" localSheetId="8">#REF!</definedName>
    <definedName name="____GBS215" localSheetId="10">#REF!</definedName>
    <definedName name="____GBS215" localSheetId="29">#REF!</definedName>
    <definedName name="____GBS215">#REF!</definedName>
    <definedName name="____GBS216">#REF!</definedName>
    <definedName name="____GBS217">#REF!</definedName>
    <definedName name="____GBS218">#REF!</definedName>
    <definedName name="____GBS219">#REF!</definedName>
    <definedName name="____GBS22" localSheetId="8">#REF!</definedName>
    <definedName name="____GBS22" localSheetId="10">#REF!</definedName>
    <definedName name="____GBS22" localSheetId="29">#REF!</definedName>
    <definedName name="____GBS22">#REF!</definedName>
    <definedName name="____GBS220">#REF!</definedName>
    <definedName name="____GBS221">#REF!</definedName>
    <definedName name="____GBS222">#REF!</definedName>
    <definedName name="____GBS223">#REF!</definedName>
    <definedName name="____GBS224">#REF!</definedName>
    <definedName name="____GBS23" localSheetId="8">#REF!</definedName>
    <definedName name="____GBS23" localSheetId="10">#REF!</definedName>
    <definedName name="____GBS23" localSheetId="29">#REF!</definedName>
    <definedName name="____GBS23">#REF!</definedName>
    <definedName name="____GBS24" localSheetId="8">#REF!</definedName>
    <definedName name="____GBS24" localSheetId="10">#REF!</definedName>
    <definedName name="____GBS24" localSheetId="29">#REF!</definedName>
    <definedName name="____GBS24">#REF!</definedName>
    <definedName name="____GBS25" localSheetId="8">#REF!</definedName>
    <definedName name="____GBS25" localSheetId="10">#REF!</definedName>
    <definedName name="____GBS25" localSheetId="29">#REF!</definedName>
    <definedName name="____GBS25">#REF!</definedName>
    <definedName name="____GBS26" localSheetId="8">#REF!</definedName>
    <definedName name="____GBS26" localSheetId="10">#REF!</definedName>
    <definedName name="____GBS26" localSheetId="29">#REF!</definedName>
    <definedName name="____GBS26">#REF!</definedName>
    <definedName name="____GBS27" localSheetId="8">#REF!</definedName>
    <definedName name="____GBS27" localSheetId="10">#REF!</definedName>
    <definedName name="____GBS27" localSheetId="29">#REF!</definedName>
    <definedName name="____GBS27">#REF!</definedName>
    <definedName name="____GBS28" localSheetId="8">#REF!</definedName>
    <definedName name="____GBS28" localSheetId="10">#REF!</definedName>
    <definedName name="____GBS28" localSheetId="29">#REF!</definedName>
    <definedName name="____GBS28">#REF!</definedName>
    <definedName name="____GBS29" localSheetId="8">#REF!</definedName>
    <definedName name="____GBS29" localSheetId="10">#REF!</definedName>
    <definedName name="____GBS29" localSheetId="29">#REF!</definedName>
    <definedName name="____GBS29">#REF!</definedName>
    <definedName name="____grp10003" localSheetId="8">#REF!</definedName>
    <definedName name="____grp10003" localSheetId="10">#REF!</definedName>
    <definedName name="____grp10003" localSheetId="11">#REF!</definedName>
    <definedName name="____grp10003" localSheetId="29">#REF!</definedName>
    <definedName name="____grp10003">#REF!</definedName>
    <definedName name="____grp3503" localSheetId="8">#REF!</definedName>
    <definedName name="____grp3503" localSheetId="10">#REF!</definedName>
    <definedName name="____grp3503" localSheetId="11">#REF!</definedName>
    <definedName name="____grp3503" localSheetId="29">#REF!</definedName>
    <definedName name="____grp3503">#REF!</definedName>
    <definedName name="____grp4003" localSheetId="8">#REF!</definedName>
    <definedName name="____grp4003" localSheetId="10">#REF!</definedName>
    <definedName name="____grp4003" localSheetId="11">#REF!</definedName>
    <definedName name="____grp4003" localSheetId="29">#REF!</definedName>
    <definedName name="____grp4003">#REF!</definedName>
    <definedName name="____grp4503" localSheetId="8">#REF!</definedName>
    <definedName name="____grp4503" localSheetId="10">#REF!</definedName>
    <definedName name="____grp4503" localSheetId="11">#REF!</definedName>
    <definedName name="____grp4503" localSheetId="29">#REF!</definedName>
    <definedName name="____grp4503">#REF!</definedName>
    <definedName name="____grp5003" localSheetId="8">#REF!</definedName>
    <definedName name="____grp5003" localSheetId="10">#REF!</definedName>
    <definedName name="____grp5003" localSheetId="11">#REF!</definedName>
    <definedName name="____grp5003" localSheetId="29">#REF!</definedName>
    <definedName name="____grp5003">#REF!</definedName>
    <definedName name="____grp6003" localSheetId="8">#REF!</definedName>
    <definedName name="____grp6003" localSheetId="10">#REF!</definedName>
    <definedName name="____grp6003" localSheetId="11">#REF!</definedName>
    <definedName name="____grp6003" localSheetId="29">#REF!</definedName>
    <definedName name="____grp6003">#REF!</definedName>
    <definedName name="____grp7003" localSheetId="8">#REF!</definedName>
    <definedName name="____grp7003" localSheetId="10">#REF!</definedName>
    <definedName name="____grp7003" localSheetId="11">#REF!</definedName>
    <definedName name="____grp7003" localSheetId="29">#REF!</definedName>
    <definedName name="____grp7003">#REF!</definedName>
    <definedName name="____grp8003" localSheetId="8">#REF!</definedName>
    <definedName name="____grp8003" localSheetId="10">#REF!</definedName>
    <definedName name="____grp8003" localSheetId="11">#REF!</definedName>
    <definedName name="____grp8003" localSheetId="29">#REF!</definedName>
    <definedName name="____grp8003">#REF!</definedName>
    <definedName name="____grp9003" localSheetId="8">#REF!</definedName>
    <definedName name="____grp9003" localSheetId="10">#REF!</definedName>
    <definedName name="____grp9003" localSheetId="11">#REF!</definedName>
    <definedName name="____grp9003" localSheetId="29">#REF!</definedName>
    <definedName name="____grp9003">#REF!</definedName>
    <definedName name="____gus1">#REF!</definedName>
    <definedName name="____hpm1">#REF!</definedName>
    <definedName name="____knr2" localSheetId="5">#REF!</definedName>
    <definedName name="____knr2" localSheetId="8">#REF!</definedName>
    <definedName name="____knr2" localSheetId="10">#REF!</definedName>
    <definedName name="____knr2" localSheetId="11">#REF!</definedName>
    <definedName name="____knr2" localSheetId="29">#REF!</definedName>
    <definedName name="____knr2">#REF!</definedName>
    <definedName name="____l12" localSheetId="21">#REF!</definedName>
    <definedName name="____l12" localSheetId="5">#REF!</definedName>
    <definedName name="____l12" localSheetId="8">#REF!</definedName>
    <definedName name="____l12" localSheetId="10">#REF!</definedName>
    <definedName name="____l12" localSheetId="11">#REF!</definedName>
    <definedName name="____l12" localSheetId="29">#REF!</definedName>
    <definedName name="____l12" localSheetId="31">#REF!</definedName>
    <definedName name="____l12" localSheetId="35">#REF!</definedName>
    <definedName name="____l12" localSheetId="36">#REF!</definedName>
    <definedName name="____l12">#REF!</definedName>
    <definedName name="____l12_33">"$#REF!.$#REF!$#REF!"</definedName>
    <definedName name="____l12_38">"$#REF!.$#REF!$#REF!"</definedName>
    <definedName name="____l12_41">"$#REF!.$#REF!$#REF!"</definedName>
    <definedName name="____l12_7">"$#REF!.$#REF!$#REF!"</definedName>
    <definedName name="____l12_8">"$#REF!.$#REF!$#REF!"</definedName>
    <definedName name="____l3" localSheetId="21">#REF!</definedName>
    <definedName name="____l3" localSheetId="5">#REF!</definedName>
    <definedName name="____l3" localSheetId="8">#REF!</definedName>
    <definedName name="____l3" localSheetId="10">#REF!</definedName>
    <definedName name="____l3" localSheetId="11">#REF!</definedName>
    <definedName name="____l3" localSheetId="29">#REF!</definedName>
    <definedName name="____l3" localSheetId="31">#REF!</definedName>
    <definedName name="____l3" localSheetId="35">#REF!</definedName>
    <definedName name="____l3" localSheetId="36">#REF!</definedName>
    <definedName name="____l3">#REF!</definedName>
    <definedName name="____l3_33">"$#REF!.$#REF!$#REF!"</definedName>
    <definedName name="____l3_38">"$#REF!.$#REF!$#REF!"</definedName>
    <definedName name="____l3_41">"$#REF!.$#REF!$#REF!"</definedName>
    <definedName name="____l3_7">"$#REF!.$#REF!$#REF!"</definedName>
    <definedName name="____l3_8">"$#REF!.$#REF!$#REF!"</definedName>
    <definedName name="____l5" localSheetId="21">#REF!</definedName>
    <definedName name="____l5" localSheetId="5">#REF!</definedName>
    <definedName name="____l5" localSheetId="8">#REF!</definedName>
    <definedName name="____l5" localSheetId="10">#REF!</definedName>
    <definedName name="____l5" localSheetId="11">#REF!</definedName>
    <definedName name="____l5" localSheetId="29">#REF!</definedName>
    <definedName name="____l5" localSheetId="31">#REF!</definedName>
    <definedName name="____l5" localSheetId="35">#REF!</definedName>
    <definedName name="____l5" localSheetId="36">#REF!</definedName>
    <definedName name="____l5">#REF!</definedName>
    <definedName name="____l5_33">"$#REF!.$#REF!$#REF!"</definedName>
    <definedName name="____l5_38">"$#REF!.$#REF!$#REF!"</definedName>
    <definedName name="____l5_41">"$#REF!.$#REF!$#REF!"</definedName>
    <definedName name="____l5_7">"$#REF!.$#REF!$#REF!"</definedName>
    <definedName name="____l5_8">"$#REF!.$#REF!$#REF!"</definedName>
    <definedName name="____lcn1">#REF!</definedName>
    <definedName name="____LI9" localSheetId="8">#REF!</definedName>
    <definedName name="____LI9" localSheetId="10">#REF!</definedName>
    <definedName name="____LI9" localSheetId="29">#REF!</definedName>
    <definedName name="____LI9">#REF!</definedName>
    <definedName name="____LII9" localSheetId="8">#REF!</definedName>
    <definedName name="____LII9" localSheetId="10">#REF!</definedName>
    <definedName name="____LII9" localSheetId="29">#REF!</definedName>
    <definedName name="____LII9">#REF!</definedName>
    <definedName name="____lj600" localSheetId="29">#REF!</definedName>
    <definedName name="____lj900">#REF!</definedName>
    <definedName name="____LL3">#REF!</definedName>
    <definedName name="____lm1">#REF!</definedName>
    <definedName name="____MA1">#REF!</definedName>
    <definedName name="____MA2" localSheetId="29">#REF!</definedName>
    <definedName name="____ML11" localSheetId="8">#REF!</definedName>
    <definedName name="____ML11" localSheetId="10">#REF!</definedName>
    <definedName name="____ML11" localSheetId="29">#REF!</definedName>
    <definedName name="____ML11">#REF!</definedName>
    <definedName name="____ML110" localSheetId="8">#REF!</definedName>
    <definedName name="____ML110" localSheetId="10">#REF!</definedName>
    <definedName name="____ML110" localSheetId="29">#REF!</definedName>
    <definedName name="____ML110">#REF!</definedName>
    <definedName name="____ML111" localSheetId="8">#REF!</definedName>
    <definedName name="____ML111" localSheetId="10">#REF!</definedName>
    <definedName name="____ML111" localSheetId="29">#REF!</definedName>
    <definedName name="____ML111">#REF!</definedName>
    <definedName name="____ML112" localSheetId="8">#REF!</definedName>
    <definedName name="____ML112" localSheetId="10">#REF!</definedName>
    <definedName name="____ML112" localSheetId="29">#REF!</definedName>
    <definedName name="____ML112">#REF!</definedName>
    <definedName name="____ML113" localSheetId="8">#REF!</definedName>
    <definedName name="____ML113" localSheetId="10">#REF!</definedName>
    <definedName name="____ML113" localSheetId="29">#REF!</definedName>
    <definedName name="____ML113">#REF!</definedName>
    <definedName name="____ML114" localSheetId="8">#REF!</definedName>
    <definedName name="____ML114" localSheetId="10">#REF!</definedName>
    <definedName name="____ML114" localSheetId="29">#REF!</definedName>
    <definedName name="____ML114">#REF!</definedName>
    <definedName name="____ML115" localSheetId="8">#REF!</definedName>
    <definedName name="____ML115" localSheetId="10">#REF!</definedName>
    <definedName name="____ML115" localSheetId="29">#REF!</definedName>
    <definedName name="____ML115">#REF!</definedName>
    <definedName name="____ML12" localSheetId="8">#REF!</definedName>
    <definedName name="____ML12" localSheetId="10">#REF!</definedName>
    <definedName name="____ML12" localSheetId="29">#REF!</definedName>
    <definedName name="____ML12">#REF!</definedName>
    <definedName name="____ML13" localSheetId="8">#REF!</definedName>
    <definedName name="____ML13" localSheetId="10">#REF!</definedName>
    <definedName name="____ML13" localSheetId="29">#REF!</definedName>
    <definedName name="____ML13">#REF!</definedName>
    <definedName name="____ML14" localSheetId="8">#REF!</definedName>
    <definedName name="____ML14" localSheetId="10">#REF!</definedName>
    <definedName name="____ML14" localSheetId="29">#REF!</definedName>
    <definedName name="____ML14">#REF!</definedName>
    <definedName name="____ML15" localSheetId="8">#REF!</definedName>
    <definedName name="____ML15" localSheetId="10">#REF!</definedName>
    <definedName name="____ML15" localSheetId="29">#REF!</definedName>
    <definedName name="____ML15">#REF!</definedName>
    <definedName name="____ML16" localSheetId="8">#REF!</definedName>
    <definedName name="____ML16" localSheetId="10">#REF!</definedName>
    <definedName name="____ML16" localSheetId="29">#REF!</definedName>
    <definedName name="____ML16">#REF!</definedName>
    <definedName name="____ML17" localSheetId="8">#REF!</definedName>
    <definedName name="____ML17" localSheetId="10">#REF!</definedName>
    <definedName name="____ML17" localSheetId="29">#REF!</definedName>
    <definedName name="____ML17">#REF!</definedName>
    <definedName name="____ML18" localSheetId="8">#REF!</definedName>
    <definedName name="____ML18" localSheetId="10">#REF!</definedName>
    <definedName name="____ML18" localSheetId="29">#REF!</definedName>
    <definedName name="____ML18">#REF!</definedName>
    <definedName name="____ML19" localSheetId="8">#REF!</definedName>
    <definedName name="____ML19" localSheetId="10">#REF!</definedName>
    <definedName name="____ML19" localSheetId="29">#REF!</definedName>
    <definedName name="____ML19">#REF!</definedName>
    <definedName name="____ML21" localSheetId="8">#REF!</definedName>
    <definedName name="____ML21" localSheetId="10">#REF!</definedName>
    <definedName name="____ML21" localSheetId="29">#REF!</definedName>
    <definedName name="____ML21">#REF!</definedName>
    <definedName name="____ML210" localSheetId="8">#REF!</definedName>
    <definedName name="____ML210" localSheetId="10">#REF!</definedName>
    <definedName name="____ML210" localSheetId="29">#REF!</definedName>
    <definedName name="____ML210">#REF!</definedName>
    <definedName name="____ML211" localSheetId="8">#REF!</definedName>
    <definedName name="____ML211" localSheetId="10">#REF!</definedName>
    <definedName name="____ML211" localSheetId="29">#REF!</definedName>
    <definedName name="____ML211">#REF!</definedName>
    <definedName name="____ML212" localSheetId="8">#REF!</definedName>
    <definedName name="____ML212" localSheetId="10">#REF!</definedName>
    <definedName name="____ML212" localSheetId="29">#REF!</definedName>
    <definedName name="____ML212">#REF!</definedName>
    <definedName name="____ML213" localSheetId="8">#REF!</definedName>
    <definedName name="____ML213" localSheetId="10">#REF!</definedName>
    <definedName name="____ML213" localSheetId="29">#REF!</definedName>
    <definedName name="____ML213">#REF!</definedName>
    <definedName name="____ML214" localSheetId="8">#REF!</definedName>
    <definedName name="____ML214" localSheetId="10">#REF!</definedName>
    <definedName name="____ML214" localSheetId="29">#REF!</definedName>
    <definedName name="____ML214">#REF!</definedName>
    <definedName name="____ML215" localSheetId="8">#REF!</definedName>
    <definedName name="____ML215" localSheetId="10">#REF!</definedName>
    <definedName name="____ML215" localSheetId="29">#REF!</definedName>
    <definedName name="____ML215">#REF!</definedName>
    <definedName name="____ML216">#REF!</definedName>
    <definedName name="____ML217">#REF!</definedName>
    <definedName name="____ML218">#REF!</definedName>
    <definedName name="____ML219">#REF!</definedName>
    <definedName name="____ML22" localSheetId="8">#REF!</definedName>
    <definedName name="____ML22" localSheetId="10">#REF!</definedName>
    <definedName name="____ML22" localSheetId="29">#REF!</definedName>
    <definedName name="____ML22">#REF!</definedName>
    <definedName name="____ML220">#REF!</definedName>
    <definedName name="____ML221">#REF!</definedName>
    <definedName name="____ML222">#REF!</definedName>
    <definedName name="____ML223">#REF!</definedName>
    <definedName name="____ML224">#REF!</definedName>
    <definedName name="____ML23" localSheetId="8">#REF!</definedName>
    <definedName name="____ML23" localSheetId="10">#REF!</definedName>
    <definedName name="____ML23" localSheetId="29">#REF!</definedName>
    <definedName name="____ML23">#REF!</definedName>
    <definedName name="____ML24" localSheetId="8">#REF!</definedName>
    <definedName name="____ML24" localSheetId="10">#REF!</definedName>
    <definedName name="____ML24" localSheetId="29">#REF!</definedName>
    <definedName name="____ML24">#REF!</definedName>
    <definedName name="____ML25" localSheetId="8">#REF!</definedName>
    <definedName name="____ML25" localSheetId="10">#REF!</definedName>
    <definedName name="____ML25" localSheetId="29">#REF!</definedName>
    <definedName name="____ML25">#REF!</definedName>
    <definedName name="____ML26" localSheetId="8">#REF!</definedName>
    <definedName name="____ML26" localSheetId="10">#REF!</definedName>
    <definedName name="____ML26" localSheetId="29">#REF!</definedName>
    <definedName name="____ML26">#REF!</definedName>
    <definedName name="____ML27" localSheetId="8">#REF!</definedName>
    <definedName name="____ML27" localSheetId="10">#REF!</definedName>
    <definedName name="____ML27" localSheetId="29">#REF!</definedName>
    <definedName name="____ML27">#REF!</definedName>
    <definedName name="____ML28" localSheetId="8">#REF!</definedName>
    <definedName name="____ML28" localSheetId="10">#REF!</definedName>
    <definedName name="____ML28" localSheetId="29">#REF!</definedName>
    <definedName name="____ML28">#REF!</definedName>
    <definedName name="____ML29" localSheetId="8">#REF!</definedName>
    <definedName name="____ML29" localSheetId="10">#REF!</definedName>
    <definedName name="____ML29" localSheetId="29">#REF!</definedName>
    <definedName name="____ML29">#REF!</definedName>
    <definedName name="____ML31" localSheetId="8">#REF!</definedName>
    <definedName name="____ML31" localSheetId="10">#REF!</definedName>
    <definedName name="____ML31" localSheetId="29">#REF!</definedName>
    <definedName name="____ML31">#REF!</definedName>
    <definedName name="____ML310" localSheetId="8">#REF!</definedName>
    <definedName name="____ML310" localSheetId="10">#REF!</definedName>
    <definedName name="____ML310" localSheetId="29">#REF!</definedName>
    <definedName name="____ML310">#REF!</definedName>
    <definedName name="____ML311" localSheetId="8">#REF!</definedName>
    <definedName name="____ML311" localSheetId="10">#REF!</definedName>
    <definedName name="____ML311" localSheetId="29">#REF!</definedName>
    <definedName name="____ML311">#REF!</definedName>
    <definedName name="____ML312" localSheetId="8">#REF!</definedName>
    <definedName name="____ML312" localSheetId="10">#REF!</definedName>
    <definedName name="____ML312" localSheetId="29">#REF!</definedName>
    <definedName name="____ML312">#REF!</definedName>
    <definedName name="____ML313" localSheetId="8">#REF!</definedName>
    <definedName name="____ML313" localSheetId="10">#REF!</definedName>
    <definedName name="____ML313" localSheetId="29">#REF!</definedName>
    <definedName name="____ML313">#REF!</definedName>
    <definedName name="____ML314" localSheetId="8">#REF!</definedName>
    <definedName name="____ML314" localSheetId="10">#REF!</definedName>
    <definedName name="____ML314" localSheetId="29">#REF!</definedName>
    <definedName name="____ML314">#REF!</definedName>
    <definedName name="____ML315" localSheetId="8">#REF!</definedName>
    <definedName name="____ML315" localSheetId="10">#REF!</definedName>
    <definedName name="____ML315" localSheetId="29">#REF!</definedName>
    <definedName name="____ML315">#REF!</definedName>
    <definedName name="____ML316">#REF!</definedName>
    <definedName name="____ML317">#REF!</definedName>
    <definedName name="____ML318">#REF!</definedName>
    <definedName name="____ML319">#REF!</definedName>
    <definedName name="____ML32" localSheetId="8">#REF!</definedName>
    <definedName name="____ML32" localSheetId="10">#REF!</definedName>
    <definedName name="____ML32" localSheetId="29">#REF!</definedName>
    <definedName name="____ML32">#REF!</definedName>
    <definedName name="____ML320">#REF!</definedName>
    <definedName name="____ML321">#REF!</definedName>
    <definedName name="____ML322">#REF!</definedName>
    <definedName name="____ML323">#REF!</definedName>
    <definedName name="____ML324">#REF!</definedName>
    <definedName name="____ML33" localSheetId="8">#REF!</definedName>
    <definedName name="____ML33" localSheetId="10">#REF!</definedName>
    <definedName name="____ML33" localSheetId="29">#REF!</definedName>
    <definedName name="____ML33">#REF!</definedName>
    <definedName name="____ML34" localSheetId="8">#REF!</definedName>
    <definedName name="____ML34" localSheetId="10">#REF!</definedName>
    <definedName name="____ML34" localSheetId="29">#REF!</definedName>
    <definedName name="____ML34">#REF!</definedName>
    <definedName name="____ML35" localSheetId="8">#REF!</definedName>
    <definedName name="____ML35" localSheetId="10">#REF!</definedName>
    <definedName name="____ML35" localSheetId="29">#REF!</definedName>
    <definedName name="____ML35">#REF!</definedName>
    <definedName name="____ML36" localSheetId="8">#REF!</definedName>
    <definedName name="____ML36" localSheetId="10">#REF!</definedName>
    <definedName name="____ML36" localSheetId="29">#REF!</definedName>
    <definedName name="____ML36">#REF!</definedName>
    <definedName name="____ML37" localSheetId="8">#REF!</definedName>
    <definedName name="____ML37" localSheetId="10">#REF!</definedName>
    <definedName name="____ML37" localSheetId="29">#REF!</definedName>
    <definedName name="____ML37">#REF!</definedName>
    <definedName name="____ML38" localSheetId="8">#REF!</definedName>
    <definedName name="____ML38" localSheetId="10">#REF!</definedName>
    <definedName name="____ML38" localSheetId="29">#REF!</definedName>
    <definedName name="____ML38">#REF!</definedName>
    <definedName name="____ML39" localSheetId="8">#REF!</definedName>
    <definedName name="____ML39" localSheetId="10">#REF!</definedName>
    <definedName name="____ML39" localSheetId="29">#REF!</definedName>
    <definedName name="____ML39">#REF!</definedName>
    <definedName name="____ML7" localSheetId="8">#REF!</definedName>
    <definedName name="____ML7" localSheetId="10">#REF!</definedName>
    <definedName name="____ML7" localSheetId="29">#REF!</definedName>
    <definedName name="____ML7">#REF!</definedName>
    <definedName name="____ML8" localSheetId="8">#REF!</definedName>
    <definedName name="____ML8" localSheetId="10">#REF!</definedName>
    <definedName name="____ML8" localSheetId="29">#REF!</definedName>
    <definedName name="____ML8">#REF!</definedName>
    <definedName name="____ML9" localSheetId="8">#REF!</definedName>
    <definedName name="____ML9" localSheetId="10">#REF!</definedName>
    <definedName name="____ML9" localSheetId="29">#REF!</definedName>
    <definedName name="____ML9">#REF!</definedName>
    <definedName name="____mm20" localSheetId="8">#REF!</definedName>
    <definedName name="____mm20" localSheetId="10">#REF!</definedName>
    <definedName name="____mm20" localSheetId="29">#REF!</definedName>
    <definedName name="____mm20">#REF!</definedName>
    <definedName name="____mm40" localSheetId="8">#REF!</definedName>
    <definedName name="____mm40" localSheetId="10">#REF!</definedName>
    <definedName name="____mm40" localSheetId="29">#REF!</definedName>
    <definedName name="____mm40">#REF!</definedName>
    <definedName name="____o3" localSheetId="29">#REF!</definedName>
    <definedName name="____PC1" localSheetId="29">#REF!</definedName>
    <definedName name="____PC10">#REF!</definedName>
    <definedName name="____PC11">#REF!</definedName>
    <definedName name="____PC12">#REF!</definedName>
    <definedName name="____PC13">#REF!</definedName>
    <definedName name="____PC14">#REF!</definedName>
    <definedName name="____PC15">#REF!</definedName>
    <definedName name="____PC16">#REF!</definedName>
    <definedName name="____PC17">#REF!</definedName>
    <definedName name="____PC18">#REF!</definedName>
    <definedName name="____PC19">#REF!</definedName>
    <definedName name="____pc2" localSheetId="21">#REF!</definedName>
    <definedName name="____pc2" localSheetId="5">#REF!</definedName>
    <definedName name="____pc2" localSheetId="8">#REF!</definedName>
    <definedName name="____pc2" localSheetId="10">#REF!</definedName>
    <definedName name="____pc2" localSheetId="11">#REF!</definedName>
    <definedName name="____pc2" localSheetId="29">#REF!</definedName>
    <definedName name="____pc2" localSheetId="31">#REF!</definedName>
    <definedName name="____pc2" localSheetId="35">#REF!</definedName>
    <definedName name="____pc2" localSheetId="36">#REF!</definedName>
    <definedName name="____pc2">#REF!</definedName>
    <definedName name="____pc2_33">"$#REF!.$#REF!$#REF!"</definedName>
    <definedName name="____pc2_38">"$#REF!.$#REF!$#REF!"</definedName>
    <definedName name="____pc2_41">"$#REF!.$#REF!$#REF!"</definedName>
    <definedName name="____pc2_7">"$#REF!.$#REF!$#REF!"</definedName>
    <definedName name="____pc2_8">"$#REF!.$#REF!$#REF!"</definedName>
    <definedName name="____PC20">#REF!</definedName>
    <definedName name="____PC21">#REF!</definedName>
    <definedName name="____PC22">#REF!</definedName>
    <definedName name="____PC23">#REF!</definedName>
    <definedName name="____PC24">#REF!</definedName>
    <definedName name="____PC3">#REF!</definedName>
    <definedName name="____PC4">#REF!</definedName>
    <definedName name="____PC5">#REF!</definedName>
    <definedName name="____PC6">#REF!</definedName>
    <definedName name="____pc600">#REF!</definedName>
    <definedName name="____PC7">#REF!</definedName>
    <definedName name="____PC8">#REF!</definedName>
    <definedName name="____PC9">#REF!</definedName>
    <definedName name="____pc900">#REF!</definedName>
    <definedName name="____PMS2" localSheetId="8">#REF!</definedName>
    <definedName name="____PMS2" localSheetId="10">#REF!</definedName>
    <definedName name="____PMS2" localSheetId="29">#REF!</definedName>
    <definedName name="____PMS2">#REF!</definedName>
    <definedName name="____psc10006" localSheetId="8">#REF!</definedName>
    <definedName name="____psc10006" localSheetId="10">#REF!</definedName>
    <definedName name="____psc10006" localSheetId="11">#REF!</definedName>
    <definedName name="____psc10006" localSheetId="29">#REF!</definedName>
    <definedName name="____psc10006">#REF!</definedName>
    <definedName name="____psc10008" localSheetId="8">#REF!</definedName>
    <definedName name="____psc10008" localSheetId="10">#REF!</definedName>
    <definedName name="____psc10008" localSheetId="11">#REF!</definedName>
    <definedName name="____psc10008" localSheetId="29">#REF!</definedName>
    <definedName name="____psc10008">#REF!</definedName>
    <definedName name="____psc3506" localSheetId="8">#REF!</definedName>
    <definedName name="____psc3506" localSheetId="10">#REF!</definedName>
    <definedName name="____psc3506" localSheetId="11">#REF!</definedName>
    <definedName name="____psc3506" localSheetId="29">#REF!</definedName>
    <definedName name="____psc3506">#REF!</definedName>
    <definedName name="____psc3508" localSheetId="8">#REF!</definedName>
    <definedName name="____psc3508" localSheetId="10">#REF!</definedName>
    <definedName name="____psc3508" localSheetId="11">#REF!</definedName>
    <definedName name="____psc3508" localSheetId="29">#REF!</definedName>
    <definedName name="____psc3508">#REF!</definedName>
    <definedName name="____psc4006" localSheetId="8">#REF!</definedName>
    <definedName name="____psc4006" localSheetId="10">#REF!</definedName>
    <definedName name="____psc4006" localSheetId="11">#REF!</definedName>
    <definedName name="____psc4006" localSheetId="29">#REF!</definedName>
    <definedName name="____psc4006">#REF!</definedName>
    <definedName name="____psc4008" localSheetId="8">#REF!</definedName>
    <definedName name="____psc4008" localSheetId="10">#REF!</definedName>
    <definedName name="____psc4008" localSheetId="11">#REF!</definedName>
    <definedName name="____psc4008" localSheetId="29">#REF!</definedName>
    <definedName name="____psc4008">#REF!</definedName>
    <definedName name="____psc4506" localSheetId="8">#REF!</definedName>
    <definedName name="____psc4506" localSheetId="10">#REF!</definedName>
    <definedName name="____psc4506" localSheetId="11">#REF!</definedName>
    <definedName name="____psc4506" localSheetId="29">#REF!</definedName>
    <definedName name="____psc4506">#REF!</definedName>
    <definedName name="____psc4508" localSheetId="8">#REF!</definedName>
    <definedName name="____psc4508" localSheetId="10">#REF!</definedName>
    <definedName name="____psc4508" localSheetId="11">#REF!</definedName>
    <definedName name="____psc4508" localSheetId="29">#REF!</definedName>
    <definedName name="____psc4508">#REF!</definedName>
    <definedName name="____psc5006" localSheetId="8">#REF!</definedName>
    <definedName name="____psc5006" localSheetId="10">#REF!</definedName>
    <definedName name="____psc5006" localSheetId="11">#REF!</definedName>
    <definedName name="____psc5006" localSheetId="29">#REF!</definedName>
    <definedName name="____psc5006">#REF!</definedName>
    <definedName name="____psc5008" localSheetId="8">#REF!</definedName>
    <definedName name="____psc5008" localSheetId="10">#REF!</definedName>
    <definedName name="____psc5008" localSheetId="11">#REF!</definedName>
    <definedName name="____psc5008" localSheetId="29">#REF!</definedName>
    <definedName name="____psc5008">#REF!</definedName>
    <definedName name="____psc6006" localSheetId="8">#REF!</definedName>
    <definedName name="____psc6006" localSheetId="10">#REF!</definedName>
    <definedName name="____psc6006" localSheetId="11">#REF!</definedName>
    <definedName name="____psc6006" localSheetId="29">#REF!</definedName>
    <definedName name="____psc6006">#REF!</definedName>
    <definedName name="____psc6008" localSheetId="8">#REF!</definedName>
    <definedName name="____psc6008" localSheetId="10">#REF!</definedName>
    <definedName name="____psc6008" localSheetId="11">#REF!</definedName>
    <definedName name="____psc6008" localSheetId="29">#REF!</definedName>
    <definedName name="____psc6008">#REF!</definedName>
    <definedName name="____psc7006" localSheetId="8">#REF!</definedName>
    <definedName name="____psc7006" localSheetId="10">#REF!</definedName>
    <definedName name="____psc7006" localSheetId="11">#REF!</definedName>
    <definedName name="____psc7006" localSheetId="29">#REF!</definedName>
    <definedName name="____psc7006">#REF!</definedName>
    <definedName name="____psc7008" localSheetId="8">#REF!</definedName>
    <definedName name="____psc7008" localSheetId="10">#REF!</definedName>
    <definedName name="____psc7008" localSheetId="11">#REF!</definedName>
    <definedName name="____psc7008" localSheetId="29">#REF!</definedName>
    <definedName name="____psc7008">#REF!</definedName>
    <definedName name="____psc8006" localSheetId="8">#REF!</definedName>
    <definedName name="____psc8006" localSheetId="10">#REF!</definedName>
    <definedName name="____psc8006" localSheetId="11">#REF!</definedName>
    <definedName name="____psc8006" localSheetId="29">#REF!</definedName>
    <definedName name="____psc8006">#REF!</definedName>
    <definedName name="____psc8008" localSheetId="8">#REF!</definedName>
    <definedName name="____psc8008" localSheetId="10">#REF!</definedName>
    <definedName name="____psc8008" localSheetId="11">#REF!</definedName>
    <definedName name="____psc8008" localSheetId="29">#REF!</definedName>
    <definedName name="____psc8008">#REF!</definedName>
    <definedName name="____psc9006" localSheetId="8">#REF!</definedName>
    <definedName name="____psc9006" localSheetId="10">#REF!</definedName>
    <definedName name="____psc9006" localSheetId="11">#REF!</definedName>
    <definedName name="____psc9006" localSheetId="29">#REF!</definedName>
    <definedName name="____psc9006">#REF!</definedName>
    <definedName name="____psc9008" localSheetId="8">#REF!</definedName>
    <definedName name="____psc9008" localSheetId="10">#REF!</definedName>
    <definedName name="____psc9008" localSheetId="11">#REF!</definedName>
    <definedName name="____psc9008" localSheetId="29">#REF!</definedName>
    <definedName name="____psc9008">#REF!</definedName>
    <definedName name="____pv1" localSheetId="8">#REF!</definedName>
    <definedName name="____pv1" localSheetId="10">#REF!</definedName>
    <definedName name="____pv1" localSheetId="29">#REF!</definedName>
    <definedName name="____pv1">#REF!</definedName>
    <definedName name="____pv2" localSheetId="21">#REF!</definedName>
    <definedName name="____pv2" localSheetId="5">#REF!</definedName>
    <definedName name="____pv2" localSheetId="8">#REF!</definedName>
    <definedName name="____pv2" localSheetId="10">#REF!</definedName>
    <definedName name="____pv2" localSheetId="11">#REF!</definedName>
    <definedName name="____pv2" localSheetId="29">#REF!</definedName>
    <definedName name="____pv2" localSheetId="31">#REF!</definedName>
    <definedName name="____pv2" localSheetId="35">#REF!</definedName>
    <definedName name="____pv2" localSheetId="36">#REF!</definedName>
    <definedName name="____pv2">#REF!</definedName>
    <definedName name="____pv2_33">"$#REF!.$#REF!$#REF!"</definedName>
    <definedName name="____pv2_38">"$#REF!.$#REF!$#REF!"</definedName>
    <definedName name="____pv2_41">"$#REF!.$#REF!$#REF!"</definedName>
    <definedName name="____pv2_7">"$#REF!.$#REF!$#REF!"</definedName>
    <definedName name="____pv2_8">"$#REF!.$#REF!$#REF!"</definedName>
    <definedName name="____SO016" localSheetId="8">#REF!</definedName>
    <definedName name="____SO016" localSheetId="10">#REF!</definedName>
    <definedName name="____SO016" localSheetId="11">#REF!</definedName>
    <definedName name="____SO016" localSheetId="29">#REF!</definedName>
    <definedName name="____SO016">#REF!</definedName>
    <definedName name="____SP001" localSheetId="8">#REF!</definedName>
    <definedName name="____SP001" localSheetId="10">#REF!</definedName>
    <definedName name="____SP001" localSheetId="11">#REF!</definedName>
    <definedName name="____SP001" localSheetId="29">#REF!</definedName>
    <definedName name="____SP001">#REF!</definedName>
    <definedName name="____SP002" localSheetId="8">#REF!</definedName>
    <definedName name="____SP002" localSheetId="10">#REF!</definedName>
    <definedName name="____SP002" localSheetId="11">#REF!</definedName>
    <definedName name="____SP002" localSheetId="29">#REF!</definedName>
    <definedName name="____SP002">#REF!</definedName>
    <definedName name="____SP003" localSheetId="8">#REF!</definedName>
    <definedName name="____SP003" localSheetId="10">#REF!</definedName>
    <definedName name="____SP003" localSheetId="11">#REF!</definedName>
    <definedName name="____SP003" localSheetId="29">#REF!</definedName>
    <definedName name="____SP003">#REF!</definedName>
    <definedName name="____SP004" localSheetId="8">#REF!</definedName>
    <definedName name="____SP004" localSheetId="10">#REF!</definedName>
    <definedName name="____SP004" localSheetId="11">#REF!</definedName>
    <definedName name="____SP004" localSheetId="29">#REF!</definedName>
    <definedName name="____SP004">#REF!</definedName>
    <definedName name="____SP005" localSheetId="8">#REF!</definedName>
    <definedName name="____SP005" localSheetId="10">#REF!</definedName>
    <definedName name="____SP005" localSheetId="11">#REF!</definedName>
    <definedName name="____SP005" localSheetId="29">#REF!</definedName>
    <definedName name="____SP005">#REF!</definedName>
    <definedName name="____SP006" localSheetId="8">#REF!</definedName>
    <definedName name="____SP006" localSheetId="10">#REF!</definedName>
    <definedName name="____SP006" localSheetId="11">#REF!</definedName>
    <definedName name="____SP006" localSheetId="29">#REF!</definedName>
    <definedName name="____SP006">#REF!</definedName>
    <definedName name="____SP007" localSheetId="8">#REF!</definedName>
    <definedName name="____SP007" localSheetId="10">#REF!</definedName>
    <definedName name="____SP007" localSheetId="11">#REF!</definedName>
    <definedName name="____SP007" localSheetId="29">#REF!</definedName>
    <definedName name="____SP007">#REF!</definedName>
    <definedName name="____SP008" localSheetId="8">#REF!</definedName>
    <definedName name="____SP008" localSheetId="10">#REF!</definedName>
    <definedName name="____SP008" localSheetId="11">#REF!</definedName>
    <definedName name="____SP008" localSheetId="29">#REF!</definedName>
    <definedName name="____SP008">#REF!</definedName>
    <definedName name="____SP009" localSheetId="8">#REF!</definedName>
    <definedName name="____SP009" localSheetId="10">#REF!</definedName>
    <definedName name="____SP009" localSheetId="11">#REF!</definedName>
    <definedName name="____SP009" localSheetId="29">#REF!</definedName>
    <definedName name="____SP009">#REF!</definedName>
    <definedName name="____SP010" localSheetId="8">#REF!</definedName>
    <definedName name="____SP010" localSheetId="10">#REF!</definedName>
    <definedName name="____SP010" localSheetId="11">#REF!</definedName>
    <definedName name="____SP010" localSheetId="29">#REF!</definedName>
    <definedName name="____SP010">#REF!</definedName>
    <definedName name="____SP011" localSheetId="8">#REF!</definedName>
    <definedName name="____SP011" localSheetId="10">#REF!</definedName>
    <definedName name="____SP011" localSheetId="11">#REF!</definedName>
    <definedName name="____SP011" localSheetId="29">#REF!</definedName>
    <definedName name="____SP011">#REF!</definedName>
    <definedName name="____SP012" localSheetId="8">#REF!</definedName>
    <definedName name="____SP012" localSheetId="10">#REF!</definedName>
    <definedName name="____SP012" localSheetId="11">#REF!</definedName>
    <definedName name="____SP012" localSheetId="29">#REF!</definedName>
    <definedName name="____SP012">#REF!</definedName>
    <definedName name="____SP013" localSheetId="8">#REF!</definedName>
    <definedName name="____SP013" localSheetId="10">#REF!</definedName>
    <definedName name="____SP013" localSheetId="11">#REF!</definedName>
    <definedName name="____SP013" localSheetId="29">#REF!</definedName>
    <definedName name="____SP013">#REF!</definedName>
    <definedName name="____SP014" localSheetId="8">#REF!</definedName>
    <definedName name="____SP014" localSheetId="10">#REF!</definedName>
    <definedName name="____SP014" localSheetId="11">#REF!</definedName>
    <definedName name="____SP014" localSheetId="29">#REF!</definedName>
    <definedName name="____SP014">#REF!</definedName>
    <definedName name="____SP015" localSheetId="8">#REF!</definedName>
    <definedName name="____SP015" localSheetId="10">#REF!</definedName>
    <definedName name="____SP015" localSheetId="11">#REF!</definedName>
    <definedName name="____SP015" localSheetId="29">#REF!</definedName>
    <definedName name="____SP015">#REF!</definedName>
    <definedName name="____SP016" localSheetId="8">#REF!</definedName>
    <definedName name="____SP016" localSheetId="10">#REF!</definedName>
    <definedName name="____SP016" localSheetId="11">#REF!</definedName>
    <definedName name="____SP016" localSheetId="29">#REF!</definedName>
    <definedName name="____SP016">#REF!</definedName>
    <definedName name="____SP017" localSheetId="8">#REF!</definedName>
    <definedName name="____SP017" localSheetId="10">#REF!</definedName>
    <definedName name="____SP017" localSheetId="11">#REF!</definedName>
    <definedName name="____SP017" localSheetId="29">#REF!</definedName>
    <definedName name="____SP017">#REF!</definedName>
    <definedName name="____SP018" localSheetId="8">#REF!</definedName>
    <definedName name="____SP018" localSheetId="10">#REF!</definedName>
    <definedName name="____SP018" localSheetId="11">#REF!</definedName>
    <definedName name="____SP018" localSheetId="29">#REF!</definedName>
    <definedName name="____SP018">#REF!</definedName>
    <definedName name="____SP019" localSheetId="8">#REF!</definedName>
    <definedName name="____SP019" localSheetId="10">#REF!</definedName>
    <definedName name="____SP019" localSheetId="11">#REF!</definedName>
    <definedName name="____SP019" localSheetId="29">#REF!</definedName>
    <definedName name="____SP019">#REF!</definedName>
    <definedName name="____SP020" localSheetId="8">#REF!</definedName>
    <definedName name="____SP020" localSheetId="10">#REF!</definedName>
    <definedName name="____SP020" localSheetId="11">#REF!</definedName>
    <definedName name="____SP020" localSheetId="29">#REF!</definedName>
    <definedName name="____SP020">#REF!</definedName>
    <definedName name="____SP021" localSheetId="8">#REF!</definedName>
    <definedName name="____SP021" localSheetId="10">#REF!</definedName>
    <definedName name="____SP021" localSheetId="11">#REF!</definedName>
    <definedName name="____SP021" localSheetId="29">#REF!</definedName>
    <definedName name="____SP021">#REF!</definedName>
    <definedName name="____SP022" localSheetId="8">#REF!</definedName>
    <definedName name="____SP022" localSheetId="10">#REF!</definedName>
    <definedName name="____SP022" localSheetId="11">#REF!</definedName>
    <definedName name="____SP022" localSheetId="29">#REF!</definedName>
    <definedName name="____SP022">#REF!</definedName>
    <definedName name="____SP023" localSheetId="8">#REF!</definedName>
    <definedName name="____SP023" localSheetId="10">#REF!</definedName>
    <definedName name="____SP023" localSheetId="11">#REF!</definedName>
    <definedName name="____SP023" localSheetId="29">#REF!</definedName>
    <definedName name="____SP023">#REF!</definedName>
    <definedName name="____SP024" localSheetId="8">#REF!</definedName>
    <definedName name="____SP024" localSheetId="10">#REF!</definedName>
    <definedName name="____SP024" localSheetId="11">#REF!</definedName>
    <definedName name="____SP024" localSheetId="29">#REF!</definedName>
    <definedName name="____SP024">#REF!</definedName>
    <definedName name="____SP025" localSheetId="8">#REF!</definedName>
    <definedName name="____SP025" localSheetId="10">#REF!</definedName>
    <definedName name="____SP025" localSheetId="11">#REF!</definedName>
    <definedName name="____SP025" localSheetId="29">#REF!</definedName>
    <definedName name="____SP025">#REF!</definedName>
    <definedName name="____SP026" localSheetId="8">#REF!</definedName>
    <definedName name="____SP026" localSheetId="10">#REF!</definedName>
    <definedName name="____SP026" localSheetId="11">#REF!</definedName>
    <definedName name="____SP026" localSheetId="29">#REF!</definedName>
    <definedName name="____SP026">#REF!</definedName>
    <definedName name="____SP027" localSheetId="8">#REF!</definedName>
    <definedName name="____SP027" localSheetId="10">#REF!</definedName>
    <definedName name="____SP027" localSheetId="11">#REF!</definedName>
    <definedName name="____SP027" localSheetId="29">#REF!</definedName>
    <definedName name="____SP027">#REF!</definedName>
    <definedName name="____SP028" localSheetId="8">#REF!</definedName>
    <definedName name="____SP028" localSheetId="10">#REF!</definedName>
    <definedName name="____SP028" localSheetId="11">#REF!</definedName>
    <definedName name="____SP028" localSheetId="29">#REF!</definedName>
    <definedName name="____SP028">#REF!</definedName>
    <definedName name="____SP029" localSheetId="8">#REF!</definedName>
    <definedName name="____SP029" localSheetId="10">#REF!</definedName>
    <definedName name="____SP029" localSheetId="11">#REF!</definedName>
    <definedName name="____SP029" localSheetId="29">#REF!</definedName>
    <definedName name="____SP029">#REF!</definedName>
    <definedName name="____SP030" localSheetId="8">#REF!</definedName>
    <definedName name="____SP030" localSheetId="10">#REF!</definedName>
    <definedName name="____SP030" localSheetId="11">#REF!</definedName>
    <definedName name="____SP030" localSheetId="29">#REF!</definedName>
    <definedName name="____SP030">#REF!</definedName>
    <definedName name="____SP031" localSheetId="8">#REF!</definedName>
    <definedName name="____SP031" localSheetId="10">#REF!</definedName>
    <definedName name="____SP031" localSheetId="11">#REF!</definedName>
    <definedName name="____SP031" localSheetId="29">#REF!</definedName>
    <definedName name="____SP031">#REF!</definedName>
    <definedName name="____SP032" localSheetId="8">#REF!</definedName>
    <definedName name="____SP032" localSheetId="10">#REF!</definedName>
    <definedName name="____SP032" localSheetId="11">#REF!</definedName>
    <definedName name="____SP032" localSheetId="29">#REF!</definedName>
    <definedName name="____SP032">#REF!</definedName>
    <definedName name="____SP033" localSheetId="8">#REF!</definedName>
    <definedName name="____SP033" localSheetId="10">#REF!</definedName>
    <definedName name="____SP033" localSheetId="11">#REF!</definedName>
    <definedName name="____SP033" localSheetId="29">#REF!</definedName>
    <definedName name="____SP033">#REF!</definedName>
    <definedName name="____SP034" localSheetId="8">#REF!</definedName>
    <definedName name="____SP034" localSheetId="10">#REF!</definedName>
    <definedName name="____SP034" localSheetId="11">#REF!</definedName>
    <definedName name="____SP034" localSheetId="29">#REF!</definedName>
    <definedName name="____SP034">#REF!</definedName>
    <definedName name="____SP035" localSheetId="8">#REF!</definedName>
    <definedName name="____SP035" localSheetId="10">#REF!</definedName>
    <definedName name="____SP035" localSheetId="11">#REF!</definedName>
    <definedName name="____SP035" localSheetId="29">#REF!</definedName>
    <definedName name="____SP035">#REF!</definedName>
    <definedName name="____SP036" localSheetId="8">#REF!</definedName>
    <definedName name="____SP036" localSheetId="10">#REF!</definedName>
    <definedName name="____SP036" localSheetId="11">#REF!</definedName>
    <definedName name="____SP036" localSheetId="29">#REF!</definedName>
    <definedName name="____SP036">#REF!</definedName>
    <definedName name="____SP037" localSheetId="8">#REF!</definedName>
    <definedName name="____SP037" localSheetId="10">#REF!</definedName>
    <definedName name="____SP037" localSheetId="11">#REF!</definedName>
    <definedName name="____SP037" localSheetId="29">#REF!</definedName>
    <definedName name="____SP037">#REF!</definedName>
    <definedName name="____SP038" localSheetId="8">#REF!</definedName>
    <definedName name="____SP038" localSheetId="10">#REF!</definedName>
    <definedName name="____SP038" localSheetId="11">#REF!</definedName>
    <definedName name="____SP038" localSheetId="29">#REF!</definedName>
    <definedName name="____SP038">#REF!</definedName>
    <definedName name="____SP039" localSheetId="8">#REF!</definedName>
    <definedName name="____SP039" localSheetId="10">#REF!</definedName>
    <definedName name="____SP039" localSheetId="11">#REF!</definedName>
    <definedName name="____SP039" localSheetId="29">#REF!</definedName>
    <definedName name="____SP039">#REF!</definedName>
    <definedName name="____SP040" localSheetId="8">#REF!</definedName>
    <definedName name="____SP040" localSheetId="10">#REF!</definedName>
    <definedName name="____SP040" localSheetId="11">#REF!</definedName>
    <definedName name="____SP040" localSheetId="29">#REF!</definedName>
    <definedName name="____SP040">#REF!</definedName>
    <definedName name="____SP041" localSheetId="8">#REF!</definedName>
    <definedName name="____SP041" localSheetId="10">#REF!</definedName>
    <definedName name="____SP041" localSheetId="11">#REF!</definedName>
    <definedName name="____SP041" localSheetId="29">#REF!</definedName>
    <definedName name="____SP041">#REF!</definedName>
    <definedName name="____SP042" localSheetId="8">#REF!</definedName>
    <definedName name="____SP042" localSheetId="10">#REF!</definedName>
    <definedName name="____SP042" localSheetId="11">#REF!</definedName>
    <definedName name="____SP042" localSheetId="29">#REF!</definedName>
    <definedName name="____SP042">#REF!</definedName>
    <definedName name="____SP043" localSheetId="8">#REF!</definedName>
    <definedName name="____SP043" localSheetId="10">#REF!</definedName>
    <definedName name="____SP043" localSheetId="11">#REF!</definedName>
    <definedName name="____SP043" localSheetId="29">#REF!</definedName>
    <definedName name="____SP043">#REF!</definedName>
    <definedName name="____SP044" localSheetId="8">#REF!</definedName>
    <definedName name="____SP044" localSheetId="10">#REF!</definedName>
    <definedName name="____SP044" localSheetId="11">#REF!</definedName>
    <definedName name="____SP044" localSheetId="29">#REF!</definedName>
    <definedName name="____SP044">#REF!</definedName>
    <definedName name="____SP045" localSheetId="8">#REF!</definedName>
    <definedName name="____SP045" localSheetId="10">#REF!</definedName>
    <definedName name="____SP045" localSheetId="11">#REF!</definedName>
    <definedName name="____SP045" localSheetId="29">#REF!</definedName>
    <definedName name="____SP045">#REF!</definedName>
    <definedName name="____SP046" localSheetId="8">#REF!</definedName>
    <definedName name="____SP046" localSheetId="10">#REF!</definedName>
    <definedName name="____SP046" localSheetId="11">#REF!</definedName>
    <definedName name="____SP046" localSheetId="29">#REF!</definedName>
    <definedName name="____SP046">#REF!</definedName>
    <definedName name="____SP047" localSheetId="8">#REF!</definedName>
    <definedName name="____SP047" localSheetId="10">#REF!</definedName>
    <definedName name="____SP047" localSheetId="11">#REF!</definedName>
    <definedName name="____SP047" localSheetId="29">#REF!</definedName>
    <definedName name="____SP047">#REF!</definedName>
    <definedName name="____SP048" localSheetId="8">#REF!</definedName>
    <definedName name="____SP048" localSheetId="10">#REF!</definedName>
    <definedName name="____SP048" localSheetId="11">#REF!</definedName>
    <definedName name="____SP048" localSheetId="29">#REF!</definedName>
    <definedName name="____SP048">#REF!</definedName>
    <definedName name="____SP049" localSheetId="8">#REF!</definedName>
    <definedName name="____SP049" localSheetId="10">#REF!</definedName>
    <definedName name="____SP049" localSheetId="11">#REF!</definedName>
    <definedName name="____SP049" localSheetId="29">#REF!</definedName>
    <definedName name="____SP049">#REF!</definedName>
    <definedName name="____SP050" localSheetId="8">#REF!</definedName>
    <definedName name="____SP050" localSheetId="10">#REF!</definedName>
    <definedName name="____SP050" localSheetId="11">#REF!</definedName>
    <definedName name="____SP050" localSheetId="29">#REF!</definedName>
    <definedName name="____SP050">#REF!</definedName>
    <definedName name="____SP051" localSheetId="8">#REF!</definedName>
    <definedName name="____SP051" localSheetId="10">#REF!</definedName>
    <definedName name="____SP051" localSheetId="11">#REF!</definedName>
    <definedName name="____SP051" localSheetId="29">#REF!</definedName>
    <definedName name="____SP051">#REF!</definedName>
    <definedName name="____SP052" localSheetId="8">#REF!</definedName>
    <definedName name="____SP052" localSheetId="10">#REF!</definedName>
    <definedName name="____SP052" localSheetId="11">#REF!</definedName>
    <definedName name="____SP052" localSheetId="29">#REF!</definedName>
    <definedName name="____SP052">#REF!</definedName>
    <definedName name="____SP053" localSheetId="8">#REF!</definedName>
    <definedName name="____SP053" localSheetId="10">#REF!</definedName>
    <definedName name="____SP053" localSheetId="11">#REF!</definedName>
    <definedName name="____SP053" localSheetId="29">#REF!</definedName>
    <definedName name="____SP053">#REF!</definedName>
    <definedName name="____SP054" localSheetId="8">#REF!</definedName>
    <definedName name="____SP054" localSheetId="10">#REF!</definedName>
    <definedName name="____SP054" localSheetId="11">#REF!</definedName>
    <definedName name="____SP054" localSheetId="29">#REF!</definedName>
    <definedName name="____SP054">#REF!</definedName>
    <definedName name="____SP055" localSheetId="8">#REF!</definedName>
    <definedName name="____SP055" localSheetId="10">#REF!</definedName>
    <definedName name="____SP055" localSheetId="11">#REF!</definedName>
    <definedName name="____SP055" localSheetId="29">#REF!</definedName>
    <definedName name="____SP055">#REF!</definedName>
    <definedName name="____SP056" localSheetId="8">#REF!</definedName>
    <definedName name="____SP056" localSheetId="10">#REF!</definedName>
    <definedName name="____SP056" localSheetId="11">#REF!</definedName>
    <definedName name="____SP056" localSheetId="29">#REF!</definedName>
    <definedName name="____SP056">#REF!</definedName>
    <definedName name="____SP057" localSheetId="8">#REF!</definedName>
    <definedName name="____SP057" localSheetId="10">#REF!</definedName>
    <definedName name="____SP057" localSheetId="11">#REF!</definedName>
    <definedName name="____SP057" localSheetId="29">#REF!</definedName>
    <definedName name="____SP057">#REF!</definedName>
    <definedName name="____SP058" localSheetId="8">#REF!</definedName>
    <definedName name="____SP058" localSheetId="10">#REF!</definedName>
    <definedName name="____SP058" localSheetId="11">#REF!</definedName>
    <definedName name="____SP058" localSheetId="29">#REF!</definedName>
    <definedName name="____SP058">#REF!</definedName>
    <definedName name="____SP059" localSheetId="8">#REF!</definedName>
    <definedName name="____SP059" localSheetId="10">#REF!</definedName>
    <definedName name="____SP059" localSheetId="11">#REF!</definedName>
    <definedName name="____SP059" localSheetId="29">#REF!</definedName>
    <definedName name="____SP059">#REF!</definedName>
    <definedName name="____SP060" localSheetId="8">#REF!</definedName>
    <definedName name="____SP060" localSheetId="10">#REF!</definedName>
    <definedName name="____SP060" localSheetId="11">#REF!</definedName>
    <definedName name="____SP060" localSheetId="29">#REF!</definedName>
    <definedName name="____SP060">#REF!</definedName>
    <definedName name="____SP061" localSheetId="8">#REF!</definedName>
    <definedName name="____SP061" localSheetId="10">#REF!</definedName>
    <definedName name="____SP061" localSheetId="11">#REF!</definedName>
    <definedName name="____SP061" localSheetId="29">#REF!</definedName>
    <definedName name="____SP061">#REF!</definedName>
    <definedName name="____SP062" localSheetId="8">#REF!</definedName>
    <definedName name="____SP062" localSheetId="10">#REF!</definedName>
    <definedName name="____SP062" localSheetId="11">#REF!</definedName>
    <definedName name="____SP062" localSheetId="29">#REF!</definedName>
    <definedName name="____SP062">#REF!</definedName>
    <definedName name="____SP063" localSheetId="8">#REF!</definedName>
    <definedName name="____SP063" localSheetId="10">#REF!</definedName>
    <definedName name="____SP063" localSheetId="11">#REF!</definedName>
    <definedName name="____SP063" localSheetId="29">#REF!</definedName>
    <definedName name="____SP063">#REF!</definedName>
    <definedName name="____SP064" localSheetId="8">#REF!</definedName>
    <definedName name="____SP064" localSheetId="10">#REF!</definedName>
    <definedName name="____SP064" localSheetId="11">#REF!</definedName>
    <definedName name="____SP064" localSheetId="29">#REF!</definedName>
    <definedName name="____SP064">#REF!</definedName>
    <definedName name="____SP065" localSheetId="8">#REF!</definedName>
    <definedName name="____SP065" localSheetId="10">#REF!</definedName>
    <definedName name="____SP065" localSheetId="11">#REF!</definedName>
    <definedName name="____SP065" localSheetId="29">#REF!</definedName>
    <definedName name="____SP065">#REF!</definedName>
    <definedName name="____SP066" localSheetId="8">#REF!</definedName>
    <definedName name="____SP066" localSheetId="10">#REF!</definedName>
    <definedName name="____SP066" localSheetId="11">#REF!</definedName>
    <definedName name="____SP066" localSheetId="29">#REF!</definedName>
    <definedName name="____SP066">#REF!</definedName>
    <definedName name="____SP067" localSheetId="8">#REF!</definedName>
    <definedName name="____SP067" localSheetId="10">#REF!</definedName>
    <definedName name="____SP067" localSheetId="11">#REF!</definedName>
    <definedName name="____SP067" localSheetId="29">#REF!</definedName>
    <definedName name="____SP067">#REF!</definedName>
    <definedName name="____SP068" localSheetId="8">#REF!</definedName>
    <definedName name="____SP068" localSheetId="10">#REF!</definedName>
    <definedName name="____SP068" localSheetId="11">#REF!</definedName>
    <definedName name="____SP068" localSheetId="29">#REF!</definedName>
    <definedName name="____SP068">#REF!</definedName>
    <definedName name="____SP069" localSheetId="8">#REF!</definedName>
    <definedName name="____SP069" localSheetId="10">#REF!</definedName>
    <definedName name="____SP069" localSheetId="11">#REF!</definedName>
    <definedName name="____SP069" localSheetId="29">#REF!</definedName>
    <definedName name="____SP069">#REF!</definedName>
    <definedName name="____SP070" localSheetId="8">#REF!</definedName>
    <definedName name="____SP070" localSheetId="10">#REF!</definedName>
    <definedName name="____SP070" localSheetId="11">#REF!</definedName>
    <definedName name="____SP070" localSheetId="29">#REF!</definedName>
    <definedName name="____SP070">#REF!</definedName>
    <definedName name="____sp071" localSheetId="8">#REF!</definedName>
    <definedName name="____sp071" localSheetId="10">#REF!</definedName>
    <definedName name="____sp071" localSheetId="11">#REF!</definedName>
    <definedName name="____sp071" localSheetId="29">#REF!</definedName>
    <definedName name="____sp071">#REF!</definedName>
    <definedName name="____SP072" localSheetId="8">#REF!</definedName>
    <definedName name="____SP072" localSheetId="10">#REF!</definedName>
    <definedName name="____SP072" localSheetId="11">#REF!</definedName>
    <definedName name="____SP072" localSheetId="29">#REF!</definedName>
    <definedName name="____SP072">#REF!</definedName>
    <definedName name="____SP073" localSheetId="8">#REF!</definedName>
    <definedName name="____SP073" localSheetId="10">#REF!</definedName>
    <definedName name="____SP073" localSheetId="11">#REF!</definedName>
    <definedName name="____SP073" localSheetId="29">#REF!</definedName>
    <definedName name="____SP073">#REF!</definedName>
    <definedName name="____SP074" localSheetId="8">#REF!</definedName>
    <definedName name="____SP074" localSheetId="10">#REF!</definedName>
    <definedName name="____SP074" localSheetId="11">#REF!</definedName>
    <definedName name="____SP074" localSheetId="29">#REF!</definedName>
    <definedName name="____SP074">#REF!</definedName>
    <definedName name="____SP075" localSheetId="8">#REF!</definedName>
    <definedName name="____SP075" localSheetId="10">#REF!</definedName>
    <definedName name="____SP075" localSheetId="11">#REF!</definedName>
    <definedName name="____SP075" localSheetId="29">#REF!</definedName>
    <definedName name="____SP075">#REF!</definedName>
    <definedName name="____SP076" localSheetId="8">#REF!</definedName>
    <definedName name="____SP076" localSheetId="10">#REF!</definedName>
    <definedName name="____SP076" localSheetId="11">#REF!</definedName>
    <definedName name="____SP076" localSheetId="29">#REF!</definedName>
    <definedName name="____SP076">#REF!</definedName>
    <definedName name="____SP077" localSheetId="8">#REF!</definedName>
    <definedName name="____SP077" localSheetId="10">#REF!</definedName>
    <definedName name="____SP077" localSheetId="11">#REF!</definedName>
    <definedName name="____SP077" localSheetId="29">#REF!</definedName>
    <definedName name="____SP077">#REF!</definedName>
    <definedName name="____sp078" localSheetId="8">#REF!</definedName>
    <definedName name="____sp078" localSheetId="10">#REF!</definedName>
    <definedName name="____sp078" localSheetId="11">#REF!</definedName>
    <definedName name="____sp078" localSheetId="29">#REF!</definedName>
    <definedName name="____sp078">#REF!</definedName>
    <definedName name="____SPO79" localSheetId="8">#REF!</definedName>
    <definedName name="____SPO79" localSheetId="10">#REF!</definedName>
    <definedName name="____SPO79" localSheetId="11">#REF!</definedName>
    <definedName name="____SPO79" localSheetId="29">#REF!</definedName>
    <definedName name="____SPO79">#REF!</definedName>
    <definedName name="____sw1" localSheetId="29">#REF!</definedName>
    <definedName name="____t1">#REF!</definedName>
    <definedName name="____t2">#REF!</definedName>
    <definedName name="____tab1">#REF!</definedName>
    <definedName name="____us1">#REF!</definedName>
    <definedName name="____var1" localSheetId="21">#REF!</definedName>
    <definedName name="____var1" localSheetId="5">#REF!</definedName>
    <definedName name="____var1" localSheetId="8">#REF!</definedName>
    <definedName name="____var1" localSheetId="10">#REF!</definedName>
    <definedName name="____var1" localSheetId="11">#REF!</definedName>
    <definedName name="____var1" localSheetId="29">#REF!</definedName>
    <definedName name="____var1" localSheetId="31">#REF!</definedName>
    <definedName name="____var1" localSheetId="35">#REF!</definedName>
    <definedName name="____var1" localSheetId="36">#REF!</definedName>
    <definedName name="____var1">#REF!</definedName>
    <definedName name="____var1_33">"$#REF!.$#REF!$#REF!"</definedName>
    <definedName name="____var1_38">"$#REF!.$#REF!$#REF!"</definedName>
    <definedName name="____var1_41">"$#REF!.$#REF!$#REF!"</definedName>
    <definedName name="____var1_7">"$#REF!.$#REF!$#REF!"</definedName>
    <definedName name="____var1_8">"$#REF!.$#REF!$#REF!"</definedName>
    <definedName name="____var4" localSheetId="21">#REF!</definedName>
    <definedName name="____var4" localSheetId="5">#REF!</definedName>
    <definedName name="____var4" localSheetId="8">#REF!</definedName>
    <definedName name="____var4" localSheetId="10">#REF!</definedName>
    <definedName name="____var4" localSheetId="11">#REF!</definedName>
    <definedName name="____var4" localSheetId="29">#REF!</definedName>
    <definedName name="____var4" localSheetId="31">#REF!</definedName>
    <definedName name="____var4" localSheetId="35">#REF!</definedName>
    <definedName name="____var4" localSheetId="36">#REF!</definedName>
    <definedName name="____var4">#REF!</definedName>
    <definedName name="____var4_33">"$#REF!.$#REF!$#REF!"</definedName>
    <definedName name="____var4_38">"$#REF!.$#REF!$#REF!"</definedName>
    <definedName name="____var4_41">"$#REF!.$#REF!$#REF!"</definedName>
    <definedName name="____var4_7">"$#REF!.$#REF!$#REF!"</definedName>
    <definedName name="____var4_8">"$#REF!.$#REF!$#REF!"</definedName>
    <definedName name="____vat1" localSheetId="8">#REF!</definedName>
    <definedName name="____vat1" localSheetId="10">#REF!</definedName>
    <definedName name="____vat1" localSheetId="29">#REF!</definedName>
    <definedName name="____vat1">#REF!</definedName>
    <definedName name="____vat2" localSheetId="8">#REF!</definedName>
    <definedName name="____vat2" localSheetId="10">#REF!</definedName>
    <definedName name="____vat2" localSheetId="29">#REF!</definedName>
    <definedName name="____vat2">#REF!</definedName>
    <definedName name="____xh11010" localSheetId="8">#REF!</definedName>
    <definedName name="____xh11010" localSheetId="10">#REF!</definedName>
    <definedName name="____xh11010" localSheetId="11">#REF!</definedName>
    <definedName name="____xh11010" localSheetId="29">#REF!</definedName>
    <definedName name="____xh11010">#REF!</definedName>
    <definedName name="____xh1104" localSheetId="8">#REF!</definedName>
    <definedName name="____xh1104" localSheetId="10">#REF!</definedName>
    <definedName name="____xh1104" localSheetId="11">#REF!</definedName>
    <definedName name="____xh1104" localSheetId="29">#REF!</definedName>
    <definedName name="____xh1104">#REF!</definedName>
    <definedName name="____xh1106" localSheetId="8">#REF!</definedName>
    <definedName name="____xh1106" localSheetId="10">#REF!</definedName>
    <definedName name="____xh1106" localSheetId="11">#REF!</definedName>
    <definedName name="____xh1106" localSheetId="29">#REF!</definedName>
    <definedName name="____xh1106">#REF!</definedName>
    <definedName name="____xh1108" localSheetId="8">#REF!</definedName>
    <definedName name="____xh1108" localSheetId="10">#REF!</definedName>
    <definedName name="____xh1108" localSheetId="11">#REF!</definedName>
    <definedName name="____xh1108" localSheetId="29">#REF!</definedName>
    <definedName name="____xh1108">#REF!</definedName>
    <definedName name="____xh12510" localSheetId="8">#REF!</definedName>
    <definedName name="____xh12510" localSheetId="10">#REF!</definedName>
    <definedName name="____xh12510" localSheetId="11">#REF!</definedName>
    <definedName name="____xh12510" localSheetId="29">#REF!</definedName>
    <definedName name="____xh12510">#REF!</definedName>
    <definedName name="____xh1254" localSheetId="8">#REF!</definedName>
    <definedName name="____xh1254" localSheetId="10">#REF!</definedName>
    <definedName name="____xh1254" localSheetId="11">#REF!</definedName>
    <definedName name="____xh1254" localSheetId="29">#REF!</definedName>
    <definedName name="____xh1254">#REF!</definedName>
    <definedName name="____xh1256" localSheetId="8">#REF!</definedName>
    <definedName name="____xh1256" localSheetId="10">#REF!</definedName>
    <definedName name="____xh1256" localSheetId="11">#REF!</definedName>
    <definedName name="____xh1256" localSheetId="29">#REF!</definedName>
    <definedName name="____xh1256">#REF!</definedName>
    <definedName name="____xh1258" localSheetId="8">#REF!</definedName>
    <definedName name="____xh1258" localSheetId="10">#REF!</definedName>
    <definedName name="____xh1258" localSheetId="11">#REF!</definedName>
    <definedName name="____xh1258" localSheetId="29">#REF!</definedName>
    <definedName name="____xh1258">#REF!</definedName>
    <definedName name="____xh14010" localSheetId="8">#REF!</definedName>
    <definedName name="____xh14010" localSheetId="10">#REF!</definedName>
    <definedName name="____xh14010" localSheetId="11">#REF!</definedName>
    <definedName name="____xh14010" localSheetId="29">#REF!</definedName>
    <definedName name="____xh14010">#REF!</definedName>
    <definedName name="____xh1404" localSheetId="8">#REF!</definedName>
    <definedName name="____xh1404" localSheetId="10">#REF!</definedName>
    <definedName name="____xh1404" localSheetId="11">#REF!</definedName>
    <definedName name="____xh1404" localSheetId="29">#REF!</definedName>
    <definedName name="____xh1404">#REF!</definedName>
    <definedName name="____xh1406" localSheetId="8">#REF!</definedName>
    <definedName name="____xh1406" localSheetId="10">#REF!</definedName>
    <definedName name="____xh1406" localSheetId="11">#REF!</definedName>
    <definedName name="____xh1406" localSheetId="29">#REF!</definedName>
    <definedName name="____xh1406">#REF!</definedName>
    <definedName name="____xh1408" localSheetId="8">#REF!</definedName>
    <definedName name="____xh1408" localSheetId="10">#REF!</definedName>
    <definedName name="____xh1408" localSheetId="11">#REF!</definedName>
    <definedName name="____xh1408" localSheetId="29">#REF!</definedName>
    <definedName name="____xh1408">#REF!</definedName>
    <definedName name="____xh16010" localSheetId="8">#REF!</definedName>
    <definedName name="____xh16010" localSheetId="10">#REF!</definedName>
    <definedName name="____xh16010" localSheetId="11">#REF!</definedName>
    <definedName name="____xh16010" localSheetId="29">#REF!</definedName>
    <definedName name="____xh16010">#REF!</definedName>
    <definedName name="____xh1604" localSheetId="8">#REF!</definedName>
    <definedName name="____xh1604" localSheetId="10">#REF!</definedName>
    <definedName name="____xh1604" localSheetId="11">#REF!</definedName>
    <definedName name="____xh1604" localSheetId="29">#REF!</definedName>
    <definedName name="____xh1604">#REF!</definedName>
    <definedName name="____xh1606" localSheetId="8">#REF!</definedName>
    <definedName name="____xh1606" localSheetId="10">#REF!</definedName>
    <definedName name="____xh1606" localSheetId="11">#REF!</definedName>
    <definedName name="____xh1606" localSheetId="29">#REF!</definedName>
    <definedName name="____xh1606">#REF!</definedName>
    <definedName name="____xh1608" localSheetId="8">#REF!</definedName>
    <definedName name="____xh1608" localSheetId="10">#REF!</definedName>
    <definedName name="____xh1608" localSheetId="11">#REF!</definedName>
    <definedName name="____xh1608" localSheetId="29">#REF!</definedName>
    <definedName name="____xh1608">#REF!</definedName>
    <definedName name="____xh18010" localSheetId="8">#REF!</definedName>
    <definedName name="____xh18010" localSheetId="10">#REF!</definedName>
    <definedName name="____xh18010" localSheetId="11">#REF!</definedName>
    <definedName name="____xh18010" localSheetId="29">#REF!</definedName>
    <definedName name="____xh18010">#REF!</definedName>
    <definedName name="____xh1804" localSheetId="8">#REF!</definedName>
    <definedName name="____xh1804" localSheetId="10">#REF!</definedName>
    <definedName name="____xh1804" localSheetId="11">#REF!</definedName>
    <definedName name="____xh1804" localSheetId="29">#REF!</definedName>
    <definedName name="____xh1804">#REF!</definedName>
    <definedName name="____xh1806" localSheetId="8">#REF!</definedName>
    <definedName name="____xh1806" localSheetId="10">#REF!</definedName>
    <definedName name="____xh1806" localSheetId="11">#REF!</definedName>
    <definedName name="____xh1806" localSheetId="29">#REF!</definedName>
    <definedName name="____xh1806">#REF!</definedName>
    <definedName name="____xh1808" localSheetId="8">#REF!</definedName>
    <definedName name="____xh1808" localSheetId="10">#REF!</definedName>
    <definedName name="____xh1808" localSheetId="11">#REF!</definedName>
    <definedName name="____xh1808" localSheetId="29">#REF!</definedName>
    <definedName name="____xh1808">#REF!</definedName>
    <definedName name="____xh20010" localSheetId="8">#REF!</definedName>
    <definedName name="____xh20010" localSheetId="10">#REF!</definedName>
    <definedName name="____xh20010" localSheetId="11">#REF!</definedName>
    <definedName name="____xh20010" localSheetId="29">#REF!</definedName>
    <definedName name="____xh20010">#REF!</definedName>
    <definedName name="____xh2004" localSheetId="8">#REF!</definedName>
    <definedName name="____xh2004" localSheetId="10">#REF!</definedName>
    <definedName name="____xh2004" localSheetId="11">#REF!</definedName>
    <definedName name="____xh2004" localSheetId="29">#REF!</definedName>
    <definedName name="____xh2004">#REF!</definedName>
    <definedName name="____xh2006" localSheetId="8">#REF!</definedName>
    <definedName name="____xh2006" localSheetId="10">#REF!</definedName>
    <definedName name="____xh2006" localSheetId="11">#REF!</definedName>
    <definedName name="____xh2006" localSheetId="29">#REF!</definedName>
    <definedName name="____xh2006">#REF!</definedName>
    <definedName name="____xh2008" localSheetId="8">#REF!</definedName>
    <definedName name="____xh2008" localSheetId="10">#REF!</definedName>
    <definedName name="____xh2008" localSheetId="11">#REF!</definedName>
    <definedName name="____xh2008" localSheetId="29">#REF!</definedName>
    <definedName name="____xh2008">#REF!</definedName>
    <definedName name="____xh22510" localSheetId="8">#REF!</definedName>
    <definedName name="____xh22510" localSheetId="10">#REF!</definedName>
    <definedName name="____xh22510" localSheetId="11">#REF!</definedName>
    <definedName name="____xh22510" localSheetId="29">#REF!</definedName>
    <definedName name="____xh22510">#REF!</definedName>
    <definedName name="____xh2254" localSheetId="8">#REF!</definedName>
    <definedName name="____xh2254" localSheetId="10">#REF!</definedName>
    <definedName name="____xh2254" localSheetId="11">#REF!</definedName>
    <definedName name="____xh2254" localSheetId="29">#REF!</definedName>
    <definedName name="____xh2254">#REF!</definedName>
    <definedName name="____xh2258" localSheetId="8">#REF!</definedName>
    <definedName name="____xh2258" localSheetId="10">#REF!</definedName>
    <definedName name="____xh2258" localSheetId="11">#REF!</definedName>
    <definedName name="____xh2258" localSheetId="29">#REF!</definedName>
    <definedName name="____xh2258">#REF!</definedName>
    <definedName name="____xh25010" localSheetId="8">#REF!</definedName>
    <definedName name="____xh25010" localSheetId="10">#REF!</definedName>
    <definedName name="____xh25010" localSheetId="11">#REF!</definedName>
    <definedName name="____xh25010" localSheetId="29">#REF!</definedName>
    <definedName name="____xh25010">#REF!</definedName>
    <definedName name="____xh2504" localSheetId="8">#REF!</definedName>
    <definedName name="____xh2504" localSheetId="10">#REF!</definedName>
    <definedName name="____xh2504" localSheetId="11">#REF!</definedName>
    <definedName name="____xh2504" localSheetId="29">#REF!</definedName>
    <definedName name="____xh2504">#REF!</definedName>
    <definedName name="____xh2508" localSheetId="8">#REF!</definedName>
    <definedName name="____xh2508" localSheetId="10">#REF!</definedName>
    <definedName name="____xh2508" localSheetId="11">#REF!</definedName>
    <definedName name="____xh2508" localSheetId="29">#REF!</definedName>
    <definedName name="____xh2508">#REF!</definedName>
    <definedName name="____xh28010" localSheetId="8">#REF!</definedName>
    <definedName name="____xh28010" localSheetId="10">#REF!</definedName>
    <definedName name="____xh28010" localSheetId="11">#REF!</definedName>
    <definedName name="____xh28010" localSheetId="29">#REF!</definedName>
    <definedName name="____xh28010">#REF!</definedName>
    <definedName name="____xh2804" localSheetId="8">#REF!</definedName>
    <definedName name="____xh2804" localSheetId="10">#REF!</definedName>
    <definedName name="____xh2804" localSheetId="11">#REF!</definedName>
    <definedName name="____xh2804" localSheetId="29">#REF!</definedName>
    <definedName name="____xh2804">#REF!</definedName>
    <definedName name="____xh2808" localSheetId="8">#REF!</definedName>
    <definedName name="____xh2808" localSheetId="10">#REF!</definedName>
    <definedName name="____xh2808" localSheetId="11">#REF!</definedName>
    <definedName name="____xh2808" localSheetId="29">#REF!</definedName>
    <definedName name="____xh2808">#REF!</definedName>
    <definedName name="____xh31510" localSheetId="8">#REF!</definedName>
    <definedName name="____xh31510" localSheetId="10">#REF!</definedName>
    <definedName name="____xh31510" localSheetId="11">#REF!</definedName>
    <definedName name="____xh31510" localSheetId="29">#REF!</definedName>
    <definedName name="____xh31510">#REF!</definedName>
    <definedName name="____xh3154" localSheetId="8">#REF!</definedName>
    <definedName name="____xh3154" localSheetId="10">#REF!</definedName>
    <definedName name="____xh3154" localSheetId="11">#REF!</definedName>
    <definedName name="____xh3154" localSheetId="29">#REF!</definedName>
    <definedName name="____xh3154">#REF!</definedName>
    <definedName name="____xh3158" localSheetId="8">#REF!</definedName>
    <definedName name="____xh3158" localSheetId="10">#REF!</definedName>
    <definedName name="____xh3158" localSheetId="11">#REF!</definedName>
    <definedName name="____xh3158" localSheetId="29">#REF!</definedName>
    <definedName name="____xh3158">#REF!</definedName>
    <definedName name="____xh3554" localSheetId="8">#REF!</definedName>
    <definedName name="____xh3554" localSheetId="10">#REF!</definedName>
    <definedName name="____xh3554" localSheetId="11">#REF!</definedName>
    <definedName name="____xh3554" localSheetId="29">#REF!</definedName>
    <definedName name="____xh3554">#REF!</definedName>
    <definedName name="____xh3556" localSheetId="8">#REF!</definedName>
    <definedName name="____xh3556" localSheetId="10">#REF!</definedName>
    <definedName name="____xh3556" localSheetId="11">#REF!</definedName>
    <definedName name="____xh3556" localSheetId="29">#REF!</definedName>
    <definedName name="____xh3556">#REF!</definedName>
    <definedName name="____xh6310" localSheetId="8">#REF!</definedName>
    <definedName name="____xh6310" localSheetId="10">#REF!</definedName>
    <definedName name="____xh6310" localSheetId="11">#REF!</definedName>
    <definedName name="____xh6310" localSheetId="29">#REF!</definedName>
    <definedName name="____xh6310">#REF!</definedName>
    <definedName name="____xh636" localSheetId="8">#REF!</definedName>
    <definedName name="____xh636" localSheetId="10">#REF!</definedName>
    <definedName name="____xh636" localSheetId="11">#REF!</definedName>
    <definedName name="____xh636" localSheetId="29">#REF!</definedName>
    <definedName name="____xh636">#REF!</definedName>
    <definedName name="____xh638" localSheetId="8">#REF!</definedName>
    <definedName name="____xh638" localSheetId="10">#REF!</definedName>
    <definedName name="____xh638" localSheetId="11">#REF!</definedName>
    <definedName name="____xh638" localSheetId="29">#REF!</definedName>
    <definedName name="____xh638">#REF!</definedName>
    <definedName name="____xh7510" localSheetId="8">#REF!</definedName>
    <definedName name="____xh7510" localSheetId="10">#REF!</definedName>
    <definedName name="____xh7510" localSheetId="11">#REF!</definedName>
    <definedName name="____xh7510" localSheetId="29">#REF!</definedName>
    <definedName name="____xh7510">#REF!</definedName>
    <definedName name="____xh754" localSheetId="8">#REF!</definedName>
    <definedName name="____xh754" localSheetId="10">#REF!</definedName>
    <definedName name="____xh754" localSheetId="11">#REF!</definedName>
    <definedName name="____xh754" localSheetId="29">#REF!</definedName>
    <definedName name="____xh754">#REF!</definedName>
    <definedName name="____xh756" localSheetId="8">#REF!</definedName>
    <definedName name="____xh756" localSheetId="10">#REF!</definedName>
    <definedName name="____xh756" localSheetId="11">#REF!</definedName>
    <definedName name="____xh756" localSheetId="29">#REF!</definedName>
    <definedName name="____xh756">#REF!</definedName>
    <definedName name="____xh758" localSheetId="8">#REF!</definedName>
    <definedName name="____xh758" localSheetId="10">#REF!</definedName>
    <definedName name="____xh758" localSheetId="11">#REF!</definedName>
    <definedName name="____xh758" localSheetId="29">#REF!</definedName>
    <definedName name="____xh758">#REF!</definedName>
    <definedName name="____xh9010" localSheetId="8">#REF!</definedName>
    <definedName name="____xh9010" localSheetId="10">#REF!</definedName>
    <definedName name="____xh9010" localSheetId="11">#REF!</definedName>
    <definedName name="____xh9010" localSheetId="29">#REF!</definedName>
    <definedName name="____xh9010">#REF!</definedName>
    <definedName name="____xh904" localSheetId="8">#REF!</definedName>
    <definedName name="____xh904" localSheetId="10">#REF!</definedName>
    <definedName name="____xh904" localSheetId="11">#REF!</definedName>
    <definedName name="____xh904" localSheetId="29">#REF!</definedName>
    <definedName name="____xh904">#REF!</definedName>
    <definedName name="____xh906" localSheetId="8">#REF!</definedName>
    <definedName name="____xh906" localSheetId="10">#REF!</definedName>
    <definedName name="____xh906" localSheetId="11">#REF!</definedName>
    <definedName name="____xh906" localSheetId="29">#REF!</definedName>
    <definedName name="____xh906">#REF!</definedName>
    <definedName name="____xh908" localSheetId="8">#REF!</definedName>
    <definedName name="____xh908" localSheetId="10">#REF!</definedName>
    <definedName name="____xh908" localSheetId="11">#REF!</definedName>
    <definedName name="____xh908" localSheetId="29">#REF!</definedName>
    <definedName name="____xh908">#REF!</definedName>
    <definedName name="____xk7200" localSheetId="8">#REF!</definedName>
    <definedName name="____xk7200" localSheetId="10">#REF!</definedName>
    <definedName name="____xk7200" localSheetId="11">#REF!</definedName>
    <definedName name="____xk7200" localSheetId="29">#REF!</definedName>
    <definedName name="____xk7200">#REF!</definedName>
    <definedName name="____xk7350" localSheetId="8">#REF!</definedName>
    <definedName name="____xk7350" localSheetId="10">#REF!</definedName>
    <definedName name="____xk7350" localSheetId="11">#REF!</definedName>
    <definedName name="____xk7350" localSheetId="29">#REF!</definedName>
    <definedName name="____xk7350">#REF!</definedName>
    <definedName name="____xk7400" localSheetId="8">#REF!</definedName>
    <definedName name="____xk7400" localSheetId="10">#REF!</definedName>
    <definedName name="____xk7400" localSheetId="11">#REF!</definedName>
    <definedName name="____xk7400" localSheetId="29">#REF!</definedName>
    <definedName name="____xk7400">#REF!</definedName>
    <definedName name="____xk7450" localSheetId="8">#REF!</definedName>
    <definedName name="____xk7450" localSheetId="10">#REF!</definedName>
    <definedName name="____xk7450" localSheetId="11">#REF!</definedName>
    <definedName name="____xk7450" localSheetId="29">#REF!</definedName>
    <definedName name="____xk7450">#REF!</definedName>
    <definedName name="____xk7500" localSheetId="8">#REF!</definedName>
    <definedName name="____xk7500" localSheetId="10">#REF!</definedName>
    <definedName name="____xk7500" localSheetId="11">#REF!</definedName>
    <definedName name="____xk7500" localSheetId="29">#REF!</definedName>
    <definedName name="____xk7500">#REF!</definedName>
    <definedName name="____xk7600" localSheetId="8">#REF!</definedName>
    <definedName name="____xk7600" localSheetId="10">#REF!</definedName>
    <definedName name="____xk7600" localSheetId="11">#REF!</definedName>
    <definedName name="____xk7600" localSheetId="29">#REF!</definedName>
    <definedName name="____xk7600">#REF!</definedName>
    <definedName name="____xk9100" localSheetId="8">#REF!</definedName>
    <definedName name="____xk9100" localSheetId="10">#REF!</definedName>
    <definedName name="____xk9100" localSheetId="11">#REF!</definedName>
    <definedName name="____xk9100" localSheetId="29">#REF!</definedName>
    <definedName name="____xk9100">#REF!</definedName>
    <definedName name="____xk91000" localSheetId="8">#REF!</definedName>
    <definedName name="____xk91000" localSheetId="10">#REF!</definedName>
    <definedName name="____xk91000" localSheetId="11">#REF!</definedName>
    <definedName name="____xk91000" localSheetId="29">#REF!</definedName>
    <definedName name="____xk91000">#REF!</definedName>
    <definedName name="____xk9150" localSheetId="8">#REF!</definedName>
    <definedName name="____xk9150" localSheetId="10">#REF!</definedName>
    <definedName name="____xk9150" localSheetId="11">#REF!</definedName>
    <definedName name="____xk9150" localSheetId="29">#REF!</definedName>
    <definedName name="____xk9150">#REF!</definedName>
    <definedName name="____xk9200" localSheetId="8">#REF!</definedName>
    <definedName name="____xk9200" localSheetId="10">#REF!</definedName>
    <definedName name="____xk9200" localSheetId="11">#REF!</definedName>
    <definedName name="____xk9200" localSheetId="29">#REF!</definedName>
    <definedName name="____xk9200">#REF!</definedName>
    <definedName name="____xk9250" localSheetId="8">#REF!</definedName>
    <definedName name="____xk9250" localSheetId="10">#REF!</definedName>
    <definedName name="____xk9250" localSheetId="11">#REF!</definedName>
    <definedName name="____xk9250" localSheetId="29">#REF!</definedName>
    <definedName name="____xk9250">#REF!</definedName>
    <definedName name="____xk9300" localSheetId="8">#REF!</definedName>
    <definedName name="____xk9300" localSheetId="10">#REF!</definedName>
    <definedName name="____xk9300" localSheetId="11">#REF!</definedName>
    <definedName name="____xk9300" localSheetId="29">#REF!</definedName>
    <definedName name="____xk9300">#REF!</definedName>
    <definedName name="____xk9350" localSheetId="8">#REF!</definedName>
    <definedName name="____xk9350" localSheetId="10">#REF!</definedName>
    <definedName name="____xk9350" localSheetId="11">#REF!</definedName>
    <definedName name="____xk9350" localSheetId="29">#REF!</definedName>
    <definedName name="____xk9350">#REF!</definedName>
    <definedName name="____xk9400" localSheetId="8">#REF!</definedName>
    <definedName name="____xk9400" localSheetId="10">#REF!</definedName>
    <definedName name="____xk9400" localSheetId="11">#REF!</definedName>
    <definedName name="____xk9400" localSheetId="29">#REF!</definedName>
    <definedName name="____xk9400">#REF!</definedName>
    <definedName name="____xk9450" localSheetId="8">#REF!</definedName>
    <definedName name="____xk9450" localSheetId="10">#REF!</definedName>
    <definedName name="____xk9450" localSheetId="11">#REF!</definedName>
    <definedName name="____xk9450" localSheetId="29">#REF!</definedName>
    <definedName name="____xk9450">#REF!</definedName>
    <definedName name="____xk9500" localSheetId="8">#REF!</definedName>
    <definedName name="____xk9500" localSheetId="10">#REF!</definedName>
    <definedName name="____xk9500" localSheetId="11">#REF!</definedName>
    <definedName name="____xk9500" localSheetId="29">#REF!</definedName>
    <definedName name="____xk9500">#REF!</definedName>
    <definedName name="____xk9600" localSheetId="8">#REF!</definedName>
    <definedName name="____xk9600" localSheetId="10">#REF!</definedName>
    <definedName name="____xk9600" localSheetId="11">#REF!</definedName>
    <definedName name="____xk9600" localSheetId="29">#REF!</definedName>
    <definedName name="____xk9600">#REF!</definedName>
    <definedName name="____xk9700" localSheetId="8">#REF!</definedName>
    <definedName name="____xk9700" localSheetId="10">#REF!</definedName>
    <definedName name="____xk9700" localSheetId="11">#REF!</definedName>
    <definedName name="____xk9700" localSheetId="29">#REF!</definedName>
    <definedName name="____xk9700">#REF!</definedName>
    <definedName name="____xk9750" localSheetId="8">#REF!</definedName>
    <definedName name="____xk9750" localSheetId="10">#REF!</definedName>
    <definedName name="____xk9750" localSheetId="11">#REF!</definedName>
    <definedName name="____xk9750" localSheetId="29">#REF!</definedName>
    <definedName name="____xk9750">#REF!</definedName>
    <definedName name="____xk9800" localSheetId="8">#REF!</definedName>
    <definedName name="____xk9800" localSheetId="10">#REF!</definedName>
    <definedName name="____xk9800" localSheetId="11">#REF!</definedName>
    <definedName name="____xk9800" localSheetId="29">#REF!</definedName>
    <definedName name="____xk9800">#REF!</definedName>
    <definedName name="____xk9900" localSheetId="8">#REF!</definedName>
    <definedName name="____xk9900" localSheetId="10">#REF!</definedName>
    <definedName name="____xk9900" localSheetId="11">#REF!</definedName>
    <definedName name="____xk9900" localSheetId="29">#REF!</definedName>
    <definedName name="____xk9900">#REF!</definedName>
    <definedName name="____xlfn_BAHTTEXT">#N/A</definedName>
    <definedName name="____xp12510" localSheetId="8">#REF!</definedName>
    <definedName name="____xp12510" localSheetId="10">#REF!</definedName>
    <definedName name="____xp12510" localSheetId="11">#REF!</definedName>
    <definedName name="____xp12510" localSheetId="29">#REF!</definedName>
    <definedName name="____xp12510">#REF!</definedName>
    <definedName name="____xp16010" localSheetId="8">#REF!</definedName>
    <definedName name="____xp16010" localSheetId="10">#REF!</definedName>
    <definedName name="____xp16010" localSheetId="11">#REF!</definedName>
    <definedName name="____xp16010" localSheetId="29">#REF!</definedName>
    <definedName name="____xp16010">#REF!</definedName>
    <definedName name="____xp18010" localSheetId="8">#REF!</definedName>
    <definedName name="____xp18010" localSheetId="10">#REF!</definedName>
    <definedName name="____xp18010" localSheetId="11">#REF!</definedName>
    <definedName name="____xp18010" localSheetId="29">#REF!</definedName>
    <definedName name="____xp18010">#REF!</definedName>
    <definedName name="____xp20010" localSheetId="8">#REF!</definedName>
    <definedName name="____xp20010" localSheetId="10">#REF!</definedName>
    <definedName name="____xp20010" localSheetId="11">#REF!</definedName>
    <definedName name="____xp20010" localSheetId="29">#REF!</definedName>
    <definedName name="____xp20010">#REF!</definedName>
    <definedName name="____xp2004" localSheetId="8">#REF!</definedName>
    <definedName name="____xp2004" localSheetId="10">#REF!</definedName>
    <definedName name="____xp2004" localSheetId="11">#REF!</definedName>
    <definedName name="____xp2004" localSheetId="29">#REF!</definedName>
    <definedName name="____xp2004">#REF!</definedName>
    <definedName name="____xp22510" localSheetId="8">#REF!</definedName>
    <definedName name="____xp22510" localSheetId="10">#REF!</definedName>
    <definedName name="____xp22510" localSheetId="11">#REF!</definedName>
    <definedName name="____xp22510" localSheetId="29">#REF!</definedName>
    <definedName name="____xp22510">#REF!</definedName>
    <definedName name="____xp2254" localSheetId="8">#REF!</definedName>
    <definedName name="____xp2254" localSheetId="10">#REF!</definedName>
    <definedName name="____xp2254" localSheetId="11">#REF!</definedName>
    <definedName name="____xp2254" localSheetId="29">#REF!</definedName>
    <definedName name="____xp2254">#REF!</definedName>
    <definedName name="____xp2256" localSheetId="8">#REF!</definedName>
    <definedName name="____xp2256" localSheetId="10">#REF!</definedName>
    <definedName name="____xp2256" localSheetId="11">#REF!</definedName>
    <definedName name="____xp2256" localSheetId="29">#REF!</definedName>
    <definedName name="____xp2256">#REF!</definedName>
    <definedName name="____xp25010" localSheetId="8">#REF!</definedName>
    <definedName name="____xp25010" localSheetId="10">#REF!</definedName>
    <definedName name="____xp25010" localSheetId="11">#REF!</definedName>
    <definedName name="____xp25010" localSheetId="29">#REF!</definedName>
    <definedName name="____xp25010">#REF!</definedName>
    <definedName name="____xp2504" localSheetId="8">#REF!</definedName>
    <definedName name="____xp2504" localSheetId="10">#REF!</definedName>
    <definedName name="____xp2504" localSheetId="11">#REF!</definedName>
    <definedName name="____xp2504" localSheetId="29">#REF!</definedName>
    <definedName name="____xp2504">#REF!</definedName>
    <definedName name="____xp2506" localSheetId="8">#REF!</definedName>
    <definedName name="____xp2506" localSheetId="10">#REF!</definedName>
    <definedName name="____xp2506" localSheetId="11">#REF!</definedName>
    <definedName name="____xp2506" localSheetId="29">#REF!</definedName>
    <definedName name="____xp2506">#REF!</definedName>
    <definedName name="____xp28010" localSheetId="8">#REF!</definedName>
    <definedName name="____xp28010" localSheetId="10">#REF!</definedName>
    <definedName name="____xp28010" localSheetId="11">#REF!</definedName>
    <definedName name="____xp28010" localSheetId="29">#REF!</definedName>
    <definedName name="____xp28010">#REF!</definedName>
    <definedName name="____xp2804" localSheetId="8">#REF!</definedName>
    <definedName name="____xp2804" localSheetId="10">#REF!</definedName>
    <definedName name="____xp2804" localSheetId="11">#REF!</definedName>
    <definedName name="____xp2804" localSheetId="29">#REF!</definedName>
    <definedName name="____xp2804">#REF!</definedName>
    <definedName name="____xp2806" localSheetId="8">#REF!</definedName>
    <definedName name="____xp2806" localSheetId="10">#REF!</definedName>
    <definedName name="____xp2806" localSheetId="11">#REF!</definedName>
    <definedName name="____xp2806" localSheetId="29">#REF!</definedName>
    <definedName name="____xp2806">#REF!</definedName>
    <definedName name="____xp31510" localSheetId="8">#REF!</definedName>
    <definedName name="____xp31510" localSheetId="10">#REF!</definedName>
    <definedName name="____xp31510" localSheetId="11">#REF!</definedName>
    <definedName name="____xp31510" localSheetId="29">#REF!</definedName>
    <definedName name="____xp31510">#REF!</definedName>
    <definedName name="____xp3154" localSheetId="8">#REF!</definedName>
    <definedName name="____xp3154" localSheetId="10">#REF!</definedName>
    <definedName name="____xp3154" localSheetId="11">#REF!</definedName>
    <definedName name="____xp3154" localSheetId="29">#REF!</definedName>
    <definedName name="____xp3154">#REF!</definedName>
    <definedName name="____xp3156" localSheetId="8">#REF!</definedName>
    <definedName name="____xp3156" localSheetId="10">#REF!</definedName>
    <definedName name="____xp3156" localSheetId="11">#REF!</definedName>
    <definedName name="____xp3156" localSheetId="29">#REF!</definedName>
    <definedName name="____xp3156">#REF!</definedName>
    <definedName name="____xp634" localSheetId="8">#REF!</definedName>
    <definedName name="____xp634" localSheetId="10">#REF!</definedName>
    <definedName name="____xp634" localSheetId="11">#REF!</definedName>
    <definedName name="____xp634" localSheetId="29">#REF!</definedName>
    <definedName name="____xp634">#REF!</definedName>
    <definedName name="___abs1" localSheetId="5">#REF!</definedName>
    <definedName name="___abs1" localSheetId="14">#REF!</definedName>
    <definedName name="___abs1" localSheetId="8">#REF!</definedName>
    <definedName name="___abs1" localSheetId="10">#REF!</definedName>
    <definedName name="___abs1" localSheetId="29">#REF!</definedName>
    <definedName name="___abs1">#REF!</definedName>
    <definedName name="___AUX1">#REF!</definedName>
    <definedName name="___aux2" localSheetId="29">#REF!</definedName>
    <definedName name="___AUX3">#REF!</definedName>
    <definedName name="___BSG100" localSheetId="8">#REF!</definedName>
    <definedName name="___BSG100" localSheetId="10">#REF!</definedName>
    <definedName name="___BSG100" localSheetId="29">#REF!</definedName>
    <definedName name="___BSG100">#REF!</definedName>
    <definedName name="___BSG150" localSheetId="8">#REF!</definedName>
    <definedName name="___BSG150" localSheetId="10">#REF!</definedName>
    <definedName name="___BSG150" localSheetId="29">#REF!</definedName>
    <definedName name="___BSG150">#REF!</definedName>
    <definedName name="___BSG5" localSheetId="8">#REF!</definedName>
    <definedName name="___BSG5" localSheetId="10">#REF!</definedName>
    <definedName name="___BSG5" localSheetId="29">#REF!</definedName>
    <definedName name="___BSG5">#REF!</definedName>
    <definedName name="___BSG75" localSheetId="8">#REF!</definedName>
    <definedName name="___BSG75" localSheetId="10">#REF!</definedName>
    <definedName name="___BSG75" localSheetId="29">#REF!</definedName>
    <definedName name="___BSG75">#REF!</definedName>
    <definedName name="___BTC1" localSheetId="8">#REF!</definedName>
    <definedName name="___BTC1" localSheetId="10">#REF!</definedName>
    <definedName name="___BTC1" localSheetId="29">#REF!</definedName>
    <definedName name="___BTC1">#REF!</definedName>
    <definedName name="___BTC10" localSheetId="8">#REF!</definedName>
    <definedName name="___BTC10" localSheetId="10">#REF!</definedName>
    <definedName name="___BTC10" localSheetId="29">#REF!</definedName>
    <definedName name="___BTC10">#REF!</definedName>
    <definedName name="___BTC11" localSheetId="8">#REF!</definedName>
    <definedName name="___BTC11" localSheetId="10">#REF!</definedName>
    <definedName name="___BTC11" localSheetId="29">#REF!</definedName>
    <definedName name="___BTC11">#REF!</definedName>
    <definedName name="___BTC12" localSheetId="8">#REF!</definedName>
    <definedName name="___BTC12" localSheetId="10">#REF!</definedName>
    <definedName name="___BTC12" localSheetId="29">#REF!</definedName>
    <definedName name="___BTC12">#REF!</definedName>
    <definedName name="___BTC13" localSheetId="8">#REF!</definedName>
    <definedName name="___BTC13" localSheetId="10">#REF!</definedName>
    <definedName name="___BTC13" localSheetId="29">#REF!</definedName>
    <definedName name="___BTC13">#REF!</definedName>
    <definedName name="___BTC14" localSheetId="8">#REF!</definedName>
    <definedName name="___BTC14" localSheetId="10">#REF!</definedName>
    <definedName name="___BTC14" localSheetId="29">#REF!</definedName>
    <definedName name="___BTC14">#REF!</definedName>
    <definedName name="___BTC15" localSheetId="8">#REF!</definedName>
    <definedName name="___BTC15" localSheetId="10">#REF!</definedName>
    <definedName name="___BTC15" localSheetId="29">#REF!</definedName>
    <definedName name="___BTC15">#REF!</definedName>
    <definedName name="___BTC16">#REF!</definedName>
    <definedName name="___BTC17">#REF!</definedName>
    <definedName name="___BTC18">#REF!</definedName>
    <definedName name="___BTC19">#REF!</definedName>
    <definedName name="___BTC2" localSheetId="8">#REF!</definedName>
    <definedName name="___BTC2" localSheetId="10">#REF!</definedName>
    <definedName name="___BTC2" localSheetId="29">#REF!</definedName>
    <definedName name="___BTC2">#REF!</definedName>
    <definedName name="___BTC20">#REF!</definedName>
    <definedName name="___BTC21">#REF!</definedName>
    <definedName name="___BTC22">#REF!</definedName>
    <definedName name="___BTC23">#REF!</definedName>
    <definedName name="___BTC24">#REF!</definedName>
    <definedName name="___BTC3" localSheetId="8">#REF!</definedName>
    <definedName name="___BTC3" localSheetId="10">#REF!</definedName>
    <definedName name="___BTC3" localSheetId="29">#REF!</definedName>
    <definedName name="___BTC3">#REF!</definedName>
    <definedName name="___BTC4" localSheetId="8">#REF!</definedName>
    <definedName name="___BTC4" localSheetId="10">#REF!</definedName>
    <definedName name="___BTC4" localSheetId="29">#REF!</definedName>
    <definedName name="___BTC4">#REF!</definedName>
    <definedName name="___BTC5" localSheetId="8">#REF!</definedName>
    <definedName name="___BTC5" localSheetId="10">#REF!</definedName>
    <definedName name="___BTC5" localSheetId="29">#REF!</definedName>
    <definedName name="___BTC5">#REF!</definedName>
    <definedName name="___BTC6" localSheetId="8">#REF!</definedName>
    <definedName name="___BTC6" localSheetId="10">#REF!</definedName>
    <definedName name="___BTC6" localSheetId="29">#REF!</definedName>
    <definedName name="___BTC6">#REF!</definedName>
    <definedName name="___BTC7" localSheetId="8">#REF!</definedName>
    <definedName name="___BTC7" localSheetId="10">#REF!</definedName>
    <definedName name="___BTC7" localSheetId="29">#REF!</definedName>
    <definedName name="___BTC7">#REF!</definedName>
    <definedName name="___BTC8" localSheetId="8">#REF!</definedName>
    <definedName name="___BTC8" localSheetId="10">#REF!</definedName>
    <definedName name="___BTC8" localSheetId="29">#REF!</definedName>
    <definedName name="___BTC8">#REF!</definedName>
    <definedName name="___BTC9" localSheetId="8">#REF!</definedName>
    <definedName name="___BTC9" localSheetId="10">#REF!</definedName>
    <definedName name="___BTC9" localSheetId="29">#REF!</definedName>
    <definedName name="___BTC9">#REF!</definedName>
    <definedName name="___BTR1">#REF!</definedName>
    <definedName name="___BTR10">#REF!</definedName>
    <definedName name="___BTR11">#REF!</definedName>
    <definedName name="___BTR12">#REF!</definedName>
    <definedName name="___BTR13">#REF!</definedName>
    <definedName name="___BTR14">#REF!</definedName>
    <definedName name="___BTR15">#REF!</definedName>
    <definedName name="___BTR16">#REF!</definedName>
    <definedName name="___BTR17">#REF!</definedName>
    <definedName name="___BTR18">#REF!</definedName>
    <definedName name="___BTR19">#REF!</definedName>
    <definedName name="___BTR2">#REF!</definedName>
    <definedName name="___BTR20">#REF!</definedName>
    <definedName name="___BTR21">#REF!</definedName>
    <definedName name="___BTR22">#REF!</definedName>
    <definedName name="___BTR23">#REF!</definedName>
    <definedName name="___BTR24">#REF!</definedName>
    <definedName name="___BTR3">#REF!</definedName>
    <definedName name="___BTR4">#REF!</definedName>
    <definedName name="___BTR5">#REF!</definedName>
    <definedName name="___BTR6">#REF!</definedName>
    <definedName name="___BTR7">#REF!</definedName>
    <definedName name="___BTR8">#REF!</definedName>
    <definedName name="___BTR9">#REF!</definedName>
    <definedName name="___BTS1" localSheetId="8">#REF!</definedName>
    <definedName name="___BTS1" localSheetId="10">#REF!</definedName>
    <definedName name="___BTS1" localSheetId="29">#REF!</definedName>
    <definedName name="___BTS1">#REF!</definedName>
    <definedName name="___BTS10" localSheetId="8">#REF!</definedName>
    <definedName name="___BTS10" localSheetId="10">#REF!</definedName>
    <definedName name="___BTS10" localSheetId="29">#REF!</definedName>
    <definedName name="___BTS10">#REF!</definedName>
    <definedName name="___BTS11" localSheetId="8">#REF!</definedName>
    <definedName name="___BTS11" localSheetId="10">#REF!</definedName>
    <definedName name="___BTS11" localSheetId="29">#REF!</definedName>
    <definedName name="___BTS11">#REF!</definedName>
    <definedName name="___BTS12" localSheetId="8">#REF!</definedName>
    <definedName name="___BTS12" localSheetId="10">#REF!</definedName>
    <definedName name="___BTS12" localSheetId="29">#REF!</definedName>
    <definedName name="___BTS12">#REF!</definedName>
    <definedName name="___BTS13" localSheetId="8">#REF!</definedName>
    <definedName name="___BTS13" localSheetId="10">#REF!</definedName>
    <definedName name="___BTS13" localSheetId="29">#REF!</definedName>
    <definedName name="___BTS13">#REF!</definedName>
    <definedName name="___BTS14" localSheetId="8">#REF!</definedName>
    <definedName name="___BTS14" localSheetId="10">#REF!</definedName>
    <definedName name="___BTS14" localSheetId="29">#REF!</definedName>
    <definedName name="___BTS14">#REF!</definedName>
    <definedName name="___BTS15" localSheetId="8">#REF!</definedName>
    <definedName name="___BTS15" localSheetId="10">#REF!</definedName>
    <definedName name="___BTS15" localSheetId="29">#REF!</definedName>
    <definedName name="___BTS15">#REF!</definedName>
    <definedName name="___BTS16">#REF!</definedName>
    <definedName name="___BTS17">#REF!</definedName>
    <definedName name="___BTS18">#REF!</definedName>
    <definedName name="___BTS19">#REF!</definedName>
    <definedName name="___BTS2" localSheetId="8">#REF!</definedName>
    <definedName name="___BTS2" localSheetId="10">#REF!</definedName>
    <definedName name="___BTS2" localSheetId="29">#REF!</definedName>
    <definedName name="___BTS2">#REF!</definedName>
    <definedName name="___BTS20">#REF!</definedName>
    <definedName name="___BTS21">#REF!</definedName>
    <definedName name="___BTS22">#REF!</definedName>
    <definedName name="___BTS23">#REF!</definedName>
    <definedName name="___BTS24">#REF!</definedName>
    <definedName name="___BTS3" localSheetId="8">#REF!</definedName>
    <definedName name="___BTS3" localSheetId="10">#REF!</definedName>
    <definedName name="___BTS3" localSheetId="29">#REF!</definedName>
    <definedName name="___BTS3">#REF!</definedName>
    <definedName name="___BTS4" localSheetId="8">#REF!</definedName>
    <definedName name="___BTS4" localSheetId="10">#REF!</definedName>
    <definedName name="___BTS4" localSheetId="29">#REF!</definedName>
    <definedName name="___BTS4">#REF!</definedName>
    <definedName name="___BTS5" localSheetId="8">#REF!</definedName>
    <definedName name="___BTS5" localSheetId="10">#REF!</definedName>
    <definedName name="___BTS5" localSheetId="29">#REF!</definedName>
    <definedName name="___BTS5">#REF!</definedName>
    <definedName name="___BTS6" localSheetId="8">#REF!</definedName>
    <definedName name="___BTS6" localSheetId="10">#REF!</definedName>
    <definedName name="___BTS6" localSheetId="29">#REF!</definedName>
    <definedName name="___BTS6">#REF!</definedName>
    <definedName name="___BTS7" localSheetId="8">#REF!</definedName>
    <definedName name="___BTS7" localSheetId="10">#REF!</definedName>
    <definedName name="___BTS7" localSheetId="29">#REF!</definedName>
    <definedName name="___BTS7">#REF!</definedName>
    <definedName name="___BTS8" localSheetId="8">#REF!</definedName>
    <definedName name="___BTS8" localSheetId="10">#REF!</definedName>
    <definedName name="___BTS8" localSheetId="29">#REF!</definedName>
    <definedName name="___BTS8">#REF!</definedName>
    <definedName name="___BTS9" localSheetId="8">#REF!</definedName>
    <definedName name="___BTS9" localSheetId="10">#REF!</definedName>
    <definedName name="___BTS9" localSheetId="29">#REF!</definedName>
    <definedName name="___BTS9">#REF!</definedName>
    <definedName name="___can430">40.73</definedName>
    <definedName name="___can435">43.3</definedName>
    <definedName name="___cbr1" localSheetId="8">#REF!</definedName>
    <definedName name="___cbr1" localSheetId="10">#REF!</definedName>
    <definedName name="___cbr1" localSheetId="29">#REF!</definedName>
    <definedName name="___cbr1">#REF!</definedName>
    <definedName name="___cbr2" localSheetId="8">#REF!</definedName>
    <definedName name="___cbr2" localSheetId="10">#REF!</definedName>
    <definedName name="___cbr2" localSheetId="29">#REF!</definedName>
    <definedName name="___cbr2">#REF!</definedName>
    <definedName name="___cbr3" localSheetId="8">#REF!</definedName>
    <definedName name="___cbr3" localSheetId="10">#REF!</definedName>
    <definedName name="___cbr3" localSheetId="29">#REF!</definedName>
    <definedName name="___cbr3">#REF!</definedName>
    <definedName name="___cbr4" localSheetId="8">#REF!</definedName>
    <definedName name="___cbr4" localSheetId="10">#REF!</definedName>
    <definedName name="___cbr4" localSheetId="29">#REF!</definedName>
    <definedName name="___cbr4">#REF!</definedName>
    <definedName name="___df3" localSheetId="8">#REF!</definedName>
    <definedName name="___df3" localSheetId="10">#REF!</definedName>
    <definedName name="___df3" localSheetId="11">#REF!</definedName>
    <definedName name="___df3" localSheetId="29">#REF!</definedName>
    <definedName name="___df3">#REF!</definedName>
    <definedName name="___er1">#REF!</definedName>
    <definedName name="___ewe1" localSheetId="11">#REF!</definedName>
    <definedName name="___ewe1" localSheetId="29">#REF!</definedName>
    <definedName name="___f1" localSheetId="8">#REF!</definedName>
    <definedName name="___f1" localSheetId="10">#REF!</definedName>
    <definedName name="___f1" localSheetId="11">#REF!</definedName>
    <definedName name="___f1" localSheetId="29">#REF!</definedName>
    <definedName name="___f1">#REF!</definedName>
    <definedName name="___GBS11" localSheetId="8">#REF!</definedName>
    <definedName name="___GBS11" localSheetId="10">#REF!</definedName>
    <definedName name="___GBS11" localSheetId="29">#REF!</definedName>
    <definedName name="___GBS11">#REF!</definedName>
    <definedName name="___GBS110" localSheetId="8">#REF!</definedName>
    <definedName name="___GBS110" localSheetId="10">#REF!</definedName>
    <definedName name="___GBS110" localSheetId="29">#REF!</definedName>
    <definedName name="___GBS110">#REF!</definedName>
    <definedName name="___GBS111" localSheetId="8">#REF!</definedName>
    <definedName name="___GBS111" localSheetId="10">#REF!</definedName>
    <definedName name="___GBS111" localSheetId="29">#REF!</definedName>
    <definedName name="___GBS111">#REF!</definedName>
    <definedName name="___GBS112" localSheetId="8">#REF!</definedName>
    <definedName name="___GBS112" localSheetId="10">#REF!</definedName>
    <definedName name="___GBS112" localSheetId="29">#REF!</definedName>
    <definedName name="___GBS112">#REF!</definedName>
    <definedName name="___GBS113" localSheetId="8">#REF!</definedName>
    <definedName name="___GBS113" localSheetId="10">#REF!</definedName>
    <definedName name="___GBS113" localSheetId="29">#REF!</definedName>
    <definedName name="___GBS113">#REF!</definedName>
    <definedName name="___GBS114" localSheetId="8">#REF!</definedName>
    <definedName name="___GBS114" localSheetId="10">#REF!</definedName>
    <definedName name="___GBS114" localSheetId="29">#REF!</definedName>
    <definedName name="___GBS114">#REF!</definedName>
    <definedName name="___GBS115" localSheetId="8">#REF!</definedName>
    <definedName name="___GBS115" localSheetId="10">#REF!</definedName>
    <definedName name="___GBS115" localSheetId="29">#REF!</definedName>
    <definedName name="___GBS115">#REF!</definedName>
    <definedName name="___GBS116">#REF!</definedName>
    <definedName name="___GBS117">#REF!</definedName>
    <definedName name="___GBS118">#REF!</definedName>
    <definedName name="___GBS119">#REF!</definedName>
    <definedName name="___GBS12" localSheetId="8">#REF!</definedName>
    <definedName name="___GBS12" localSheetId="10">#REF!</definedName>
    <definedName name="___GBS12" localSheetId="29">#REF!</definedName>
    <definedName name="___GBS12">#REF!</definedName>
    <definedName name="___GBS120">#REF!</definedName>
    <definedName name="___GBS121">#REF!</definedName>
    <definedName name="___GBS122">#REF!</definedName>
    <definedName name="___GBS123">#REF!</definedName>
    <definedName name="___GBS124">#REF!</definedName>
    <definedName name="___GBS13" localSheetId="8">#REF!</definedName>
    <definedName name="___GBS13" localSheetId="10">#REF!</definedName>
    <definedName name="___GBS13" localSheetId="29">#REF!</definedName>
    <definedName name="___GBS13">#REF!</definedName>
    <definedName name="___GBS14" localSheetId="8">#REF!</definedName>
    <definedName name="___GBS14" localSheetId="10">#REF!</definedName>
    <definedName name="___GBS14" localSheetId="29">#REF!</definedName>
    <definedName name="___GBS14">#REF!</definedName>
    <definedName name="___GBS15" localSheetId="8">#REF!</definedName>
    <definedName name="___GBS15" localSheetId="10">#REF!</definedName>
    <definedName name="___GBS15" localSheetId="29">#REF!</definedName>
    <definedName name="___GBS15">#REF!</definedName>
    <definedName name="___GBS16" localSheetId="8">#REF!</definedName>
    <definedName name="___GBS16" localSheetId="10">#REF!</definedName>
    <definedName name="___GBS16" localSheetId="29">#REF!</definedName>
    <definedName name="___GBS16">#REF!</definedName>
    <definedName name="___GBS17" localSheetId="8">#REF!</definedName>
    <definedName name="___GBS17" localSheetId="10">#REF!</definedName>
    <definedName name="___GBS17" localSheetId="29">#REF!</definedName>
    <definedName name="___GBS17">#REF!</definedName>
    <definedName name="___GBS18" localSheetId="8">#REF!</definedName>
    <definedName name="___GBS18" localSheetId="10">#REF!</definedName>
    <definedName name="___GBS18" localSheetId="29">#REF!</definedName>
    <definedName name="___GBS18">#REF!</definedName>
    <definedName name="___GBS19" localSheetId="8">#REF!</definedName>
    <definedName name="___GBS19" localSheetId="10">#REF!</definedName>
    <definedName name="___GBS19" localSheetId="29">#REF!</definedName>
    <definedName name="___GBS19">#REF!</definedName>
    <definedName name="___GBS21" localSheetId="8">#REF!</definedName>
    <definedName name="___GBS21" localSheetId="10">#REF!</definedName>
    <definedName name="___GBS21" localSheetId="29">#REF!</definedName>
    <definedName name="___GBS21">#REF!</definedName>
    <definedName name="___GBS210" localSheetId="8">#REF!</definedName>
    <definedName name="___GBS210" localSheetId="10">#REF!</definedName>
    <definedName name="___GBS210" localSheetId="29">#REF!</definedName>
    <definedName name="___GBS210">#REF!</definedName>
    <definedName name="___GBS211" localSheetId="8">#REF!</definedName>
    <definedName name="___GBS211" localSheetId="10">#REF!</definedName>
    <definedName name="___GBS211" localSheetId="29">#REF!</definedName>
    <definedName name="___GBS211">#REF!</definedName>
    <definedName name="___GBS212" localSheetId="8">#REF!</definedName>
    <definedName name="___GBS212" localSheetId="10">#REF!</definedName>
    <definedName name="___GBS212" localSheetId="29">#REF!</definedName>
    <definedName name="___GBS212">#REF!</definedName>
    <definedName name="___GBS213" localSheetId="8">#REF!</definedName>
    <definedName name="___GBS213" localSheetId="10">#REF!</definedName>
    <definedName name="___GBS213" localSheetId="29">#REF!</definedName>
    <definedName name="___GBS213">#REF!</definedName>
    <definedName name="___GBS214" localSheetId="8">#REF!</definedName>
    <definedName name="___GBS214" localSheetId="10">#REF!</definedName>
    <definedName name="___GBS214" localSheetId="29">#REF!</definedName>
    <definedName name="___GBS214">#REF!</definedName>
    <definedName name="___GBS215" localSheetId="8">#REF!</definedName>
    <definedName name="___GBS215" localSheetId="10">#REF!</definedName>
    <definedName name="___GBS215" localSheetId="29">#REF!</definedName>
    <definedName name="___GBS215">#REF!</definedName>
    <definedName name="___GBS216">#REF!</definedName>
    <definedName name="___GBS217">#REF!</definedName>
    <definedName name="___GBS218">#REF!</definedName>
    <definedName name="___GBS219">#REF!</definedName>
    <definedName name="___GBS22" localSheetId="8">#REF!</definedName>
    <definedName name="___GBS22" localSheetId="10">#REF!</definedName>
    <definedName name="___GBS22" localSheetId="29">#REF!</definedName>
    <definedName name="___GBS22">#REF!</definedName>
    <definedName name="___GBS220">#REF!</definedName>
    <definedName name="___GBS221">#REF!</definedName>
    <definedName name="___GBS222">#REF!</definedName>
    <definedName name="___GBS223">#REF!</definedName>
    <definedName name="___GBS224">#REF!</definedName>
    <definedName name="___GBS23" localSheetId="8">#REF!</definedName>
    <definedName name="___GBS23" localSheetId="10">#REF!</definedName>
    <definedName name="___GBS23" localSheetId="29">#REF!</definedName>
    <definedName name="___GBS23">#REF!</definedName>
    <definedName name="___GBS24" localSheetId="8">#REF!</definedName>
    <definedName name="___GBS24" localSheetId="10">#REF!</definedName>
    <definedName name="___GBS24" localSheetId="29">#REF!</definedName>
    <definedName name="___GBS24">#REF!</definedName>
    <definedName name="___GBS25" localSheetId="8">#REF!</definedName>
    <definedName name="___GBS25" localSheetId="10">#REF!</definedName>
    <definedName name="___GBS25" localSheetId="29">#REF!</definedName>
    <definedName name="___GBS25">#REF!</definedName>
    <definedName name="___GBS26" localSheetId="8">#REF!</definedName>
    <definedName name="___GBS26" localSheetId="10">#REF!</definedName>
    <definedName name="___GBS26" localSheetId="29">#REF!</definedName>
    <definedName name="___GBS26">#REF!</definedName>
    <definedName name="___GBS27" localSheetId="8">#REF!</definedName>
    <definedName name="___GBS27" localSheetId="10">#REF!</definedName>
    <definedName name="___GBS27" localSheetId="29">#REF!</definedName>
    <definedName name="___GBS27">#REF!</definedName>
    <definedName name="___GBS28" localSheetId="8">#REF!</definedName>
    <definedName name="___GBS28" localSheetId="10">#REF!</definedName>
    <definedName name="___GBS28" localSheetId="29">#REF!</definedName>
    <definedName name="___GBS28">#REF!</definedName>
    <definedName name="___GBS29" localSheetId="8">#REF!</definedName>
    <definedName name="___GBS29" localSheetId="10">#REF!</definedName>
    <definedName name="___GBS29" localSheetId="29">#REF!</definedName>
    <definedName name="___GBS29">#REF!</definedName>
    <definedName name="___grp10003" localSheetId="8">#REF!</definedName>
    <definedName name="___grp10003" localSheetId="10">#REF!</definedName>
    <definedName name="___grp10003" localSheetId="11">#REF!</definedName>
    <definedName name="___grp10003" localSheetId="29">#REF!</definedName>
    <definedName name="___grp10003">#REF!</definedName>
    <definedName name="___grp3503" localSheetId="8">#REF!</definedName>
    <definedName name="___grp3503" localSheetId="10">#REF!</definedName>
    <definedName name="___grp3503" localSheetId="11">#REF!</definedName>
    <definedName name="___grp3503" localSheetId="29">#REF!</definedName>
    <definedName name="___grp3503">#REF!</definedName>
    <definedName name="___grp4003" localSheetId="8">#REF!</definedName>
    <definedName name="___grp4003" localSheetId="10">#REF!</definedName>
    <definedName name="___grp4003" localSheetId="11">#REF!</definedName>
    <definedName name="___grp4003" localSheetId="29">#REF!</definedName>
    <definedName name="___grp4003">#REF!</definedName>
    <definedName name="___grp4503" localSheetId="8">#REF!</definedName>
    <definedName name="___grp4503" localSheetId="10">#REF!</definedName>
    <definedName name="___grp4503" localSheetId="11">#REF!</definedName>
    <definedName name="___grp4503" localSheetId="29">#REF!</definedName>
    <definedName name="___grp4503">#REF!</definedName>
    <definedName name="___grp5003" localSheetId="8">#REF!</definedName>
    <definedName name="___grp5003" localSheetId="10">#REF!</definedName>
    <definedName name="___grp5003" localSheetId="11">#REF!</definedName>
    <definedName name="___grp5003" localSheetId="29">#REF!</definedName>
    <definedName name="___grp5003">#REF!</definedName>
    <definedName name="___grp6003" localSheetId="8">#REF!</definedName>
    <definedName name="___grp6003" localSheetId="10">#REF!</definedName>
    <definedName name="___grp6003" localSheetId="11">#REF!</definedName>
    <definedName name="___grp6003" localSheetId="29">#REF!</definedName>
    <definedName name="___grp6003">#REF!</definedName>
    <definedName name="___grp7003" localSheetId="8">#REF!</definedName>
    <definedName name="___grp7003" localSheetId="10">#REF!</definedName>
    <definedName name="___grp7003" localSheetId="11">#REF!</definedName>
    <definedName name="___grp7003" localSheetId="29">#REF!</definedName>
    <definedName name="___grp7003">#REF!</definedName>
    <definedName name="___grp8003" localSheetId="8">#REF!</definedName>
    <definedName name="___grp8003" localSheetId="10">#REF!</definedName>
    <definedName name="___grp8003" localSheetId="11">#REF!</definedName>
    <definedName name="___grp8003" localSheetId="29">#REF!</definedName>
    <definedName name="___grp8003">#REF!</definedName>
    <definedName name="___grp9003" localSheetId="8">#REF!</definedName>
    <definedName name="___grp9003" localSheetId="10">#REF!</definedName>
    <definedName name="___grp9003" localSheetId="11">#REF!</definedName>
    <definedName name="___grp9003" localSheetId="29">#REF!</definedName>
    <definedName name="___grp9003">#REF!</definedName>
    <definedName name="___gus1">#REF!</definedName>
    <definedName name="___hpm1">#REF!</definedName>
    <definedName name="___knr2" localSheetId="5">#REF!</definedName>
    <definedName name="___knr2" localSheetId="8">#REF!</definedName>
    <definedName name="___knr2" localSheetId="10">#REF!</definedName>
    <definedName name="___knr2" localSheetId="11">#REF!</definedName>
    <definedName name="___knr2" localSheetId="29">#REF!</definedName>
    <definedName name="___knr2">#REF!</definedName>
    <definedName name="___l12" localSheetId="21">#REF!</definedName>
    <definedName name="___l12" localSheetId="5">#REF!</definedName>
    <definedName name="___l12" localSheetId="8">#REF!</definedName>
    <definedName name="___l12" localSheetId="10">#REF!</definedName>
    <definedName name="___l12" localSheetId="11">#REF!</definedName>
    <definedName name="___l12" localSheetId="29">#REF!</definedName>
    <definedName name="___l12" localSheetId="31">#REF!</definedName>
    <definedName name="___l12" localSheetId="35">#REF!</definedName>
    <definedName name="___l12" localSheetId="36">#REF!</definedName>
    <definedName name="___l12">#REF!</definedName>
    <definedName name="___l3" localSheetId="21">#REF!</definedName>
    <definedName name="___l3" localSheetId="5">#REF!</definedName>
    <definedName name="___l3" localSheetId="8">#REF!</definedName>
    <definedName name="___l3" localSheetId="10">#REF!</definedName>
    <definedName name="___l3" localSheetId="11">#REF!</definedName>
    <definedName name="___l3" localSheetId="29">#REF!</definedName>
    <definedName name="___l3" localSheetId="31">#REF!</definedName>
    <definedName name="___l3" localSheetId="35">#REF!</definedName>
    <definedName name="___l3" localSheetId="36">#REF!</definedName>
    <definedName name="___l3">#REF!</definedName>
    <definedName name="___l5" localSheetId="21">#REF!</definedName>
    <definedName name="___l5" localSheetId="5">#REF!</definedName>
    <definedName name="___l5" localSheetId="8">#REF!</definedName>
    <definedName name="___l5" localSheetId="10">#REF!</definedName>
    <definedName name="___l5" localSheetId="11">#REF!</definedName>
    <definedName name="___l5" localSheetId="29">#REF!</definedName>
    <definedName name="___l5" localSheetId="31">#REF!</definedName>
    <definedName name="___l5" localSheetId="35">#REF!</definedName>
    <definedName name="___l5" localSheetId="36">#REF!</definedName>
    <definedName name="___l5">#REF!</definedName>
    <definedName name="___lcn1">#REF!</definedName>
    <definedName name="___LI9" localSheetId="8">#REF!</definedName>
    <definedName name="___LI9" localSheetId="10">#REF!</definedName>
    <definedName name="___LI9" localSheetId="29">#REF!</definedName>
    <definedName name="___LI9">#REF!</definedName>
    <definedName name="___LII9" localSheetId="8">#REF!</definedName>
    <definedName name="___LII9" localSheetId="10">#REF!</definedName>
    <definedName name="___LII9" localSheetId="29">#REF!</definedName>
    <definedName name="___LII9">#REF!</definedName>
    <definedName name="___lj600" localSheetId="29">#REF!</definedName>
    <definedName name="___lj900">#REF!</definedName>
    <definedName name="___LL3">#REF!</definedName>
    <definedName name="___lm1">#REF!</definedName>
    <definedName name="___MA1" localSheetId="29">#REF!</definedName>
    <definedName name="___MA2" localSheetId="29">#REF!</definedName>
    <definedName name="___Met22" localSheetId="29">#REF!</definedName>
    <definedName name="___Met45">#REF!</definedName>
    <definedName name="___MEt55">#REF!</definedName>
    <definedName name="___Met63">#REF!</definedName>
    <definedName name="___ML11" localSheetId="8">#REF!</definedName>
    <definedName name="___ML11" localSheetId="10">#REF!</definedName>
    <definedName name="___ML11" localSheetId="29">#REF!</definedName>
    <definedName name="___ML11">#REF!</definedName>
    <definedName name="___ML110" localSheetId="8">#REF!</definedName>
    <definedName name="___ML110" localSheetId="10">#REF!</definedName>
    <definedName name="___ML110" localSheetId="29">#REF!</definedName>
    <definedName name="___ML110">#REF!</definedName>
    <definedName name="___ML111" localSheetId="8">#REF!</definedName>
    <definedName name="___ML111" localSheetId="10">#REF!</definedName>
    <definedName name="___ML111" localSheetId="29">#REF!</definedName>
    <definedName name="___ML111">#REF!</definedName>
    <definedName name="___ML112" localSheetId="8">#REF!</definedName>
    <definedName name="___ML112" localSheetId="10">#REF!</definedName>
    <definedName name="___ML112" localSheetId="29">#REF!</definedName>
    <definedName name="___ML112">#REF!</definedName>
    <definedName name="___ML113" localSheetId="8">#REF!</definedName>
    <definedName name="___ML113" localSheetId="10">#REF!</definedName>
    <definedName name="___ML113" localSheetId="29">#REF!</definedName>
    <definedName name="___ML113">#REF!</definedName>
    <definedName name="___ML114" localSheetId="8">#REF!</definedName>
    <definedName name="___ML114" localSheetId="10">#REF!</definedName>
    <definedName name="___ML114" localSheetId="29">#REF!</definedName>
    <definedName name="___ML114">#REF!</definedName>
    <definedName name="___ML115" localSheetId="8">#REF!</definedName>
    <definedName name="___ML115" localSheetId="10">#REF!</definedName>
    <definedName name="___ML115" localSheetId="29">#REF!</definedName>
    <definedName name="___ML115">#REF!</definedName>
    <definedName name="___ML12" localSheetId="8">#REF!</definedName>
    <definedName name="___ML12" localSheetId="10">#REF!</definedName>
    <definedName name="___ML12" localSheetId="29">#REF!</definedName>
    <definedName name="___ML12">#REF!</definedName>
    <definedName name="___ML13" localSheetId="8">#REF!</definedName>
    <definedName name="___ML13" localSheetId="10">#REF!</definedName>
    <definedName name="___ML13" localSheetId="29">#REF!</definedName>
    <definedName name="___ML13">#REF!</definedName>
    <definedName name="___ML14" localSheetId="8">#REF!</definedName>
    <definedName name="___ML14" localSheetId="10">#REF!</definedName>
    <definedName name="___ML14" localSheetId="29">#REF!</definedName>
    <definedName name="___ML14">#REF!</definedName>
    <definedName name="___ML15" localSheetId="8">#REF!</definedName>
    <definedName name="___ML15" localSheetId="10">#REF!</definedName>
    <definedName name="___ML15" localSheetId="29">#REF!</definedName>
    <definedName name="___ML15">#REF!</definedName>
    <definedName name="___ML16" localSheetId="8">#REF!</definedName>
    <definedName name="___ML16" localSheetId="10">#REF!</definedName>
    <definedName name="___ML16" localSheetId="29">#REF!</definedName>
    <definedName name="___ML16">#REF!</definedName>
    <definedName name="___ML17" localSheetId="8">#REF!</definedName>
    <definedName name="___ML17" localSheetId="10">#REF!</definedName>
    <definedName name="___ML17" localSheetId="29">#REF!</definedName>
    <definedName name="___ML17">#REF!</definedName>
    <definedName name="___ML18" localSheetId="8">#REF!</definedName>
    <definedName name="___ML18" localSheetId="10">#REF!</definedName>
    <definedName name="___ML18" localSheetId="29">#REF!</definedName>
    <definedName name="___ML18">#REF!</definedName>
    <definedName name="___ML19" localSheetId="8">#REF!</definedName>
    <definedName name="___ML19" localSheetId="10">#REF!</definedName>
    <definedName name="___ML19" localSheetId="29">#REF!</definedName>
    <definedName name="___ML19">#REF!</definedName>
    <definedName name="___ML21" localSheetId="8">#REF!</definedName>
    <definedName name="___ML21" localSheetId="10">#REF!</definedName>
    <definedName name="___ML21" localSheetId="29">#REF!</definedName>
    <definedName name="___ML21">#REF!</definedName>
    <definedName name="___ML210" localSheetId="8">#REF!</definedName>
    <definedName name="___ML210" localSheetId="10">#REF!</definedName>
    <definedName name="___ML210" localSheetId="29">#REF!</definedName>
    <definedName name="___ML210">#REF!</definedName>
    <definedName name="___ML211" localSheetId="8">#REF!</definedName>
    <definedName name="___ML211" localSheetId="10">#REF!</definedName>
    <definedName name="___ML211" localSheetId="29">#REF!</definedName>
    <definedName name="___ML211">#REF!</definedName>
    <definedName name="___ML212" localSheetId="8">#REF!</definedName>
    <definedName name="___ML212" localSheetId="10">#REF!</definedName>
    <definedName name="___ML212" localSheetId="29">#REF!</definedName>
    <definedName name="___ML212">#REF!</definedName>
    <definedName name="___ML213" localSheetId="8">#REF!</definedName>
    <definedName name="___ML213" localSheetId="10">#REF!</definedName>
    <definedName name="___ML213" localSheetId="29">#REF!</definedName>
    <definedName name="___ML213">#REF!</definedName>
    <definedName name="___ML214" localSheetId="8">#REF!</definedName>
    <definedName name="___ML214" localSheetId="10">#REF!</definedName>
    <definedName name="___ML214" localSheetId="29">#REF!</definedName>
    <definedName name="___ML214">#REF!</definedName>
    <definedName name="___ML215" localSheetId="8">#REF!</definedName>
    <definedName name="___ML215" localSheetId="10">#REF!</definedName>
    <definedName name="___ML215" localSheetId="29">#REF!</definedName>
    <definedName name="___ML215">#REF!</definedName>
    <definedName name="___ML216">#REF!</definedName>
    <definedName name="___ML217">#REF!</definedName>
    <definedName name="___ML218">#REF!</definedName>
    <definedName name="___ML219">#REF!</definedName>
    <definedName name="___ML22" localSheetId="8">#REF!</definedName>
    <definedName name="___ML22" localSheetId="10">#REF!</definedName>
    <definedName name="___ML22" localSheetId="29">#REF!</definedName>
    <definedName name="___ML22">#REF!</definedName>
    <definedName name="___ML220">#REF!</definedName>
    <definedName name="___ML221">#REF!</definedName>
    <definedName name="___ML222">#REF!</definedName>
    <definedName name="___ML223">#REF!</definedName>
    <definedName name="___ML224">#REF!</definedName>
    <definedName name="___ML23" localSheetId="8">#REF!</definedName>
    <definedName name="___ML23" localSheetId="10">#REF!</definedName>
    <definedName name="___ML23" localSheetId="29">#REF!</definedName>
    <definedName name="___ML23">#REF!</definedName>
    <definedName name="___ML24" localSheetId="8">#REF!</definedName>
    <definedName name="___ML24" localSheetId="10">#REF!</definedName>
    <definedName name="___ML24" localSheetId="29">#REF!</definedName>
    <definedName name="___ML24">#REF!</definedName>
    <definedName name="___ML25" localSheetId="8">#REF!</definedName>
    <definedName name="___ML25" localSheetId="10">#REF!</definedName>
    <definedName name="___ML25" localSheetId="29">#REF!</definedName>
    <definedName name="___ML25">#REF!</definedName>
    <definedName name="___ML26" localSheetId="8">#REF!</definedName>
    <definedName name="___ML26" localSheetId="10">#REF!</definedName>
    <definedName name="___ML26" localSheetId="29">#REF!</definedName>
    <definedName name="___ML26">#REF!</definedName>
    <definedName name="___ML27" localSheetId="8">#REF!</definedName>
    <definedName name="___ML27" localSheetId="10">#REF!</definedName>
    <definedName name="___ML27" localSheetId="29">#REF!</definedName>
    <definedName name="___ML27">#REF!</definedName>
    <definedName name="___ML28" localSheetId="8">#REF!</definedName>
    <definedName name="___ML28" localSheetId="10">#REF!</definedName>
    <definedName name="___ML28" localSheetId="29">#REF!</definedName>
    <definedName name="___ML28">#REF!</definedName>
    <definedName name="___ML29" localSheetId="8">#REF!</definedName>
    <definedName name="___ML29" localSheetId="10">#REF!</definedName>
    <definedName name="___ML29" localSheetId="29">#REF!</definedName>
    <definedName name="___ML29">#REF!</definedName>
    <definedName name="___ML31" localSheetId="8">#REF!</definedName>
    <definedName name="___ML31" localSheetId="10">#REF!</definedName>
    <definedName name="___ML31" localSheetId="29">#REF!</definedName>
    <definedName name="___ML31">#REF!</definedName>
    <definedName name="___ML310" localSheetId="8">#REF!</definedName>
    <definedName name="___ML310" localSheetId="10">#REF!</definedName>
    <definedName name="___ML310" localSheetId="29">#REF!</definedName>
    <definedName name="___ML310">#REF!</definedName>
    <definedName name="___ML311" localSheetId="8">#REF!</definedName>
    <definedName name="___ML311" localSheetId="10">#REF!</definedName>
    <definedName name="___ML311" localSheetId="29">#REF!</definedName>
    <definedName name="___ML311">#REF!</definedName>
    <definedName name="___ML312" localSheetId="8">#REF!</definedName>
    <definedName name="___ML312" localSheetId="10">#REF!</definedName>
    <definedName name="___ML312" localSheetId="29">#REF!</definedName>
    <definedName name="___ML312">#REF!</definedName>
    <definedName name="___ML313" localSheetId="8">#REF!</definedName>
    <definedName name="___ML313" localSheetId="10">#REF!</definedName>
    <definedName name="___ML313" localSheetId="29">#REF!</definedName>
    <definedName name="___ML313">#REF!</definedName>
    <definedName name="___ML314" localSheetId="8">#REF!</definedName>
    <definedName name="___ML314" localSheetId="10">#REF!</definedName>
    <definedName name="___ML314" localSheetId="29">#REF!</definedName>
    <definedName name="___ML314">#REF!</definedName>
    <definedName name="___ML315" localSheetId="8">#REF!</definedName>
    <definedName name="___ML315" localSheetId="10">#REF!</definedName>
    <definedName name="___ML315" localSheetId="29">#REF!</definedName>
    <definedName name="___ML315">#REF!</definedName>
    <definedName name="___ML316">#REF!</definedName>
    <definedName name="___ML317">#REF!</definedName>
    <definedName name="___ML318">#REF!</definedName>
    <definedName name="___ML319">#REF!</definedName>
    <definedName name="___ML32" localSheetId="8">#REF!</definedName>
    <definedName name="___ML32" localSheetId="10">#REF!</definedName>
    <definedName name="___ML32" localSheetId="29">#REF!</definedName>
    <definedName name="___ML32">#REF!</definedName>
    <definedName name="___ML320">#REF!</definedName>
    <definedName name="___ML321">#REF!</definedName>
    <definedName name="___ML322">#REF!</definedName>
    <definedName name="___ML323">#REF!</definedName>
    <definedName name="___ML324">#REF!</definedName>
    <definedName name="___ML33" localSheetId="8">#REF!</definedName>
    <definedName name="___ML33" localSheetId="10">#REF!</definedName>
    <definedName name="___ML33" localSheetId="29">#REF!</definedName>
    <definedName name="___ML33">#REF!</definedName>
    <definedName name="___ML34" localSheetId="8">#REF!</definedName>
    <definedName name="___ML34" localSheetId="10">#REF!</definedName>
    <definedName name="___ML34" localSheetId="29">#REF!</definedName>
    <definedName name="___ML34">#REF!</definedName>
    <definedName name="___ML35" localSheetId="8">#REF!</definedName>
    <definedName name="___ML35" localSheetId="10">#REF!</definedName>
    <definedName name="___ML35" localSheetId="29">#REF!</definedName>
    <definedName name="___ML35">#REF!</definedName>
    <definedName name="___ML36" localSheetId="8">#REF!</definedName>
    <definedName name="___ML36" localSheetId="10">#REF!</definedName>
    <definedName name="___ML36" localSheetId="29">#REF!</definedName>
    <definedName name="___ML36">#REF!</definedName>
    <definedName name="___ML37" localSheetId="8">#REF!</definedName>
    <definedName name="___ML37" localSheetId="10">#REF!</definedName>
    <definedName name="___ML37" localSheetId="29">#REF!</definedName>
    <definedName name="___ML37">#REF!</definedName>
    <definedName name="___ML38" localSheetId="8">#REF!</definedName>
    <definedName name="___ML38" localSheetId="10">#REF!</definedName>
    <definedName name="___ML38" localSheetId="29">#REF!</definedName>
    <definedName name="___ML38">#REF!</definedName>
    <definedName name="___ML39" localSheetId="8">#REF!</definedName>
    <definedName name="___ML39" localSheetId="10">#REF!</definedName>
    <definedName name="___ML39" localSheetId="29">#REF!</definedName>
    <definedName name="___ML39">#REF!</definedName>
    <definedName name="___ML7" localSheetId="8">#REF!</definedName>
    <definedName name="___ML7" localSheetId="10">#REF!</definedName>
    <definedName name="___ML7" localSheetId="29">#REF!</definedName>
    <definedName name="___ML7">#REF!</definedName>
    <definedName name="___ML8" localSheetId="8">#REF!</definedName>
    <definedName name="___ML8" localSheetId="10">#REF!</definedName>
    <definedName name="___ML8" localSheetId="29">#REF!</definedName>
    <definedName name="___ML8">#REF!</definedName>
    <definedName name="___ML9" localSheetId="8">#REF!</definedName>
    <definedName name="___ML9" localSheetId="10">#REF!</definedName>
    <definedName name="___ML9" localSheetId="29">#REF!</definedName>
    <definedName name="___ML9">#REF!</definedName>
    <definedName name="___mm1000">#REF!</definedName>
    <definedName name="___mm20" localSheetId="8">#REF!</definedName>
    <definedName name="___mm20" localSheetId="10">#REF!</definedName>
    <definedName name="___mm20" localSheetId="29">#REF!</definedName>
    <definedName name="___mm20">#REF!</definedName>
    <definedName name="___mm40" localSheetId="8">#REF!</definedName>
    <definedName name="___mm40" localSheetId="10">#REF!</definedName>
    <definedName name="___mm40" localSheetId="29">#REF!</definedName>
    <definedName name="___mm40">#REF!</definedName>
    <definedName name="___mm600">#REF!</definedName>
    <definedName name="___mm800">#REF!</definedName>
    <definedName name="___o3" localSheetId="29">#REF!</definedName>
    <definedName name="___PC1" localSheetId="29">#REF!</definedName>
    <definedName name="___PC10">#REF!</definedName>
    <definedName name="___PC11">#REF!</definedName>
    <definedName name="___PC12">#REF!</definedName>
    <definedName name="___PC13">#REF!</definedName>
    <definedName name="___PC14">#REF!</definedName>
    <definedName name="___PC15">#REF!</definedName>
    <definedName name="___PC16">#REF!</definedName>
    <definedName name="___PC17">#REF!</definedName>
    <definedName name="___PC18">#REF!</definedName>
    <definedName name="___PC19">#REF!</definedName>
    <definedName name="___pc2" localSheetId="21">#REF!</definedName>
    <definedName name="___pc2" localSheetId="5">#REF!</definedName>
    <definedName name="___pc2" localSheetId="8">#REF!</definedName>
    <definedName name="___pc2" localSheetId="10">#REF!</definedName>
    <definedName name="___pc2" localSheetId="11">#REF!</definedName>
    <definedName name="___pc2" localSheetId="29">#REF!</definedName>
    <definedName name="___pc2" localSheetId="31">#REF!</definedName>
    <definedName name="___pc2" localSheetId="35">#REF!</definedName>
    <definedName name="___pc2" localSheetId="36">#REF!</definedName>
    <definedName name="___pc2">#REF!</definedName>
    <definedName name="___pc2_33">"$#REF!.$#REF!$#REF!"</definedName>
    <definedName name="___pc2_38">"$#REF!.$#REF!$#REF!"</definedName>
    <definedName name="___pc2_41">"$#REF!.$#REF!$#REF!"</definedName>
    <definedName name="___pc2_7">"$#REF!.$#REF!$#REF!"</definedName>
    <definedName name="___pc2_8">"$#REF!.$#REF!$#REF!"</definedName>
    <definedName name="___PC20">#REF!</definedName>
    <definedName name="___PC21">#REF!</definedName>
    <definedName name="___PC22">#REF!</definedName>
    <definedName name="___PC23">#REF!</definedName>
    <definedName name="___PC24">#REF!</definedName>
    <definedName name="___PC3">#REF!</definedName>
    <definedName name="___PC4">#REF!</definedName>
    <definedName name="___PC5">#REF!</definedName>
    <definedName name="___PC6">#REF!</definedName>
    <definedName name="___pc600">#REF!</definedName>
    <definedName name="___PC7">#REF!</definedName>
    <definedName name="___PC8">#REF!</definedName>
    <definedName name="___PC9">#REF!</definedName>
    <definedName name="___pc900">#REF!</definedName>
    <definedName name="___PMS2" localSheetId="8">#REF!</definedName>
    <definedName name="___PMS2" localSheetId="10">#REF!</definedName>
    <definedName name="___PMS2" localSheetId="29">#REF!</definedName>
    <definedName name="___PMS2">#REF!</definedName>
    <definedName name="___psc10006" localSheetId="8">#REF!</definedName>
    <definedName name="___psc10006" localSheetId="10">#REF!</definedName>
    <definedName name="___psc10006" localSheetId="11">#REF!</definedName>
    <definedName name="___psc10006" localSheetId="29">#REF!</definedName>
    <definedName name="___psc10006">#REF!</definedName>
    <definedName name="___psc10008" localSheetId="8">#REF!</definedName>
    <definedName name="___psc10008" localSheetId="10">#REF!</definedName>
    <definedName name="___psc10008" localSheetId="11">#REF!</definedName>
    <definedName name="___psc10008" localSheetId="29">#REF!</definedName>
    <definedName name="___psc10008">#REF!</definedName>
    <definedName name="___psc3506" localSheetId="8">#REF!</definedName>
    <definedName name="___psc3506" localSheetId="10">#REF!</definedName>
    <definedName name="___psc3506" localSheetId="11">#REF!</definedName>
    <definedName name="___psc3506" localSheetId="29">#REF!</definedName>
    <definedName name="___psc3506">#REF!</definedName>
    <definedName name="___psc3508" localSheetId="8">#REF!</definedName>
    <definedName name="___psc3508" localSheetId="10">#REF!</definedName>
    <definedName name="___psc3508" localSheetId="11">#REF!</definedName>
    <definedName name="___psc3508" localSheetId="29">#REF!</definedName>
    <definedName name="___psc3508">#REF!</definedName>
    <definedName name="___psc4006" localSheetId="8">#REF!</definedName>
    <definedName name="___psc4006" localSheetId="10">#REF!</definedName>
    <definedName name="___psc4006" localSheetId="11">#REF!</definedName>
    <definedName name="___psc4006" localSheetId="29">#REF!</definedName>
    <definedName name="___psc4006">#REF!</definedName>
    <definedName name="___psc4008" localSheetId="8">#REF!</definedName>
    <definedName name="___psc4008" localSheetId="10">#REF!</definedName>
    <definedName name="___psc4008" localSheetId="11">#REF!</definedName>
    <definedName name="___psc4008" localSheetId="29">#REF!</definedName>
    <definedName name="___psc4008">#REF!</definedName>
    <definedName name="___psc4506" localSheetId="8">#REF!</definedName>
    <definedName name="___psc4506" localSheetId="10">#REF!</definedName>
    <definedName name="___psc4506" localSheetId="11">#REF!</definedName>
    <definedName name="___psc4506" localSheetId="29">#REF!</definedName>
    <definedName name="___psc4506">#REF!</definedName>
    <definedName name="___psc4508" localSheetId="8">#REF!</definedName>
    <definedName name="___psc4508" localSheetId="10">#REF!</definedName>
    <definedName name="___psc4508" localSheetId="11">#REF!</definedName>
    <definedName name="___psc4508" localSheetId="29">#REF!</definedName>
    <definedName name="___psc4508">#REF!</definedName>
    <definedName name="___psc5006" localSheetId="8">#REF!</definedName>
    <definedName name="___psc5006" localSheetId="10">#REF!</definedName>
    <definedName name="___psc5006" localSheetId="11">#REF!</definedName>
    <definedName name="___psc5006" localSheetId="29">#REF!</definedName>
    <definedName name="___psc5006">#REF!</definedName>
    <definedName name="___psc5008" localSheetId="8">#REF!</definedName>
    <definedName name="___psc5008" localSheetId="10">#REF!</definedName>
    <definedName name="___psc5008" localSheetId="11">#REF!</definedName>
    <definedName name="___psc5008" localSheetId="29">#REF!</definedName>
    <definedName name="___psc5008">#REF!</definedName>
    <definedName name="___psc6006" localSheetId="8">#REF!</definedName>
    <definedName name="___psc6006" localSheetId="10">#REF!</definedName>
    <definedName name="___psc6006" localSheetId="11">#REF!</definedName>
    <definedName name="___psc6006" localSheetId="29">#REF!</definedName>
    <definedName name="___psc6006">#REF!</definedName>
    <definedName name="___psc6008" localSheetId="8">#REF!</definedName>
    <definedName name="___psc6008" localSheetId="10">#REF!</definedName>
    <definedName name="___psc6008" localSheetId="11">#REF!</definedName>
    <definedName name="___psc6008" localSheetId="29">#REF!</definedName>
    <definedName name="___psc6008">#REF!</definedName>
    <definedName name="___psc7006" localSheetId="8">#REF!</definedName>
    <definedName name="___psc7006" localSheetId="10">#REF!</definedName>
    <definedName name="___psc7006" localSheetId="11">#REF!</definedName>
    <definedName name="___psc7006" localSheetId="29">#REF!</definedName>
    <definedName name="___psc7006">#REF!</definedName>
    <definedName name="___psc7008" localSheetId="8">#REF!</definedName>
    <definedName name="___psc7008" localSheetId="10">#REF!</definedName>
    <definedName name="___psc7008" localSheetId="11">#REF!</definedName>
    <definedName name="___psc7008" localSheetId="29">#REF!</definedName>
    <definedName name="___psc7008">#REF!</definedName>
    <definedName name="___psc8006" localSheetId="8">#REF!</definedName>
    <definedName name="___psc8006" localSheetId="10">#REF!</definedName>
    <definedName name="___psc8006" localSheetId="11">#REF!</definedName>
    <definedName name="___psc8006" localSheetId="29">#REF!</definedName>
    <definedName name="___psc8006">#REF!</definedName>
    <definedName name="___psc8008" localSheetId="8">#REF!</definedName>
    <definedName name="___psc8008" localSheetId="10">#REF!</definedName>
    <definedName name="___psc8008" localSheetId="11">#REF!</definedName>
    <definedName name="___psc8008" localSheetId="29">#REF!</definedName>
    <definedName name="___psc8008">#REF!</definedName>
    <definedName name="___psc9006" localSheetId="8">#REF!</definedName>
    <definedName name="___psc9006" localSheetId="10">#REF!</definedName>
    <definedName name="___psc9006" localSheetId="11">#REF!</definedName>
    <definedName name="___psc9006" localSheetId="29">#REF!</definedName>
    <definedName name="___psc9006">#REF!</definedName>
    <definedName name="___psc9008" localSheetId="8">#REF!</definedName>
    <definedName name="___psc9008" localSheetId="10">#REF!</definedName>
    <definedName name="___psc9008" localSheetId="11">#REF!</definedName>
    <definedName name="___psc9008" localSheetId="29">#REF!</definedName>
    <definedName name="___psc9008">#REF!</definedName>
    <definedName name="___pv1" localSheetId="8">#REF!</definedName>
    <definedName name="___pv1" localSheetId="10">#REF!</definedName>
    <definedName name="___pv1" localSheetId="29">#REF!</definedName>
    <definedName name="___pv1">#REF!</definedName>
    <definedName name="___pv2" localSheetId="21">#REF!</definedName>
    <definedName name="___pv2" localSheetId="5">#REF!</definedName>
    <definedName name="___pv2" localSheetId="8">#REF!</definedName>
    <definedName name="___pv2" localSheetId="10">#REF!</definedName>
    <definedName name="___pv2" localSheetId="11">#REF!</definedName>
    <definedName name="___pv2" localSheetId="29">#REF!</definedName>
    <definedName name="___pv2" localSheetId="31">#REF!</definedName>
    <definedName name="___pv2" localSheetId="35">#REF!</definedName>
    <definedName name="___pv2" localSheetId="36">#REF!</definedName>
    <definedName name="___pv2">#REF!</definedName>
    <definedName name="___pv2_33">"$#REF!.$#REF!$#REF!"</definedName>
    <definedName name="___pv2_38">"$#REF!.$#REF!$#REF!"</definedName>
    <definedName name="___pv2_41">"$#REF!.$#REF!$#REF!"</definedName>
    <definedName name="___pv2_7">"$#REF!.$#REF!$#REF!"</definedName>
    <definedName name="___pv2_8">"$#REF!.$#REF!$#REF!"</definedName>
    <definedName name="___SO016" localSheetId="8">#REF!</definedName>
    <definedName name="___SO016" localSheetId="10">#REF!</definedName>
    <definedName name="___SO016" localSheetId="11">#REF!</definedName>
    <definedName name="___SO016" localSheetId="29">#REF!</definedName>
    <definedName name="___SO016">#REF!</definedName>
    <definedName name="___SP001" localSheetId="8">#REF!</definedName>
    <definedName name="___SP001" localSheetId="10">#REF!</definedName>
    <definedName name="___SP001" localSheetId="11">#REF!</definedName>
    <definedName name="___SP001" localSheetId="29">#REF!</definedName>
    <definedName name="___SP001">#REF!</definedName>
    <definedName name="___SP002" localSheetId="8">#REF!</definedName>
    <definedName name="___SP002" localSheetId="10">#REF!</definedName>
    <definedName name="___SP002" localSheetId="11">#REF!</definedName>
    <definedName name="___SP002" localSheetId="29">#REF!</definedName>
    <definedName name="___SP002">#REF!</definedName>
    <definedName name="___SP003" localSheetId="8">#REF!</definedName>
    <definedName name="___SP003" localSheetId="10">#REF!</definedName>
    <definedName name="___SP003" localSheetId="11">#REF!</definedName>
    <definedName name="___SP003" localSheetId="29">#REF!</definedName>
    <definedName name="___SP003">#REF!</definedName>
    <definedName name="___SP004" localSheetId="8">#REF!</definedName>
    <definedName name="___SP004" localSheetId="10">#REF!</definedName>
    <definedName name="___SP004" localSheetId="11">#REF!</definedName>
    <definedName name="___SP004" localSheetId="29">#REF!</definedName>
    <definedName name="___SP004">#REF!</definedName>
    <definedName name="___SP005" localSheetId="8">#REF!</definedName>
    <definedName name="___SP005" localSheetId="10">#REF!</definedName>
    <definedName name="___SP005" localSheetId="11">#REF!</definedName>
    <definedName name="___SP005" localSheetId="29">#REF!</definedName>
    <definedName name="___SP005">#REF!</definedName>
    <definedName name="___SP006" localSheetId="8">#REF!</definedName>
    <definedName name="___SP006" localSheetId="10">#REF!</definedName>
    <definedName name="___SP006" localSheetId="11">#REF!</definedName>
    <definedName name="___SP006" localSheetId="29">#REF!</definedName>
    <definedName name="___SP006">#REF!</definedName>
    <definedName name="___SP007" localSheetId="8">#REF!</definedName>
    <definedName name="___SP007" localSheetId="10">#REF!</definedName>
    <definedName name="___SP007" localSheetId="11">#REF!</definedName>
    <definedName name="___SP007" localSheetId="29">#REF!</definedName>
    <definedName name="___SP007">#REF!</definedName>
    <definedName name="___SP008" localSheetId="8">#REF!</definedName>
    <definedName name="___SP008" localSheetId="10">#REF!</definedName>
    <definedName name="___SP008" localSheetId="11">#REF!</definedName>
    <definedName name="___SP008" localSheetId="29">#REF!</definedName>
    <definedName name="___SP008">#REF!</definedName>
    <definedName name="___SP009" localSheetId="8">#REF!</definedName>
    <definedName name="___SP009" localSheetId="10">#REF!</definedName>
    <definedName name="___SP009" localSheetId="11">#REF!</definedName>
    <definedName name="___SP009" localSheetId="29">#REF!</definedName>
    <definedName name="___SP009">#REF!</definedName>
    <definedName name="___SP010" localSheetId="8">#REF!</definedName>
    <definedName name="___SP010" localSheetId="10">#REF!</definedName>
    <definedName name="___SP010" localSheetId="11">#REF!</definedName>
    <definedName name="___SP010" localSheetId="29">#REF!</definedName>
    <definedName name="___SP010">#REF!</definedName>
    <definedName name="___SP011" localSheetId="8">#REF!</definedName>
    <definedName name="___SP011" localSheetId="10">#REF!</definedName>
    <definedName name="___SP011" localSheetId="11">#REF!</definedName>
    <definedName name="___SP011" localSheetId="29">#REF!</definedName>
    <definedName name="___SP011">#REF!</definedName>
    <definedName name="___SP012" localSheetId="8">#REF!</definedName>
    <definedName name="___SP012" localSheetId="10">#REF!</definedName>
    <definedName name="___SP012" localSheetId="11">#REF!</definedName>
    <definedName name="___SP012" localSheetId="29">#REF!</definedName>
    <definedName name="___SP012">#REF!</definedName>
    <definedName name="___SP013" localSheetId="8">#REF!</definedName>
    <definedName name="___SP013" localSheetId="10">#REF!</definedName>
    <definedName name="___SP013" localSheetId="11">#REF!</definedName>
    <definedName name="___SP013" localSheetId="29">#REF!</definedName>
    <definedName name="___SP013">#REF!</definedName>
    <definedName name="___SP014" localSheetId="8">#REF!</definedName>
    <definedName name="___SP014" localSheetId="10">#REF!</definedName>
    <definedName name="___SP014" localSheetId="11">#REF!</definedName>
    <definedName name="___SP014" localSheetId="29">#REF!</definedName>
    <definedName name="___SP014">#REF!</definedName>
    <definedName name="___SP015" localSheetId="8">#REF!</definedName>
    <definedName name="___SP015" localSheetId="10">#REF!</definedName>
    <definedName name="___SP015" localSheetId="11">#REF!</definedName>
    <definedName name="___SP015" localSheetId="29">#REF!</definedName>
    <definedName name="___SP015">#REF!</definedName>
    <definedName name="___SP016" localSheetId="8">#REF!</definedName>
    <definedName name="___SP016" localSheetId="10">#REF!</definedName>
    <definedName name="___SP016" localSheetId="11">#REF!</definedName>
    <definedName name="___SP016" localSheetId="29">#REF!</definedName>
    <definedName name="___SP016">#REF!</definedName>
    <definedName name="___SP017" localSheetId="8">#REF!</definedName>
    <definedName name="___SP017" localSheetId="10">#REF!</definedName>
    <definedName name="___SP017" localSheetId="11">#REF!</definedName>
    <definedName name="___SP017" localSheetId="29">#REF!</definedName>
    <definedName name="___SP017">#REF!</definedName>
    <definedName name="___SP018" localSheetId="8">#REF!</definedName>
    <definedName name="___SP018" localSheetId="10">#REF!</definedName>
    <definedName name="___SP018" localSheetId="11">#REF!</definedName>
    <definedName name="___SP018" localSheetId="29">#REF!</definedName>
    <definedName name="___SP018">#REF!</definedName>
    <definedName name="___SP019" localSheetId="8">#REF!</definedName>
    <definedName name="___SP019" localSheetId="10">#REF!</definedName>
    <definedName name="___SP019" localSheetId="11">#REF!</definedName>
    <definedName name="___SP019" localSheetId="29">#REF!</definedName>
    <definedName name="___SP019">#REF!</definedName>
    <definedName name="___SP020" localSheetId="8">#REF!</definedName>
    <definedName name="___SP020" localSheetId="10">#REF!</definedName>
    <definedName name="___SP020" localSheetId="11">#REF!</definedName>
    <definedName name="___SP020" localSheetId="29">#REF!</definedName>
    <definedName name="___SP020">#REF!</definedName>
    <definedName name="___SP021" localSheetId="8">#REF!</definedName>
    <definedName name="___SP021" localSheetId="10">#REF!</definedName>
    <definedName name="___SP021" localSheetId="11">#REF!</definedName>
    <definedName name="___SP021" localSheetId="29">#REF!</definedName>
    <definedName name="___SP021">#REF!</definedName>
    <definedName name="___SP022" localSheetId="8">#REF!</definedName>
    <definedName name="___SP022" localSheetId="10">#REF!</definedName>
    <definedName name="___SP022" localSheetId="11">#REF!</definedName>
    <definedName name="___SP022" localSheetId="29">#REF!</definedName>
    <definedName name="___SP022">#REF!</definedName>
    <definedName name="___SP023" localSheetId="8">#REF!</definedName>
    <definedName name="___SP023" localSheetId="10">#REF!</definedName>
    <definedName name="___SP023" localSheetId="11">#REF!</definedName>
    <definedName name="___SP023" localSheetId="29">#REF!</definedName>
    <definedName name="___SP023">#REF!</definedName>
    <definedName name="___SP024" localSheetId="8">#REF!</definedName>
    <definedName name="___SP024" localSheetId="10">#REF!</definedName>
    <definedName name="___SP024" localSheetId="11">#REF!</definedName>
    <definedName name="___SP024" localSheetId="29">#REF!</definedName>
    <definedName name="___SP024">#REF!</definedName>
    <definedName name="___SP025" localSheetId="8">#REF!</definedName>
    <definedName name="___SP025" localSheetId="10">#REF!</definedName>
    <definedName name="___SP025" localSheetId="11">#REF!</definedName>
    <definedName name="___SP025" localSheetId="29">#REF!</definedName>
    <definedName name="___SP025">#REF!</definedName>
    <definedName name="___SP026" localSheetId="8">#REF!</definedName>
    <definedName name="___SP026" localSheetId="10">#REF!</definedName>
    <definedName name="___SP026" localSheetId="11">#REF!</definedName>
    <definedName name="___SP026" localSheetId="29">#REF!</definedName>
    <definedName name="___SP026">#REF!</definedName>
    <definedName name="___SP027" localSheetId="8">#REF!</definedName>
    <definedName name="___SP027" localSheetId="10">#REF!</definedName>
    <definedName name="___SP027" localSheetId="11">#REF!</definedName>
    <definedName name="___SP027" localSheetId="29">#REF!</definedName>
    <definedName name="___SP027">#REF!</definedName>
    <definedName name="___SP028" localSheetId="8">#REF!</definedName>
    <definedName name="___SP028" localSheetId="10">#REF!</definedName>
    <definedName name="___SP028" localSheetId="11">#REF!</definedName>
    <definedName name="___SP028" localSheetId="29">#REF!</definedName>
    <definedName name="___SP028">#REF!</definedName>
    <definedName name="___SP029" localSheetId="8">#REF!</definedName>
    <definedName name="___SP029" localSheetId="10">#REF!</definedName>
    <definedName name="___SP029" localSheetId="11">#REF!</definedName>
    <definedName name="___SP029" localSheetId="29">#REF!</definedName>
    <definedName name="___SP029">#REF!</definedName>
    <definedName name="___SP030" localSheetId="8">#REF!</definedName>
    <definedName name="___SP030" localSheetId="10">#REF!</definedName>
    <definedName name="___SP030" localSheetId="11">#REF!</definedName>
    <definedName name="___SP030" localSheetId="29">#REF!</definedName>
    <definedName name="___SP030">#REF!</definedName>
    <definedName name="___SP031" localSheetId="8">#REF!</definedName>
    <definedName name="___SP031" localSheetId="10">#REF!</definedName>
    <definedName name="___SP031" localSheetId="11">#REF!</definedName>
    <definedName name="___SP031" localSheetId="29">#REF!</definedName>
    <definedName name="___SP031">#REF!</definedName>
    <definedName name="___SP032" localSheetId="8">#REF!</definedName>
    <definedName name="___SP032" localSheetId="10">#REF!</definedName>
    <definedName name="___SP032" localSheetId="11">#REF!</definedName>
    <definedName name="___SP032" localSheetId="29">#REF!</definedName>
    <definedName name="___SP032">#REF!</definedName>
    <definedName name="___SP033" localSheetId="8">#REF!</definedName>
    <definedName name="___SP033" localSheetId="10">#REF!</definedName>
    <definedName name="___SP033" localSheetId="11">#REF!</definedName>
    <definedName name="___SP033" localSheetId="29">#REF!</definedName>
    <definedName name="___SP033">#REF!</definedName>
    <definedName name="___SP034" localSheetId="8">#REF!</definedName>
    <definedName name="___SP034" localSheetId="10">#REF!</definedName>
    <definedName name="___SP034" localSheetId="11">#REF!</definedName>
    <definedName name="___SP034" localSheetId="29">#REF!</definedName>
    <definedName name="___SP034">#REF!</definedName>
    <definedName name="___SP035" localSheetId="8">#REF!</definedName>
    <definedName name="___SP035" localSheetId="10">#REF!</definedName>
    <definedName name="___SP035" localSheetId="11">#REF!</definedName>
    <definedName name="___SP035" localSheetId="29">#REF!</definedName>
    <definedName name="___SP035">#REF!</definedName>
    <definedName name="___SP036" localSheetId="8">#REF!</definedName>
    <definedName name="___SP036" localSheetId="10">#REF!</definedName>
    <definedName name="___SP036" localSheetId="11">#REF!</definedName>
    <definedName name="___SP036" localSheetId="29">#REF!</definedName>
    <definedName name="___SP036">#REF!</definedName>
    <definedName name="___SP037" localSheetId="8">#REF!</definedName>
    <definedName name="___SP037" localSheetId="10">#REF!</definedName>
    <definedName name="___SP037" localSheetId="11">#REF!</definedName>
    <definedName name="___SP037" localSheetId="29">#REF!</definedName>
    <definedName name="___SP037">#REF!</definedName>
    <definedName name="___SP038" localSheetId="8">#REF!</definedName>
    <definedName name="___SP038" localSheetId="10">#REF!</definedName>
    <definedName name="___SP038" localSheetId="11">#REF!</definedName>
    <definedName name="___SP038" localSheetId="29">#REF!</definedName>
    <definedName name="___SP038">#REF!</definedName>
    <definedName name="___SP039" localSheetId="8">#REF!</definedName>
    <definedName name="___SP039" localSheetId="10">#REF!</definedName>
    <definedName name="___SP039" localSheetId="11">#REF!</definedName>
    <definedName name="___SP039" localSheetId="29">#REF!</definedName>
    <definedName name="___SP039">#REF!</definedName>
    <definedName name="___SP040" localSheetId="8">#REF!</definedName>
    <definedName name="___SP040" localSheetId="10">#REF!</definedName>
    <definedName name="___SP040" localSheetId="11">#REF!</definedName>
    <definedName name="___SP040" localSheetId="29">#REF!</definedName>
    <definedName name="___SP040">#REF!</definedName>
    <definedName name="___SP041" localSheetId="8">#REF!</definedName>
    <definedName name="___SP041" localSheetId="10">#REF!</definedName>
    <definedName name="___SP041" localSheetId="11">#REF!</definedName>
    <definedName name="___SP041" localSheetId="29">#REF!</definedName>
    <definedName name="___SP041">#REF!</definedName>
    <definedName name="___SP042" localSheetId="8">#REF!</definedName>
    <definedName name="___SP042" localSheetId="10">#REF!</definedName>
    <definedName name="___SP042" localSheetId="11">#REF!</definedName>
    <definedName name="___SP042" localSheetId="29">#REF!</definedName>
    <definedName name="___SP042">#REF!</definedName>
    <definedName name="___SP043" localSheetId="8">#REF!</definedName>
    <definedName name="___SP043" localSheetId="10">#REF!</definedName>
    <definedName name="___SP043" localSheetId="11">#REF!</definedName>
    <definedName name="___SP043" localSheetId="29">#REF!</definedName>
    <definedName name="___SP043">#REF!</definedName>
    <definedName name="___SP044" localSheetId="8">#REF!</definedName>
    <definedName name="___SP044" localSheetId="10">#REF!</definedName>
    <definedName name="___SP044" localSheetId="11">#REF!</definedName>
    <definedName name="___SP044" localSheetId="29">#REF!</definedName>
    <definedName name="___SP044">#REF!</definedName>
    <definedName name="___SP045" localSheetId="8">#REF!</definedName>
    <definedName name="___SP045" localSheetId="10">#REF!</definedName>
    <definedName name="___SP045" localSheetId="11">#REF!</definedName>
    <definedName name="___SP045" localSheetId="29">#REF!</definedName>
    <definedName name="___SP045">#REF!</definedName>
    <definedName name="___SP046" localSheetId="8">#REF!</definedName>
    <definedName name="___SP046" localSheetId="10">#REF!</definedName>
    <definedName name="___SP046" localSheetId="11">#REF!</definedName>
    <definedName name="___SP046" localSheetId="29">#REF!</definedName>
    <definedName name="___SP046">#REF!</definedName>
    <definedName name="___SP047" localSheetId="8">#REF!</definedName>
    <definedName name="___SP047" localSheetId="10">#REF!</definedName>
    <definedName name="___SP047" localSheetId="11">#REF!</definedName>
    <definedName name="___SP047" localSheetId="29">#REF!</definedName>
    <definedName name="___SP047">#REF!</definedName>
    <definedName name="___SP048" localSheetId="8">#REF!</definedName>
    <definedName name="___SP048" localSheetId="10">#REF!</definedName>
    <definedName name="___SP048" localSheetId="11">#REF!</definedName>
    <definedName name="___SP048" localSheetId="29">#REF!</definedName>
    <definedName name="___SP048">#REF!</definedName>
    <definedName name="___SP049" localSheetId="8">#REF!</definedName>
    <definedName name="___SP049" localSheetId="10">#REF!</definedName>
    <definedName name="___SP049" localSheetId="11">#REF!</definedName>
    <definedName name="___SP049" localSheetId="29">#REF!</definedName>
    <definedName name="___SP049">#REF!</definedName>
    <definedName name="___SP050" localSheetId="8">#REF!</definedName>
    <definedName name="___SP050" localSheetId="10">#REF!</definedName>
    <definedName name="___SP050" localSheetId="11">#REF!</definedName>
    <definedName name="___SP050" localSheetId="29">#REF!</definedName>
    <definedName name="___SP050">#REF!</definedName>
    <definedName name="___SP051" localSheetId="8">#REF!</definedName>
    <definedName name="___SP051" localSheetId="10">#REF!</definedName>
    <definedName name="___SP051" localSheetId="11">#REF!</definedName>
    <definedName name="___SP051" localSheetId="29">#REF!</definedName>
    <definedName name="___SP051">#REF!</definedName>
    <definedName name="___SP052" localSheetId="8">#REF!</definedName>
    <definedName name="___SP052" localSheetId="10">#REF!</definedName>
    <definedName name="___SP052" localSheetId="11">#REF!</definedName>
    <definedName name="___SP052" localSheetId="29">#REF!</definedName>
    <definedName name="___SP052">#REF!</definedName>
    <definedName name="___SP053" localSheetId="8">#REF!</definedName>
    <definedName name="___SP053" localSheetId="10">#REF!</definedName>
    <definedName name="___SP053" localSheetId="11">#REF!</definedName>
    <definedName name="___SP053" localSheetId="29">#REF!</definedName>
    <definedName name="___SP053">#REF!</definedName>
    <definedName name="___SP054" localSheetId="8">#REF!</definedName>
    <definedName name="___SP054" localSheetId="10">#REF!</definedName>
    <definedName name="___SP054" localSheetId="11">#REF!</definedName>
    <definedName name="___SP054" localSheetId="29">#REF!</definedName>
    <definedName name="___SP054">#REF!</definedName>
    <definedName name="___SP055" localSheetId="8">#REF!</definedName>
    <definedName name="___SP055" localSheetId="10">#REF!</definedName>
    <definedName name="___SP055" localSheetId="11">#REF!</definedName>
    <definedName name="___SP055" localSheetId="29">#REF!</definedName>
    <definedName name="___SP055">#REF!</definedName>
    <definedName name="___SP056" localSheetId="8">#REF!</definedName>
    <definedName name="___SP056" localSheetId="10">#REF!</definedName>
    <definedName name="___SP056" localSheetId="11">#REF!</definedName>
    <definedName name="___SP056" localSheetId="29">#REF!</definedName>
    <definedName name="___SP056">#REF!</definedName>
    <definedName name="___SP057" localSheetId="8">#REF!</definedName>
    <definedName name="___SP057" localSheetId="10">#REF!</definedName>
    <definedName name="___SP057" localSheetId="11">#REF!</definedName>
    <definedName name="___SP057" localSheetId="29">#REF!</definedName>
    <definedName name="___SP057">#REF!</definedName>
    <definedName name="___SP058" localSheetId="8">#REF!</definedName>
    <definedName name="___SP058" localSheetId="10">#REF!</definedName>
    <definedName name="___SP058" localSheetId="11">#REF!</definedName>
    <definedName name="___SP058" localSheetId="29">#REF!</definedName>
    <definedName name="___SP058">#REF!</definedName>
    <definedName name="___SP059" localSheetId="8">#REF!</definedName>
    <definedName name="___SP059" localSheetId="10">#REF!</definedName>
    <definedName name="___SP059" localSheetId="11">#REF!</definedName>
    <definedName name="___SP059" localSheetId="29">#REF!</definedName>
    <definedName name="___SP059">#REF!</definedName>
    <definedName name="___SP060" localSheetId="8">#REF!</definedName>
    <definedName name="___SP060" localSheetId="10">#REF!</definedName>
    <definedName name="___SP060" localSheetId="11">#REF!</definedName>
    <definedName name="___SP060" localSheetId="29">#REF!</definedName>
    <definedName name="___SP060">#REF!</definedName>
    <definedName name="___SP061" localSheetId="8">#REF!</definedName>
    <definedName name="___SP061" localSheetId="10">#REF!</definedName>
    <definedName name="___SP061" localSheetId="11">#REF!</definedName>
    <definedName name="___SP061" localSheetId="29">#REF!</definedName>
    <definedName name="___SP061">#REF!</definedName>
    <definedName name="___SP062" localSheetId="8">#REF!</definedName>
    <definedName name="___SP062" localSheetId="10">#REF!</definedName>
    <definedName name="___SP062" localSheetId="11">#REF!</definedName>
    <definedName name="___SP062" localSheetId="29">#REF!</definedName>
    <definedName name="___SP062">#REF!</definedName>
    <definedName name="___SP063" localSheetId="8">#REF!</definedName>
    <definedName name="___SP063" localSheetId="10">#REF!</definedName>
    <definedName name="___SP063" localSheetId="11">#REF!</definedName>
    <definedName name="___SP063" localSheetId="29">#REF!</definedName>
    <definedName name="___SP063">#REF!</definedName>
    <definedName name="___SP064" localSheetId="8">#REF!</definedName>
    <definedName name="___SP064" localSheetId="10">#REF!</definedName>
    <definedName name="___SP064" localSheetId="11">#REF!</definedName>
    <definedName name="___SP064" localSheetId="29">#REF!</definedName>
    <definedName name="___SP064">#REF!</definedName>
    <definedName name="___SP065" localSheetId="8">#REF!</definedName>
    <definedName name="___SP065" localSheetId="10">#REF!</definedName>
    <definedName name="___SP065" localSheetId="11">#REF!</definedName>
    <definedName name="___SP065" localSheetId="29">#REF!</definedName>
    <definedName name="___SP065">#REF!</definedName>
    <definedName name="___SP066" localSheetId="8">#REF!</definedName>
    <definedName name="___SP066" localSheetId="10">#REF!</definedName>
    <definedName name="___SP066" localSheetId="11">#REF!</definedName>
    <definedName name="___SP066" localSheetId="29">#REF!</definedName>
    <definedName name="___SP066">#REF!</definedName>
    <definedName name="___SP067" localSheetId="8">#REF!</definedName>
    <definedName name="___SP067" localSheetId="10">#REF!</definedName>
    <definedName name="___SP067" localSheetId="11">#REF!</definedName>
    <definedName name="___SP067" localSheetId="29">#REF!</definedName>
    <definedName name="___SP067">#REF!</definedName>
    <definedName name="___SP068" localSheetId="8">#REF!</definedName>
    <definedName name="___SP068" localSheetId="10">#REF!</definedName>
    <definedName name="___SP068" localSheetId="11">#REF!</definedName>
    <definedName name="___SP068" localSheetId="29">#REF!</definedName>
    <definedName name="___SP068">#REF!</definedName>
    <definedName name="___SP069" localSheetId="8">#REF!</definedName>
    <definedName name="___SP069" localSheetId="10">#REF!</definedName>
    <definedName name="___SP069" localSheetId="11">#REF!</definedName>
    <definedName name="___SP069" localSheetId="29">#REF!</definedName>
    <definedName name="___SP069">#REF!</definedName>
    <definedName name="___SP070" localSheetId="8">#REF!</definedName>
    <definedName name="___SP070" localSheetId="10">#REF!</definedName>
    <definedName name="___SP070" localSheetId="11">#REF!</definedName>
    <definedName name="___SP070" localSheetId="29">#REF!</definedName>
    <definedName name="___SP070">#REF!</definedName>
    <definedName name="___sp071" localSheetId="8">#REF!</definedName>
    <definedName name="___sp071" localSheetId="10">#REF!</definedName>
    <definedName name="___sp071" localSheetId="11">#REF!</definedName>
    <definedName name="___sp071" localSheetId="29">#REF!</definedName>
    <definedName name="___sp071">#REF!</definedName>
    <definedName name="___SP072" localSheetId="8">#REF!</definedName>
    <definedName name="___SP072" localSheetId="10">#REF!</definedName>
    <definedName name="___SP072" localSheetId="11">#REF!</definedName>
    <definedName name="___SP072" localSheetId="29">#REF!</definedName>
    <definedName name="___SP072">#REF!</definedName>
    <definedName name="___SP073" localSheetId="8">#REF!</definedName>
    <definedName name="___SP073" localSheetId="10">#REF!</definedName>
    <definedName name="___SP073" localSheetId="11">#REF!</definedName>
    <definedName name="___SP073" localSheetId="29">#REF!</definedName>
    <definedName name="___SP073">#REF!</definedName>
    <definedName name="___SP074" localSheetId="8">#REF!</definedName>
    <definedName name="___SP074" localSheetId="10">#REF!</definedName>
    <definedName name="___SP074" localSheetId="11">#REF!</definedName>
    <definedName name="___SP074" localSheetId="29">#REF!</definedName>
    <definedName name="___SP074">#REF!</definedName>
    <definedName name="___SP075" localSheetId="8">#REF!</definedName>
    <definedName name="___SP075" localSheetId="10">#REF!</definedName>
    <definedName name="___SP075" localSheetId="11">#REF!</definedName>
    <definedName name="___SP075" localSheetId="29">#REF!</definedName>
    <definedName name="___SP075">#REF!</definedName>
    <definedName name="___SP076" localSheetId="8">#REF!</definedName>
    <definedName name="___SP076" localSheetId="10">#REF!</definedName>
    <definedName name="___SP076" localSheetId="11">#REF!</definedName>
    <definedName name="___SP076" localSheetId="29">#REF!</definedName>
    <definedName name="___SP076">#REF!</definedName>
    <definedName name="___SP077" localSheetId="8">#REF!</definedName>
    <definedName name="___SP077" localSheetId="10">#REF!</definedName>
    <definedName name="___SP077" localSheetId="11">#REF!</definedName>
    <definedName name="___SP077" localSheetId="29">#REF!</definedName>
    <definedName name="___SP077">#REF!</definedName>
    <definedName name="___sp078" localSheetId="8">#REF!</definedName>
    <definedName name="___sp078" localSheetId="10">#REF!</definedName>
    <definedName name="___sp078" localSheetId="11">#REF!</definedName>
    <definedName name="___sp078" localSheetId="29">#REF!</definedName>
    <definedName name="___sp078">#REF!</definedName>
    <definedName name="___SPO79" localSheetId="8">#REF!</definedName>
    <definedName name="___SPO79" localSheetId="10">#REF!</definedName>
    <definedName name="___SPO79" localSheetId="11">#REF!</definedName>
    <definedName name="___SPO79" localSheetId="29">#REF!</definedName>
    <definedName name="___SPO79">#REF!</definedName>
    <definedName name="___sw1" localSheetId="29">#REF!</definedName>
    <definedName name="___t1">#REF!</definedName>
    <definedName name="___t2">#REF!</definedName>
    <definedName name="___tab1">#REF!</definedName>
    <definedName name="___us1">#REF!</definedName>
    <definedName name="___var1" localSheetId="21">#REF!</definedName>
    <definedName name="___var1" localSheetId="5">#REF!</definedName>
    <definedName name="___var1" localSheetId="8">#REF!</definedName>
    <definedName name="___var1" localSheetId="10">#REF!</definedName>
    <definedName name="___var1" localSheetId="11">#REF!</definedName>
    <definedName name="___var1" localSheetId="29">#REF!</definedName>
    <definedName name="___var1" localSheetId="31">#REF!</definedName>
    <definedName name="___var1" localSheetId="35">#REF!</definedName>
    <definedName name="___var1" localSheetId="36">#REF!</definedName>
    <definedName name="___var1">#REF!</definedName>
    <definedName name="___var4" localSheetId="21">#REF!</definedName>
    <definedName name="___var4" localSheetId="5">#REF!</definedName>
    <definedName name="___var4" localSheetId="8">#REF!</definedName>
    <definedName name="___var4" localSheetId="10">#REF!</definedName>
    <definedName name="___var4" localSheetId="11">#REF!</definedName>
    <definedName name="___var4" localSheetId="29">#REF!</definedName>
    <definedName name="___var4" localSheetId="31">#REF!</definedName>
    <definedName name="___var4" localSheetId="35">#REF!</definedName>
    <definedName name="___var4" localSheetId="36">#REF!</definedName>
    <definedName name="___var4">#REF!</definedName>
    <definedName name="___vat1" localSheetId="8">#REF!</definedName>
    <definedName name="___vat1" localSheetId="10">#REF!</definedName>
    <definedName name="___vat1" localSheetId="29">#REF!</definedName>
    <definedName name="___vat1">#REF!</definedName>
    <definedName name="___vat2" localSheetId="8">#REF!</definedName>
    <definedName name="___vat2" localSheetId="10">#REF!</definedName>
    <definedName name="___vat2" localSheetId="29">#REF!</definedName>
    <definedName name="___vat2">#REF!</definedName>
    <definedName name="___xh11010" localSheetId="8">#REF!</definedName>
    <definedName name="___xh11010" localSheetId="10">#REF!</definedName>
    <definedName name="___xh11010" localSheetId="11">#REF!</definedName>
    <definedName name="___xh11010" localSheetId="29">#REF!</definedName>
    <definedName name="___xh11010">#REF!</definedName>
    <definedName name="___xh1104" localSheetId="8">#REF!</definedName>
    <definedName name="___xh1104" localSheetId="10">#REF!</definedName>
    <definedName name="___xh1104" localSheetId="11">#REF!</definedName>
    <definedName name="___xh1104" localSheetId="29">#REF!</definedName>
    <definedName name="___xh1104">#REF!</definedName>
    <definedName name="___xh1106" localSheetId="8">#REF!</definedName>
    <definedName name="___xh1106" localSheetId="10">#REF!</definedName>
    <definedName name="___xh1106" localSheetId="11">#REF!</definedName>
    <definedName name="___xh1106" localSheetId="29">#REF!</definedName>
    <definedName name="___xh1106">#REF!</definedName>
    <definedName name="___xh1108" localSheetId="8">#REF!</definedName>
    <definedName name="___xh1108" localSheetId="10">#REF!</definedName>
    <definedName name="___xh1108" localSheetId="11">#REF!</definedName>
    <definedName name="___xh1108" localSheetId="29">#REF!</definedName>
    <definedName name="___xh1108">#REF!</definedName>
    <definedName name="___xh12510" localSheetId="8">#REF!</definedName>
    <definedName name="___xh12510" localSheetId="10">#REF!</definedName>
    <definedName name="___xh12510" localSheetId="11">#REF!</definedName>
    <definedName name="___xh12510" localSheetId="29">#REF!</definedName>
    <definedName name="___xh12510">#REF!</definedName>
    <definedName name="___xh1254" localSheetId="8">#REF!</definedName>
    <definedName name="___xh1254" localSheetId="10">#REF!</definedName>
    <definedName name="___xh1254" localSheetId="11">#REF!</definedName>
    <definedName name="___xh1254" localSheetId="29">#REF!</definedName>
    <definedName name="___xh1254">#REF!</definedName>
    <definedName name="___xh1256" localSheetId="8">#REF!</definedName>
    <definedName name="___xh1256" localSheetId="10">#REF!</definedName>
    <definedName name="___xh1256" localSheetId="11">#REF!</definedName>
    <definedName name="___xh1256" localSheetId="29">#REF!</definedName>
    <definedName name="___xh1256">#REF!</definedName>
    <definedName name="___xh1258" localSheetId="8">#REF!</definedName>
    <definedName name="___xh1258" localSheetId="10">#REF!</definedName>
    <definedName name="___xh1258" localSheetId="11">#REF!</definedName>
    <definedName name="___xh1258" localSheetId="29">#REF!</definedName>
    <definedName name="___xh1258">#REF!</definedName>
    <definedName name="___xh14010" localSheetId="8">#REF!</definedName>
    <definedName name="___xh14010" localSheetId="10">#REF!</definedName>
    <definedName name="___xh14010" localSheetId="11">#REF!</definedName>
    <definedName name="___xh14010" localSheetId="29">#REF!</definedName>
    <definedName name="___xh14010">#REF!</definedName>
    <definedName name="___xh1404" localSheetId="8">#REF!</definedName>
    <definedName name="___xh1404" localSheetId="10">#REF!</definedName>
    <definedName name="___xh1404" localSheetId="11">#REF!</definedName>
    <definedName name="___xh1404" localSheetId="29">#REF!</definedName>
    <definedName name="___xh1404">#REF!</definedName>
    <definedName name="___xh1406" localSheetId="8">#REF!</definedName>
    <definedName name="___xh1406" localSheetId="10">#REF!</definedName>
    <definedName name="___xh1406" localSheetId="11">#REF!</definedName>
    <definedName name="___xh1406" localSheetId="29">#REF!</definedName>
    <definedName name="___xh1406">#REF!</definedName>
    <definedName name="___xh1408" localSheetId="8">#REF!</definedName>
    <definedName name="___xh1408" localSheetId="10">#REF!</definedName>
    <definedName name="___xh1408" localSheetId="11">#REF!</definedName>
    <definedName name="___xh1408" localSheetId="29">#REF!</definedName>
    <definedName name="___xh1408">#REF!</definedName>
    <definedName name="___xh16010" localSheetId="8">#REF!</definedName>
    <definedName name="___xh16010" localSheetId="10">#REF!</definedName>
    <definedName name="___xh16010" localSheetId="11">#REF!</definedName>
    <definedName name="___xh16010" localSheetId="29">#REF!</definedName>
    <definedName name="___xh16010">#REF!</definedName>
    <definedName name="___xh1604" localSheetId="8">#REF!</definedName>
    <definedName name="___xh1604" localSheetId="10">#REF!</definedName>
    <definedName name="___xh1604" localSheetId="11">#REF!</definedName>
    <definedName name="___xh1604" localSheetId="29">#REF!</definedName>
    <definedName name="___xh1604">#REF!</definedName>
    <definedName name="___xh1606" localSheetId="8">#REF!</definedName>
    <definedName name="___xh1606" localSheetId="10">#REF!</definedName>
    <definedName name="___xh1606" localSheetId="11">#REF!</definedName>
    <definedName name="___xh1606" localSheetId="29">#REF!</definedName>
    <definedName name="___xh1606">#REF!</definedName>
    <definedName name="___xh1608" localSheetId="8">#REF!</definedName>
    <definedName name="___xh1608" localSheetId="10">#REF!</definedName>
    <definedName name="___xh1608" localSheetId="11">#REF!</definedName>
    <definedName name="___xh1608" localSheetId="29">#REF!</definedName>
    <definedName name="___xh1608">#REF!</definedName>
    <definedName name="___xh18010" localSheetId="8">#REF!</definedName>
    <definedName name="___xh18010" localSheetId="10">#REF!</definedName>
    <definedName name="___xh18010" localSheetId="11">#REF!</definedName>
    <definedName name="___xh18010" localSheetId="29">#REF!</definedName>
    <definedName name="___xh18010">#REF!</definedName>
    <definedName name="___xh1804" localSheetId="8">#REF!</definedName>
    <definedName name="___xh1804" localSheetId="10">#REF!</definedName>
    <definedName name="___xh1804" localSheetId="11">#REF!</definedName>
    <definedName name="___xh1804" localSheetId="29">#REF!</definedName>
    <definedName name="___xh1804">#REF!</definedName>
    <definedName name="___xh1806" localSheetId="8">#REF!</definedName>
    <definedName name="___xh1806" localSheetId="10">#REF!</definedName>
    <definedName name="___xh1806" localSheetId="11">#REF!</definedName>
    <definedName name="___xh1806" localSheetId="29">#REF!</definedName>
    <definedName name="___xh1806">#REF!</definedName>
    <definedName name="___xh1808" localSheetId="8">#REF!</definedName>
    <definedName name="___xh1808" localSheetId="10">#REF!</definedName>
    <definedName name="___xh1808" localSheetId="11">#REF!</definedName>
    <definedName name="___xh1808" localSheetId="29">#REF!</definedName>
    <definedName name="___xh1808">#REF!</definedName>
    <definedName name="___xh20010" localSheetId="8">#REF!</definedName>
    <definedName name="___xh20010" localSheetId="10">#REF!</definedName>
    <definedName name="___xh20010" localSheetId="11">#REF!</definedName>
    <definedName name="___xh20010" localSheetId="29">#REF!</definedName>
    <definedName name="___xh20010">#REF!</definedName>
    <definedName name="___xh2004" localSheetId="8">#REF!</definedName>
    <definedName name="___xh2004" localSheetId="10">#REF!</definedName>
    <definedName name="___xh2004" localSheetId="11">#REF!</definedName>
    <definedName name="___xh2004" localSheetId="29">#REF!</definedName>
    <definedName name="___xh2004">#REF!</definedName>
    <definedName name="___xh2006" localSheetId="8">#REF!</definedName>
    <definedName name="___xh2006" localSheetId="10">#REF!</definedName>
    <definedName name="___xh2006" localSheetId="11">#REF!</definedName>
    <definedName name="___xh2006" localSheetId="29">#REF!</definedName>
    <definedName name="___xh2006">#REF!</definedName>
    <definedName name="___xh2008" localSheetId="8">#REF!</definedName>
    <definedName name="___xh2008" localSheetId="10">#REF!</definedName>
    <definedName name="___xh2008" localSheetId="11">#REF!</definedName>
    <definedName name="___xh2008" localSheetId="29">#REF!</definedName>
    <definedName name="___xh2008">#REF!</definedName>
    <definedName name="___xh22510" localSheetId="8">#REF!</definedName>
    <definedName name="___xh22510" localSheetId="10">#REF!</definedName>
    <definedName name="___xh22510" localSheetId="11">#REF!</definedName>
    <definedName name="___xh22510" localSheetId="29">#REF!</definedName>
    <definedName name="___xh22510">#REF!</definedName>
    <definedName name="___xh2254" localSheetId="8">#REF!</definedName>
    <definedName name="___xh2254" localSheetId="10">#REF!</definedName>
    <definedName name="___xh2254" localSheetId="11">#REF!</definedName>
    <definedName name="___xh2254" localSheetId="29">#REF!</definedName>
    <definedName name="___xh2254">#REF!</definedName>
    <definedName name="___xh2258" localSheetId="8">#REF!</definedName>
    <definedName name="___xh2258" localSheetId="10">#REF!</definedName>
    <definedName name="___xh2258" localSheetId="11">#REF!</definedName>
    <definedName name="___xh2258" localSheetId="29">#REF!</definedName>
    <definedName name="___xh2258">#REF!</definedName>
    <definedName name="___xh25010" localSheetId="8">#REF!</definedName>
    <definedName name="___xh25010" localSheetId="10">#REF!</definedName>
    <definedName name="___xh25010" localSheetId="11">#REF!</definedName>
    <definedName name="___xh25010" localSheetId="29">#REF!</definedName>
    <definedName name="___xh25010">#REF!</definedName>
    <definedName name="___xh2504" localSheetId="8">#REF!</definedName>
    <definedName name="___xh2504" localSheetId="10">#REF!</definedName>
    <definedName name="___xh2504" localSheetId="11">#REF!</definedName>
    <definedName name="___xh2504" localSheetId="29">#REF!</definedName>
    <definedName name="___xh2504">#REF!</definedName>
    <definedName name="___xh2508" localSheetId="8">#REF!</definedName>
    <definedName name="___xh2508" localSheetId="10">#REF!</definedName>
    <definedName name="___xh2508" localSheetId="11">#REF!</definedName>
    <definedName name="___xh2508" localSheetId="29">#REF!</definedName>
    <definedName name="___xh2508">#REF!</definedName>
    <definedName name="___xh28010" localSheetId="8">#REF!</definedName>
    <definedName name="___xh28010" localSheetId="10">#REF!</definedName>
    <definedName name="___xh28010" localSheetId="11">#REF!</definedName>
    <definedName name="___xh28010" localSheetId="29">#REF!</definedName>
    <definedName name="___xh28010">#REF!</definedName>
    <definedName name="___xh2804" localSheetId="8">#REF!</definedName>
    <definedName name="___xh2804" localSheetId="10">#REF!</definedName>
    <definedName name="___xh2804" localSheetId="11">#REF!</definedName>
    <definedName name="___xh2804" localSheetId="29">#REF!</definedName>
    <definedName name="___xh2804">#REF!</definedName>
    <definedName name="___xh2808" localSheetId="8">#REF!</definedName>
    <definedName name="___xh2808" localSheetId="10">#REF!</definedName>
    <definedName name="___xh2808" localSheetId="11">#REF!</definedName>
    <definedName name="___xh2808" localSheetId="29">#REF!</definedName>
    <definedName name="___xh2808">#REF!</definedName>
    <definedName name="___xh31510" localSheetId="8">#REF!</definedName>
    <definedName name="___xh31510" localSheetId="10">#REF!</definedName>
    <definedName name="___xh31510" localSheetId="11">#REF!</definedName>
    <definedName name="___xh31510" localSheetId="29">#REF!</definedName>
    <definedName name="___xh31510">#REF!</definedName>
    <definedName name="___xh3154" localSheetId="8">#REF!</definedName>
    <definedName name="___xh3154" localSheetId="10">#REF!</definedName>
    <definedName name="___xh3154" localSheetId="11">#REF!</definedName>
    <definedName name="___xh3154" localSheetId="29">#REF!</definedName>
    <definedName name="___xh3154">#REF!</definedName>
    <definedName name="___xh3158" localSheetId="8">#REF!</definedName>
    <definedName name="___xh3158" localSheetId="10">#REF!</definedName>
    <definedName name="___xh3158" localSheetId="11">#REF!</definedName>
    <definedName name="___xh3158" localSheetId="29">#REF!</definedName>
    <definedName name="___xh3158">#REF!</definedName>
    <definedName name="___xh3554" localSheetId="8">#REF!</definedName>
    <definedName name="___xh3554" localSheetId="10">#REF!</definedName>
    <definedName name="___xh3554" localSheetId="11">#REF!</definedName>
    <definedName name="___xh3554" localSheetId="29">#REF!</definedName>
    <definedName name="___xh3554">#REF!</definedName>
    <definedName name="___xh3556" localSheetId="8">#REF!</definedName>
    <definedName name="___xh3556" localSheetId="10">#REF!</definedName>
    <definedName name="___xh3556" localSheetId="11">#REF!</definedName>
    <definedName name="___xh3556" localSheetId="29">#REF!</definedName>
    <definedName name="___xh3556">#REF!</definedName>
    <definedName name="___xh6310" localSheetId="8">#REF!</definedName>
    <definedName name="___xh6310" localSheetId="10">#REF!</definedName>
    <definedName name="___xh6310" localSheetId="11">#REF!</definedName>
    <definedName name="___xh6310" localSheetId="29">#REF!</definedName>
    <definedName name="___xh6310">#REF!</definedName>
    <definedName name="___xh636" localSheetId="8">#REF!</definedName>
    <definedName name="___xh636" localSheetId="10">#REF!</definedName>
    <definedName name="___xh636" localSheetId="11">#REF!</definedName>
    <definedName name="___xh636" localSheetId="29">#REF!</definedName>
    <definedName name="___xh636">#REF!</definedName>
    <definedName name="___xh638" localSheetId="8">#REF!</definedName>
    <definedName name="___xh638" localSheetId="10">#REF!</definedName>
    <definedName name="___xh638" localSheetId="11">#REF!</definedName>
    <definedName name="___xh638" localSheetId="29">#REF!</definedName>
    <definedName name="___xh638">#REF!</definedName>
    <definedName name="___xh7510" localSheetId="8">#REF!</definedName>
    <definedName name="___xh7510" localSheetId="10">#REF!</definedName>
    <definedName name="___xh7510" localSheetId="11">#REF!</definedName>
    <definedName name="___xh7510" localSheetId="29">#REF!</definedName>
    <definedName name="___xh7510">#REF!</definedName>
    <definedName name="___xh754" localSheetId="8">#REF!</definedName>
    <definedName name="___xh754" localSheetId="10">#REF!</definedName>
    <definedName name="___xh754" localSheetId="11">#REF!</definedName>
    <definedName name="___xh754" localSheetId="29">#REF!</definedName>
    <definedName name="___xh754">#REF!</definedName>
    <definedName name="___xh756" localSheetId="8">#REF!</definedName>
    <definedName name="___xh756" localSheetId="10">#REF!</definedName>
    <definedName name="___xh756" localSheetId="11">#REF!</definedName>
    <definedName name="___xh756" localSheetId="29">#REF!</definedName>
    <definedName name="___xh756">#REF!</definedName>
    <definedName name="___xh758" localSheetId="8">#REF!</definedName>
    <definedName name="___xh758" localSheetId="10">#REF!</definedName>
    <definedName name="___xh758" localSheetId="11">#REF!</definedName>
    <definedName name="___xh758" localSheetId="29">#REF!</definedName>
    <definedName name="___xh758">#REF!</definedName>
    <definedName name="___xh9010" localSheetId="8">#REF!</definedName>
    <definedName name="___xh9010" localSheetId="10">#REF!</definedName>
    <definedName name="___xh9010" localSheetId="11">#REF!</definedName>
    <definedName name="___xh9010" localSheetId="29">#REF!</definedName>
    <definedName name="___xh9010">#REF!</definedName>
    <definedName name="___xh904" localSheetId="8">#REF!</definedName>
    <definedName name="___xh904" localSheetId="10">#REF!</definedName>
    <definedName name="___xh904" localSheetId="11">#REF!</definedName>
    <definedName name="___xh904" localSheetId="29">#REF!</definedName>
    <definedName name="___xh904">#REF!</definedName>
    <definedName name="___xh906" localSheetId="8">#REF!</definedName>
    <definedName name="___xh906" localSheetId="10">#REF!</definedName>
    <definedName name="___xh906" localSheetId="11">#REF!</definedName>
    <definedName name="___xh906" localSheetId="29">#REF!</definedName>
    <definedName name="___xh906">#REF!</definedName>
    <definedName name="___xh908" localSheetId="8">#REF!</definedName>
    <definedName name="___xh908" localSheetId="10">#REF!</definedName>
    <definedName name="___xh908" localSheetId="11">#REF!</definedName>
    <definedName name="___xh908" localSheetId="29">#REF!</definedName>
    <definedName name="___xh908">#REF!</definedName>
    <definedName name="___xk7200" localSheetId="8">#REF!</definedName>
    <definedName name="___xk7200" localSheetId="10">#REF!</definedName>
    <definedName name="___xk7200" localSheetId="11">#REF!</definedName>
    <definedName name="___xk7200" localSheetId="29">#REF!</definedName>
    <definedName name="___xk7200">#REF!</definedName>
    <definedName name="___xk7350" localSheetId="8">#REF!</definedName>
    <definedName name="___xk7350" localSheetId="10">#REF!</definedName>
    <definedName name="___xk7350" localSheetId="11">#REF!</definedName>
    <definedName name="___xk7350" localSheetId="29">#REF!</definedName>
    <definedName name="___xk7350">#REF!</definedName>
    <definedName name="___xk7400" localSheetId="8">#REF!</definedName>
    <definedName name="___xk7400" localSheetId="10">#REF!</definedName>
    <definedName name="___xk7400" localSheetId="11">#REF!</definedName>
    <definedName name="___xk7400" localSheetId="29">#REF!</definedName>
    <definedName name="___xk7400">#REF!</definedName>
    <definedName name="___xk7450" localSheetId="8">#REF!</definedName>
    <definedName name="___xk7450" localSheetId="10">#REF!</definedName>
    <definedName name="___xk7450" localSheetId="11">#REF!</definedName>
    <definedName name="___xk7450" localSheetId="29">#REF!</definedName>
    <definedName name="___xk7450">#REF!</definedName>
    <definedName name="___xk7500" localSheetId="8">#REF!</definedName>
    <definedName name="___xk7500" localSheetId="10">#REF!</definedName>
    <definedName name="___xk7500" localSheetId="11">#REF!</definedName>
    <definedName name="___xk7500" localSheetId="29">#REF!</definedName>
    <definedName name="___xk7500">#REF!</definedName>
    <definedName name="___xk7600" localSheetId="8">#REF!</definedName>
    <definedName name="___xk7600" localSheetId="10">#REF!</definedName>
    <definedName name="___xk7600" localSheetId="11">#REF!</definedName>
    <definedName name="___xk7600" localSheetId="29">#REF!</definedName>
    <definedName name="___xk7600">#REF!</definedName>
    <definedName name="___xk9100" localSheetId="8">#REF!</definedName>
    <definedName name="___xk9100" localSheetId="10">#REF!</definedName>
    <definedName name="___xk9100" localSheetId="11">#REF!</definedName>
    <definedName name="___xk9100" localSheetId="29">#REF!</definedName>
    <definedName name="___xk9100">#REF!</definedName>
    <definedName name="___xk91000" localSheetId="8">#REF!</definedName>
    <definedName name="___xk91000" localSheetId="10">#REF!</definedName>
    <definedName name="___xk91000" localSheetId="11">#REF!</definedName>
    <definedName name="___xk91000" localSheetId="29">#REF!</definedName>
    <definedName name="___xk91000">#REF!</definedName>
    <definedName name="___xk9150" localSheetId="8">#REF!</definedName>
    <definedName name="___xk9150" localSheetId="10">#REF!</definedName>
    <definedName name="___xk9150" localSheetId="11">#REF!</definedName>
    <definedName name="___xk9150" localSheetId="29">#REF!</definedName>
    <definedName name="___xk9150">#REF!</definedName>
    <definedName name="___xk9200" localSheetId="8">#REF!</definedName>
    <definedName name="___xk9200" localSheetId="10">#REF!</definedName>
    <definedName name="___xk9200" localSheetId="11">#REF!</definedName>
    <definedName name="___xk9200" localSheetId="29">#REF!</definedName>
    <definedName name="___xk9200">#REF!</definedName>
    <definedName name="___xk9250" localSheetId="8">#REF!</definedName>
    <definedName name="___xk9250" localSheetId="10">#REF!</definedName>
    <definedName name="___xk9250" localSheetId="11">#REF!</definedName>
    <definedName name="___xk9250" localSheetId="29">#REF!</definedName>
    <definedName name="___xk9250">#REF!</definedName>
    <definedName name="___xk9300" localSheetId="8">#REF!</definedName>
    <definedName name="___xk9300" localSheetId="10">#REF!</definedName>
    <definedName name="___xk9300" localSheetId="11">#REF!</definedName>
    <definedName name="___xk9300" localSheetId="29">#REF!</definedName>
    <definedName name="___xk9300">#REF!</definedName>
    <definedName name="___xk9350" localSheetId="8">#REF!</definedName>
    <definedName name="___xk9350" localSheetId="10">#REF!</definedName>
    <definedName name="___xk9350" localSheetId="11">#REF!</definedName>
    <definedName name="___xk9350" localSheetId="29">#REF!</definedName>
    <definedName name="___xk9350">#REF!</definedName>
    <definedName name="___xk9400" localSheetId="8">#REF!</definedName>
    <definedName name="___xk9400" localSheetId="10">#REF!</definedName>
    <definedName name="___xk9400" localSheetId="11">#REF!</definedName>
    <definedName name="___xk9400" localSheetId="29">#REF!</definedName>
    <definedName name="___xk9400">#REF!</definedName>
    <definedName name="___xk9450" localSheetId="8">#REF!</definedName>
    <definedName name="___xk9450" localSheetId="10">#REF!</definedName>
    <definedName name="___xk9450" localSheetId="11">#REF!</definedName>
    <definedName name="___xk9450" localSheetId="29">#REF!</definedName>
    <definedName name="___xk9450">#REF!</definedName>
    <definedName name="___xk9500" localSheetId="8">#REF!</definedName>
    <definedName name="___xk9500" localSheetId="10">#REF!</definedName>
    <definedName name="___xk9500" localSheetId="11">#REF!</definedName>
    <definedName name="___xk9500" localSheetId="29">#REF!</definedName>
    <definedName name="___xk9500">#REF!</definedName>
    <definedName name="___xk9600" localSheetId="8">#REF!</definedName>
    <definedName name="___xk9600" localSheetId="10">#REF!</definedName>
    <definedName name="___xk9600" localSheetId="11">#REF!</definedName>
    <definedName name="___xk9600" localSheetId="29">#REF!</definedName>
    <definedName name="___xk9600">#REF!</definedName>
    <definedName name="___xk9700" localSheetId="8">#REF!</definedName>
    <definedName name="___xk9700" localSheetId="10">#REF!</definedName>
    <definedName name="___xk9700" localSheetId="11">#REF!</definedName>
    <definedName name="___xk9700" localSheetId="29">#REF!</definedName>
    <definedName name="___xk9700">#REF!</definedName>
    <definedName name="___xk9750" localSheetId="8">#REF!</definedName>
    <definedName name="___xk9750" localSheetId="10">#REF!</definedName>
    <definedName name="___xk9750" localSheetId="11">#REF!</definedName>
    <definedName name="___xk9750" localSheetId="29">#REF!</definedName>
    <definedName name="___xk9750">#REF!</definedName>
    <definedName name="___xk9800" localSheetId="8">#REF!</definedName>
    <definedName name="___xk9800" localSheetId="10">#REF!</definedName>
    <definedName name="___xk9800" localSheetId="11">#REF!</definedName>
    <definedName name="___xk9800" localSheetId="29">#REF!</definedName>
    <definedName name="___xk9800">#REF!</definedName>
    <definedName name="___xk9900" localSheetId="8">#REF!</definedName>
    <definedName name="___xk9900" localSheetId="10">#REF!</definedName>
    <definedName name="___xk9900" localSheetId="11">#REF!</definedName>
    <definedName name="___xk9900" localSheetId="29">#REF!</definedName>
    <definedName name="___xk9900">#REF!</definedName>
    <definedName name="___xlfn_BAHTTEXT">#N/A</definedName>
    <definedName name="___xp12510" localSheetId="8">#REF!</definedName>
    <definedName name="___xp12510" localSheetId="10">#REF!</definedName>
    <definedName name="___xp12510" localSheetId="11">#REF!</definedName>
    <definedName name="___xp12510" localSheetId="29">#REF!</definedName>
    <definedName name="___xp12510">#REF!</definedName>
    <definedName name="___xp16010" localSheetId="8">#REF!</definedName>
    <definedName name="___xp16010" localSheetId="10">#REF!</definedName>
    <definedName name="___xp16010" localSheetId="11">#REF!</definedName>
    <definedName name="___xp16010" localSheetId="29">#REF!</definedName>
    <definedName name="___xp16010">#REF!</definedName>
    <definedName name="___xp18010" localSheetId="8">#REF!</definedName>
    <definedName name="___xp18010" localSheetId="10">#REF!</definedName>
    <definedName name="___xp18010" localSheetId="11">#REF!</definedName>
    <definedName name="___xp18010" localSheetId="29">#REF!</definedName>
    <definedName name="___xp18010">#REF!</definedName>
    <definedName name="___xp20010" localSheetId="8">#REF!</definedName>
    <definedName name="___xp20010" localSheetId="10">#REF!</definedName>
    <definedName name="___xp20010" localSheetId="11">#REF!</definedName>
    <definedName name="___xp20010" localSheetId="29">#REF!</definedName>
    <definedName name="___xp20010">#REF!</definedName>
    <definedName name="___xp2004" localSheetId="8">#REF!</definedName>
    <definedName name="___xp2004" localSheetId="10">#REF!</definedName>
    <definedName name="___xp2004" localSheetId="11">#REF!</definedName>
    <definedName name="___xp2004" localSheetId="29">#REF!</definedName>
    <definedName name="___xp2004">#REF!</definedName>
    <definedName name="___xp22510" localSheetId="8">#REF!</definedName>
    <definedName name="___xp22510" localSheetId="10">#REF!</definedName>
    <definedName name="___xp22510" localSheetId="11">#REF!</definedName>
    <definedName name="___xp22510" localSheetId="29">#REF!</definedName>
    <definedName name="___xp22510">#REF!</definedName>
    <definedName name="___xp2254" localSheetId="8">#REF!</definedName>
    <definedName name="___xp2254" localSheetId="10">#REF!</definedName>
    <definedName name="___xp2254" localSheetId="11">#REF!</definedName>
    <definedName name="___xp2254" localSheetId="29">#REF!</definedName>
    <definedName name="___xp2254">#REF!</definedName>
    <definedName name="___xp2256" localSheetId="8">#REF!</definedName>
    <definedName name="___xp2256" localSheetId="10">#REF!</definedName>
    <definedName name="___xp2256" localSheetId="11">#REF!</definedName>
    <definedName name="___xp2256" localSheetId="29">#REF!</definedName>
    <definedName name="___xp2256">#REF!</definedName>
    <definedName name="___xp25010" localSheetId="8">#REF!</definedName>
    <definedName name="___xp25010" localSheetId="10">#REF!</definedName>
    <definedName name="___xp25010" localSheetId="11">#REF!</definedName>
    <definedName name="___xp25010" localSheetId="29">#REF!</definedName>
    <definedName name="___xp25010">#REF!</definedName>
    <definedName name="___xp2504" localSheetId="8">#REF!</definedName>
    <definedName name="___xp2504" localSheetId="10">#REF!</definedName>
    <definedName name="___xp2504" localSheetId="11">#REF!</definedName>
    <definedName name="___xp2504" localSheetId="29">#REF!</definedName>
    <definedName name="___xp2504">#REF!</definedName>
    <definedName name="___xp2506" localSheetId="8">#REF!</definedName>
    <definedName name="___xp2506" localSheetId="10">#REF!</definedName>
    <definedName name="___xp2506" localSheetId="11">#REF!</definedName>
    <definedName name="___xp2506" localSheetId="29">#REF!</definedName>
    <definedName name="___xp2506">#REF!</definedName>
    <definedName name="___xp28010" localSheetId="8">#REF!</definedName>
    <definedName name="___xp28010" localSheetId="10">#REF!</definedName>
    <definedName name="___xp28010" localSheetId="11">#REF!</definedName>
    <definedName name="___xp28010" localSheetId="29">#REF!</definedName>
    <definedName name="___xp28010">#REF!</definedName>
    <definedName name="___xp2804" localSheetId="8">#REF!</definedName>
    <definedName name="___xp2804" localSheetId="10">#REF!</definedName>
    <definedName name="___xp2804" localSheetId="11">#REF!</definedName>
    <definedName name="___xp2804" localSheetId="29">#REF!</definedName>
    <definedName name="___xp2804">#REF!</definedName>
    <definedName name="___xp2806" localSheetId="8">#REF!</definedName>
    <definedName name="___xp2806" localSheetId="10">#REF!</definedName>
    <definedName name="___xp2806" localSheetId="11">#REF!</definedName>
    <definedName name="___xp2806" localSheetId="29">#REF!</definedName>
    <definedName name="___xp2806">#REF!</definedName>
    <definedName name="___xp31510" localSheetId="8">#REF!</definedName>
    <definedName name="___xp31510" localSheetId="10">#REF!</definedName>
    <definedName name="___xp31510" localSheetId="11">#REF!</definedName>
    <definedName name="___xp31510" localSheetId="29">#REF!</definedName>
    <definedName name="___xp31510">#REF!</definedName>
    <definedName name="___xp3154" localSheetId="8">#REF!</definedName>
    <definedName name="___xp3154" localSheetId="10">#REF!</definedName>
    <definedName name="___xp3154" localSheetId="11">#REF!</definedName>
    <definedName name="___xp3154" localSheetId="29">#REF!</definedName>
    <definedName name="___xp3154">#REF!</definedName>
    <definedName name="___xp3156" localSheetId="8">#REF!</definedName>
    <definedName name="___xp3156" localSheetId="10">#REF!</definedName>
    <definedName name="___xp3156" localSheetId="11">#REF!</definedName>
    <definedName name="___xp3156" localSheetId="29">#REF!</definedName>
    <definedName name="___xp3156">#REF!</definedName>
    <definedName name="___xp634" localSheetId="8">#REF!</definedName>
    <definedName name="___xp634" localSheetId="10">#REF!</definedName>
    <definedName name="___xp634" localSheetId="11">#REF!</definedName>
    <definedName name="___xp634" localSheetId="29">#REF!</definedName>
    <definedName name="___xp634">#REF!</definedName>
    <definedName name="__abs1" localSheetId="5">#REF!</definedName>
    <definedName name="__abs1" localSheetId="14">#REF!</definedName>
    <definedName name="__abs1" localSheetId="8">#REF!</definedName>
    <definedName name="__abs1" localSheetId="10">#REF!</definedName>
    <definedName name="__abs1" localSheetId="29">#REF!</definedName>
    <definedName name="__abs1">#REF!</definedName>
    <definedName name="__AUX1" localSheetId="29">#REF!</definedName>
    <definedName name="__aux2" localSheetId="29">#REF!</definedName>
    <definedName name="__AUX3">#REF!</definedName>
    <definedName name="__bla1_21" localSheetId="29">#REF!</definedName>
    <definedName name="__bla1_33">#REF!</definedName>
    <definedName name="__bla1_34">#REF!</definedName>
    <definedName name="__BSG100" localSheetId="8">#REF!</definedName>
    <definedName name="__BSG100" localSheetId="10">#REF!</definedName>
    <definedName name="__BSG100" localSheetId="29">#REF!</definedName>
    <definedName name="__BSG100">#REF!</definedName>
    <definedName name="__BSG150" localSheetId="8">#REF!</definedName>
    <definedName name="__BSG150" localSheetId="10">#REF!</definedName>
    <definedName name="__BSG150" localSheetId="29">#REF!</definedName>
    <definedName name="__BSG150">#REF!</definedName>
    <definedName name="__BSG5" localSheetId="8">#REF!</definedName>
    <definedName name="__BSG5" localSheetId="10">#REF!</definedName>
    <definedName name="__BSG5" localSheetId="29">#REF!</definedName>
    <definedName name="__BSG5">#REF!</definedName>
    <definedName name="__BSG75" localSheetId="8">#REF!</definedName>
    <definedName name="__BSG75" localSheetId="10">#REF!</definedName>
    <definedName name="__BSG75" localSheetId="29">#REF!</definedName>
    <definedName name="__BSG75">#REF!</definedName>
    <definedName name="__BTC1" localSheetId="8">#REF!</definedName>
    <definedName name="__BTC1" localSheetId="10">#REF!</definedName>
    <definedName name="__BTC1" localSheetId="29">#REF!</definedName>
    <definedName name="__BTC1">#REF!</definedName>
    <definedName name="__BTC10" localSheetId="8">#REF!</definedName>
    <definedName name="__BTC10" localSheetId="10">#REF!</definedName>
    <definedName name="__BTC10" localSheetId="29">#REF!</definedName>
    <definedName name="__BTC10">#REF!</definedName>
    <definedName name="__BTC11" localSheetId="8">#REF!</definedName>
    <definedName name="__BTC11" localSheetId="10">#REF!</definedName>
    <definedName name="__BTC11" localSheetId="29">#REF!</definedName>
    <definedName name="__BTC11">#REF!</definedName>
    <definedName name="__BTC12" localSheetId="8">#REF!</definedName>
    <definedName name="__BTC12" localSheetId="10">#REF!</definedName>
    <definedName name="__BTC12" localSheetId="29">#REF!</definedName>
    <definedName name="__BTC12">#REF!</definedName>
    <definedName name="__BTC13" localSheetId="8">#REF!</definedName>
    <definedName name="__BTC13" localSheetId="10">#REF!</definedName>
    <definedName name="__BTC13" localSheetId="29">#REF!</definedName>
    <definedName name="__BTC13">#REF!</definedName>
    <definedName name="__BTC14" localSheetId="8">#REF!</definedName>
    <definedName name="__BTC14" localSheetId="10">#REF!</definedName>
    <definedName name="__BTC14" localSheetId="29">#REF!</definedName>
    <definedName name="__BTC14">#REF!</definedName>
    <definedName name="__BTC15" localSheetId="8">#REF!</definedName>
    <definedName name="__BTC15" localSheetId="10">#REF!</definedName>
    <definedName name="__BTC15" localSheetId="29">#REF!</definedName>
    <definedName name="__BTC15">#REF!</definedName>
    <definedName name="__BTC16">#REF!</definedName>
    <definedName name="__BTC17">#REF!</definedName>
    <definedName name="__BTC18">#REF!</definedName>
    <definedName name="__BTC19">#REF!</definedName>
    <definedName name="__BTC2" localSheetId="8">#REF!</definedName>
    <definedName name="__BTC2" localSheetId="10">#REF!</definedName>
    <definedName name="__BTC2" localSheetId="29">#REF!</definedName>
    <definedName name="__BTC2">#REF!</definedName>
    <definedName name="__BTC20">#REF!</definedName>
    <definedName name="__BTC21">#REF!</definedName>
    <definedName name="__BTC22">#REF!</definedName>
    <definedName name="__BTC23">#REF!</definedName>
    <definedName name="__BTC24">#REF!</definedName>
    <definedName name="__BTC3" localSheetId="8">#REF!</definedName>
    <definedName name="__BTC3" localSheetId="10">#REF!</definedName>
    <definedName name="__BTC3" localSheetId="29">#REF!</definedName>
    <definedName name="__BTC3">#REF!</definedName>
    <definedName name="__BTC4" localSheetId="8">#REF!</definedName>
    <definedName name="__BTC4" localSheetId="10">#REF!</definedName>
    <definedName name="__BTC4" localSheetId="29">#REF!</definedName>
    <definedName name="__BTC4">#REF!</definedName>
    <definedName name="__BTC5" localSheetId="8">#REF!</definedName>
    <definedName name="__BTC5" localSheetId="10">#REF!</definedName>
    <definedName name="__BTC5" localSheetId="29">#REF!</definedName>
    <definedName name="__BTC5">#REF!</definedName>
    <definedName name="__BTC6" localSheetId="8">#REF!</definedName>
    <definedName name="__BTC6" localSheetId="10">#REF!</definedName>
    <definedName name="__BTC6" localSheetId="29">#REF!</definedName>
    <definedName name="__BTC6">#REF!</definedName>
    <definedName name="__BTC7" localSheetId="8">#REF!</definedName>
    <definedName name="__BTC7" localSheetId="10">#REF!</definedName>
    <definedName name="__BTC7" localSheetId="29">#REF!</definedName>
    <definedName name="__BTC7">#REF!</definedName>
    <definedName name="__BTC8" localSheetId="8">#REF!</definedName>
    <definedName name="__BTC8" localSheetId="10">#REF!</definedName>
    <definedName name="__BTC8" localSheetId="29">#REF!</definedName>
    <definedName name="__BTC8">#REF!</definedName>
    <definedName name="__BTC9" localSheetId="8">#REF!</definedName>
    <definedName name="__BTC9" localSheetId="10">#REF!</definedName>
    <definedName name="__BTC9" localSheetId="29">#REF!</definedName>
    <definedName name="__BTC9">#REF!</definedName>
    <definedName name="__BTR1">#REF!</definedName>
    <definedName name="__BTR10">#REF!</definedName>
    <definedName name="__BTR11">#REF!</definedName>
    <definedName name="__BTR12">#REF!</definedName>
    <definedName name="__BTR13">#REF!</definedName>
    <definedName name="__BTR14">#REF!</definedName>
    <definedName name="__BTR15">#REF!</definedName>
    <definedName name="__BTR16">#REF!</definedName>
    <definedName name="__BTR17">#REF!</definedName>
    <definedName name="__BTR18">#REF!</definedName>
    <definedName name="__BTR19">#REF!</definedName>
    <definedName name="__BTR2">#REF!</definedName>
    <definedName name="__BTR20">#REF!</definedName>
    <definedName name="__BTR21">#REF!</definedName>
    <definedName name="__BTR22">#REF!</definedName>
    <definedName name="__BTR23">#REF!</definedName>
    <definedName name="__BTR24">#REF!</definedName>
    <definedName name="__BTR3">#REF!</definedName>
    <definedName name="__BTR4">#REF!</definedName>
    <definedName name="__BTR5">#REF!</definedName>
    <definedName name="__BTR6">#REF!</definedName>
    <definedName name="__BTR7">#REF!</definedName>
    <definedName name="__BTR8">#REF!</definedName>
    <definedName name="__BTR9">#REF!</definedName>
    <definedName name="__BTS1" localSheetId="8">#REF!</definedName>
    <definedName name="__BTS1" localSheetId="10">#REF!</definedName>
    <definedName name="__BTS1" localSheetId="29">#REF!</definedName>
    <definedName name="__BTS1">#REF!</definedName>
    <definedName name="__BTS10" localSheetId="8">#REF!</definedName>
    <definedName name="__BTS10" localSheetId="10">#REF!</definedName>
    <definedName name="__BTS10" localSheetId="29">#REF!</definedName>
    <definedName name="__BTS10">#REF!</definedName>
    <definedName name="__BTS11" localSheetId="8">#REF!</definedName>
    <definedName name="__BTS11" localSheetId="10">#REF!</definedName>
    <definedName name="__BTS11" localSheetId="29">#REF!</definedName>
    <definedName name="__BTS11">#REF!</definedName>
    <definedName name="__BTS12" localSheetId="8">#REF!</definedName>
    <definedName name="__BTS12" localSheetId="10">#REF!</definedName>
    <definedName name="__BTS12" localSheetId="29">#REF!</definedName>
    <definedName name="__BTS12">#REF!</definedName>
    <definedName name="__BTS13" localSheetId="8">#REF!</definedName>
    <definedName name="__BTS13" localSheetId="10">#REF!</definedName>
    <definedName name="__BTS13" localSheetId="29">#REF!</definedName>
    <definedName name="__BTS13">#REF!</definedName>
    <definedName name="__BTS14" localSheetId="8">#REF!</definedName>
    <definedName name="__BTS14" localSheetId="10">#REF!</definedName>
    <definedName name="__BTS14" localSheetId="29">#REF!</definedName>
    <definedName name="__BTS14">#REF!</definedName>
    <definedName name="__BTS15" localSheetId="8">#REF!</definedName>
    <definedName name="__BTS15" localSheetId="10">#REF!</definedName>
    <definedName name="__BTS15" localSheetId="29">#REF!</definedName>
    <definedName name="__BTS15">#REF!</definedName>
    <definedName name="__BTS16">#REF!</definedName>
    <definedName name="__BTS17">#REF!</definedName>
    <definedName name="__BTS18">#REF!</definedName>
    <definedName name="__BTS19">#REF!</definedName>
    <definedName name="__BTS2" localSheetId="8">#REF!</definedName>
    <definedName name="__BTS2" localSheetId="10">#REF!</definedName>
    <definedName name="__BTS2" localSheetId="29">#REF!</definedName>
    <definedName name="__BTS2">#REF!</definedName>
    <definedName name="__BTS20">#REF!</definedName>
    <definedName name="__BTS21">#REF!</definedName>
    <definedName name="__BTS22">#REF!</definedName>
    <definedName name="__BTS23">#REF!</definedName>
    <definedName name="__BTS24">#REF!</definedName>
    <definedName name="__BTS3" localSheetId="8">#REF!</definedName>
    <definedName name="__BTS3" localSheetId="10">#REF!</definedName>
    <definedName name="__BTS3" localSheetId="29">#REF!</definedName>
    <definedName name="__BTS3">#REF!</definedName>
    <definedName name="__BTS4" localSheetId="8">#REF!</definedName>
    <definedName name="__BTS4" localSheetId="10">#REF!</definedName>
    <definedName name="__BTS4" localSheetId="29">#REF!</definedName>
    <definedName name="__BTS4">#REF!</definedName>
    <definedName name="__BTS5" localSheetId="8">#REF!</definedName>
    <definedName name="__BTS5" localSheetId="10">#REF!</definedName>
    <definedName name="__BTS5" localSheetId="29">#REF!</definedName>
    <definedName name="__BTS5">#REF!</definedName>
    <definedName name="__BTS6" localSheetId="8">#REF!</definedName>
    <definedName name="__BTS6" localSheetId="10">#REF!</definedName>
    <definedName name="__BTS6" localSheetId="29">#REF!</definedName>
    <definedName name="__BTS6">#REF!</definedName>
    <definedName name="__BTS7" localSheetId="8">#REF!</definedName>
    <definedName name="__BTS7" localSheetId="10">#REF!</definedName>
    <definedName name="__BTS7" localSheetId="29">#REF!</definedName>
    <definedName name="__BTS7">#REF!</definedName>
    <definedName name="__BTS8" localSheetId="8">#REF!</definedName>
    <definedName name="__BTS8" localSheetId="10">#REF!</definedName>
    <definedName name="__BTS8" localSheetId="29">#REF!</definedName>
    <definedName name="__BTS8">#REF!</definedName>
    <definedName name="__BTS9" localSheetId="8">#REF!</definedName>
    <definedName name="__BTS9" localSheetId="10">#REF!</definedName>
    <definedName name="__BTS9" localSheetId="29">#REF!</definedName>
    <definedName name="__BTS9">#REF!</definedName>
    <definedName name="__can430">40.73</definedName>
    <definedName name="__can435">43.3</definedName>
    <definedName name="__cbr1" localSheetId="8">#REF!</definedName>
    <definedName name="__cbr1" localSheetId="10">#REF!</definedName>
    <definedName name="__cbr1" localSheetId="29">#REF!</definedName>
    <definedName name="__cbr1">#REF!</definedName>
    <definedName name="__cbr2" localSheetId="8">#REF!</definedName>
    <definedName name="__cbr2" localSheetId="10">#REF!</definedName>
    <definedName name="__cbr2" localSheetId="29">#REF!</definedName>
    <definedName name="__cbr2">#REF!</definedName>
    <definedName name="__cbr3" localSheetId="8">#REF!</definedName>
    <definedName name="__cbr3" localSheetId="10">#REF!</definedName>
    <definedName name="__cbr3" localSheetId="29">#REF!</definedName>
    <definedName name="__cbr3">#REF!</definedName>
    <definedName name="__cbr4" localSheetId="8">#REF!</definedName>
    <definedName name="__cbr4" localSheetId="10">#REF!</definedName>
    <definedName name="__cbr4" localSheetId="29">#REF!</definedName>
    <definedName name="__cbr4">#REF!</definedName>
    <definedName name="__df3" localSheetId="8">#REF!</definedName>
    <definedName name="__df3" localSheetId="10">#REF!</definedName>
    <definedName name="__df3" localSheetId="11">#REF!</definedName>
    <definedName name="__df3" localSheetId="29">#REF!</definedName>
    <definedName name="__df3">#REF!</definedName>
    <definedName name="__er1">#REF!</definedName>
    <definedName name="__ewe1" localSheetId="11">#REF!</definedName>
    <definedName name="__ewe1">#REF!</definedName>
    <definedName name="__ewe2">#REF!</definedName>
    <definedName name="__f1" localSheetId="8">#REF!</definedName>
    <definedName name="__f1" localSheetId="10">#REF!</definedName>
    <definedName name="__f1" localSheetId="11">#REF!</definedName>
    <definedName name="__f1" localSheetId="29">#REF!</definedName>
    <definedName name="__f1">#REF!</definedName>
    <definedName name="__GBS11" localSheetId="8">#REF!</definedName>
    <definedName name="__GBS11" localSheetId="10">#REF!</definedName>
    <definedName name="__GBS11" localSheetId="29">#REF!</definedName>
    <definedName name="__GBS11">#REF!</definedName>
    <definedName name="__GBS110" localSheetId="8">#REF!</definedName>
    <definedName name="__GBS110" localSheetId="10">#REF!</definedName>
    <definedName name="__GBS110" localSheetId="29">#REF!</definedName>
    <definedName name="__GBS110">#REF!</definedName>
    <definedName name="__GBS111" localSheetId="8">#REF!</definedName>
    <definedName name="__GBS111" localSheetId="10">#REF!</definedName>
    <definedName name="__GBS111" localSheetId="29">#REF!</definedName>
    <definedName name="__GBS111">#REF!</definedName>
    <definedName name="__GBS112" localSheetId="8">#REF!</definedName>
    <definedName name="__GBS112" localSheetId="10">#REF!</definedName>
    <definedName name="__GBS112" localSheetId="29">#REF!</definedName>
    <definedName name="__GBS112">#REF!</definedName>
    <definedName name="__GBS113" localSheetId="8">#REF!</definedName>
    <definedName name="__GBS113" localSheetId="10">#REF!</definedName>
    <definedName name="__GBS113" localSheetId="29">#REF!</definedName>
    <definedName name="__GBS113">#REF!</definedName>
    <definedName name="__GBS114" localSheetId="8">#REF!</definedName>
    <definedName name="__GBS114" localSheetId="10">#REF!</definedName>
    <definedName name="__GBS114" localSheetId="29">#REF!</definedName>
    <definedName name="__GBS114">#REF!</definedName>
    <definedName name="__GBS115" localSheetId="8">#REF!</definedName>
    <definedName name="__GBS115" localSheetId="10">#REF!</definedName>
    <definedName name="__GBS115" localSheetId="29">#REF!</definedName>
    <definedName name="__GBS115">#REF!</definedName>
    <definedName name="__GBS116">#REF!</definedName>
    <definedName name="__GBS117">#REF!</definedName>
    <definedName name="__GBS118">#REF!</definedName>
    <definedName name="__GBS119">#REF!</definedName>
    <definedName name="__GBS12" localSheetId="8">#REF!</definedName>
    <definedName name="__GBS12" localSheetId="10">#REF!</definedName>
    <definedName name="__GBS12" localSheetId="29">#REF!</definedName>
    <definedName name="__GBS12">#REF!</definedName>
    <definedName name="__GBS120">#REF!</definedName>
    <definedName name="__GBS121">#REF!</definedName>
    <definedName name="__GBS122">#REF!</definedName>
    <definedName name="__GBS123">#REF!</definedName>
    <definedName name="__GBS124">#REF!</definedName>
    <definedName name="__GBS13" localSheetId="8">#REF!</definedName>
    <definedName name="__GBS13" localSheetId="10">#REF!</definedName>
    <definedName name="__GBS13" localSheetId="29">#REF!</definedName>
    <definedName name="__GBS13">#REF!</definedName>
    <definedName name="__GBS14" localSheetId="8">#REF!</definedName>
    <definedName name="__GBS14" localSheetId="10">#REF!</definedName>
    <definedName name="__GBS14" localSheetId="29">#REF!</definedName>
    <definedName name="__GBS14">#REF!</definedName>
    <definedName name="__GBS15" localSheetId="8">#REF!</definedName>
    <definedName name="__GBS15" localSheetId="10">#REF!</definedName>
    <definedName name="__GBS15" localSheetId="29">#REF!</definedName>
    <definedName name="__GBS15">#REF!</definedName>
    <definedName name="__GBS16" localSheetId="8">#REF!</definedName>
    <definedName name="__GBS16" localSheetId="10">#REF!</definedName>
    <definedName name="__GBS16" localSheetId="29">#REF!</definedName>
    <definedName name="__GBS16">#REF!</definedName>
    <definedName name="__GBS17" localSheetId="8">#REF!</definedName>
    <definedName name="__GBS17" localSheetId="10">#REF!</definedName>
    <definedName name="__GBS17" localSheetId="29">#REF!</definedName>
    <definedName name="__GBS17">#REF!</definedName>
    <definedName name="__GBS18" localSheetId="8">#REF!</definedName>
    <definedName name="__GBS18" localSheetId="10">#REF!</definedName>
    <definedName name="__GBS18" localSheetId="29">#REF!</definedName>
    <definedName name="__GBS18">#REF!</definedName>
    <definedName name="__GBS19" localSheetId="8">#REF!</definedName>
    <definedName name="__GBS19" localSheetId="10">#REF!</definedName>
    <definedName name="__GBS19" localSheetId="29">#REF!</definedName>
    <definedName name="__GBS19">#REF!</definedName>
    <definedName name="__GBS21" localSheetId="8">#REF!</definedName>
    <definedName name="__GBS21" localSheetId="10">#REF!</definedName>
    <definedName name="__GBS21" localSheetId="29">#REF!</definedName>
    <definedName name="__GBS21">#REF!</definedName>
    <definedName name="__GBS210" localSheetId="8">#REF!</definedName>
    <definedName name="__GBS210" localSheetId="10">#REF!</definedName>
    <definedName name="__GBS210" localSheetId="29">#REF!</definedName>
    <definedName name="__GBS210">#REF!</definedName>
    <definedName name="__GBS211" localSheetId="8">#REF!</definedName>
    <definedName name="__GBS211" localSheetId="10">#REF!</definedName>
    <definedName name="__GBS211" localSheetId="29">#REF!</definedName>
    <definedName name="__GBS211">#REF!</definedName>
    <definedName name="__GBS212" localSheetId="8">#REF!</definedName>
    <definedName name="__GBS212" localSheetId="10">#REF!</definedName>
    <definedName name="__GBS212" localSheetId="29">#REF!</definedName>
    <definedName name="__GBS212">#REF!</definedName>
    <definedName name="__GBS213" localSheetId="8">#REF!</definedName>
    <definedName name="__GBS213" localSheetId="10">#REF!</definedName>
    <definedName name="__GBS213" localSheetId="29">#REF!</definedName>
    <definedName name="__GBS213">#REF!</definedName>
    <definedName name="__GBS214" localSheetId="8">#REF!</definedName>
    <definedName name="__GBS214" localSheetId="10">#REF!</definedName>
    <definedName name="__GBS214" localSheetId="29">#REF!</definedName>
    <definedName name="__GBS214">#REF!</definedName>
    <definedName name="__GBS215" localSheetId="8">#REF!</definedName>
    <definedName name="__GBS215" localSheetId="10">#REF!</definedName>
    <definedName name="__GBS215" localSheetId="29">#REF!</definedName>
    <definedName name="__GBS215">#REF!</definedName>
    <definedName name="__GBS216">#REF!</definedName>
    <definedName name="__GBS217">#REF!</definedName>
    <definedName name="__GBS218">#REF!</definedName>
    <definedName name="__GBS219">#REF!</definedName>
    <definedName name="__GBS22" localSheetId="8">#REF!</definedName>
    <definedName name="__GBS22" localSheetId="10">#REF!</definedName>
    <definedName name="__GBS22" localSheetId="29">#REF!</definedName>
    <definedName name="__GBS22">#REF!</definedName>
    <definedName name="__GBS220">#REF!</definedName>
    <definedName name="__GBS221">#REF!</definedName>
    <definedName name="__GBS222">#REF!</definedName>
    <definedName name="__GBS223">#REF!</definedName>
    <definedName name="__GBS224">#REF!</definedName>
    <definedName name="__GBS23" localSheetId="8">#REF!</definedName>
    <definedName name="__GBS23" localSheetId="10">#REF!</definedName>
    <definedName name="__GBS23" localSheetId="29">#REF!</definedName>
    <definedName name="__GBS23">#REF!</definedName>
    <definedName name="__GBS24" localSheetId="8">#REF!</definedName>
    <definedName name="__GBS24" localSheetId="10">#REF!</definedName>
    <definedName name="__GBS24" localSheetId="29">#REF!</definedName>
    <definedName name="__GBS24">#REF!</definedName>
    <definedName name="__GBS25" localSheetId="8">#REF!</definedName>
    <definedName name="__GBS25" localSheetId="10">#REF!</definedName>
    <definedName name="__GBS25" localSheetId="29">#REF!</definedName>
    <definedName name="__GBS25">#REF!</definedName>
    <definedName name="__GBS26" localSheetId="8">#REF!</definedName>
    <definedName name="__GBS26" localSheetId="10">#REF!</definedName>
    <definedName name="__GBS26" localSheetId="29">#REF!</definedName>
    <definedName name="__GBS26">#REF!</definedName>
    <definedName name="__GBS27" localSheetId="8">#REF!</definedName>
    <definedName name="__GBS27" localSheetId="10">#REF!</definedName>
    <definedName name="__GBS27" localSheetId="29">#REF!</definedName>
    <definedName name="__GBS27">#REF!</definedName>
    <definedName name="__GBS28" localSheetId="8">#REF!</definedName>
    <definedName name="__GBS28" localSheetId="10">#REF!</definedName>
    <definedName name="__GBS28" localSheetId="29">#REF!</definedName>
    <definedName name="__GBS28">#REF!</definedName>
    <definedName name="__GBS29" localSheetId="8">#REF!</definedName>
    <definedName name="__GBS29" localSheetId="10">#REF!</definedName>
    <definedName name="__GBS29" localSheetId="29">#REF!</definedName>
    <definedName name="__GBS29">#REF!</definedName>
    <definedName name="__grp10003" localSheetId="8">#REF!</definedName>
    <definedName name="__grp10003" localSheetId="10">#REF!</definedName>
    <definedName name="__grp10003" localSheetId="11">#REF!</definedName>
    <definedName name="__grp10003" localSheetId="29">#REF!</definedName>
    <definedName name="__grp10003">#REF!</definedName>
    <definedName name="__grp3503" localSheetId="8">#REF!</definedName>
    <definedName name="__grp3503" localSheetId="10">#REF!</definedName>
    <definedName name="__grp3503" localSheetId="11">#REF!</definedName>
    <definedName name="__grp3503" localSheetId="29">#REF!</definedName>
    <definedName name="__grp3503">#REF!</definedName>
    <definedName name="__grp4003" localSheetId="8">#REF!</definedName>
    <definedName name="__grp4003" localSheetId="10">#REF!</definedName>
    <definedName name="__grp4003" localSheetId="11">#REF!</definedName>
    <definedName name="__grp4003" localSheetId="29">#REF!</definedName>
    <definedName name="__grp4003">#REF!</definedName>
    <definedName name="__grp4503" localSheetId="8">#REF!</definedName>
    <definedName name="__grp4503" localSheetId="10">#REF!</definedName>
    <definedName name="__grp4503" localSheetId="11">#REF!</definedName>
    <definedName name="__grp4503" localSheetId="29">#REF!</definedName>
    <definedName name="__grp4503">#REF!</definedName>
    <definedName name="__grp5003" localSheetId="8">#REF!</definedName>
    <definedName name="__grp5003" localSheetId="10">#REF!</definedName>
    <definedName name="__grp5003" localSheetId="11">#REF!</definedName>
    <definedName name="__grp5003" localSheetId="29">#REF!</definedName>
    <definedName name="__grp5003">#REF!</definedName>
    <definedName name="__grp6003" localSheetId="8">#REF!</definedName>
    <definedName name="__grp6003" localSheetId="10">#REF!</definedName>
    <definedName name="__grp6003" localSheetId="11">#REF!</definedName>
    <definedName name="__grp6003" localSheetId="29">#REF!</definedName>
    <definedName name="__grp6003">#REF!</definedName>
    <definedName name="__grp7003" localSheetId="8">#REF!</definedName>
    <definedName name="__grp7003" localSheetId="10">#REF!</definedName>
    <definedName name="__grp7003" localSheetId="11">#REF!</definedName>
    <definedName name="__grp7003" localSheetId="29">#REF!</definedName>
    <definedName name="__grp7003">#REF!</definedName>
    <definedName name="__grp8003" localSheetId="8">#REF!</definedName>
    <definedName name="__grp8003" localSheetId="10">#REF!</definedName>
    <definedName name="__grp8003" localSheetId="11">#REF!</definedName>
    <definedName name="__grp8003" localSheetId="29">#REF!</definedName>
    <definedName name="__grp8003">#REF!</definedName>
    <definedName name="__grp9003" localSheetId="8">#REF!</definedName>
    <definedName name="__grp9003" localSheetId="10">#REF!</definedName>
    <definedName name="__grp9003" localSheetId="11">#REF!</definedName>
    <definedName name="__grp9003" localSheetId="29">#REF!</definedName>
    <definedName name="__grp9003">#REF!</definedName>
    <definedName name="__gus1">#REF!</definedName>
    <definedName name="__hpm1">#REF!</definedName>
    <definedName name="__k1" localSheetId="8">#REF!</definedName>
    <definedName name="__k1" localSheetId="10">#REF!</definedName>
    <definedName name="__k1" localSheetId="29">#REF!</definedName>
    <definedName name="__k1">#REF!</definedName>
    <definedName name="__knr2" localSheetId="5">#REF!</definedName>
    <definedName name="__knr2" localSheetId="8">#REF!</definedName>
    <definedName name="__knr2" localSheetId="10">#REF!</definedName>
    <definedName name="__knr2" localSheetId="11">#REF!</definedName>
    <definedName name="__knr2" localSheetId="29">#REF!</definedName>
    <definedName name="__knr2">#REF!</definedName>
    <definedName name="__l1_21" localSheetId="29">#REF!</definedName>
    <definedName name="__l1_33">#REF!</definedName>
    <definedName name="__l1_34">#REF!</definedName>
    <definedName name="__l12" localSheetId="21">#REF!</definedName>
    <definedName name="__l12" localSheetId="5">#REF!</definedName>
    <definedName name="__l12" localSheetId="8">#REF!</definedName>
    <definedName name="__l12" localSheetId="10">#REF!</definedName>
    <definedName name="__l12" localSheetId="11">#REF!</definedName>
    <definedName name="__l12" localSheetId="29">#REF!</definedName>
    <definedName name="__l12" localSheetId="31">#REF!</definedName>
    <definedName name="__l12" localSheetId="35">#REF!</definedName>
    <definedName name="__l12" localSheetId="36">#REF!</definedName>
    <definedName name="__l12">#REF!</definedName>
    <definedName name="__l12_23">"$#REF!.$#REF!$#REF!"</definedName>
    <definedName name="__l12_33">"$#REF!.$#REF!$#REF!"</definedName>
    <definedName name="__l12_34">"$#REF!.$#REF!$#REF!"</definedName>
    <definedName name="__l12_38">"$#REF!.$#REF!$#REF!"</definedName>
    <definedName name="__l12_41">"$#REF!.$#REF!$#REF!"</definedName>
    <definedName name="__l12_43">"$#REF!.$#REF!$#REF!"</definedName>
    <definedName name="__l12_48">"$#REF!.$#REF!$#REF!"</definedName>
    <definedName name="__l12_57">"$#REF!.$#REF!$#REF!"</definedName>
    <definedName name="__l12_59">"$#REF!.$#REF!$#REF!"</definedName>
    <definedName name="__l12_60">"$#REF!.$#REF!$#REF!"</definedName>
    <definedName name="__l12_61">"$#REF!.$#REF!$#REF!"</definedName>
    <definedName name="__l12_62">"$#REF!.$#REF!$#REF!"</definedName>
    <definedName name="__l12_7">"$#REF!.$#REF!$#REF!"</definedName>
    <definedName name="__l12_72">"$#REF!.$#REF!$#REF!"</definedName>
    <definedName name="__l12_73">"$#REF!.$#REF!$#REF!"</definedName>
    <definedName name="__l12_8">"$#REF!.$#REF!$#REF!"</definedName>
    <definedName name="__l3" localSheetId="21">#REF!</definedName>
    <definedName name="__l3" localSheetId="5">#REF!</definedName>
    <definedName name="__l3" localSheetId="8">#REF!</definedName>
    <definedName name="__l3" localSheetId="10">#REF!</definedName>
    <definedName name="__l3" localSheetId="11">#REF!</definedName>
    <definedName name="__l3" localSheetId="29">#REF!</definedName>
    <definedName name="__l3" localSheetId="31">#REF!</definedName>
    <definedName name="__l3" localSheetId="35">#REF!</definedName>
    <definedName name="__l3" localSheetId="36">#REF!</definedName>
    <definedName name="__l3">#REF!</definedName>
    <definedName name="__l3_23">"$#REF!.$#REF!$#REF!"</definedName>
    <definedName name="__l3_33">"$#REF!.$#REF!$#REF!"</definedName>
    <definedName name="__l3_34">"$#REF!.$#REF!$#REF!"</definedName>
    <definedName name="__l3_38">"$#REF!.$#REF!$#REF!"</definedName>
    <definedName name="__l3_41">"$#REF!.$#REF!$#REF!"</definedName>
    <definedName name="__l3_43">"$#REF!.$#REF!$#REF!"</definedName>
    <definedName name="__l3_48">"$#REF!.$#REF!$#REF!"</definedName>
    <definedName name="__l3_57">"$#REF!.$#REF!$#REF!"</definedName>
    <definedName name="__l3_59">"$#REF!.$#REF!$#REF!"</definedName>
    <definedName name="__l3_60">"$#REF!.$#REF!$#REF!"</definedName>
    <definedName name="__l3_61">"$#REF!.$#REF!$#REF!"</definedName>
    <definedName name="__l3_62">"$#REF!.$#REF!$#REF!"</definedName>
    <definedName name="__l3_7">"$#REF!.$#REF!$#REF!"</definedName>
    <definedName name="__l3_72">"$#REF!.$#REF!$#REF!"</definedName>
    <definedName name="__l3_73">"$#REF!.$#REF!$#REF!"</definedName>
    <definedName name="__l3_8">"$#REF!.$#REF!$#REF!"</definedName>
    <definedName name="__l4_21" localSheetId="29">#REF!</definedName>
    <definedName name="__l4_33">#REF!</definedName>
    <definedName name="__l4_34">#REF!</definedName>
    <definedName name="__l5" localSheetId="21">#REF!</definedName>
    <definedName name="__l5" localSheetId="5">#REF!</definedName>
    <definedName name="__l5" localSheetId="8">#REF!</definedName>
    <definedName name="__l5" localSheetId="10">#REF!</definedName>
    <definedName name="__l5" localSheetId="11">#REF!</definedName>
    <definedName name="__l5" localSheetId="29">#REF!</definedName>
    <definedName name="__l5" localSheetId="31">#REF!</definedName>
    <definedName name="__l5" localSheetId="35">#REF!</definedName>
    <definedName name="__l5" localSheetId="36">#REF!</definedName>
    <definedName name="__l5">#REF!</definedName>
    <definedName name="__l5_23">"$#REF!.$#REF!$#REF!"</definedName>
    <definedName name="__l5_33">"$#REF!.$#REF!$#REF!"</definedName>
    <definedName name="__l5_34">"$#REF!.$#REF!$#REF!"</definedName>
    <definedName name="__l5_38">"$#REF!.$#REF!$#REF!"</definedName>
    <definedName name="__l5_41">"$#REF!.$#REF!$#REF!"</definedName>
    <definedName name="__l5_43">"$#REF!.$#REF!$#REF!"</definedName>
    <definedName name="__l5_48">"$#REF!.$#REF!$#REF!"</definedName>
    <definedName name="__l5_57">"$#REF!.$#REF!$#REF!"</definedName>
    <definedName name="__l5_59">"$#REF!.$#REF!$#REF!"</definedName>
    <definedName name="__l5_60">"$#REF!.$#REF!$#REF!"</definedName>
    <definedName name="__l5_61">"$#REF!.$#REF!$#REF!"</definedName>
    <definedName name="__l5_62">"$#REF!.$#REF!$#REF!"</definedName>
    <definedName name="__l5_7">"$#REF!.$#REF!$#REF!"</definedName>
    <definedName name="__l5_72">"$#REF!.$#REF!$#REF!"</definedName>
    <definedName name="__l5_73">"$#REF!.$#REF!$#REF!"</definedName>
    <definedName name="__l5_8">"$#REF!.$#REF!$#REF!"</definedName>
    <definedName name="__lcn1">#REF!</definedName>
    <definedName name="__LI9" localSheetId="8">#REF!</definedName>
    <definedName name="__LI9" localSheetId="10">#REF!</definedName>
    <definedName name="__LI9" localSheetId="29">#REF!</definedName>
    <definedName name="__LI9">#REF!</definedName>
    <definedName name="__LII9" localSheetId="8">#REF!</definedName>
    <definedName name="__LII9" localSheetId="10">#REF!</definedName>
    <definedName name="__LII9" localSheetId="29">#REF!</definedName>
    <definedName name="__LII9">#REF!</definedName>
    <definedName name="__lj600" localSheetId="29">#REF!</definedName>
    <definedName name="__lj900">#REF!</definedName>
    <definedName name="__LL3">#REF!</definedName>
    <definedName name="__lm1">#REF!</definedName>
    <definedName name="__MA1" localSheetId="29">#REF!</definedName>
    <definedName name="__ma2" localSheetId="8">#REF!</definedName>
    <definedName name="__ma2" localSheetId="10">#REF!</definedName>
    <definedName name="__ma2" localSheetId="11">#REF!</definedName>
    <definedName name="__ma2" localSheetId="29">#REF!</definedName>
    <definedName name="__ma2">#REF!</definedName>
    <definedName name="__Met22" localSheetId="29">#REF!</definedName>
    <definedName name="__Met45">#REF!</definedName>
    <definedName name="__MEt55">#REF!</definedName>
    <definedName name="__Met63">#REF!</definedName>
    <definedName name="__ML11" localSheetId="8">#REF!</definedName>
    <definedName name="__ML11" localSheetId="10">#REF!</definedName>
    <definedName name="__ML11" localSheetId="29">#REF!</definedName>
    <definedName name="__ML11">#REF!</definedName>
    <definedName name="__ML110" localSheetId="8">#REF!</definedName>
    <definedName name="__ML110" localSheetId="10">#REF!</definedName>
    <definedName name="__ML110" localSheetId="29">#REF!</definedName>
    <definedName name="__ML110">#REF!</definedName>
    <definedName name="__ML111" localSheetId="8">#REF!</definedName>
    <definedName name="__ML111" localSheetId="10">#REF!</definedName>
    <definedName name="__ML111" localSheetId="29">#REF!</definedName>
    <definedName name="__ML111">#REF!</definedName>
    <definedName name="__ML112" localSheetId="8">#REF!</definedName>
    <definedName name="__ML112" localSheetId="10">#REF!</definedName>
    <definedName name="__ML112" localSheetId="29">#REF!</definedName>
    <definedName name="__ML112">#REF!</definedName>
    <definedName name="__ML113" localSheetId="8">#REF!</definedName>
    <definedName name="__ML113" localSheetId="10">#REF!</definedName>
    <definedName name="__ML113" localSheetId="29">#REF!</definedName>
    <definedName name="__ML113">#REF!</definedName>
    <definedName name="__ML114" localSheetId="8">#REF!</definedName>
    <definedName name="__ML114" localSheetId="10">#REF!</definedName>
    <definedName name="__ML114" localSheetId="29">#REF!</definedName>
    <definedName name="__ML114">#REF!</definedName>
    <definedName name="__ML115" localSheetId="8">#REF!</definedName>
    <definedName name="__ML115" localSheetId="10">#REF!</definedName>
    <definedName name="__ML115" localSheetId="29">#REF!</definedName>
    <definedName name="__ML115">#REF!</definedName>
    <definedName name="__ML12" localSheetId="8">#REF!</definedName>
    <definedName name="__ML12" localSheetId="10">#REF!</definedName>
    <definedName name="__ML12" localSheetId="29">#REF!</definedName>
    <definedName name="__ML12">#REF!</definedName>
    <definedName name="__ML13" localSheetId="8">#REF!</definedName>
    <definedName name="__ML13" localSheetId="10">#REF!</definedName>
    <definedName name="__ML13" localSheetId="29">#REF!</definedName>
    <definedName name="__ML13">#REF!</definedName>
    <definedName name="__ML14" localSheetId="8">#REF!</definedName>
    <definedName name="__ML14" localSheetId="10">#REF!</definedName>
    <definedName name="__ML14" localSheetId="29">#REF!</definedName>
    <definedName name="__ML14">#REF!</definedName>
    <definedName name="__ML15" localSheetId="8">#REF!</definedName>
    <definedName name="__ML15" localSheetId="10">#REF!</definedName>
    <definedName name="__ML15" localSheetId="29">#REF!</definedName>
    <definedName name="__ML15">#REF!</definedName>
    <definedName name="__ML16" localSheetId="8">#REF!</definedName>
    <definedName name="__ML16" localSheetId="10">#REF!</definedName>
    <definedName name="__ML16" localSheetId="29">#REF!</definedName>
    <definedName name="__ML16">#REF!</definedName>
    <definedName name="__ML17" localSheetId="8">#REF!</definedName>
    <definedName name="__ML17" localSheetId="10">#REF!</definedName>
    <definedName name="__ML17" localSheetId="29">#REF!</definedName>
    <definedName name="__ML17">#REF!</definedName>
    <definedName name="__ML18" localSheetId="8">#REF!</definedName>
    <definedName name="__ML18" localSheetId="10">#REF!</definedName>
    <definedName name="__ML18" localSheetId="29">#REF!</definedName>
    <definedName name="__ML18">#REF!</definedName>
    <definedName name="__ML19" localSheetId="8">#REF!</definedName>
    <definedName name="__ML19" localSheetId="10">#REF!</definedName>
    <definedName name="__ML19" localSheetId="29">#REF!</definedName>
    <definedName name="__ML19">#REF!</definedName>
    <definedName name="__ML21" localSheetId="8">#REF!</definedName>
    <definedName name="__ML21" localSheetId="10">#REF!</definedName>
    <definedName name="__ML21" localSheetId="29">#REF!</definedName>
    <definedName name="__ML21">#REF!</definedName>
    <definedName name="__ML210" localSheetId="8">#REF!</definedName>
    <definedName name="__ML210" localSheetId="10">#REF!</definedName>
    <definedName name="__ML210" localSheetId="29">#REF!</definedName>
    <definedName name="__ML210">#REF!</definedName>
    <definedName name="__ML211" localSheetId="8">#REF!</definedName>
    <definedName name="__ML211" localSheetId="10">#REF!</definedName>
    <definedName name="__ML211" localSheetId="29">#REF!</definedName>
    <definedName name="__ML211">#REF!</definedName>
    <definedName name="__ML212" localSheetId="8">#REF!</definedName>
    <definedName name="__ML212" localSheetId="10">#REF!</definedName>
    <definedName name="__ML212" localSheetId="29">#REF!</definedName>
    <definedName name="__ML212">#REF!</definedName>
    <definedName name="__ML213" localSheetId="8">#REF!</definedName>
    <definedName name="__ML213" localSheetId="10">#REF!</definedName>
    <definedName name="__ML213" localSheetId="29">#REF!</definedName>
    <definedName name="__ML213">#REF!</definedName>
    <definedName name="__ML214" localSheetId="8">#REF!</definedName>
    <definedName name="__ML214" localSheetId="10">#REF!</definedName>
    <definedName name="__ML214" localSheetId="29">#REF!</definedName>
    <definedName name="__ML214">#REF!</definedName>
    <definedName name="__ML215" localSheetId="8">#REF!</definedName>
    <definedName name="__ML215" localSheetId="10">#REF!</definedName>
    <definedName name="__ML215" localSheetId="29">#REF!</definedName>
    <definedName name="__ML215">#REF!</definedName>
    <definedName name="__ML216">#REF!</definedName>
    <definedName name="__ML217">#REF!</definedName>
    <definedName name="__ML218">#REF!</definedName>
    <definedName name="__ML219">#REF!</definedName>
    <definedName name="__ML22" localSheetId="8">#REF!</definedName>
    <definedName name="__ML22" localSheetId="10">#REF!</definedName>
    <definedName name="__ML22" localSheetId="29">#REF!</definedName>
    <definedName name="__ML22">#REF!</definedName>
    <definedName name="__ML220">#REF!</definedName>
    <definedName name="__ML221">#REF!</definedName>
    <definedName name="__ML222">#REF!</definedName>
    <definedName name="__ML223">#REF!</definedName>
    <definedName name="__ML224">#REF!</definedName>
    <definedName name="__ML23" localSheetId="8">#REF!</definedName>
    <definedName name="__ML23" localSheetId="10">#REF!</definedName>
    <definedName name="__ML23" localSheetId="29">#REF!</definedName>
    <definedName name="__ML23">#REF!</definedName>
    <definedName name="__ML24" localSheetId="8">#REF!</definedName>
    <definedName name="__ML24" localSheetId="10">#REF!</definedName>
    <definedName name="__ML24" localSheetId="29">#REF!</definedName>
    <definedName name="__ML24">#REF!</definedName>
    <definedName name="__ML25" localSheetId="8">#REF!</definedName>
    <definedName name="__ML25" localSheetId="10">#REF!</definedName>
    <definedName name="__ML25" localSheetId="29">#REF!</definedName>
    <definedName name="__ML25">#REF!</definedName>
    <definedName name="__ML26" localSheetId="8">#REF!</definedName>
    <definedName name="__ML26" localSheetId="10">#REF!</definedName>
    <definedName name="__ML26" localSheetId="29">#REF!</definedName>
    <definedName name="__ML26">#REF!</definedName>
    <definedName name="__ML27" localSheetId="8">#REF!</definedName>
    <definedName name="__ML27" localSheetId="10">#REF!</definedName>
    <definedName name="__ML27" localSheetId="29">#REF!</definedName>
    <definedName name="__ML27">#REF!</definedName>
    <definedName name="__ML28" localSheetId="8">#REF!</definedName>
    <definedName name="__ML28" localSheetId="10">#REF!</definedName>
    <definedName name="__ML28" localSheetId="29">#REF!</definedName>
    <definedName name="__ML28">#REF!</definedName>
    <definedName name="__ML29" localSheetId="8">#REF!</definedName>
    <definedName name="__ML29" localSheetId="10">#REF!</definedName>
    <definedName name="__ML29" localSheetId="29">#REF!</definedName>
    <definedName name="__ML29">#REF!</definedName>
    <definedName name="__ML31" localSheetId="8">#REF!</definedName>
    <definedName name="__ML31" localSheetId="10">#REF!</definedName>
    <definedName name="__ML31" localSheetId="29">#REF!</definedName>
    <definedName name="__ML31">#REF!</definedName>
    <definedName name="__ML310" localSheetId="8">#REF!</definedName>
    <definedName name="__ML310" localSheetId="10">#REF!</definedName>
    <definedName name="__ML310" localSheetId="29">#REF!</definedName>
    <definedName name="__ML310">#REF!</definedName>
    <definedName name="__ML311" localSheetId="8">#REF!</definedName>
    <definedName name="__ML311" localSheetId="10">#REF!</definedName>
    <definedName name="__ML311" localSheetId="29">#REF!</definedName>
    <definedName name="__ML311">#REF!</definedName>
    <definedName name="__ML312" localSheetId="8">#REF!</definedName>
    <definedName name="__ML312" localSheetId="10">#REF!</definedName>
    <definedName name="__ML312" localSheetId="29">#REF!</definedName>
    <definedName name="__ML312">#REF!</definedName>
    <definedName name="__ML313" localSheetId="8">#REF!</definedName>
    <definedName name="__ML313" localSheetId="10">#REF!</definedName>
    <definedName name="__ML313" localSheetId="29">#REF!</definedName>
    <definedName name="__ML313">#REF!</definedName>
    <definedName name="__ML314" localSheetId="8">#REF!</definedName>
    <definedName name="__ML314" localSheetId="10">#REF!</definedName>
    <definedName name="__ML314" localSheetId="29">#REF!</definedName>
    <definedName name="__ML314">#REF!</definedName>
    <definedName name="__ML315" localSheetId="8">#REF!</definedName>
    <definedName name="__ML315" localSheetId="10">#REF!</definedName>
    <definedName name="__ML315" localSheetId="29">#REF!</definedName>
    <definedName name="__ML315">#REF!</definedName>
    <definedName name="__ML316">#REF!</definedName>
    <definedName name="__ML317">#REF!</definedName>
    <definedName name="__ML318">#REF!</definedName>
    <definedName name="__ML319">#REF!</definedName>
    <definedName name="__ML32" localSheetId="8">#REF!</definedName>
    <definedName name="__ML32" localSheetId="10">#REF!</definedName>
    <definedName name="__ML32" localSheetId="29">#REF!</definedName>
    <definedName name="__ML32">#REF!</definedName>
    <definedName name="__ML320">#REF!</definedName>
    <definedName name="__ML321">#REF!</definedName>
    <definedName name="__ML322">#REF!</definedName>
    <definedName name="__ML323">#REF!</definedName>
    <definedName name="__ML324">#REF!</definedName>
    <definedName name="__ML33" localSheetId="8">#REF!</definedName>
    <definedName name="__ML33" localSheetId="10">#REF!</definedName>
    <definedName name="__ML33" localSheetId="29">#REF!</definedName>
    <definedName name="__ML33">#REF!</definedName>
    <definedName name="__ML34" localSheetId="8">#REF!</definedName>
    <definedName name="__ML34" localSheetId="10">#REF!</definedName>
    <definedName name="__ML34" localSheetId="29">#REF!</definedName>
    <definedName name="__ML34">#REF!</definedName>
    <definedName name="__ML35" localSheetId="8">#REF!</definedName>
    <definedName name="__ML35" localSheetId="10">#REF!</definedName>
    <definedName name="__ML35" localSheetId="29">#REF!</definedName>
    <definedName name="__ML35">#REF!</definedName>
    <definedName name="__ML36" localSheetId="8">#REF!</definedName>
    <definedName name="__ML36" localSheetId="10">#REF!</definedName>
    <definedName name="__ML36" localSheetId="29">#REF!</definedName>
    <definedName name="__ML36">#REF!</definedName>
    <definedName name="__ML37" localSheetId="8">#REF!</definedName>
    <definedName name="__ML37" localSheetId="10">#REF!</definedName>
    <definedName name="__ML37" localSheetId="29">#REF!</definedName>
    <definedName name="__ML37">#REF!</definedName>
    <definedName name="__ML38" localSheetId="8">#REF!</definedName>
    <definedName name="__ML38" localSheetId="10">#REF!</definedName>
    <definedName name="__ML38" localSheetId="29">#REF!</definedName>
    <definedName name="__ML38">#REF!</definedName>
    <definedName name="__ML39" localSheetId="8">#REF!</definedName>
    <definedName name="__ML39" localSheetId="10">#REF!</definedName>
    <definedName name="__ML39" localSheetId="29">#REF!</definedName>
    <definedName name="__ML39">#REF!</definedName>
    <definedName name="__ML7" localSheetId="8">#REF!</definedName>
    <definedName name="__ML7" localSheetId="10">#REF!</definedName>
    <definedName name="__ML7" localSheetId="29">#REF!</definedName>
    <definedName name="__ML7">#REF!</definedName>
    <definedName name="__ML8" localSheetId="8">#REF!</definedName>
    <definedName name="__ML8" localSheetId="10">#REF!</definedName>
    <definedName name="__ML8" localSheetId="29">#REF!</definedName>
    <definedName name="__ML8">#REF!</definedName>
    <definedName name="__ML9" localSheetId="8">#REF!</definedName>
    <definedName name="__ML9" localSheetId="10">#REF!</definedName>
    <definedName name="__ML9" localSheetId="29">#REF!</definedName>
    <definedName name="__ML9">#REF!</definedName>
    <definedName name="__mm1_21" localSheetId="29">#REF!</definedName>
    <definedName name="__mm1_33">#REF!</definedName>
    <definedName name="__mm1_34">#REF!</definedName>
    <definedName name="__mm1000">#REF!</definedName>
    <definedName name="__mm20" localSheetId="5">#REF!</definedName>
    <definedName name="__mm20" localSheetId="8">#REF!</definedName>
    <definedName name="__mm20" localSheetId="10">#REF!</definedName>
    <definedName name="__mm20" localSheetId="11">#REF!</definedName>
    <definedName name="__mm20" localSheetId="29">#REF!</definedName>
    <definedName name="__mm20" localSheetId="31">#REF!</definedName>
    <definedName name="__mm20">#REF!</definedName>
    <definedName name="__mm40" localSheetId="5">#REF!</definedName>
    <definedName name="__mm40" localSheetId="8">#REF!</definedName>
    <definedName name="__mm40" localSheetId="10">#REF!</definedName>
    <definedName name="__mm40" localSheetId="11">#REF!</definedName>
    <definedName name="__mm40" localSheetId="29">#REF!</definedName>
    <definedName name="__mm40" localSheetId="31">#REF!</definedName>
    <definedName name="__mm40">#REF!</definedName>
    <definedName name="__mm600">#REF!</definedName>
    <definedName name="__mm800">#REF!</definedName>
    <definedName name="__MT1" localSheetId="8">#REF!</definedName>
    <definedName name="__MT1" localSheetId="10">#REF!</definedName>
    <definedName name="__MT1" localSheetId="29">#REF!</definedName>
    <definedName name="__MT1">#REF!</definedName>
    <definedName name="__MT10" localSheetId="8">#REF!</definedName>
    <definedName name="__MT10" localSheetId="10">#REF!</definedName>
    <definedName name="__MT10" localSheetId="29">#REF!</definedName>
    <definedName name="__MT10">#REF!</definedName>
    <definedName name="__MT100" localSheetId="8">#REF!</definedName>
    <definedName name="__MT100" localSheetId="10">#REF!</definedName>
    <definedName name="__MT100" localSheetId="29">#REF!</definedName>
    <definedName name="__MT100">#REF!</definedName>
    <definedName name="__MT101" localSheetId="8">#REF!</definedName>
    <definedName name="__MT101" localSheetId="10">#REF!</definedName>
    <definedName name="__MT101" localSheetId="29">#REF!</definedName>
    <definedName name="__MT101">#REF!</definedName>
    <definedName name="__MT102" localSheetId="8">#REF!</definedName>
    <definedName name="__MT102" localSheetId="10">#REF!</definedName>
    <definedName name="__MT102" localSheetId="29">#REF!</definedName>
    <definedName name="__MT102">#REF!</definedName>
    <definedName name="__MT103" localSheetId="8">#REF!</definedName>
    <definedName name="__MT103" localSheetId="10">#REF!</definedName>
    <definedName name="__MT103" localSheetId="29">#REF!</definedName>
    <definedName name="__MT103">#REF!</definedName>
    <definedName name="__MT104" localSheetId="8">#REF!</definedName>
    <definedName name="__MT104" localSheetId="10">#REF!</definedName>
    <definedName name="__MT104" localSheetId="29">#REF!</definedName>
    <definedName name="__MT104">#REF!</definedName>
    <definedName name="__MT105" localSheetId="8">#REF!</definedName>
    <definedName name="__MT105" localSheetId="10">#REF!</definedName>
    <definedName name="__MT105" localSheetId="29">#REF!</definedName>
    <definedName name="__MT105">#REF!</definedName>
    <definedName name="__MT106" localSheetId="8">#REF!</definedName>
    <definedName name="__MT106" localSheetId="10">#REF!</definedName>
    <definedName name="__MT106" localSheetId="29">#REF!</definedName>
    <definedName name="__MT106">#REF!</definedName>
    <definedName name="__MT107" localSheetId="8">#REF!</definedName>
    <definedName name="__MT107" localSheetId="10">#REF!</definedName>
    <definedName name="__MT107" localSheetId="29">#REF!</definedName>
    <definedName name="__MT107">#REF!</definedName>
    <definedName name="__MT108" localSheetId="8">#REF!</definedName>
    <definedName name="__MT108" localSheetId="10">#REF!</definedName>
    <definedName name="__MT108" localSheetId="29">#REF!</definedName>
    <definedName name="__MT108">#REF!</definedName>
    <definedName name="__MT109" localSheetId="8">#REF!</definedName>
    <definedName name="__MT109" localSheetId="10">#REF!</definedName>
    <definedName name="__MT109" localSheetId="29">#REF!</definedName>
    <definedName name="__MT109">#REF!</definedName>
    <definedName name="__MT11" localSheetId="8">#REF!</definedName>
    <definedName name="__MT11" localSheetId="10">#REF!</definedName>
    <definedName name="__MT11" localSheetId="29">#REF!</definedName>
    <definedName name="__MT11">#REF!</definedName>
    <definedName name="__MT110" localSheetId="8">#REF!</definedName>
    <definedName name="__MT110" localSheetId="10">#REF!</definedName>
    <definedName name="__MT110" localSheetId="29">#REF!</definedName>
    <definedName name="__MT110">#REF!</definedName>
    <definedName name="__MT111" localSheetId="8">#REF!</definedName>
    <definedName name="__MT111" localSheetId="10">#REF!</definedName>
    <definedName name="__MT111" localSheetId="29">#REF!</definedName>
    <definedName name="__MT111">#REF!</definedName>
    <definedName name="__MT112" localSheetId="8">#REF!</definedName>
    <definedName name="__MT112" localSheetId="10">#REF!</definedName>
    <definedName name="__MT112" localSheetId="29">#REF!</definedName>
    <definedName name="__MT112">#REF!</definedName>
    <definedName name="__MT113" localSheetId="8">#REF!</definedName>
    <definedName name="__MT113" localSheetId="10">#REF!</definedName>
    <definedName name="__MT113" localSheetId="29">#REF!</definedName>
    <definedName name="__MT113">#REF!</definedName>
    <definedName name="__MT114" localSheetId="8">#REF!</definedName>
    <definedName name="__MT114" localSheetId="10">#REF!</definedName>
    <definedName name="__MT114" localSheetId="29">#REF!</definedName>
    <definedName name="__MT114">#REF!</definedName>
    <definedName name="__MT115" localSheetId="8">#REF!</definedName>
    <definedName name="__MT115" localSheetId="10">#REF!</definedName>
    <definedName name="__MT115" localSheetId="29">#REF!</definedName>
    <definedName name="__MT115">#REF!</definedName>
    <definedName name="__MT116" localSheetId="8">#REF!</definedName>
    <definedName name="__MT116" localSheetId="10">#REF!</definedName>
    <definedName name="__MT116" localSheetId="29">#REF!</definedName>
    <definedName name="__MT116">#REF!</definedName>
    <definedName name="__MT117" localSheetId="8">#REF!</definedName>
    <definedName name="__MT117" localSheetId="10">#REF!</definedName>
    <definedName name="__MT117" localSheetId="29">#REF!</definedName>
    <definedName name="__MT117">#REF!</definedName>
    <definedName name="__MT118" localSheetId="8">#REF!</definedName>
    <definedName name="__MT118" localSheetId="10">#REF!</definedName>
    <definedName name="__MT118" localSheetId="29">#REF!</definedName>
    <definedName name="__MT118">#REF!</definedName>
    <definedName name="__MT119" localSheetId="8">#REF!</definedName>
    <definedName name="__MT119" localSheetId="10">#REF!</definedName>
    <definedName name="__MT119" localSheetId="29">#REF!</definedName>
    <definedName name="__MT119">#REF!</definedName>
    <definedName name="__MT12" localSheetId="8">#REF!</definedName>
    <definedName name="__MT12" localSheetId="10">#REF!</definedName>
    <definedName name="__MT12" localSheetId="29">#REF!</definedName>
    <definedName name="__MT12">#REF!</definedName>
    <definedName name="__MT120" localSheetId="8">#REF!</definedName>
    <definedName name="__MT120" localSheetId="10">#REF!</definedName>
    <definedName name="__MT120" localSheetId="29">#REF!</definedName>
    <definedName name="__MT120">#REF!</definedName>
    <definedName name="__MT121" localSheetId="8">#REF!</definedName>
    <definedName name="__MT121" localSheetId="10">#REF!</definedName>
    <definedName name="__MT121" localSheetId="29">#REF!</definedName>
    <definedName name="__MT121">#REF!</definedName>
    <definedName name="__MT122" localSheetId="8">#REF!</definedName>
    <definedName name="__MT122" localSheetId="10">#REF!</definedName>
    <definedName name="__MT122" localSheetId="29">#REF!</definedName>
    <definedName name="__MT122">#REF!</definedName>
    <definedName name="__MT123" localSheetId="8">#REF!</definedName>
    <definedName name="__MT123" localSheetId="10">#REF!</definedName>
    <definedName name="__MT123" localSheetId="29">#REF!</definedName>
    <definedName name="__MT123">#REF!</definedName>
    <definedName name="__MT124" localSheetId="8">#REF!</definedName>
    <definedName name="__MT124" localSheetId="10">#REF!</definedName>
    <definedName name="__MT124" localSheetId="29">#REF!</definedName>
    <definedName name="__MT124">#REF!</definedName>
    <definedName name="__MT125" localSheetId="8">#REF!</definedName>
    <definedName name="__MT125" localSheetId="10">#REF!</definedName>
    <definedName name="__MT125" localSheetId="29">#REF!</definedName>
    <definedName name="__MT125">#REF!</definedName>
    <definedName name="__MT126" localSheetId="8">#REF!</definedName>
    <definedName name="__MT126" localSheetId="10">#REF!</definedName>
    <definedName name="__MT126" localSheetId="29">#REF!</definedName>
    <definedName name="__MT126">#REF!</definedName>
    <definedName name="__MT127" localSheetId="8">#REF!</definedName>
    <definedName name="__MT127" localSheetId="10">#REF!</definedName>
    <definedName name="__MT127" localSheetId="29">#REF!</definedName>
    <definedName name="__MT127">#REF!</definedName>
    <definedName name="__MT128" localSheetId="8">#REF!</definedName>
    <definedName name="__MT128" localSheetId="10">#REF!</definedName>
    <definedName name="__MT128" localSheetId="29">#REF!</definedName>
    <definedName name="__MT128">#REF!</definedName>
    <definedName name="__MT129" localSheetId="8">#REF!</definedName>
    <definedName name="__MT129" localSheetId="10">#REF!</definedName>
    <definedName name="__MT129" localSheetId="29">#REF!</definedName>
    <definedName name="__MT129">#REF!</definedName>
    <definedName name="__MT13" localSheetId="8">#REF!</definedName>
    <definedName name="__MT13" localSheetId="10">#REF!</definedName>
    <definedName name="__MT13" localSheetId="29">#REF!</definedName>
    <definedName name="__MT13">#REF!</definedName>
    <definedName name="__MT130" localSheetId="8">#REF!</definedName>
    <definedName name="__MT130" localSheetId="10">#REF!</definedName>
    <definedName name="__MT130" localSheetId="29">#REF!</definedName>
    <definedName name="__MT130">#REF!</definedName>
    <definedName name="__MT131" localSheetId="8">#REF!</definedName>
    <definedName name="__MT131" localSheetId="10">#REF!</definedName>
    <definedName name="__MT131" localSheetId="29">#REF!</definedName>
    <definedName name="__MT131">#REF!</definedName>
    <definedName name="__MT132" localSheetId="8">#REF!</definedName>
    <definedName name="__MT132" localSheetId="10">#REF!</definedName>
    <definedName name="__MT132" localSheetId="29">#REF!</definedName>
    <definedName name="__MT132">#REF!</definedName>
    <definedName name="__MT133" localSheetId="8">#REF!</definedName>
    <definedName name="__MT133" localSheetId="10">#REF!</definedName>
    <definedName name="__MT133" localSheetId="29">#REF!</definedName>
    <definedName name="__MT133">#REF!</definedName>
    <definedName name="__MT134" localSheetId="8">#REF!</definedName>
    <definedName name="__MT134" localSheetId="10">#REF!</definedName>
    <definedName name="__MT134" localSheetId="29">#REF!</definedName>
    <definedName name="__MT134">#REF!</definedName>
    <definedName name="__MT135" localSheetId="8">#REF!</definedName>
    <definedName name="__MT135" localSheetId="10">#REF!</definedName>
    <definedName name="__MT135" localSheetId="29">#REF!</definedName>
    <definedName name="__MT135">#REF!</definedName>
    <definedName name="__MT136" localSheetId="8">#REF!</definedName>
    <definedName name="__MT136" localSheetId="10">#REF!</definedName>
    <definedName name="__MT136" localSheetId="29">#REF!</definedName>
    <definedName name="__MT136">#REF!</definedName>
    <definedName name="__MT137" localSheetId="8">#REF!</definedName>
    <definedName name="__MT137" localSheetId="10">#REF!</definedName>
    <definedName name="__MT137" localSheetId="29">#REF!</definedName>
    <definedName name="__MT137">#REF!</definedName>
    <definedName name="__MT138" localSheetId="8">#REF!</definedName>
    <definedName name="__MT138" localSheetId="10">#REF!</definedName>
    <definedName name="__MT138" localSheetId="29">#REF!</definedName>
    <definedName name="__MT138">#REF!</definedName>
    <definedName name="__MT139" localSheetId="8">#REF!</definedName>
    <definedName name="__MT139" localSheetId="10">#REF!</definedName>
    <definedName name="__MT139" localSheetId="29">#REF!</definedName>
    <definedName name="__MT139">#REF!</definedName>
    <definedName name="__MT14" localSheetId="8">#REF!</definedName>
    <definedName name="__MT14" localSheetId="10">#REF!</definedName>
    <definedName name="__MT14" localSheetId="29">#REF!</definedName>
    <definedName name="__MT14">#REF!</definedName>
    <definedName name="__MT140" localSheetId="8">#REF!</definedName>
    <definedName name="__MT140" localSheetId="10">#REF!</definedName>
    <definedName name="__MT140" localSheetId="29">#REF!</definedName>
    <definedName name="__MT140">#REF!</definedName>
    <definedName name="__MT141" localSheetId="8">#REF!</definedName>
    <definedName name="__MT141" localSheetId="10">#REF!</definedName>
    <definedName name="__MT141" localSheetId="29">#REF!</definedName>
    <definedName name="__MT141">#REF!</definedName>
    <definedName name="__MT142" localSheetId="8">#REF!</definedName>
    <definedName name="__MT142" localSheetId="10">#REF!</definedName>
    <definedName name="__MT142" localSheetId="29">#REF!</definedName>
    <definedName name="__MT142">#REF!</definedName>
    <definedName name="__MT143" localSheetId="8">#REF!</definedName>
    <definedName name="__MT143" localSheetId="10">#REF!</definedName>
    <definedName name="__MT143" localSheetId="29">#REF!</definedName>
    <definedName name="__MT143">#REF!</definedName>
    <definedName name="__MT144" localSheetId="8">#REF!</definedName>
    <definedName name="__MT144" localSheetId="10">#REF!</definedName>
    <definedName name="__MT144" localSheetId="29">#REF!</definedName>
    <definedName name="__MT144">#REF!</definedName>
    <definedName name="__MT145" localSheetId="8">#REF!</definedName>
    <definedName name="__MT145" localSheetId="10">#REF!</definedName>
    <definedName name="__MT145" localSheetId="29">#REF!</definedName>
    <definedName name="__MT145">#REF!</definedName>
    <definedName name="__MT146" localSheetId="8">#REF!</definedName>
    <definedName name="__MT146" localSheetId="10">#REF!</definedName>
    <definedName name="__MT146" localSheetId="29">#REF!</definedName>
    <definedName name="__MT146">#REF!</definedName>
    <definedName name="__MT147" localSheetId="8">#REF!</definedName>
    <definedName name="__MT147" localSheetId="10">#REF!</definedName>
    <definedName name="__MT147" localSheetId="29">#REF!</definedName>
    <definedName name="__MT147">#REF!</definedName>
    <definedName name="__MT148" localSheetId="8">#REF!</definedName>
    <definedName name="__MT148" localSheetId="10">#REF!</definedName>
    <definedName name="__MT148" localSheetId="29">#REF!</definedName>
    <definedName name="__MT148">#REF!</definedName>
    <definedName name="__MT149" localSheetId="8">#REF!</definedName>
    <definedName name="__MT149" localSheetId="10">#REF!</definedName>
    <definedName name="__MT149" localSheetId="29">#REF!</definedName>
    <definedName name="__MT149">#REF!</definedName>
    <definedName name="__MT15" localSheetId="8">#REF!</definedName>
    <definedName name="__MT15" localSheetId="10">#REF!</definedName>
    <definedName name="__MT15" localSheetId="29">#REF!</definedName>
    <definedName name="__MT15">#REF!</definedName>
    <definedName name="__MT150" localSheetId="8">#REF!</definedName>
    <definedName name="__MT150" localSheetId="10">#REF!</definedName>
    <definedName name="__MT150" localSheetId="29">#REF!</definedName>
    <definedName name="__MT150">#REF!</definedName>
    <definedName name="__MT16" localSheetId="8">#REF!</definedName>
    <definedName name="__MT16" localSheetId="10">#REF!</definedName>
    <definedName name="__MT16" localSheetId="29">#REF!</definedName>
    <definedName name="__MT16">#REF!</definedName>
    <definedName name="__MT17" localSheetId="8">#REF!</definedName>
    <definedName name="__MT17" localSheetId="10">#REF!</definedName>
    <definedName name="__MT17" localSheetId="29">#REF!</definedName>
    <definedName name="__MT17">#REF!</definedName>
    <definedName name="__MT18" localSheetId="8">#REF!</definedName>
    <definedName name="__MT18" localSheetId="10">#REF!</definedName>
    <definedName name="__MT18" localSheetId="29">#REF!</definedName>
    <definedName name="__MT18">#REF!</definedName>
    <definedName name="__MT19" localSheetId="8">#REF!</definedName>
    <definedName name="__MT19" localSheetId="10">#REF!</definedName>
    <definedName name="__MT19" localSheetId="29">#REF!</definedName>
    <definedName name="__MT19">#REF!</definedName>
    <definedName name="__MT2" localSheetId="8">#REF!</definedName>
    <definedName name="__MT2" localSheetId="10">#REF!</definedName>
    <definedName name="__MT2" localSheetId="29">#REF!</definedName>
    <definedName name="__MT2">#REF!</definedName>
    <definedName name="__MT20" localSheetId="8">#REF!</definedName>
    <definedName name="__MT20" localSheetId="10">#REF!</definedName>
    <definedName name="__MT20" localSheetId="29">#REF!</definedName>
    <definedName name="__MT20">#REF!</definedName>
    <definedName name="__MT21" localSheetId="8">#REF!</definedName>
    <definedName name="__MT21" localSheetId="10">#REF!</definedName>
    <definedName name="__MT21" localSheetId="29">#REF!</definedName>
    <definedName name="__MT21">#REF!</definedName>
    <definedName name="__MT22" localSheetId="8">#REF!</definedName>
    <definedName name="__MT22" localSheetId="10">#REF!</definedName>
    <definedName name="__MT22" localSheetId="29">#REF!</definedName>
    <definedName name="__MT22">#REF!</definedName>
    <definedName name="__MT23" localSheetId="8">#REF!</definedName>
    <definedName name="__MT23" localSheetId="10">#REF!</definedName>
    <definedName name="__MT23" localSheetId="29">#REF!</definedName>
    <definedName name="__MT23">#REF!</definedName>
    <definedName name="__MT24" localSheetId="8">#REF!</definedName>
    <definedName name="__MT24" localSheetId="10">#REF!</definedName>
    <definedName name="__MT24" localSheetId="29">#REF!</definedName>
    <definedName name="__MT24">#REF!</definedName>
    <definedName name="__MT25" localSheetId="8">#REF!</definedName>
    <definedName name="__MT25" localSheetId="10">#REF!</definedName>
    <definedName name="__MT25" localSheetId="29">#REF!</definedName>
    <definedName name="__MT25">#REF!</definedName>
    <definedName name="__MT26" localSheetId="8">#REF!</definedName>
    <definedName name="__MT26" localSheetId="10">#REF!</definedName>
    <definedName name="__MT26" localSheetId="29">#REF!</definedName>
    <definedName name="__MT26">#REF!</definedName>
    <definedName name="__MT27" localSheetId="8">#REF!</definedName>
    <definedName name="__MT27" localSheetId="10">#REF!</definedName>
    <definedName name="__MT27" localSheetId="29">#REF!</definedName>
    <definedName name="__MT27">#REF!</definedName>
    <definedName name="__MT28" localSheetId="8">#REF!</definedName>
    <definedName name="__MT28" localSheetId="10">#REF!</definedName>
    <definedName name="__MT28" localSheetId="29">#REF!</definedName>
    <definedName name="__MT28">#REF!</definedName>
    <definedName name="__MT29" localSheetId="8">#REF!</definedName>
    <definedName name="__MT29" localSheetId="10">#REF!</definedName>
    <definedName name="__MT29" localSheetId="29">#REF!</definedName>
    <definedName name="__MT29">#REF!</definedName>
    <definedName name="__MT3" localSheetId="8">#REF!</definedName>
    <definedName name="__MT3" localSheetId="10">#REF!</definedName>
    <definedName name="__MT3" localSheetId="29">#REF!</definedName>
    <definedName name="__MT3">#REF!</definedName>
    <definedName name="__MT30" localSheetId="8">#REF!</definedName>
    <definedName name="__MT30" localSheetId="10">#REF!</definedName>
    <definedName name="__MT30" localSheetId="29">#REF!</definedName>
    <definedName name="__MT30">#REF!</definedName>
    <definedName name="__MT31" localSheetId="8">#REF!</definedName>
    <definedName name="__MT31" localSheetId="10">#REF!</definedName>
    <definedName name="__MT31" localSheetId="29">#REF!</definedName>
    <definedName name="__MT31">#REF!</definedName>
    <definedName name="__MT32" localSheetId="8">#REF!</definedName>
    <definedName name="__MT32" localSheetId="10">#REF!</definedName>
    <definedName name="__MT32" localSheetId="29">#REF!</definedName>
    <definedName name="__MT32">#REF!</definedName>
    <definedName name="__MT33" localSheetId="8">#REF!</definedName>
    <definedName name="__MT33" localSheetId="10">#REF!</definedName>
    <definedName name="__MT33" localSheetId="29">#REF!</definedName>
    <definedName name="__MT33">#REF!</definedName>
    <definedName name="__MT34" localSheetId="8">#REF!</definedName>
    <definedName name="__MT34" localSheetId="10">#REF!</definedName>
    <definedName name="__MT34" localSheetId="29">#REF!</definedName>
    <definedName name="__MT34">#REF!</definedName>
    <definedName name="__MT35" localSheetId="8">#REF!</definedName>
    <definedName name="__MT35" localSheetId="10">#REF!</definedName>
    <definedName name="__MT35" localSheetId="29">#REF!</definedName>
    <definedName name="__MT35">#REF!</definedName>
    <definedName name="__MT36" localSheetId="8">#REF!</definedName>
    <definedName name="__MT36" localSheetId="10">#REF!</definedName>
    <definedName name="__MT36" localSheetId="29">#REF!</definedName>
    <definedName name="__MT36">#REF!</definedName>
    <definedName name="__MT37" localSheetId="8">#REF!</definedName>
    <definedName name="__MT37" localSheetId="10">#REF!</definedName>
    <definedName name="__MT37" localSheetId="29">#REF!</definedName>
    <definedName name="__MT37">#REF!</definedName>
    <definedName name="__MT38" localSheetId="8">#REF!</definedName>
    <definedName name="__MT38" localSheetId="10">#REF!</definedName>
    <definedName name="__MT38" localSheetId="29">#REF!</definedName>
    <definedName name="__MT38">#REF!</definedName>
    <definedName name="__MT39" localSheetId="8">#REF!</definedName>
    <definedName name="__MT39" localSheetId="10">#REF!</definedName>
    <definedName name="__MT39" localSheetId="29">#REF!</definedName>
    <definedName name="__MT39">#REF!</definedName>
    <definedName name="__MT4" localSheetId="8">#REF!</definedName>
    <definedName name="__MT4" localSheetId="10">#REF!</definedName>
    <definedName name="__MT4" localSheetId="29">#REF!</definedName>
    <definedName name="__MT4">#REF!</definedName>
    <definedName name="__MT40" localSheetId="8">#REF!</definedName>
    <definedName name="__MT40" localSheetId="10">#REF!</definedName>
    <definedName name="__MT40" localSheetId="29">#REF!</definedName>
    <definedName name="__MT40">#REF!</definedName>
    <definedName name="__MT41" localSheetId="8">#REF!</definedName>
    <definedName name="__MT41" localSheetId="10">#REF!</definedName>
    <definedName name="__MT41" localSheetId="29">#REF!</definedName>
    <definedName name="__MT41">#REF!</definedName>
    <definedName name="__MT42" localSheetId="8">#REF!</definedName>
    <definedName name="__MT42" localSheetId="10">#REF!</definedName>
    <definedName name="__MT42" localSheetId="29">#REF!</definedName>
    <definedName name="__MT42">#REF!</definedName>
    <definedName name="__MT43" localSheetId="8">#REF!</definedName>
    <definedName name="__MT43" localSheetId="10">#REF!</definedName>
    <definedName name="__MT43" localSheetId="29">#REF!</definedName>
    <definedName name="__MT43">#REF!</definedName>
    <definedName name="__MT44" localSheetId="8">#REF!</definedName>
    <definedName name="__MT44" localSheetId="10">#REF!</definedName>
    <definedName name="__MT44" localSheetId="29">#REF!</definedName>
    <definedName name="__MT44">#REF!</definedName>
    <definedName name="__MT45" localSheetId="8">#REF!</definedName>
    <definedName name="__MT45" localSheetId="10">#REF!</definedName>
    <definedName name="__MT45" localSheetId="29">#REF!</definedName>
    <definedName name="__MT45">#REF!</definedName>
    <definedName name="__MT46" localSheetId="8">#REF!</definedName>
    <definedName name="__MT46" localSheetId="10">#REF!</definedName>
    <definedName name="__MT46" localSheetId="29">#REF!</definedName>
    <definedName name="__MT46">#REF!</definedName>
    <definedName name="__MT47" localSheetId="8">#REF!</definedName>
    <definedName name="__MT47" localSheetId="10">#REF!</definedName>
    <definedName name="__MT47" localSheetId="29">#REF!</definedName>
    <definedName name="__MT47">#REF!</definedName>
    <definedName name="__MT48" localSheetId="8">#REF!</definedName>
    <definedName name="__MT48" localSheetId="10">#REF!</definedName>
    <definedName name="__MT48" localSheetId="29">#REF!</definedName>
    <definedName name="__MT48">#REF!</definedName>
    <definedName name="__MT49" localSheetId="8">#REF!</definedName>
    <definedName name="__MT49" localSheetId="10">#REF!</definedName>
    <definedName name="__MT49" localSheetId="29">#REF!</definedName>
    <definedName name="__MT49">#REF!</definedName>
    <definedName name="__MT5" localSheetId="8">#REF!</definedName>
    <definedName name="__MT5" localSheetId="10">#REF!</definedName>
    <definedName name="__MT5" localSheetId="29">#REF!</definedName>
    <definedName name="__MT5">#REF!</definedName>
    <definedName name="__MT50" localSheetId="8">#REF!</definedName>
    <definedName name="__MT50" localSheetId="10">#REF!</definedName>
    <definedName name="__MT50" localSheetId="29">#REF!</definedName>
    <definedName name="__MT50">#REF!</definedName>
    <definedName name="__MT500" localSheetId="8">#REF!</definedName>
    <definedName name="__MT500" localSheetId="10">#REF!</definedName>
    <definedName name="__MT500" localSheetId="29">#REF!</definedName>
    <definedName name="__MT500">#REF!</definedName>
    <definedName name="__MT51" localSheetId="8">#REF!</definedName>
    <definedName name="__MT51" localSheetId="10">#REF!</definedName>
    <definedName name="__MT51" localSheetId="29">#REF!</definedName>
    <definedName name="__MT51">#REF!</definedName>
    <definedName name="__MT52" localSheetId="8">#REF!</definedName>
    <definedName name="__MT52" localSheetId="10">#REF!</definedName>
    <definedName name="__MT52" localSheetId="29">#REF!</definedName>
    <definedName name="__MT52">#REF!</definedName>
    <definedName name="__MT53" localSheetId="8">#REF!</definedName>
    <definedName name="__MT53" localSheetId="10">#REF!</definedName>
    <definedName name="__MT53" localSheetId="29">#REF!</definedName>
    <definedName name="__MT53">#REF!</definedName>
    <definedName name="__MT54" localSheetId="8">#REF!</definedName>
    <definedName name="__MT54" localSheetId="10">#REF!</definedName>
    <definedName name="__MT54" localSheetId="29">#REF!</definedName>
    <definedName name="__MT54">#REF!</definedName>
    <definedName name="__MT55" localSheetId="8">#REF!</definedName>
    <definedName name="__MT55" localSheetId="10">#REF!</definedName>
    <definedName name="__MT55" localSheetId="29">#REF!</definedName>
    <definedName name="__MT55">#REF!</definedName>
    <definedName name="__MT56" localSheetId="8">#REF!</definedName>
    <definedName name="__MT56" localSheetId="10">#REF!</definedName>
    <definedName name="__MT56" localSheetId="29">#REF!</definedName>
    <definedName name="__MT56">#REF!</definedName>
    <definedName name="__MT57" localSheetId="8">#REF!</definedName>
    <definedName name="__MT57" localSheetId="10">#REF!</definedName>
    <definedName name="__MT57" localSheetId="29">#REF!</definedName>
    <definedName name="__MT57">#REF!</definedName>
    <definedName name="__MT58" localSheetId="8">#REF!</definedName>
    <definedName name="__MT58" localSheetId="10">#REF!</definedName>
    <definedName name="__MT58" localSheetId="29">#REF!</definedName>
    <definedName name="__MT58">#REF!</definedName>
    <definedName name="__MT59" localSheetId="8">#REF!</definedName>
    <definedName name="__MT59" localSheetId="10">#REF!</definedName>
    <definedName name="__MT59" localSheetId="29">#REF!</definedName>
    <definedName name="__MT59">#REF!</definedName>
    <definedName name="__MT6" localSheetId="8">#REF!</definedName>
    <definedName name="__MT6" localSheetId="10">#REF!</definedName>
    <definedName name="__MT6" localSheetId="29">#REF!</definedName>
    <definedName name="__MT6">#REF!</definedName>
    <definedName name="__MT60" localSheetId="8">#REF!</definedName>
    <definedName name="__MT60" localSheetId="10">#REF!</definedName>
    <definedName name="__MT60" localSheetId="29">#REF!</definedName>
    <definedName name="__MT60">#REF!</definedName>
    <definedName name="__MT61" localSheetId="8">#REF!</definedName>
    <definedName name="__MT61" localSheetId="10">#REF!</definedName>
    <definedName name="__MT61" localSheetId="29">#REF!</definedName>
    <definedName name="__MT61">#REF!</definedName>
    <definedName name="__MT62" localSheetId="8">#REF!</definedName>
    <definedName name="__MT62" localSheetId="10">#REF!</definedName>
    <definedName name="__MT62" localSheetId="29">#REF!</definedName>
    <definedName name="__MT62">#REF!</definedName>
    <definedName name="__MT63" localSheetId="8">#REF!</definedName>
    <definedName name="__MT63" localSheetId="10">#REF!</definedName>
    <definedName name="__MT63" localSheetId="29">#REF!</definedName>
    <definedName name="__MT63">#REF!</definedName>
    <definedName name="__MT64" localSheetId="8">#REF!</definedName>
    <definedName name="__MT64" localSheetId="10">#REF!</definedName>
    <definedName name="__MT64" localSheetId="29">#REF!</definedName>
    <definedName name="__MT64">#REF!</definedName>
    <definedName name="__MT65" localSheetId="8">#REF!</definedName>
    <definedName name="__MT65" localSheetId="10">#REF!</definedName>
    <definedName name="__MT65" localSheetId="29">#REF!</definedName>
    <definedName name="__MT65">#REF!</definedName>
    <definedName name="__MT66" localSheetId="8">#REF!</definedName>
    <definedName name="__MT66" localSheetId="10">#REF!</definedName>
    <definedName name="__MT66" localSheetId="29">#REF!</definedName>
    <definedName name="__MT66">#REF!</definedName>
    <definedName name="__MT67" localSheetId="8">#REF!</definedName>
    <definedName name="__MT67" localSheetId="10">#REF!</definedName>
    <definedName name="__MT67" localSheetId="29">#REF!</definedName>
    <definedName name="__MT67">#REF!</definedName>
    <definedName name="__MT68" localSheetId="8">#REF!</definedName>
    <definedName name="__MT68" localSheetId="10">#REF!</definedName>
    <definedName name="__MT68" localSheetId="29">#REF!</definedName>
    <definedName name="__MT68">#REF!</definedName>
    <definedName name="__MT69" localSheetId="8">#REF!</definedName>
    <definedName name="__MT69" localSheetId="10">#REF!</definedName>
    <definedName name="__MT69" localSheetId="29">#REF!</definedName>
    <definedName name="__MT69">#REF!</definedName>
    <definedName name="__MT7" localSheetId="8">#REF!</definedName>
    <definedName name="__MT7" localSheetId="10">#REF!</definedName>
    <definedName name="__MT7" localSheetId="29">#REF!</definedName>
    <definedName name="__MT7">#REF!</definedName>
    <definedName name="__MT70" localSheetId="8">#REF!</definedName>
    <definedName name="__MT70" localSheetId="10">#REF!</definedName>
    <definedName name="__MT70" localSheetId="29">#REF!</definedName>
    <definedName name="__MT70">#REF!</definedName>
    <definedName name="__MT71" localSheetId="8">#REF!</definedName>
    <definedName name="__MT71" localSheetId="10">#REF!</definedName>
    <definedName name="__MT71" localSheetId="29">#REF!</definedName>
    <definedName name="__MT71">#REF!</definedName>
    <definedName name="__MT72" localSheetId="8">#REF!</definedName>
    <definedName name="__MT72" localSheetId="10">#REF!</definedName>
    <definedName name="__MT72" localSheetId="29">#REF!</definedName>
    <definedName name="__MT72">#REF!</definedName>
    <definedName name="__MT73" localSheetId="8">#REF!</definedName>
    <definedName name="__MT73" localSheetId="10">#REF!</definedName>
    <definedName name="__MT73" localSheetId="29">#REF!</definedName>
    <definedName name="__MT73">#REF!</definedName>
    <definedName name="__MT74" localSheetId="8">#REF!</definedName>
    <definedName name="__MT74" localSheetId="10">#REF!</definedName>
    <definedName name="__MT74" localSheetId="29">#REF!</definedName>
    <definedName name="__MT74">#REF!</definedName>
    <definedName name="__MT75" localSheetId="8">#REF!</definedName>
    <definedName name="__MT75" localSheetId="10">#REF!</definedName>
    <definedName name="__MT75" localSheetId="29">#REF!</definedName>
    <definedName name="__MT75">#REF!</definedName>
    <definedName name="__MT76" localSheetId="8">#REF!</definedName>
    <definedName name="__MT76" localSheetId="10">#REF!</definedName>
    <definedName name="__MT76" localSheetId="29">#REF!</definedName>
    <definedName name="__MT76">#REF!</definedName>
    <definedName name="__MT77" localSheetId="8">#REF!</definedName>
    <definedName name="__MT77" localSheetId="10">#REF!</definedName>
    <definedName name="__MT77" localSheetId="29">#REF!</definedName>
    <definedName name="__MT77">#REF!</definedName>
    <definedName name="__MT78" localSheetId="8">#REF!</definedName>
    <definedName name="__MT78" localSheetId="10">#REF!</definedName>
    <definedName name="__MT78" localSheetId="29">#REF!</definedName>
    <definedName name="__MT78">#REF!</definedName>
    <definedName name="__MT79" localSheetId="8">#REF!</definedName>
    <definedName name="__MT79" localSheetId="10">#REF!</definedName>
    <definedName name="__MT79" localSheetId="29">#REF!</definedName>
    <definedName name="__MT79">#REF!</definedName>
    <definedName name="__MT8" localSheetId="8">#REF!</definedName>
    <definedName name="__MT8" localSheetId="10">#REF!</definedName>
    <definedName name="__MT8" localSheetId="29">#REF!</definedName>
    <definedName name="__MT8">#REF!</definedName>
    <definedName name="__MT80" localSheetId="8">#REF!</definedName>
    <definedName name="__MT80" localSheetId="10">#REF!</definedName>
    <definedName name="__MT80" localSheetId="29">#REF!</definedName>
    <definedName name="__MT80">#REF!</definedName>
    <definedName name="__MT81" localSheetId="8">#REF!</definedName>
    <definedName name="__MT81" localSheetId="10">#REF!</definedName>
    <definedName name="__MT81" localSheetId="29">#REF!</definedName>
    <definedName name="__MT81">#REF!</definedName>
    <definedName name="__MT82" localSheetId="8">#REF!</definedName>
    <definedName name="__MT82" localSheetId="10">#REF!</definedName>
    <definedName name="__MT82" localSheetId="29">#REF!</definedName>
    <definedName name="__MT82">#REF!</definedName>
    <definedName name="__MT83" localSheetId="8">#REF!</definedName>
    <definedName name="__MT83" localSheetId="10">#REF!</definedName>
    <definedName name="__MT83" localSheetId="29">#REF!</definedName>
    <definedName name="__MT83">#REF!</definedName>
    <definedName name="__MT84" localSheetId="8">#REF!</definedName>
    <definedName name="__MT84" localSheetId="10">#REF!</definedName>
    <definedName name="__MT84" localSheetId="29">#REF!</definedName>
    <definedName name="__MT84">#REF!</definedName>
    <definedName name="__MT85" localSheetId="8">#REF!</definedName>
    <definedName name="__MT85" localSheetId="10">#REF!</definedName>
    <definedName name="__MT85" localSheetId="29">#REF!</definedName>
    <definedName name="__MT85">#REF!</definedName>
    <definedName name="__MT86" localSheetId="8">#REF!</definedName>
    <definedName name="__MT86" localSheetId="10">#REF!</definedName>
    <definedName name="__MT86" localSheetId="29">#REF!</definedName>
    <definedName name="__MT86">#REF!</definedName>
    <definedName name="__MT87" localSheetId="8">#REF!</definedName>
    <definedName name="__MT87" localSheetId="10">#REF!</definedName>
    <definedName name="__MT87" localSheetId="29">#REF!</definedName>
    <definedName name="__MT87">#REF!</definedName>
    <definedName name="__MT88" localSheetId="8">#REF!</definedName>
    <definedName name="__MT88" localSheetId="10">#REF!</definedName>
    <definedName name="__MT88" localSheetId="29">#REF!</definedName>
    <definedName name="__MT88">#REF!</definedName>
    <definedName name="__MT89" localSheetId="8">#REF!</definedName>
    <definedName name="__MT89" localSheetId="10">#REF!</definedName>
    <definedName name="__MT89" localSheetId="29">#REF!</definedName>
    <definedName name="__MT89">#REF!</definedName>
    <definedName name="__MT9" localSheetId="8">#REF!</definedName>
    <definedName name="__MT9" localSheetId="10">#REF!</definedName>
    <definedName name="__MT9" localSheetId="29">#REF!</definedName>
    <definedName name="__MT9">#REF!</definedName>
    <definedName name="__MT90" localSheetId="8">#REF!</definedName>
    <definedName name="__MT90" localSheetId="10">#REF!</definedName>
    <definedName name="__MT90" localSheetId="29">#REF!</definedName>
    <definedName name="__MT90">#REF!</definedName>
    <definedName name="__MT91" localSheetId="8">#REF!</definedName>
    <definedName name="__MT91" localSheetId="10">#REF!</definedName>
    <definedName name="__MT91" localSheetId="29">#REF!</definedName>
    <definedName name="__MT91">#REF!</definedName>
    <definedName name="__MT92" localSheetId="8">#REF!</definedName>
    <definedName name="__MT92" localSheetId="10">#REF!</definedName>
    <definedName name="__MT92" localSheetId="29">#REF!</definedName>
    <definedName name="__MT92">#REF!</definedName>
    <definedName name="__MT93" localSheetId="8">#REF!</definedName>
    <definedName name="__MT93" localSheetId="10">#REF!</definedName>
    <definedName name="__MT93" localSheetId="29">#REF!</definedName>
    <definedName name="__MT93">#REF!</definedName>
    <definedName name="__MT94" localSheetId="8">#REF!</definedName>
    <definedName name="__MT94" localSheetId="10">#REF!</definedName>
    <definedName name="__MT94" localSheetId="29">#REF!</definedName>
    <definedName name="__MT94">#REF!</definedName>
    <definedName name="__MT95" localSheetId="8">#REF!</definedName>
    <definedName name="__MT95" localSheetId="10">#REF!</definedName>
    <definedName name="__MT95" localSheetId="29">#REF!</definedName>
    <definedName name="__MT95">#REF!</definedName>
    <definedName name="__MT96" localSheetId="8">#REF!</definedName>
    <definedName name="__MT96" localSheetId="10">#REF!</definedName>
    <definedName name="__MT96" localSheetId="29">#REF!</definedName>
    <definedName name="__MT96">#REF!</definedName>
    <definedName name="__MT97" localSheetId="8">#REF!</definedName>
    <definedName name="__MT97" localSheetId="10">#REF!</definedName>
    <definedName name="__MT97" localSheetId="29">#REF!</definedName>
    <definedName name="__MT97">#REF!</definedName>
    <definedName name="__MT98" localSheetId="8">#REF!</definedName>
    <definedName name="__MT98" localSheetId="10">#REF!</definedName>
    <definedName name="__MT98" localSheetId="29">#REF!</definedName>
    <definedName name="__MT98">#REF!</definedName>
    <definedName name="__MT99" localSheetId="8">#REF!</definedName>
    <definedName name="__MT99" localSheetId="10">#REF!</definedName>
    <definedName name="__MT99" localSheetId="29">#REF!</definedName>
    <definedName name="__MT99">#REF!</definedName>
    <definedName name="__o3">#REF!</definedName>
    <definedName name="__p5" localSheetId="8">#REF!</definedName>
    <definedName name="__p5" localSheetId="10">#REF!</definedName>
    <definedName name="__p5" localSheetId="29">#REF!</definedName>
    <definedName name="__p5">#REF!</definedName>
    <definedName name="__pc02">#REF!</definedName>
    <definedName name="__PC1">#REF!</definedName>
    <definedName name="__PC10">#REF!</definedName>
    <definedName name="__PC11">#REF!</definedName>
    <definedName name="__PC12">#REF!</definedName>
    <definedName name="__PC13">#REF!</definedName>
    <definedName name="__PC14">#REF!</definedName>
    <definedName name="__PC15">#REF!</definedName>
    <definedName name="__PC16">#REF!</definedName>
    <definedName name="__PC17">#REF!</definedName>
    <definedName name="__PC18">#REF!</definedName>
    <definedName name="__PC19">#REF!</definedName>
    <definedName name="__pc2" localSheetId="21">#REF!</definedName>
    <definedName name="__pc2" localSheetId="5">#REF!</definedName>
    <definedName name="__pc2" localSheetId="8">#REF!</definedName>
    <definedName name="__pc2" localSheetId="10">#REF!</definedName>
    <definedName name="__pc2" localSheetId="11">#REF!</definedName>
    <definedName name="__pc2" localSheetId="29">#REF!</definedName>
    <definedName name="__pc2" localSheetId="31">#REF!</definedName>
    <definedName name="__pc2" localSheetId="35">#REF!</definedName>
    <definedName name="__pc2" localSheetId="36">#REF!</definedName>
    <definedName name="__pc2">#REF!</definedName>
    <definedName name="__pc2_23">"$#REF!.$#REF!$#REF!"</definedName>
    <definedName name="__pc2_33">"$#REF!.$#REF!$#REF!"</definedName>
    <definedName name="__pc2_34">"$#REF!.$#REF!$#REF!"</definedName>
    <definedName name="__pc2_38">"$#REF!.$#REF!$#REF!"</definedName>
    <definedName name="__pc2_41">"$#REF!.$#REF!$#REF!"</definedName>
    <definedName name="__pc2_43">"$#REF!.$#REF!$#REF!"</definedName>
    <definedName name="__pc2_48">"$#REF!.$#REF!$#REF!"</definedName>
    <definedName name="__pc2_57">"$#REF!.$#REF!$#REF!"</definedName>
    <definedName name="__pc2_59">"$#REF!.$#REF!$#REF!"</definedName>
    <definedName name="__pc2_60">"$#REF!.$#REF!$#REF!"</definedName>
    <definedName name="__pc2_61">"$#REF!.$#REF!$#REF!"</definedName>
    <definedName name="__pc2_62">"$#REF!.$#REF!$#REF!"</definedName>
    <definedName name="__pc2_7">"$#REF!.$#REF!$#REF!"</definedName>
    <definedName name="__pc2_72">"$#REF!.$#REF!$#REF!"</definedName>
    <definedName name="__pc2_73">"$#REF!.$#REF!$#REF!"</definedName>
    <definedName name="__pc2_8">"$#REF!.$#REF!$#REF!"</definedName>
    <definedName name="__PC20">#REF!</definedName>
    <definedName name="__PC21">#REF!</definedName>
    <definedName name="__PC22">#REF!</definedName>
    <definedName name="__PC23">#REF!</definedName>
    <definedName name="__PC24">#REF!</definedName>
    <definedName name="__PC3">#REF!</definedName>
    <definedName name="__PC4">#REF!</definedName>
    <definedName name="__PC5">#REF!</definedName>
    <definedName name="__PC6">#REF!</definedName>
    <definedName name="__pc600">#REF!</definedName>
    <definedName name="__PC7">#REF!</definedName>
    <definedName name="__PC8">#REF!</definedName>
    <definedName name="__PC9">#REF!</definedName>
    <definedName name="__pc900">#REF!</definedName>
    <definedName name="__pi1">#REF!</definedName>
    <definedName name="__PMS2" localSheetId="8">#REF!</definedName>
    <definedName name="__PMS2" localSheetId="10">#REF!</definedName>
    <definedName name="__PMS2" localSheetId="29">#REF!</definedName>
    <definedName name="__PMS2">#REF!</definedName>
    <definedName name="__PPA14" localSheetId="8">#REF!</definedName>
    <definedName name="__PPA14" localSheetId="10">#REF!</definedName>
    <definedName name="__PPA14" localSheetId="29">#REF!</definedName>
    <definedName name="__PPA14">#REF!</definedName>
    <definedName name="__PPB154" localSheetId="8">#REF!</definedName>
    <definedName name="__PPB154" localSheetId="10">#REF!</definedName>
    <definedName name="__PPB154" localSheetId="29">#REF!</definedName>
    <definedName name="__PPB154">#REF!</definedName>
    <definedName name="__PPB155" localSheetId="8">#REF!</definedName>
    <definedName name="__PPB155" localSheetId="10">#REF!</definedName>
    <definedName name="__PPB155" localSheetId="29">#REF!</definedName>
    <definedName name="__PPB155">#REF!</definedName>
    <definedName name="__PPB16" localSheetId="8">#REF!</definedName>
    <definedName name="__PPB16" localSheetId="10">#REF!</definedName>
    <definedName name="__PPB16" localSheetId="29">#REF!</definedName>
    <definedName name="__PPB16">#REF!</definedName>
    <definedName name="__PPB17" localSheetId="8">#REF!</definedName>
    <definedName name="__PPB17" localSheetId="10">#REF!</definedName>
    <definedName name="__PPB17" localSheetId="29">#REF!</definedName>
    <definedName name="__PPB17">#REF!</definedName>
    <definedName name="__PPB18" localSheetId="8">#REF!</definedName>
    <definedName name="__PPB18" localSheetId="10">#REF!</definedName>
    <definedName name="__PPB18" localSheetId="29">#REF!</definedName>
    <definedName name="__PPB18">#REF!</definedName>
    <definedName name="__PPB19" localSheetId="8">#REF!</definedName>
    <definedName name="__PPB19" localSheetId="10">#REF!</definedName>
    <definedName name="__PPB19" localSheetId="29">#REF!</definedName>
    <definedName name="__PPB19">#REF!</definedName>
    <definedName name="__PPB2" localSheetId="8">#REF!</definedName>
    <definedName name="__PPB2" localSheetId="10">#REF!</definedName>
    <definedName name="__PPB2" localSheetId="29">#REF!</definedName>
    <definedName name="__PPB2">#REF!</definedName>
    <definedName name="__PPB20" localSheetId="8">#REF!</definedName>
    <definedName name="__PPB20" localSheetId="10">#REF!</definedName>
    <definedName name="__PPB20" localSheetId="29">#REF!</definedName>
    <definedName name="__PPB20">#REF!</definedName>
    <definedName name="__PPB21" localSheetId="8">#REF!</definedName>
    <definedName name="__PPB21" localSheetId="10">#REF!</definedName>
    <definedName name="__PPB21" localSheetId="29">#REF!</definedName>
    <definedName name="__PPB21">#REF!</definedName>
    <definedName name="__PPB22" localSheetId="8">#REF!</definedName>
    <definedName name="__PPB22" localSheetId="10">#REF!</definedName>
    <definedName name="__PPB22" localSheetId="29">#REF!</definedName>
    <definedName name="__PPB22">#REF!</definedName>
    <definedName name="__PPB23" localSheetId="8">#REF!</definedName>
    <definedName name="__PPB23" localSheetId="10">#REF!</definedName>
    <definedName name="__PPB23" localSheetId="29">#REF!</definedName>
    <definedName name="__PPB23">#REF!</definedName>
    <definedName name="__PPB24" localSheetId="8">#REF!</definedName>
    <definedName name="__PPB24" localSheetId="10">#REF!</definedName>
    <definedName name="__PPB24" localSheetId="29">#REF!</definedName>
    <definedName name="__PPB24">#REF!</definedName>
    <definedName name="__PPB25" localSheetId="8">#REF!</definedName>
    <definedName name="__PPB25" localSheetId="10">#REF!</definedName>
    <definedName name="__PPB25" localSheetId="29">#REF!</definedName>
    <definedName name="__PPB25">#REF!</definedName>
    <definedName name="__PPB26" localSheetId="8">#REF!</definedName>
    <definedName name="__PPB26" localSheetId="10">#REF!</definedName>
    <definedName name="__PPB26" localSheetId="29">#REF!</definedName>
    <definedName name="__PPB26">#REF!</definedName>
    <definedName name="__PPB27" localSheetId="8">#REF!</definedName>
    <definedName name="__PPB27" localSheetId="10">#REF!</definedName>
    <definedName name="__PPB27" localSheetId="29">#REF!</definedName>
    <definedName name="__PPB27">#REF!</definedName>
    <definedName name="__PPB28" localSheetId="8">#REF!</definedName>
    <definedName name="__PPB28" localSheetId="10">#REF!</definedName>
    <definedName name="__PPB28" localSheetId="29">#REF!</definedName>
    <definedName name="__PPB28">#REF!</definedName>
    <definedName name="__PPB29" localSheetId="8">#REF!</definedName>
    <definedName name="__PPB29" localSheetId="10">#REF!</definedName>
    <definedName name="__PPB29" localSheetId="29">#REF!</definedName>
    <definedName name="__PPB29">#REF!</definedName>
    <definedName name="__PPB3" localSheetId="8">#REF!</definedName>
    <definedName name="__PPB3" localSheetId="10">#REF!</definedName>
    <definedName name="__PPB3" localSheetId="29">#REF!</definedName>
    <definedName name="__PPB3">#REF!</definedName>
    <definedName name="__PPB30" localSheetId="8">#REF!</definedName>
    <definedName name="__PPB30" localSheetId="10">#REF!</definedName>
    <definedName name="__PPB30" localSheetId="29">#REF!</definedName>
    <definedName name="__PPB30">#REF!</definedName>
    <definedName name="__PPB31" localSheetId="8">#REF!</definedName>
    <definedName name="__PPB31" localSheetId="10">#REF!</definedName>
    <definedName name="__PPB31" localSheetId="29">#REF!</definedName>
    <definedName name="__PPB31">#REF!</definedName>
    <definedName name="__PPB32" localSheetId="8">#REF!</definedName>
    <definedName name="__PPB32" localSheetId="10">#REF!</definedName>
    <definedName name="__PPB32" localSheetId="29">#REF!</definedName>
    <definedName name="__PPB32">#REF!</definedName>
    <definedName name="__PPB33" localSheetId="8">#REF!</definedName>
    <definedName name="__PPB33" localSheetId="10">#REF!</definedName>
    <definedName name="__PPB33" localSheetId="29">#REF!</definedName>
    <definedName name="__PPB33">#REF!</definedName>
    <definedName name="__PPB34" localSheetId="8">#REF!</definedName>
    <definedName name="__PPB34" localSheetId="10">#REF!</definedName>
    <definedName name="__PPB34" localSheetId="29">#REF!</definedName>
    <definedName name="__PPB34">#REF!</definedName>
    <definedName name="__PPB35" localSheetId="8">#REF!</definedName>
    <definedName name="__PPB35" localSheetId="10">#REF!</definedName>
    <definedName name="__PPB35" localSheetId="29">#REF!</definedName>
    <definedName name="__PPB35">#REF!</definedName>
    <definedName name="__PPB36" localSheetId="8">#REF!</definedName>
    <definedName name="__PPB36" localSheetId="10">#REF!</definedName>
    <definedName name="__PPB36" localSheetId="29">#REF!</definedName>
    <definedName name="__PPB36">#REF!</definedName>
    <definedName name="__PPB37" localSheetId="8">#REF!</definedName>
    <definedName name="__PPB37" localSheetId="10">#REF!</definedName>
    <definedName name="__PPB37" localSheetId="29">#REF!</definedName>
    <definedName name="__PPB37">#REF!</definedName>
    <definedName name="__PPB38" localSheetId="8">#REF!</definedName>
    <definedName name="__PPB38" localSheetId="10">#REF!</definedName>
    <definedName name="__PPB38" localSheetId="29">#REF!</definedName>
    <definedName name="__PPB38">#REF!</definedName>
    <definedName name="__PPB39" localSheetId="8">#REF!</definedName>
    <definedName name="__PPB39" localSheetId="10">#REF!</definedName>
    <definedName name="__PPB39" localSheetId="29">#REF!</definedName>
    <definedName name="__PPB39">#REF!</definedName>
    <definedName name="__PPB4" localSheetId="8">#REF!</definedName>
    <definedName name="__PPB4" localSheetId="10">#REF!</definedName>
    <definedName name="__PPB4" localSheetId="29">#REF!</definedName>
    <definedName name="__PPB4">#REF!</definedName>
    <definedName name="__PPB40" localSheetId="8">#REF!</definedName>
    <definedName name="__PPB40" localSheetId="10">#REF!</definedName>
    <definedName name="__PPB40" localSheetId="29">#REF!</definedName>
    <definedName name="__PPB40">#REF!</definedName>
    <definedName name="__PPB41" localSheetId="8">#REF!</definedName>
    <definedName name="__PPB41" localSheetId="10">#REF!</definedName>
    <definedName name="__PPB41" localSheetId="29">#REF!</definedName>
    <definedName name="__PPB41">#REF!</definedName>
    <definedName name="__PPB42" localSheetId="8">#REF!</definedName>
    <definedName name="__PPB42" localSheetId="10">#REF!</definedName>
    <definedName name="__PPB42" localSheetId="29">#REF!</definedName>
    <definedName name="__PPB42">#REF!</definedName>
    <definedName name="__PPB43" localSheetId="8">#REF!</definedName>
    <definedName name="__PPB43" localSheetId="10">#REF!</definedName>
    <definedName name="__PPB43" localSheetId="29">#REF!</definedName>
    <definedName name="__PPB43">#REF!</definedName>
    <definedName name="__PPB44" localSheetId="8">#REF!</definedName>
    <definedName name="__PPB44" localSheetId="10">#REF!</definedName>
    <definedName name="__PPB44" localSheetId="29">#REF!</definedName>
    <definedName name="__PPB44">#REF!</definedName>
    <definedName name="__PPB45" localSheetId="8">#REF!</definedName>
    <definedName name="__PPB45" localSheetId="10">#REF!</definedName>
    <definedName name="__PPB45" localSheetId="29">#REF!</definedName>
    <definedName name="__PPB45">#REF!</definedName>
    <definedName name="__PPB46" localSheetId="8">#REF!</definedName>
    <definedName name="__PPB46" localSheetId="10">#REF!</definedName>
    <definedName name="__PPB46" localSheetId="29">#REF!</definedName>
    <definedName name="__PPB46">#REF!</definedName>
    <definedName name="__PPB47" localSheetId="8">#REF!</definedName>
    <definedName name="__PPB47" localSheetId="10">#REF!</definedName>
    <definedName name="__PPB47" localSheetId="29">#REF!</definedName>
    <definedName name="__PPB47">#REF!</definedName>
    <definedName name="__PPB48" localSheetId="8">#REF!</definedName>
    <definedName name="__PPB48" localSheetId="10">#REF!</definedName>
    <definedName name="__PPB48" localSheetId="29">#REF!</definedName>
    <definedName name="__PPB48">#REF!</definedName>
    <definedName name="__PPB49" localSheetId="8">#REF!</definedName>
    <definedName name="__PPB49" localSheetId="10">#REF!</definedName>
    <definedName name="__PPB49" localSheetId="29">#REF!</definedName>
    <definedName name="__PPB49">#REF!</definedName>
    <definedName name="__PPB5" localSheetId="8">#REF!</definedName>
    <definedName name="__PPB5" localSheetId="10">#REF!</definedName>
    <definedName name="__PPB5" localSheetId="29">#REF!</definedName>
    <definedName name="__PPB5">#REF!</definedName>
    <definedName name="__PPB50" localSheetId="8">#REF!</definedName>
    <definedName name="__PPB50" localSheetId="10">#REF!</definedName>
    <definedName name="__PPB50" localSheetId="29">#REF!</definedName>
    <definedName name="__PPB50">#REF!</definedName>
    <definedName name="__PPB51" localSheetId="8">#REF!</definedName>
    <definedName name="__PPB51" localSheetId="10">#REF!</definedName>
    <definedName name="__PPB51" localSheetId="29">#REF!</definedName>
    <definedName name="__PPB51">#REF!</definedName>
    <definedName name="__PPB52" localSheetId="8">#REF!</definedName>
    <definedName name="__PPB52" localSheetId="10">#REF!</definedName>
    <definedName name="__PPB52" localSheetId="29">#REF!</definedName>
    <definedName name="__PPB52">#REF!</definedName>
    <definedName name="__PPB53" localSheetId="8">#REF!</definedName>
    <definedName name="__PPB53" localSheetId="10">#REF!</definedName>
    <definedName name="__PPB53" localSheetId="29">#REF!</definedName>
    <definedName name="__PPB53">#REF!</definedName>
    <definedName name="__PPB54" localSheetId="8">#REF!</definedName>
    <definedName name="__PPB54" localSheetId="10">#REF!</definedName>
    <definedName name="__PPB54" localSheetId="29">#REF!</definedName>
    <definedName name="__PPB54">#REF!</definedName>
    <definedName name="__PPB55" localSheetId="8">#REF!</definedName>
    <definedName name="__PPB55" localSheetId="10">#REF!</definedName>
    <definedName name="__PPB55" localSheetId="29">#REF!</definedName>
    <definedName name="__PPB55">#REF!</definedName>
    <definedName name="__PPB56" localSheetId="8">#REF!</definedName>
    <definedName name="__PPB56" localSheetId="10">#REF!</definedName>
    <definedName name="__PPB56" localSheetId="29">#REF!</definedName>
    <definedName name="__PPB56">#REF!</definedName>
    <definedName name="__PPB57" localSheetId="8">#REF!</definedName>
    <definedName name="__PPB57" localSheetId="10">#REF!</definedName>
    <definedName name="__PPB57" localSheetId="29">#REF!</definedName>
    <definedName name="__PPB57">#REF!</definedName>
    <definedName name="__PPB58" localSheetId="8">#REF!</definedName>
    <definedName name="__PPB58" localSheetId="10">#REF!</definedName>
    <definedName name="__PPB58" localSheetId="29">#REF!</definedName>
    <definedName name="__PPB58">#REF!</definedName>
    <definedName name="__PPB59" localSheetId="8">#REF!</definedName>
    <definedName name="__PPB59" localSheetId="10">#REF!</definedName>
    <definedName name="__PPB59" localSheetId="29">#REF!</definedName>
    <definedName name="__PPB59">#REF!</definedName>
    <definedName name="__PPB6" localSheetId="8">#REF!</definedName>
    <definedName name="__PPB6" localSheetId="10">#REF!</definedName>
    <definedName name="__PPB6" localSheetId="29">#REF!</definedName>
    <definedName name="__PPB6">#REF!</definedName>
    <definedName name="__PPB60" localSheetId="8">#REF!</definedName>
    <definedName name="__PPB60" localSheetId="10">#REF!</definedName>
    <definedName name="__PPB60" localSheetId="29">#REF!</definedName>
    <definedName name="__PPB60">#REF!</definedName>
    <definedName name="__PPB61" localSheetId="8">#REF!</definedName>
    <definedName name="__PPB61" localSheetId="10">#REF!</definedName>
    <definedName name="__PPB61" localSheetId="29">#REF!</definedName>
    <definedName name="__PPB61">#REF!</definedName>
    <definedName name="__PPB62" localSheetId="8">#REF!</definedName>
    <definedName name="__PPB62" localSheetId="10">#REF!</definedName>
    <definedName name="__PPB62" localSheetId="29">#REF!</definedName>
    <definedName name="__PPB62">#REF!</definedName>
    <definedName name="__PPB63" localSheetId="8">#REF!</definedName>
    <definedName name="__PPB63" localSheetId="10">#REF!</definedName>
    <definedName name="__PPB63" localSheetId="29">#REF!</definedName>
    <definedName name="__PPB63">#REF!</definedName>
    <definedName name="__PPB64" localSheetId="8">#REF!</definedName>
    <definedName name="__PPB64" localSheetId="10">#REF!</definedName>
    <definedName name="__PPB64" localSheetId="29">#REF!</definedName>
    <definedName name="__PPB64">#REF!</definedName>
    <definedName name="__PPB65" localSheetId="8">#REF!</definedName>
    <definedName name="__PPB65" localSheetId="10">#REF!</definedName>
    <definedName name="__PPB65" localSheetId="29">#REF!</definedName>
    <definedName name="__PPB65">#REF!</definedName>
    <definedName name="__PPB66" localSheetId="8">#REF!</definedName>
    <definedName name="__PPB66" localSheetId="10">#REF!</definedName>
    <definedName name="__PPB66" localSheetId="29">#REF!</definedName>
    <definedName name="__PPB66">#REF!</definedName>
    <definedName name="__PPB67" localSheetId="8">#REF!</definedName>
    <definedName name="__PPB67" localSheetId="10">#REF!</definedName>
    <definedName name="__PPB67" localSheetId="29">#REF!</definedName>
    <definedName name="__PPB67">#REF!</definedName>
    <definedName name="__PPB68" localSheetId="8">#REF!</definedName>
    <definedName name="__PPB68" localSheetId="10">#REF!</definedName>
    <definedName name="__PPB68" localSheetId="29">#REF!</definedName>
    <definedName name="__PPB68">#REF!</definedName>
    <definedName name="__PPB69" localSheetId="8">#REF!</definedName>
    <definedName name="__PPB69" localSheetId="10">#REF!</definedName>
    <definedName name="__PPB69" localSheetId="29">#REF!</definedName>
    <definedName name="__PPB69">#REF!</definedName>
    <definedName name="__PPB7" localSheetId="8">#REF!</definedName>
    <definedName name="__PPB7" localSheetId="10">#REF!</definedName>
    <definedName name="__PPB7" localSheetId="29">#REF!</definedName>
    <definedName name="__PPB7">#REF!</definedName>
    <definedName name="__PPB70" localSheetId="8">#REF!</definedName>
    <definedName name="__PPB70" localSheetId="10">#REF!</definedName>
    <definedName name="__PPB70" localSheetId="29">#REF!</definedName>
    <definedName name="__PPB70">#REF!</definedName>
    <definedName name="__PPB71" localSheetId="8">#REF!</definedName>
    <definedName name="__PPB71" localSheetId="10">#REF!</definedName>
    <definedName name="__PPB71" localSheetId="29">#REF!</definedName>
    <definedName name="__PPB71">#REF!</definedName>
    <definedName name="__PPB72" localSheetId="8">#REF!</definedName>
    <definedName name="__PPB72" localSheetId="10">#REF!</definedName>
    <definedName name="__PPB72" localSheetId="29">#REF!</definedName>
    <definedName name="__PPB72">#REF!</definedName>
    <definedName name="__PPB73" localSheetId="8">#REF!</definedName>
    <definedName name="__PPB73" localSheetId="10">#REF!</definedName>
    <definedName name="__PPB73" localSheetId="29">#REF!</definedName>
    <definedName name="__PPB73">#REF!</definedName>
    <definedName name="__PPB74" localSheetId="8">#REF!</definedName>
    <definedName name="__PPB74" localSheetId="10">#REF!</definedName>
    <definedName name="__PPB74" localSheetId="29">#REF!</definedName>
    <definedName name="__PPB74">#REF!</definedName>
    <definedName name="__PPB75" localSheetId="8">#REF!</definedName>
    <definedName name="__PPB75" localSheetId="10">#REF!</definedName>
    <definedName name="__PPB75" localSheetId="29">#REF!</definedName>
    <definedName name="__PPB75">#REF!</definedName>
    <definedName name="__PPB76" localSheetId="8">#REF!</definedName>
    <definedName name="__PPB76" localSheetId="10">#REF!</definedName>
    <definedName name="__PPB76" localSheetId="29">#REF!</definedName>
    <definedName name="__PPB76">#REF!</definedName>
    <definedName name="__PPB77" localSheetId="8">#REF!</definedName>
    <definedName name="__PPB77" localSheetId="10">#REF!</definedName>
    <definedName name="__PPB77" localSheetId="29">#REF!</definedName>
    <definedName name="__PPB77">#REF!</definedName>
    <definedName name="__PPB78" localSheetId="8">#REF!</definedName>
    <definedName name="__PPB78" localSheetId="10">#REF!</definedName>
    <definedName name="__PPB78" localSheetId="29">#REF!</definedName>
    <definedName name="__PPB78">#REF!</definedName>
    <definedName name="__PPB79" localSheetId="8">#REF!</definedName>
    <definedName name="__PPB79" localSheetId="10">#REF!</definedName>
    <definedName name="__PPB79" localSheetId="29">#REF!</definedName>
    <definedName name="__PPB79">#REF!</definedName>
    <definedName name="__PPB8" localSheetId="8">#REF!</definedName>
    <definedName name="__PPB8" localSheetId="10">#REF!</definedName>
    <definedName name="__PPB8" localSheetId="29">#REF!</definedName>
    <definedName name="__PPB8">#REF!</definedName>
    <definedName name="__PPB80" localSheetId="8">#REF!</definedName>
    <definedName name="__PPB80" localSheetId="10">#REF!</definedName>
    <definedName name="__PPB80" localSheetId="29">#REF!</definedName>
    <definedName name="__PPB80">#REF!</definedName>
    <definedName name="__PPB81" localSheetId="8">#REF!</definedName>
    <definedName name="__PPB81" localSheetId="10">#REF!</definedName>
    <definedName name="__PPB81" localSheetId="29">#REF!</definedName>
    <definedName name="__PPB81">#REF!</definedName>
    <definedName name="__PPB82" localSheetId="8">#REF!</definedName>
    <definedName name="__PPB82" localSheetId="10">#REF!</definedName>
    <definedName name="__PPB82" localSheetId="29">#REF!</definedName>
    <definedName name="__PPB82">#REF!</definedName>
    <definedName name="__PPB83" localSheetId="8">#REF!</definedName>
    <definedName name="__PPB83" localSheetId="10">#REF!</definedName>
    <definedName name="__PPB83" localSheetId="29">#REF!</definedName>
    <definedName name="__PPB83">#REF!</definedName>
    <definedName name="__PPB84" localSheetId="8">#REF!</definedName>
    <definedName name="__PPB84" localSheetId="10">#REF!</definedName>
    <definedName name="__PPB84" localSheetId="29">#REF!</definedName>
    <definedName name="__PPB84">#REF!</definedName>
    <definedName name="__PPB85" localSheetId="8">#REF!</definedName>
    <definedName name="__PPB85" localSheetId="10">#REF!</definedName>
    <definedName name="__PPB85" localSheetId="29">#REF!</definedName>
    <definedName name="__PPB85">#REF!</definedName>
    <definedName name="__PPB86" localSheetId="8">#REF!</definedName>
    <definedName name="__PPB86" localSheetId="10">#REF!</definedName>
    <definedName name="__PPB86" localSheetId="29">#REF!</definedName>
    <definedName name="__PPB86">#REF!</definedName>
    <definedName name="__PPB87" localSheetId="8">#REF!</definedName>
    <definedName name="__PPB87" localSheetId="10">#REF!</definedName>
    <definedName name="__PPB87" localSheetId="29">#REF!</definedName>
    <definedName name="__PPB87">#REF!</definedName>
    <definedName name="__PPB88" localSheetId="8">#REF!</definedName>
    <definedName name="__PPB88" localSheetId="10">#REF!</definedName>
    <definedName name="__PPB88" localSheetId="29">#REF!</definedName>
    <definedName name="__PPB88">#REF!</definedName>
    <definedName name="__PPB89" localSheetId="8">#REF!</definedName>
    <definedName name="__PPB89" localSheetId="10">#REF!</definedName>
    <definedName name="__PPB89" localSheetId="29">#REF!</definedName>
    <definedName name="__PPB89">#REF!</definedName>
    <definedName name="__PPB9" localSheetId="8">#REF!</definedName>
    <definedName name="__PPB9" localSheetId="10">#REF!</definedName>
    <definedName name="__PPB9" localSheetId="29">#REF!</definedName>
    <definedName name="__PPB9">#REF!</definedName>
    <definedName name="__PPB90" localSheetId="8">#REF!</definedName>
    <definedName name="__PPB90" localSheetId="10">#REF!</definedName>
    <definedName name="__PPB90" localSheetId="29">#REF!</definedName>
    <definedName name="__PPB90">#REF!</definedName>
    <definedName name="__PPB91" localSheetId="8">#REF!</definedName>
    <definedName name="__PPB91" localSheetId="10">#REF!</definedName>
    <definedName name="__PPB91" localSheetId="29">#REF!</definedName>
    <definedName name="__PPB91">#REF!</definedName>
    <definedName name="__PPB92" localSheetId="8">#REF!</definedName>
    <definedName name="__PPB92" localSheetId="10">#REF!</definedName>
    <definedName name="__PPB92" localSheetId="29">#REF!</definedName>
    <definedName name="__PPB92">#REF!</definedName>
    <definedName name="__PPB93" localSheetId="8">#REF!</definedName>
    <definedName name="__PPB93" localSheetId="10">#REF!</definedName>
    <definedName name="__PPB93" localSheetId="29">#REF!</definedName>
    <definedName name="__PPB93">#REF!</definedName>
    <definedName name="__PPB94" localSheetId="8">#REF!</definedName>
    <definedName name="__PPB94" localSheetId="10">#REF!</definedName>
    <definedName name="__PPB94" localSheetId="29">#REF!</definedName>
    <definedName name="__PPB94">#REF!</definedName>
    <definedName name="__PPB95" localSheetId="8">#REF!</definedName>
    <definedName name="__PPB95" localSheetId="10">#REF!</definedName>
    <definedName name="__PPB95" localSheetId="29">#REF!</definedName>
    <definedName name="__PPB95">#REF!</definedName>
    <definedName name="__PPB96" localSheetId="8">#REF!</definedName>
    <definedName name="__PPB96" localSheetId="10">#REF!</definedName>
    <definedName name="__PPB96" localSheetId="29">#REF!</definedName>
    <definedName name="__PPB96">#REF!</definedName>
    <definedName name="__PPB97" localSheetId="8">#REF!</definedName>
    <definedName name="__PPB97" localSheetId="10">#REF!</definedName>
    <definedName name="__PPB97" localSheetId="29">#REF!</definedName>
    <definedName name="__PPB97">#REF!</definedName>
    <definedName name="__PPB98" localSheetId="8">#REF!</definedName>
    <definedName name="__PPB98" localSheetId="10">#REF!</definedName>
    <definedName name="__PPB98" localSheetId="29">#REF!</definedName>
    <definedName name="__PPB98">#REF!</definedName>
    <definedName name="__PPB99" localSheetId="8">#REF!</definedName>
    <definedName name="__PPB99" localSheetId="10">#REF!</definedName>
    <definedName name="__PPB99" localSheetId="29">#REF!</definedName>
    <definedName name="__PPB99">#REF!</definedName>
    <definedName name="__PPC1" localSheetId="8">#REF!</definedName>
    <definedName name="__PPC1" localSheetId="10">#REF!</definedName>
    <definedName name="__PPC1" localSheetId="29">#REF!</definedName>
    <definedName name="__PPC1">#REF!</definedName>
    <definedName name="__PPC10" localSheetId="8">#REF!</definedName>
    <definedName name="__PPC10" localSheetId="10">#REF!</definedName>
    <definedName name="__PPC10" localSheetId="29">#REF!</definedName>
    <definedName name="__PPC10">#REF!</definedName>
    <definedName name="__PPC100" localSheetId="8">#REF!</definedName>
    <definedName name="__PPC100" localSheetId="10">#REF!</definedName>
    <definedName name="__PPC100" localSheetId="29">#REF!</definedName>
    <definedName name="__PPC100">#REF!</definedName>
    <definedName name="__PPC101" localSheetId="8">#REF!</definedName>
    <definedName name="__PPC101" localSheetId="10">#REF!</definedName>
    <definedName name="__PPC101" localSheetId="29">#REF!</definedName>
    <definedName name="__PPC101">#REF!</definedName>
    <definedName name="__PPC102" localSheetId="8">#REF!</definedName>
    <definedName name="__PPC102" localSheetId="10">#REF!</definedName>
    <definedName name="__PPC102" localSheetId="29">#REF!</definedName>
    <definedName name="__PPC102">#REF!</definedName>
    <definedName name="__PPC103" localSheetId="8">#REF!</definedName>
    <definedName name="__PPC103" localSheetId="10">#REF!</definedName>
    <definedName name="__PPC103" localSheetId="29">#REF!</definedName>
    <definedName name="__PPC103">#REF!</definedName>
    <definedName name="__PPC104" localSheetId="8">#REF!</definedName>
    <definedName name="__PPC104" localSheetId="10">#REF!</definedName>
    <definedName name="__PPC104" localSheetId="29">#REF!</definedName>
    <definedName name="__PPC104">#REF!</definedName>
    <definedName name="__PPC105" localSheetId="8">#REF!</definedName>
    <definedName name="__PPC105" localSheetId="10">#REF!</definedName>
    <definedName name="__PPC105" localSheetId="29">#REF!</definedName>
    <definedName name="__PPC105">#REF!</definedName>
    <definedName name="__PPC106" localSheetId="8">#REF!</definedName>
    <definedName name="__PPC106" localSheetId="10">#REF!</definedName>
    <definedName name="__PPC106" localSheetId="29">#REF!</definedName>
    <definedName name="__PPC106">#REF!</definedName>
    <definedName name="__PPC107" localSheetId="8">#REF!</definedName>
    <definedName name="__PPC107" localSheetId="10">#REF!</definedName>
    <definedName name="__PPC107" localSheetId="29">#REF!</definedName>
    <definedName name="__PPC107">#REF!</definedName>
    <definedName name="__PPC108" localSheetId="8">#REF!</definedName>
    <definedName name="__PPC108" localSheetId="10">#REF!</definedName>
    <definedName name="__PPC108" localSheetId="29">#REF!</definedName>
    <definedName name="__PPC108">#REF!</definedName>
    <definedName name="__PPC109" localSheetId="8">#REF!</definedName>
    <definedName name="__PPC109" localSheetId="10">#REF!</definedName>
    <definedName name="__PPC109" localSheetId="29">#REF!</definedName>
    <definedName name="__PPC109">#REF!</definedName>
    <definedName name="__PPC11" localSheetId="8">#REF!</definedName>
    <definedName name="__PPC11" localSheetId="10">#REF!</definedName>
    <definedName name="__PPC11" localSheetId="29">#REF!</definedName>
    <definedName name="__PPC11">#REF!</definedName>
    <definedName name="__PPC110" localSheetId="8">#REF!</definedName>
    <definedName name="__PPC110" localSheetId="10">#REF!</definedName>
    <definedName name="__PPC110" localSheetId="29">#REF!</definedName>
    <definedName name="__PPC110">#REF!</definedName>
    <definedName name="__PPC111" localSheetId="8">#REF!</definedName>
    <definedName name="__PPC111" localSheetId="10">#REF!</definedName>
    <definedName name="__PPC111" localSheetId="29">#REF!</definedName>
    <definedName name="__PPC111">#REF!</definedName>
    <definedName name="__PPC112" localSheetId="8">#REF!</definedName>
    <definedName name="__PPC112" localSheetId="10">#REF!</definedName>
    <definedName name="__PPC112" localSheetId="29">#REF!</definedName>
    <definedName name="__PPC112">#REF!</definedName>
    <definedName name="__PPC113" localSheetId="8">#REF!</definedName>
    <definedName name="__PPC113" localSheetId="10">#REF!</definedName>
    <definedName name="__PPC113" localSheetId="29">#REF!</definedName>
    <definedName name="__PPC113">#REF!</definedName>
    <definedName name="__PPC114" localSheetId="8">#REF!</definedName>
    <definedName name="__PPC114" localSheetId="10">#REF!</definedName>
    <definedName name="__PPC114" localSheetId="29">#REF!</definedName>
    <definedName name="__PPC114">#REF!</definedName>
    <definedName name="__PPC115" localSheetId="8">#REF!</definedName>
    <definedName name="__PPC115" localSheetId="10">#REF!</definedName>
    <definedName name="__PPC115" localSheetId="29">#REF!</definedName>
    <definedName name="__PPC115">#REF!</definedName>
    <definedName name="__PPC116" localSheetId="8">#REF!</definedName>
    <definedName name="__PPC116" localSheetId="10">#REF!</definedName>
    <definedName name="__PPC116" localSheetId="29">#REF!</definedName>
    <definedName name="__PPC116">#REF!</definedName>
    <definedName name="__PPC117" localSheetId="8">#REF!</definedName>
    <definedName name="__PPC117" localSheetId="10">#REF!</definedName>
    <definedName name="__PPC117" localSheetId="29">#REF!</definedName>
    <definedName name="__PPC117">#REF!</definedName>
    <definedName name="__PPC118" localSheetId="8">#REF!</definedName>
    <definedName name="__PPC118" localSheetId="10">#REF!</definedName>
    <definedName name="__PPC118" localSheetId="29">#REF!</definedName>
    <definedName name="__PPC118">#REF!</definedName>
    <definedName name="__PPC119" localSheetId="8">#REF!</definedName>
    <definedName name="__PPC119" localSheetId="10">#REF!</definedName>
    <definedName name="__PPC119" localSheetId="29">#REF!</definedName>
    <definedName name="__PPC119">#REF!</definedName>
    <definedName name="__PPC12" localSheetId="8">#REF!</definedName>
    <definedName name="__PPC12" localSheetId="10">#REF!</definedName>
    <definedName name="__PPC12" localSheetId="29">#REF!</definedName>
    <definedName name="__PPC12">#REF!</definedName>
    <definedName name="__PPC120" localSheetId="8">#REF!</definedName>
    <definedName name="__PPC120" localSheetId="10">#REF!</definedName>
    <definedName name="__PPC120" localSheetId="29">#REF!</definedName>
    <definedName name="__PPC120">#REF!</definedName>
    <definedName name="__PPC121" localSheetId="8">#REF!</definedName>
    <definedName name="__PPC121" localSheetId="10">#REF!</definedName>
    <definedName name="__PPC121" localSheetId="29">#REF!</definedName>
    <definedName name="__PPC121">#REF!</definedName>
    <definedName name="__PPC122" localSheetId="8">#REF!</definedName>
    <definedName name="__PPC122" localSheetId="10">#REF!</definedName>
    <definedName name="__PPC122" localSheetId="29">#REF!</definedName>
    <definedName name="__PPC122">#REF!</definedName>
    <definedName name="__PPC123" localSheetId="8">#REF!</definedName>
    <definedName name="__PPC123" localSheetId="10">#REF!</definedName>
    <definedName name="__PPC123" localSheetId="29">#REF!</definedName>
    <definedName name="__PPC123">#REF!</definedName>
    <definedName name="__PPC124" localSheetId="8">#REF!</definedName>
    <definedName name="__PPC124" localSheetId="10">#REF!</definedName>
    <definedName name="__PPC124" localSheetId="29">#REF!</definedName>
    <definedName name="__PPC124">#REF!</definedName>
    <definedName name="__PPC125" localSheetId="8">#REF!</definedName>
    <definedName name="__PPC125" localSheetId="10">#REF!</definedName>
    <definedName name="__PPC125" localSheetId="29">#REF!</definedName>
    <definedName name="__PPC125">#REF!</definedName>
    <definedName name="__PPC126" localSheetId="8">#REF!</definedName>
    <definedName name="__PPC126" localSheetId="10">#REF!</definedName>
    <definedName name="__PPC126" localSheetId="29">#REF!</definedName>
    <definedName name="__PPC126">#REF!</definedName>
    <definedName name="__PPC127" localSheetId="8">#REF!</definedName>
    <definedName name="__PPC127" localSheetId="10">#REF!</definedName>
    <definedName name="__PPC127" localSheetId="29">#REF!</definedName>
    <definedName name="__PPC127">#REF!</definedName>
    <definedName name="__PPC128" localSheetId="8">#REF!</definedName>
    <definedName name="__PPC128" localSheetId="10">#REF!</definedName>
    <definedName name="__PPC128" localSheetId="29">#REF!</definedName>
    <definedName name="__PPC128">#REF!</definedName>
    <definedName name="__PPC129" localSheetId="8">#REF!</definedName>
    <definedName name="__PPC129" localSheetId="10">#REF!</definedName>
    <definedName name="__PPC129" localSheetId="29">#REF!</definedName>
    <definedName name="__PPC129">#REF!</definedName>
    <definedName name="__PPC13" localSheetId="8">#REF!</definedName>
    <definedName name="__PPC13" localSheetId="10">#REF!</definedName>
    <definedName name="__PPC13" localSheetId="29">#REF!</definedName>
    <definedName name="__PPC13">#REF!</definedName>
    <definedName name="__PPC130" localSheetId="8">#REF!</definedName>
    <definedName name="__PPC130" localSheetId="10">#REF!</definedName>
    <definedName name="__PPC130" localSheetId="29">#REF!</definedName>
    <definedName name="__PPC130">#REF!</definedName>
    <definedName name="__PPC131" localSheetId="8">#REF!</definedName>
    <definedName name="__PPC131" localSheetId="10">#REF!</definedName>
    <definedName name="__PPC131" localSheetId="29">#REF!</definedName>
    <definedName name="__PPC131">#REF!</definedName>
    <definedName name="__PPC132" localSheetId="8">#REF!</definedName>
    <definedName name="__PPC132" localSheetId="10">#REF!</definedName>
    <definedName name="__PPC132" localSheetId="29">#REF!</definedName>
    <definedName name="__PPC132">#REF!</definedName>
    <definedName name="__PPC133" localSheetId="8">#REF!</definedName>
    <definedName name="__PPC133" localSheetId="10">#REF!</definedName>
    <definedName name="__PPC133" localSheetId="29">#REF!</definedName>
    <definedName name="__PPC133">#REF!</definedName>
    <definedName name="__PPC134" localSheetId="8">#REF!</definedName>
    <definedName name="__PPC134" localSheetId="10">#REF!</definedName>
    <definedName name="__PPC134" localSheetId="29">#REF!</definedName>
    <definedName name="__PPC134">#REF!</definedName>
    <definedName name="__PPC135" localSheetId="8">#REF!</definedName>
    <definedName name="__PPC135" localSheetId="10">#REF!</definedName>
    <definedName name="__PPC135" localSheetId="29">#REF!</definedName>
    <definedName name="__PPC135">#REF!</definedName>
    <definedName name="__PPC136" localSheetId="8">#REF!</definedName>
    <definedName name="__PPC136" localSheetId="10">#REF!</definedName>
    <definedName name="__PPC136" localSheetId="29">#REF!</definedName>
    <definedName name="__PPC136">#REF!</definedName>
    <definedName name="__PPC137" localSheetId="8">#REF!</definedName>
    <definedName name="__PPC137" localSheetId="10">#REF!</definedName>
    <definedName name="__PPC137" localSheetId="29">#REF!</definedName>
    <definedName name="__PPC137">#REF!</definedName>
    <definedName name="__PPC138" localSheetId="8">#REF!</definedName>
    <definedName name="__PPC138" localSheetId="10">#REF!</definedName>
    <definedName name="__PPC138" localSheetId="29">#REF!</definedName>
    <definedName name="__PPC138">#REF!</definedName>
    <definedName name="__PPC139" localSheetId="8">#REF!</definedName>
    <definedName name="__PPC139" localSheetId="10">#REF!</definedName>
    <definedName name="__PPC139" localSheetId="29">#REF!</definedName>
    <definedName name="__PPC139">#REF!</definedName>
    <definedName name="__PPC14" localSheetId="8">#REF!</definedName>
    <definedName name="__PPC14" localSheetId="10">#REF!</definedName>
    <definedName name="__PPC14" localSheetId="29">#REF!</definedName>
    <definedName name="__PPC14">#REF!</definedName>
    <definedName name="__PPC140" localSheetId="8">#REF!</definedName>
    <definedName name="__PPC140" localSheetId="10">#REF!</definedName>
    <definedName name="__PPC140" localSheetId="29">#REF!</definedName>
    <definedName name="__PPC140">#REF!</definedName>
    <definedName name="__PPC141" localSheetId="8">#REF!</definedName>
    <definedName name="__PPC141" localSheetId="10">#REF!</definedName>
    <definedName name="__PPC141" localSheetId="29">#REF!</definedName>
    <definedName name="__PPC141">#REF!</definedName>
    <definedName name="__PPC142" localSheetId="8">#REF!</definedName>
    <definedName name="__PPC142" localSheetId="10">#REF!</definedName>
    <definedName name="__PPC142" localSheetId="29">#REF!</definedName>
    <definedName name="__PPC142">#REF!</definedName>
    <definedName name="__PPC143" localSheetId="8">#REF!</definedName>
    <definedName name="__PPC143" localSheetId="10">#REF!</definedName>
    <definedName name="__PPC143" localSheetId="29">#REF!</definedName>
    <definedName name="__PPC143">#REF!</definedName>
    <definedName name="__PPC144" localSheetId="8">#REF!</definedName>
    <definedName name="__PPC144" localSheetId="10">#REF!</definedName>
    <definedName name="__PPC144" localSheetId="29">#REF!</definedName>
    <definedName name="__PPC144">#REF!</definedName>
    <definedName name="__PPC145" localSheetId="8">#REF!</definedName>
    <definedName name="__PPC145" localSheetId="10">#REF!</definedName>
    <definedName name="__PPC145" localSheetId="29">#REF!</definedName>
    <definedName name="__PPC145">#REF!</definedName>
    <definedName name="__PPC146" localSheetId="8">#REF!</definedName>
    <definedName name="__PPC146" localSheetId="10">#REF!</definedName>
    <definedName name="__PPC146" localSheetId="29">#REF!</definedName>
    <definedName name="__PPC146">#REF!</definedName>
    <definedName name="__PPC147" localSheetId="8">#REF!</definedName>
    <definedName name="__PPC147" localSheetId="10">#REF!</definedName>
    <definedName name="__PPC147" localSheetId="29">#REF!</definedName>
    <definedName name="__PPC147">#REF!</definedName>
    <definedName name="__PPC148" localSheetId="8">#REF!</definedName>
    <definedName name="__PPC148" localSheetId="10">#REF!</definedName>
    <definedName name="__PPC148" localSheetId="29">#REF!</definedName>
    <definedName name="__PPC148">#REF!</definedName>
    <definedName name="__PPC149" localSheetId="8">#REF!</definedName>
    <definedName name="__PPC149" localSheetId="10">#REF!</definedName>
    <definedName name="__PPC149" localSheetId="29">#REF!</definedName>
    <definedName name="__PPC149">#REF!</definedName>
    <definedName name="__PPC15" localSheetId="8">#REF!</definedName>
    <definedName name="__PPC15" localSheetId="10">#REF!</definedName>
    <definedName name="__PPC15" localSheetId="29">#REF!</definedName>
    <definedName name="__PPC15">#REF!</definedName>
    <definedName name="__PPC150" localSheetId="8">#REF!</definedName>
    <definedName name="__PPC150" localSheetId="10">#REF!</definedName>
    <definedName name="__PPC150" localSheetId="29">#REF!</definedName>
    <definedName name="__PPC150">#REF!</definedName>
    <definedName name="__PPC151" localSheetId="8">#REF!</definedName>
    <definedName name="__PPC151" localSheetId="10">#REF!</definedName>
    <definedName name="__PPC151" localSheetId="29">#REF!</definedName>
    <definedName name="__PPC151">#REF!</definedName>
    <definedName name="__PPC152" localSheetId="8">#REF!</definedName>
    <definedName name="__PPC152" localSheetId="10">#REF!</definedName>
    <definedName name="__PPC152" localSheetId="29">#REF!</definedName>
    <definedName name="__PPC152">#REF!</definedName>
    <definedName name="__PPC153" localSheetId="8">#REF!</definedName>
    <definedName name="__PPC153" localSheetId="10">#REF!</definedName>
    <definedName name="__PPC153" localSheetId="29">#REF!</definedName>
    <definedName name="__PPC153">#REF!</definedName>
    <definedName name="__PPC154" localSheetId="8">#REF!</definedName>
    <definedName name="__PPC154" localSheetId="10">#REF!</definedName>
    <definedName name="__PPC154" localSheetId="29">#REF!</definedName>
    <definedName name="__PPC154">#REF!</definedName>
    <definedName name="__PPC155" localSheetId="8">#REF!</definedName>
    <definedName name="__PPC155" localSheetId="10">#REF!</definedName>
    <definedName name="__PPC155" localSheetId="29">#REF!</definedName>
    <definedName name="__PPC155">#REF!</definedName>
    <definedName name="__PPC16" localSheetId="8">#REF!</definedName>
    <definedName name="__PPC16" localSheetId="10">#REF!</definedName>
    <definedName name="__PPC16" localSheetId="29">#REF!</definedName>
    <definedName name="__PPC16">#REF!</definedName>
    <definedName name="__PPC17" localSheetId="8">#REF!</definedName>
    <definedName name="__PPC17" localSheetId="10">#REF!</definedName>
    <definedName name="__PPC17" localSheetId="29">#REF!</definedName>
    <definedName name="__PPC17">#REF!</definedName>
    <definedName name="__PPC18" localSheetId="8">#REF!</definedName>
    <definedName name="__PPC18" localSheetId="10">#REF!</definedName>
    <definedName name="__PPC18" localSheetId="29">#REF!</definedName>
    <definedName name="__PPC18">#REF!</definedName>
    <definedName name="__PPC19" localSheetId="8">#REF!</definedName>
    <definedName name="__PPC19" localSheetId="10">#REF!</definedName>
    <definedName name="__PPC19" localSheetId="29">#REF!</definedName>
    <definedName name="__PPC19">#REF!</definedName>
    <definedName name="__PPC2" localSheetId="8">#REF!</definedName>
    <definedName name="__PPC2" localSheetId="10">#REF!</definedName>
    <definedName name="__PPC2" localSheetId="29">#REF!</definedName>
    <definedName name="__PPC2">#REF!</definedName>
    <definedName name="__PPC20" localSheetId="8">#REF!</definedName>
    <definedName name="__PPC20" localSheetId="10">#REF!</definedName>
    <definedName name="__PPC20" localSheetId="29">#REF!</definedName>
    <definedName name="__PPC20">#REF!</definedName>
    <definedName name="__PPC21" localSheetId="8">#REF!</definedName>
    <definedName name="__PPC21" localSheetId="10">#REF!</definedName>
    <definedName name="__PPC21" localSheetId="29">#REF!</definedName>
    <definedName name="__PPC21">#REF!</definedName>
    <definedName name="__PPC22" localSheetId="8">#REF!</definedName>
    <definedName name="__PPC22" localSheetId="10">#REF!</definedName>
    <definedName name="__PPC22" localSheetId="29">#REF!</definedName>
    <definedName name="__PPC22">#REF!</definedName>
    <definedName name="__PPC23" localSheetId="8">#REF!</definedName>
    <definedName name="__PPC23" localSheetId="10">#REF!</definedName>
    <definedName name="__PPC23" localSheetId="29">#REF!</definedName>
    <definedName name="__PPC23">#REF!</definedName>
    <definedName name="__PPC24" localSheetId="8">#REF!</definedName>
    <definedName name="__PPC24" localSheetId="10">#REF!</definedName>
    <definedName name="__PPC24" localSheetId="29">#REF!</definedName>
    <definedName name="__PPC24">#REF!</definedName>
    <definedName name="__PPC25" localSheetId="8">#REF!</definedName>
    <definedName name="__PPC25" localSheetId="10">#REF!</definedName>
    <definedName name="__PPC25" localSheetId="29">#REF!</definedName>
    <definedName name="__PPC25">#REF!</definedName>
    <definedName name="__PPC26" localSheetId="8">#REF!</definedName>
    <definedName name="__PPC26" localSheetId="10">#REF!</definedName>
    <definedName name="__PPC26" localSheetId="29">#REF!</definedName>
    <definedName name="__PPC26">#REF!</definedName>
    <definedName name="__PPC27" localSheetId="8">#REF!</definedName>
    <definedName name="__PPC27" localSheetId="10">#REF!</definedName>
    <definedName name="__PPC27" localSheetId="29">#REF!</definedName>
    <definedName name="__PPC27">#REF!</definedName>
    <definedName name="__PPC28" localSheetId="8">#REF!</definedName>
    <definedName name="__PPC28" localSheetId="10">#REF!</definedName>
    <definedName name="__PPC28" localSheetId="29">#REF!</definedName>
    <definedName name="__PPC28">#REF!</definedName>
    <definedName name="__PPC29" localSheetId="8">#REF!</definedName>
    <definedName name="__PPC29" localSheetId="10">#REF!</definedName>
    <definedName name="__PPC29" localSheetId="29">#REF!</definedName>
    <definedName name="__PPC29">#REF!</definedName>
    <definedName name="__PPC3" localSheetId="8">#REF!</definedName>
    <definedName name="__PPC3" localSheetId="10">#REF!</definedName>
    <definedName name="__PPC3" localSheetId="29">#REF!</definedName>
    <definedName name="__PPC3">#REF!</definedName>
    <definedName name="__PPC30" localSheetId="8">#REF!</definedName>
    <definedName name="__PPC30" localSheetId="10">#REF!</definedName>
    <definedName name="__PPC30" localSheetId="29">#REF!</definedName>
    <definedName name="__PPC30">#REF!</definedName>
    <definedName name="__PPC31" localSheetId="8">#REF!</definedName>
    <definedName name="__PPC31" localSheetId="10">#REF!</definedName>
    <definedName name="__PPC31" localSheetId="29">#REF!</definedName>
    <definedName name="__PPC31">#REF!</definedName>
    <definedName name="__PPC32" localSheetId="8">#REF!</definedName>
    <definedName name="__PPC32" localSheetId="10">#REF!</definedName>
    <definedName name="__PPC32" localSheetId="29">#REF!</definedName>
    <definedName name="__PPC32">#REF!</definedName>
    <definedName name="__PPC33" localSheetId="8">#REF!</definedName>
    <definedName name="__PPC33" localSheetId="10">#REF!</definedName>
    <definedName name="__PPC33" localSheetId="29">#REF!</definedName>
    <definedName name="__PPC33">#REF!</definedName>
    <definedName name="__PPC34" localSheetId="8">#REF!</definedName>
    <definedName name="__PPC34" localSheetId="10">#REF!</definedName>
    <definedName name="__PPC34" localSheetId="29">#REF!</definedName>
    <definedName name="__PPC34">#REF!</definedName>
    <definedName name="__PPC35" localSheetId="8">#REF!</definedName>
    <definedName name="__PPC35" localSheetId="10">#REF!</definedName>
    <definedName name="__PPC35" localSheetId="29">#REF!</definedName>
    <definedName name="__PPC35">#REF!</definedName>
    <definedName name="__PPC36" localSheetId="8">#REF!</definedName>
    <definedName name="__PPC36" localSheetId="10">#REF!</definedName>
    <definedName name="__PPC36" localSheetId="29">#REF!</definedName>
    <definedName name="__PPC36">#REF!</definedName>
    <definedName name="__PPC37" localSheetId="8">#REF!</definedName>
    <definedName name="__PPC37" localSheetId="10">#REF!</definedName>
    <definedName name="__PPC37" localSheetId="29">#REF!</definedName>
    <definedName name="__PPC37">#REF!</definedName>
    <definedName name="__PPC38" localSheetId="8">#REF!</definedName>
    <definedName name="__PPC38" localSheetId="10">#REF!</definedName>
    <definedName name="__PPC38" localSheetId="29">#REF!</definedName>
    <definedName name="__PPC38">#REF!</definedName>
    <definedName name="__PPC39" localSheetId="8">#REF!</definedName>
    <definedName name="__PPC39" localSheetId="10">#REF!</definedName>
    <definedName name="__PPC39" localSheetId="29">#REF!</definedName>
    <definedName name="__PPC39">#REF!</definedName>
    <definedName name="__PPC4" localSheetId="8">#REF!</definedName>
    <definedName name="__PPC4" localSheetId="10">#REF!</definedName>
    <definedName name="__PPC4" localSheetId="29">#REF!</definedName>
    <definedName name="__PPC4">#REF!</definedName>
    <definedName name="__PPC40" localSheetId="8">#REF!</definedName>
    <definedName name="__PPC40" localSheetId="10">#REF!</definedName>
    <definedName name="__PPC40" localSheetId="29">#REF!</definedName>
    <definedName name="__PPC40">#REF!</definedName>
    <definedName name="__PPC41" localSheetId="8">#REF!</definedName>
    <definedName name="__PPC41" localSheetId="10">#REF!</definedName>
    <definedName name="__PPC41" localSheetId="29">#REF!</definedName>
    <definedName name="__PPC41">#REF!</definedName>
    <definedName name="__PPC42" localSheetId="8">#REF!</definedName>
    <definedName name="__PPC42" localSheetId="10">#REF!</definedName>
    <definedName name="__PPC42" localSheetId="29">#REF!</definedName>
    <definedName name="__PPC42">#REF!</definedName>
    <definedName name="__PPC43" localSheetId="8">#REF!</definedName>
    <definedName name="__PPC43" localSheetId="10">#REF!</definedName>
    <definedName name="__PPC43" localSheetId="29">#REF!</definedName>
    <definedName name="__PPC43">#REF!</definedName>
    <definedName name="__PPC44" localSheetId="8">#REF!</definedName>
    <definedName name="__PPC44" localSheetId="10">#REF!</definedName>
    <definedName name="__PPC44" localSheetId="29">#REF!</definedName>
    <definedName name="__PPC44">#REF!</definedName>
    <definedName name="__PPC45" localSheetId="8">#REF!</definedName>
    <definedName name="__PPC45" localSheetId="10">#REF!</definedName>
    <definedName name="__PPC45" localSheetId="29">#REF!</definedName>
    <definedName name="__PPC45">#REF!</definedName>
    <definedName name="__PPC46" localSheetId="8">#REF!</definedName>
    <definedName name="__PPC46" localSheetId="10">#REF!</definedName>
    <definedName name="__PPC46" localSheetId="29">#REF!</definedName>
    <definedName name="__PPC46">#REF!</definedName>
    <definedName name="__PPC47" localSheetId="8">#REF!</definedName>
    <definedName name="__PPC47" localSheetId="10">#REF!</definedName>
    <definedName name="__PPC47" localSheetId="29">#REF!</definedName>
    <definedName name="__PPC47">#REF!</definedName>
    <definedName name="__PPC48" localSheetId="8">#REF!</definedName>
    <definedName name="__PPC48" localSheetId="10">#REF!</definedName>
    <definedName name="__PPC48" localSheetId="29">#REF!</definedName>
    <definedName name="__PPC48">#REF!</definedName>
    <definedName name="__PPC49" localSheetId="8">#REF!</definedName>
    <definedName name="__PPC49" localSheetId="10">#REF!</definedName>
    <definedName name="__PPC49" localSheetId="29">#REF!</definedName>
    <definedName name="__PPC49">#REF!</definedName>
    <definedName name="__PPC5" localSheetId="8">#REF!</definedName>
    <definedName name="__PPC5" localSheetId="10">#REF!</definedName>
    <definedName name="__PPC5" localSheetId="29">#REF!</definedName>
    <definedName name="__PPC5">#REF!</definedName>
    <definedName name="__PPC50" localSheetId="8">#REF!</definedName>
    <definedName name="__PPC50" localSheetId="10">#REF!</definedName>
    <definedName name="__PPC50" localSheetId="29">#REF!</definedName>
    <definedName name="__PPC50">#REF!</definedName>
    <definedName name="__PPC51" localSheetId="8">#REF!</definedName>
    <definedName name="__PPC51" localSheetId="10">#REF!</definedName>
    <definedName name="__PPC51" localSheetId="29">#REF!</definedName>
    <definedName name="__PPC51">#REF!</definedName>
    <definedName name="__PPC52" localSheetId="8">#REF!</definedName>
    <definedName name="__PPC52" localSheetId="10">#REF!</definedName>
    <definedName name="__PPC52" localSheetId="29">#REF!</definedName>
    <definedName name="__PPC52">#REF!</definedName>
    <definedName name="__PPC53" localSheetId="8">#REF!</definedName>
    <definedName name="__PPC53" localSheetId="10">#REF!</definedName>
    <definedName name="__PPC53" localSheetId="29">#REF!</definedName>
    <definedName name="__PPC53">#REF!</definedName>
    <definedName name="__PPC54" localSheetId="8">#REF!</definedName>
    <definedName name="__PPC54" localSheetId="10">#REF!</definedName>
    <definedName name="__PPC54" localSheetId="29">#REF!</definedName>
    <definedName name="__PPC54">#REF!</definedName>
    <definedName name="__PPC55" localSheetId="8">#REF!</definedName>
    <definedName name="__PPC55" localSheetId="10">#REF!</definedName>
    <definedName name="__PPC55" localSheetId="29">#REF!</definedName>
    <definedName name="__PPC55">#REF!</definedName>
    <definedName name="__PPC56" localSheetId="8">#REF!</definedName>
    <definedName name="__PPC56" localSheetId="10">#REF!</definedName>
    <definedName name="__PPC56" localSheetId="29">#REF!</definedName>
    <definedName name="__PPC56">#REF!</definedName>
    <definedName name="__PPC57" localSheetId="8">#REF!</definedName>
    <definedName name="__PPC57" localSheetId="10">#REF!</definedName>
    <definedName name="__PPC57" localSheetId="29">#REF!</definedName>
    <definedName name="__PPC57">#REF!</definedName>
    <definedName name="__PPC58" localSheetId="8">#REF!</definedName>
    <definedName name="__PPC58" localSheetId="10">#REF!</definedName>
    <definedName name="__PPC58" localSheetId="29">#REF!</definedName>
    <definedName name="__PPC58">#REF!</definedName>
    <definedName name="__PPC59" localSheetId="8">#REF!</definedName>
    <definedName name="__PPC59" localSheetId="10">#REF!</definedName>
    <definedName name="__PPC59" localSheetId="29">#REF!</definedName>
    <definedName name="__PPC59">#REF!</definedName>
    <definedName name="__PPC6" localSheetId="8">#REF!</definedName>
    <definedName name="__PPC6" localSheetId="10">#REF!</definedName>
    <definedName name="__PPC6" localSheetId="29">#REF!</definedName>
    <definedName name="__PPC6">#REF!</definedName>
    <definedName name="__PPC60" localSheetId="8">#REF!</definedName>
    <definedName name="__PPC60" localSheetId="10">#REF!</definedName>
    <definedName name="__PPC60" localSheetId="29">#REF!</definedName>
    <definedName name="__PPC60">#REF!</definedName>
    <definedName name="__PPC61" localSheetId="8">#REF!</definedName>
    <definedName name="__PPC61" localSheetId="10">#REF!</definedName>
    <definedName name="__PPC61" localSheetId="29">#REF!</definedName>
    <definedName name="__PPC61">#REF!</definedName>
    <definedName name="__PPC62" localSheetId="8">#REF!</definedName>
    <definedName name="__PPC62" localSheetId="10">#REF!</definedName>
    <definedName name="__PPC62" localSheetId="29">#REF!</definedName>
    <definedName name="__PPC62">#REF!</definedName>
    <definedName name="__PPC63" localSheetId="8">#REF!</definedName>
    <definedName name="__PPC63" localSheetId="10">#REF!</definedName>
    <definedName name="__PPC63" localSheetId="29">#REF!</definedName>
    <definedName name="__PPC63">#REF!</definedName>
    <definedName name="__PPC64" localSheetId="8">#REF!</definedName>
    <definedName name="__PPC64" localSheetId="10">#REF!</definedName>
    <definedName name="__PPC64" localSheetId="29">#REF!</definedName>
    <definedName name="__PPC64">#REF!</definedName>
    <definedName name="__PPC65" localSheetId="8">#REF!</definedName>
    <definedName name="__PPC65" localSheetId="10">#REF!</definedName>
    <definedName name="__PPC65" localSheetId="29">#REF!</definedName>
    <definedName name="__PPC65">#REF!</definedName>
    <definedName name="__PPC66" localSheetId="8">#REF!</definedName>
    <definedName name="__PPC66" localSheetId="10">#REF!</definedName>
    <definedName name="__PPC66" localSheetId="29">#REF!</definedName>
    <definedName name="__PPC66">#REF!</definedName>
    <definedName name="__PPC67" localSheetId="8">#REF!</definedName>
    <definedName name="__PPC67" localSheetId="10">#REF!</definedName>
    <definedName name="__PPC67" localSheetId="29">#REF!</definedName>
    <definedName name="__PPC67">#REF!</definedName>
    <definedName name="__PPC68" localSheetId="8">#REF!</definedName>
    <definedName name="__PPC68" localSheetId="10">#REF!</definedName>
    <definedName name="__PPC68" localSheetId="29">#REF!</definedName>
    <definedName name="__PPC68">#REF!</definedName>
    <definedName name="__PPC69" localSheetId="8">#REF!</definedName>
    <definedName name="__PPC69" localSheetId="10">#REF!</definedName>
    <definedName name="__PPC69" localSheetId="29">#REF!</definedName>
    <definedName name="__PPC69">#REF!</definedName>
    <definedName name="__PPC7" localSheetId="8">#REF!</definedName>
    <definedName name="__PPC7" localSheetId="10">#REF!</definedName>
    <definedName name="__PPC7" localSheetId="29">#REF!</definedName>
    <definedName name="__PPC7">#REF!</definedName>
    <definedName name="__PPC70" localSheetId="8">#REF!</definedName>
    <definedName name="__PPC70" localSheetId="10">#REF!</definedName>
    <definedName name="__PPC70" localSheetId="29">#REF!</definedName>
    <definedName name="__PPC70">#REF!</definedName>
    <definedName name="__PPC71" localSheetId="8">#REF!</definedName>
    <definedName name="__PPC71" localSheetId="10">#REF!</definedName>
    <definedName name="__PPC71" localSheetId="29">#REF!</definedName>
    <definedName name="__PPC71">#REF!</definedName>
    <definedName name="__PPC72" localSheetId="8">#REF!</definedName>
    <definedName name="__PPC72" localSheetId="10">#REF!</definedName>
    <definedName name="__PPC72" localSheetId="29">#REF!</definedName>
    <definedName name="__PPC72">#REF!</definedName>
    <definedName name="__PPC73" localSheetId="8">#REF!</definedName>
    <definedName name="__PPC73" localSheetId="10">#REF!</definedName>
    <definedName name="__PPC73" localSheetId="29">#REF!</definedName>
    <definedName name="__PPC73">#REF!</definedName>
    <definedName name="__PPC74" localSheetId="8">#REF!</definedName>
    <definedName name="__PPC74" localSheetId="10">#REF!</definedName>
    <definedName name="__PPC74" localSheetId="29">#REF!</definedName>
    <definedName name="__PPC74">#REF!</definedName>
    <definedName name="__PPC75" localSheetId="8">#REF!</definedName>
    <definedName name="__PPC75" localSheetId="10">#REF!</definedName>
    <definedName name="__PPC75" localSheetId="29">#REF!</definedName>
    <definedName name="__PPC75">#REF!</definedName>
    <definedName name="__PPC76" localSheetId="8">#REF!</definedName>
    <definedName name="__PPC76" localSheetId="10">#REF!</definedName>
    <definedName name="__PPC76" localSheetId="29">#REF!</definedName>
    <definedName name="__PPC76">#REF!</definedName>
    <definedName name="__PPC77" localSheetId="8">#REF!</definedName>
    <definedName name="__PPC77" localSheetId="10">#REF!</definedName>
    <definedName name="__PPC77" localSheetId="29">#REF!</definedName>
    <definedName name="__PPC77">#REF!</definedName>
    <definedName name="__PPC78" localSheetId="8">#REF!</definedName>
    <definedName name="__PPC78" localSheetId="10">#REF!</definedName>
    <definedName name="__PPC78" localSheetId="29">#REF!</definedName>
    <definedName name="__PPC78">#REF!</definedName>
    <definedName name="__PPC79" localSheetId="8">#REF!</definedName>
    <definedName name="__PPC79" localSheetId="10">#REF!</definedName>
    <definedName name="__PPC79" localSheetId="29">#REF!</definedName>
    <definedName name="__PPC79">#REF!</definedName>
    <definedName name="__PPC8" localSheetId="8">#REF!</definedName>
    <definedName name="__PPC8" localSheetId="10">#REF!</definedName>
    <definedName name="__PPC8" localSheetId="29">#REF!</definedName>
    <definedName name="__PPC8">#REF!</definedName>
    <definedName name="__PPC80" localSheetId="8">#REF!</definedName>
    <definedName name="__PPC80" localSheetId="10">#REF!</definedName>
    <definedName name="__PPC80" localSheetId="29">#REF!</definedName>
    <definedName name="__PPC80">#REF!</definedName>
    <definedName name="__PPC81" localSheetId="8">#REF!</definedName>
    <definedName name="__PPC81" localSheetId="10">#REF!</definedName>
    <definedName name="__PPC81" localSheetId="29">#REF!</definedName>
    <definedName name="__PPC81">#REF!</definedName>
    <definedName name="__PPC82" localSheetId="8">#REF!</definedName>
    <definedName name="__PPC82" localSheetId="10">#REF!</definedName>
    <definedName name="__PPC82" localSheetId="29">#REF!</definedName>
    <definedName name="__PPC82">#REF!</definedName>
    <definedName name="__PPC83" localSheetId="8">#REF!</definedName>
    <definedName name="__PPC83" localSheetId="10">#REF!</definedName>
    <definedName name="__PPC83" localSheetId="29">#REF!</definedName>
    <definedName name="__PPC83">#REF!</definedName>
    <definedName name="__PPC84" localSheetId="8">#REF!</definedName>
    <definedName name="__PPC84" localSheetId="10">#REF!</definedName>
    <definedName name="__PPC84" localSheetId="29">#REF!</definedName>
    <definedName name="__PPC84">#REF!</definedName>
    <definedName name="__PPC85" localSheetId="8">#REF!</definedName>
    <definedName name="__PPC85" localSheetId="10">#REF!</definedName>
    <definedName name="__PPC85" localSheetId="29">#REF!</definedName>
    <definedName name="__PPC85">#REF!</definedName>
    <definedName name="__PPC86" localSheetId="8">#REF!</definedName>
    <definedName name="__PPC86" localSheetId="10">#REF!</definedName>
    <definedName name="__PPC86" localSheetId="29">#REF!</definedName>
    <definedName name="__PPC86">#REF!</definedName>
    <definedName name="__PPC87" localSheetId="8">#REF!</definedName>
    <definedName name="__PPC87" localSheetId="10">#REF!</definedName>
    <definedName name="__PPC87" localSheetId="29">#REF!</definedName>
    <definedName name="__PPC87">#REF!</definedName>
    <definedName name="__PPC88" localSheetId="8">#REF!</definedName>
    <definedName name="__PPC88" localSheetId="10">#REF!</definedName>
    <definedName name="__PPC88" localSheetId="29">#REF!</definedName>
    <definedName name="__PPC88">#REF!</definedName>
    <definedName name="__PPC89" localSheetId="8">#REF!</definedName>
    <definedName name="__PPC89" localSheetId="10">#REF!</definedName>
    <definedName name="__PPC89" localSheetId="29">#REF!</definedName>
    <definedName name="__PPC89">#REF!</definedName>
    <definedName name="__PPC9" localSheetId="8">#REF!</definedName>
    <definedName name="__PPC9" localSheetId="10">#REF!</definedName>
    <definedName name="__PPC9" localSheetId="29">#REF!</definedName>
    <definedName name="__PPC9">#REF!</definedName>
    <definedName name="__PPC90" localSheetId="8">#REF!</definedName>
    <definedName name="__PPC90" localSheetId="10">#REF!</definedName>
    <definedName name="__PPC90" localSheetId="29">#REF!</definedName>
    <definedName name="__PPC90">#REF!</definedName>
    <definedName name="__PPC91" localSheetId="8">#REF!</definedName>
    <definedName name="__PPC91" localSheetId="10">#REF!</definedName>
    <definedName name="__PPC91" localSheetId="29">#REF!</definedName>
    <definedName name="__PPC91">#REF!</definedName>
    <definedName name="__PPC92" localSheetId="8">#REF!</definedName>
    <definedName name="__PPC92" localSheetId="10">#REF!</definedName>
    <definedName name="__PPC92" localSheetId="29">#REF!</definedName>
    <definedName name="__PPC92">#REF!</definedName>
    <definedName name="__PPC93" localSheetId="8">#REF!</definedName>
    <definedName name="__PPC93" localSheetId="10">#REF!</definedName>
    <definedName name="__PPC93" localSheetId="29">#REF!</definedName>
    <definedName name="__PPC93">#REF!</definedName>
    <definedName name="__PPC94" localSheetId="8">#REF!</definedName>
    <definedName name="__PPC94" localSheetId="10">#REF!</definedName>
    <definedName name="__PPC94" localSheetId="29">#REF!</definedName>
    <definedName name="__PPC94">#REF!</definedName>
    <definedName name="__PPC95">#REF!</definedName>
    <definedName name="__PPD114" localSheetId="8">#REF!</definedName>
    <definedName name="__PPD114" localSheetId="10">#REF!</definedName>
    <definedName name="__PPD114" localSheetId="29">#REF!</definedName>
    <definedName name="__PPD114">#REF!</definedName>
    <definedName name="__PPD89">#REF!</definedName>
    <definedName name="__psc10006" localSheetId="8">#REF!</definedName>
    <definedName name="__psc10006" localSheetId="10">#REF!</definedName>
    <definedName name="__psc10006" localSheetId="11">#REF!</definedName>
    <definedName name="__psc10006" localSheetId="29">#REF!</definedName>
    <definedName name="__psc10006">#REF!</definedName>
    <definedName name="__psc10008" localSheetId="8">#REF!</definedName>
    <definedName name="__psc10008" localSheetId="10">#REF!</definedName>
    <definedName name="__psc10008" localSheetId="11">#REF!</definedName>
    <definedName name="__psc10008" localSheetId="29">#REF!</definedName>
    <definedName name="__psc10008">#REF!</definedName>
    <definedName name="__psc3506" localSheetId="8">#REF!</definedName>
    <definedName name="__psc3506" localSheetId="10">#REF!</definedName>
    <definedName name="__psc3506" localSheetId="11">#REF!</definedName>
    <definedName name="__psc3506" localSheetId="29">#REF!</definedName>
    <definedName name="__psc3506">#REF!</definedName>
    <definedName name="__psc3508" localSheetId="8">#REF!</definedName>
    <definedName name="__psc3508" localSheetId="10">#REF!</definedName>
    <definedName name="__psc3508" localSheetId="11">#REF!</definedName>
    <definedName name="__psc3508" localSheetId="29">#REF!</definedName>
    <definedName name="__psc3508">#REF!</definedName>
    <definedName name="__psc4006" localSheetId="8">#REF!</definedName>
    <definedName name="__psc4006" localSheetId="10">#REF!</definedName>
    <definedName name="__psc4006" localSheetId="11">#REF!</definedName>
    <definedName name="__psc4006" localSheetId="29">#REF!</definedName>
    <definedName name="__psc4006">#REF!</definedName>
    <definedName name="__psc4008" localSheetId="8">#REF!</definedName>
    <definedName name="__psc4008" localSheetId="10">#REF!</definedName>
    <definedName name="__psc4008" localSheetId="11">#REF!</definedName>
    <definedName name="__psc4008" localSheetId="29">#REF!</definedName>
    <definedName name="__psc4008">#REF!</definedName>
    <definedName name="__psc4506" localSheetId="8">#REF!</definedName>
    <definedName name="__psc4506" localSheetId="10">#REF!</definedName>
    <definedName name="__psc4506" localSheetId="11">#REF!</definedName>
    <definedName name="__psc4506" localSheetId="29">#REF!</definedName>
    <definedName name="__psc4506">#REF!</definedName>
    <definedName name="__psc4508" localSheetId="8">#REF!</definedName>
    <definedName name="__psc4508" localSheetId="10">#REF!</definedName>
    <definedName name="__psc4508" localSheetId="11">#REF!</definedName>
    <definedName name="__psc4508" localSheetId="29">#REF!</definedName>
    <definedName name="__psc4508">#REF!</definedName>
    <definedName name="__psc5006" localSheetId="8">#REF!</definedName>
    <definedName name="__psc5006" localSheetId="10">#REF!</definedName>
    <definedName name="__psc5006" localSheetId="11">#REF!</definedName>
    <definedName name="__psc5006" localSheetId="29">#REF!</definedName>
    <definedName name="__psc5006">#REF!</definedName>
    <definedName name="__psc5008" localSheetId="8">#REF!</definedName>
    <definedName name="__psc5008" localSheetId="10">#REF!</definedName>
    <definedName name="__psc5008" localSheetId="11">#REF!</definedName>
    <definedName name="__psc5008" localSheetId="29">#REF!</definedName>
    <definedName name="__psc5008">#REF!</definedName>
    <definedName name="__psc6006" localSheetId="8">#REF!</definedName>
    <definedName name="__psc6006" localSheetId="10">#REF!</definedName>
    <definedName name="__psc6006" localSheetId="11">#REF!</definedName>
    <definedName name="__psc6006" localSheetId="29">#REF!</definedName>
    <definedName name="__psc6006">#REF!</definedName>
    <definedName name="__psc6008" localSheetId="8">#REF!</definedName>
    <definedName name="__psc6008" localSheetId="10">#REF!</definedName>
    <definedName name="__psc6008" localSheetId="11">#REF!</definedName>
    <definedName name="__psc6008" localSheetId="29">#REF!</definedName>
    <definedName name="__psc6008">#REF!</definedName>
    <definedName name="__psc7006" localSheetId="8">#REF!</definedName>
    <definedName name="__psc7006" localSheetId="10">#REF!</definedName>
    <definedName name="__psc7006" localSheetId="11">#REF!</definedName>
    <definedName name="__psc7006" localSheetId="29">#REF!</definedName>
    <definedName name="__psc7006">#REF!</definedName>
    <definedName name="__psc7008" localSheetId="8">#REF!</definedName>
    <definedName name="__psc7008" localSheetId="10">#REF!</definedName>
    <definedName name="__psc7008" localSheetId="11">#REF!</definedName>
    <definedName name="__psc7008" localSheetId="29">#REF!</definedName>
    <definedName name="__psc7008">#REF!</definedName>
    <definedName name="__psc8006" localSheetId="8">#REF!</definedName>
    <definedName name="__psc8006" localSheetId="10">#REF!</definedName>
    <definedName name="__psc8006" localSheetId="11">#REF!</definedName>
    <definedName name="__psc8006" localSheetId="29">#REF!</definedName>
    <definedName name="__psc8006">#REF!</definedName>
    <definedName name="__psc8008" localSheetId="8">#REF!</definedName>
    <definedName name="__psc8008" localSheetId="10">#REF!</definedName>
    <definedName name="__psc8008" localSheetId="11">#REF!</definedName>
    <definedName name="__psc8008" localSheetId="29">#REF!</definedName>
    <definedName name="__psc8008">#REF!</definedName>
    <definedName name="__psc9006" localSheetId="8">#REF!</definedName>
    <definedName name="__psc9006" localSheetId="10">#REF!</definedName>
    <definedName name="__psc9006" localSheetId="11">#REF!</definedName>
    <definedName name="__psc9006" localSheetId="29">#REF!</definedName>
    <definedName name="__psc9006">#REF!</definedName>
    <definedName name="__psc9008" localSheetId="8">#REF!</definedName>
    <definedName name="__psc9008" localSheetId="10">#REF!</definedName>
    <definedName name="__psc9008" localSheetId="11">#REF!</definedName>
    <definedName name="__psc9008" localSheetId="29">#REF!</definedName>
    <definedName name="__psc9008">#REF!</definedName>
    <definedName name="__pv1" localSheetId="8">#REF!</definedName>
    <definedName name="__pv1" localSheetId="10">#REF!</definedName>
    <definedName name="__pv1" localSheetId="29">#REF!</definedName>
    <definedName name="__pv1">#REF!</definedName>
    <definedName name="__pv2" localSheetId="21">#REF!</definedName>
    <definedName name="__pv2" localSheetId="5">#REF!</definedName>
    <definedName name="__pv2" localSheetId="8">#REF!</definedName>
    <definedName name="__pv2" localSheetId="10">#REF!</definedName>
    <definedName name="__pv2" localSheetId="11">#REF!</definedName>
    <definedName name="__pv2" localSheetId="29">#REF!</definedName>
    <definedName name="__pv2" localSheetId="31">#REF!</definedName>
    <definedName name="__pv2" localSheetId="35">#REF!</definedName>
    <definedName name="__pv2" localSheetId="36">#REF!</definedName>
    <definedName name="__pv2">#REF!</definedName>
    <definedName name="__pv2_23">"$#REF!.$#REF!$#REF!"</definedName>
    <definedName name="__pv2_33">"$#REF!.$#REF!$#REF!"</definedName>
    <definedName name="__pv2_34">"$#REF!.$#REF!$#REF!"</definedName>
    <definedName name="__pv2_38">"$#REF!.$#REF!$#REF!"</definedName>
    <definedName name="__pv2_41">"$#REF!.$#REF!$#REF!"</definedName>
    <definedName name="__pv2_43">"$#REF!.$#REF!$#REF!"</definedName>
    <definedName name="__pv2_48">"$#REF!.$#REF!$#REF!"</definedName>
    <definedName name="__pv2_57">"$#REF!.$#REF!$#REF!"</definedName>
    <definedName name="__pv2_59">"$#REF!.$#REF!$#REF!"</definedName>
    <definedName name="__pv2_60">"$#REF!.$#REF!$#REF!"</definedName>
    <definedName name="__pv2_61">"$#REF!.$#REF!$#REF!"</definedName>
    <definedName name="__pv2_62">"$#REF!.$#REF!$#REF!"</definedName>
    <definedName name="__pv2_7">"$#REF!.$#REF!$#REF!"</definedName>
    <definedName name="__pv2_72">"$#REF!.$#REF!$#REF!"</definedName>
    <definedName name="__pv2_73">"$#REF!.$#REF!$#REF!"</definedName>
    <definedName name="__pv2_8">"$#REF!.$#REF!$#REF!"</definedName>
    <definedName name="__rr3_21" localSheetId="29">#REF!</definedName>
    <definedName name="__rr3_33">#REF!</definedName>
    <definedName name="__rr3_34">#REF!</definedName>
    <definedName name="__rrr1_21" localSheetId="29">#REF!</definedName>
    <definedName name="__rrr1_33">#REF!</definedName>
    <definedName name="__rrr1_34">#REF!</definedName>
    <definedName name="__RS300" localSheetId="8">#REF!</definedName>
    <definedName name="__RS300" localSheetId="10">#REF!</definedName>
    <definedName name="__RS300" localSheetId="29">#REF!</definedName>
    <definedName name="__RS300">#REF!</definedName>
    <definedName name="__SD1">#REF!</definedName>
    <definedName name="__SD10" localSheetId="8">#REF!</definedName>
    <definedName name="__SD10" localSheetId="10">#REF!</definedName>
    <definedName name="__SD10" localSheetId="29">#REF!</definedName>
    <definedName name="__SD10">#REF!</definedName>
    <definedName name="__SD100" localSheetId="8">#REF!</definedName>
    <definedName name="__SD100" localSheetId="10">#REF!</definedName>
    <definedName name="__SD100" localSheetId="29">#REF!</definedName>
    <definedName name="__SD100">#REF!</definedName>
    <definedName name="__SD101" localSheetId="8">#REF!</definedName>
    <definedName name="__SD101" localSheetId="10">#REF!</definedName>
    <definedName name="__SD101" localSheetId="29">#REF!</definedName>
    <definedName name="__SD101">#REF!</definedName>
    <definedName name="__SD102" localSheetId="8">#REF!</definedName>
    <definedName name="__SD102" localSheetId="10">#REF!</definedName>
    <definedName name="__SD102" localSheetId="29">#REF!</definedName>
    <definedName name="__SD102">#REF!</definedName>
    <definedName name="__SD103" localSheetId="8">#REF!</definedName>
    <definedName name="__SD103" localSheetId="10">#REF!</definedName>
    <definedName name="__SD103" localSheetId="29">#REF!</definedName>
    <definedName name="__SD103">#REF!</definedName>
    <definedName name="__SD104" localSheetId="8">#REF!</definedName>
    <definedName name="__SD104" localSheetId="10">#REF!</definedName>
    <definedName name="__SD104" localSheetId="29">#REF!</definedName>
    <definedName name="__SD104">#REF!</definedName>
    <definedName name="__SD105" localSheetId="8">#REF!</definedName>
    <definedName name="__SD105" localSheetId="10">#REF!</definedName>
    <definedName name="__SD105" localSheetId="29">#REF!</definedName>
    <definedName name="__SD105">#REF!</definedName>
    <definedName name="__SD106" localSheetId="8">#REF!</definedName>
    <definedName name="__SD106" localSheetId="10">#REF!</definedName>
    <definedName name="__SD106" localSheetId="29">#REF!</definedName>
    <definedName name="__SD106">#REF!</definedName>
    <definedName name="__SD107" localSheetId="8">#REF!</definedName>
    <definedName name="__SD107" localSheetId="10">#REF!</definedName>
    <definedName name="__SD107" localSheetId="29">#REF!</definedName>
    <definedName name="__SD107">#REF!</definedName>
    <definedName name="__SD108" localSheetId="8">#REF!</definedName>
    <definedName name="__SD108" localSheetId="10">#REF!</definedName>
    <definedName name="__SD108" localSheetId="29">#REF!</definedName>
    <definedName name="__SD108">#REF!</definedName>
    <definedName name="__SD109" localSheetId="8">#REF!</definedName>
    <definedName name="__SD109" localSheetId="10">#REF!</definedName>
    <definedName name="__SD109" localSheetId="29">#REF!</definedName>
    <definedName name="__SD109">#REF!</definedName>
    <definedName name="__SD11" localSheetId="8">#REF!</definedName>
    <definedName name="__SD11" localSheetId="10">#REF!</definedName>
    <definedName name="__SD11" localSheetId="29">#REF!</definedName>
    <definedName name="__SD11">#REF!</definedName>
    <definedName name="__SD110" localSheetId="8">#REF!</definedName>
    <definedName name="__SD110" localSheetId="10">#REF!</definedName>
    <definedName name="__SD110" localSheetId="29">#REF!</definedName>
    <definedName name="__SD110">#REF!</definedName>
    <definedName name="__SD111" localSheetId="8">#REF!</definedName>
    <definedName name="__SD111" localSheetId="10">#REF!</definedName>
    <definedName name="__SD111" localSheetId="29">#REF!</definedName>
    <definedName name="__SD111">#REF!</definedName>
    <definedName name="__SD112" localSheetId="8">#REF!</definedName>
    <definedName name="__SD112" localSheetId="10">#REF!</definedName>
    <definedName name="__SD112" localSheetId="29">#REF!</definedName>
    <definedName name="__SD112">#REF!</definedName>
    <definedName name="__SD113" localSheetId="8">#REF!</definedName>
    <definedName name="__SD113" localSheetId="10">#REF!</definedName>
    <definedName name="__SD113" localSheetId="29">#REF!</definedName>
    <definedName name="__SD113">#REF!</definedName>
    <definedName name="__SD114" localSheetId="8">#REF!</definedName>
    <definedName name="__SD114" localSheetId="10">#REF!</definedName>
    <definedName name="__SD114" localSheetId="29">#REF!</definedName>
    <definedName name="__SD114">#REF!</definedName>
    <definedName name="__SD115" localSheetId="8">#REF!</definedName>
    <definedName name="__SD115" localSheetId="10">#REF!</definedName>
    <definedName name="__SD115" localSheetId="29">#REF!</definedName>
    <definedName name="__SD115">#REF!</definedName>
    <definedName name="__SD116" localSheetId="8">#REF!</definedName>
    <definedName name="__SD116" localSheetId="10">#REF!</definedName>
    <definedName name="__SD116" localSheetId="29">#REF!</definedName>
    <definedName name="__SD116">#REF!</definedName>
    <definedName name="__SD117" localSheetId="8">#REF!</definedName>
    <definedName name="__SD117" localSheetId="10">#REF!</definedName>
    <definedName name="__SD117" localSheetId="29">#REF!</definedName>
    <definedName name="__SD117">#REF!</definedName>
    <definedName name="__SD118" localSheetId="8">#REF!</definedName>
    <definedName name="__SD118" localSheetId="10">#REF!</definedName>
    <definedName name="__SD118" localSheetId="29">#REF!</definedName>
    <definedName name="__SD118">#REF!</definedName>
    <definedName name="__SD119" localSheetId="8">#REF!</definedName>
    <definedName name="__SD119" localSheetId="10">#REF!</definedName>
    <definedName name="__SD119" localSheetId="29">#REF!</definedName>
    <definedName name="__SD119">#REF!</definedName>
    <definedName name="__SD12" localSheetId="8">#REF!</definedName>
    <definedName name="__SD12" localSheetId="10">#REF!</definedName>
    <definedName name="__SD12" localSheetId="29">#REF!</definedName>
    <definedName name="__SD12">#REF!</definedName>
    <definedName name="__SD121" localSheetId="8">#REF!</definedName>
    <definedName name="__SD121" localSheetId="10">#REF!</definedName>
    <definedName name="__SD121" localSheetId="29">#REF!</definedName>
    <definedName name="__SD121">#REF!</definedName>
    <definedName name="__SD122" localSheetId="8">#REF!</definedName>
    <definedName name="__SD122" localSheetId="10">#REF!</definedName>
    <definedName name="__SD122" localSheetId="29">#REF!</definedName>
    <definedName name="__SD122">#REF!</definedName>
    <definedName name="__SD123" localSheetId="8">#REF!</definedName>
    <definedName name="__SD123" localSheetId="10">#REF!</definedName>
    <definedName name="__SD123" localSheetId="29">#REF!</definedName>
    <definedName name="__SD123">#REF!</definedName>
    <definedName name="__SD124" localSheetId="8">#REF!</definedName>
    <definedName name="__SD124" localSheetId="10">#REF!</definedName>
    <definedName name="__SD124" localSheetId="29">#REF!</definedName>
    <definedName name="__SD124">#REF!</definedName>
    <definedName name="__SD125" localSheetId="8">#REF!</definedName>
    <definedName name="__SD125" localSheetId="10">#REF!</definedName>
    <definedName name="__SD125" localSheetId="29">#REF!</definedName>
    <definedName name="__SD125">#REF!</definedName>
    <definedName name="__SD126" localSheetId="8">#REF!</definedName>
    <definedName name="__SD126" localSheetId="10">#REF!</definedName>
    <definedName name="__SD126" localSheetId="29">#REF!</definedName>
    <definedName name="__SD126">#REF!</definedName>
    <definedName name="__SD127" localSheetId="8">#REF!</definedName>
    <definedName name="__SD127" localSheetId="10">#REF!</definedName>
    <definedName name="__SD127" localSheetId="29">#REF!</definedName>
    <definedName name="__SD127">#REF!</definedName>
    <definedName name="__SD128" localSheetId="8">#REF!</definedName>
    <definedName name="__SD128" localSheetId="10">#REF!</definedName>
    <definedName name="__SD128" localSheetId="29">#REF!</definedName>
    <definedName name="__SD128">#REF!</definedName>
    <definedName name="__SD129" localSheetId="8">#REF!</definedName>
    <definedName name="__SD129" localSheetId="10">#REF!</definedName>
    <definedName name="__SD129" localSheetId="29">#REF!</definedName>
    <definedName name="__SD129">#REF!</definedName>
    <definedName name="__SD13" localSheetId="8">#REF!</definedName>
    <definedName name="__SD13" localSheetId="10">#REF!</definedName>
    <definedName name="__SD13" localSheetId="29">#REF!</definedName>
    <definedName name="__SD13">#REF!</definedName>
    <definedName name="__SD130" localSheetId="8">#REF!</definedName>
    <definedName name="__SD130" localSheetId="10">#REF!</definedName>
    <definedName name="__SD130" localSheetId="29">#REF!</definedName>
    <definedName name="__SD130">#REF!</definedName>
    <definedName name="__SD131" localSheetId="8">#REF!</definedName>
    <definedName name="__SD131" localSheetId="10">#REF!</definedName>
    <definedName name="__SD131" localSheetId="29">#REF!</definedName>
    <definedName name="__SD131">#REF!</definedName>
    <definedName name="__SD132" localSheetId="8">#REF!</definedName>
    <definedName name="__SD132" localSheetId="10">#REF!</definedName>
    <definedName name="__SD132" localSheetId="29">#REF!</definedName>
    <definedName name="__SD132">#REF!</definedName>
    <definedName name="__SD133" localSheetId="8">#REF!</definedName>
    <definedName name="__SD133" localSheetId="10">#REF!</definedName>
    <definedName name="__SD133" localSheetId="29">#REF!</definedName>
    <definedName name="__SD133">#REF!</definedName>
    <definedName name="__SD134" localSheetId="8">#REF!</definedName>
    <definedName name="__SD134" localSheetId="10">#REF!</definedName>
    <definedName name="__SD134" localSheetId="29">#REF!</definedName>
    <definedName name="__SD134">#REF!</definedName>
    <definedName name="__SD135" localSheetId="8">#REF!</definedName>
    <definedName name="__SD135" localSheetId="10">#REF!</definedName>
    <definedName name="__SD135" localSheetId="29">#REF!</definedName>
    <definedName name="__SD135">#REF!</definedName>
    <definedName name="__SD136" localSheetId="8">#REF!</definedName>
    <definedName name="__SD136" localSheetId="10">#REF!</definedName>
    <definedName name="__SD136" localSheetId="29">#REF!</definedName>
    <definedName name="__SD136">#REF!</definedName>
    <definedName name="__SD137" localSheetId="8">#REF!</definedName>
    <definedName name="__SD137" localSheetId="10">#REF!</definedName>
    <definedName name="__SD137" localSheetId="29">#REF!</definedName>
    <definedName name="__SD137">#REF!</definedName>
    <definedName name="__SD138" localSheetId="8">#REF!</definedName>
    <definedName name="__SD138" localSheetId="10">#REF!</definedName>
    <definedName name="__SD138" localSheetId="29">#REF!</definedName>
    <definedName name="__SD138">#REF!</definedName>
    <definedName name="__SD139" localSheetId="8">#REF!</definedName>
    <definedName name="__SD139" localSheetId="10">#REF!</definedName>
    <definedName name="__SD139" localSheetId="29">#REF!</definedName>
    <definedName name="__SD139">#REF!</definedName>
    <definedName name="__SD14" localSheetId="8">#REF!</definedName>
    <definedName name="__SD14" localSheetId="10">#REF!</definedName>
    <definedName name="__SD14" localSheetId="29">#REF!</definedName>
    <definedName name="__SD14">#REF!</definedName>
    <definedName name="__SD140" localSheetId="8">#REF!</definedName>
    <definedName name="__SD140" localSheetId="10">#REF!</definedName>
    <definedName name="__SD140" localSheetId="29">#REF!</definedName>
    <definedName name="__SD140">#REF!</definedName>
    <definedName name="__SD141" localSheetId="8">#REF!</definedName>
    <definedName name="__SD141" localSheetId="10">#REF!</definedName>
    <definedName name="__SD141" localSheetId="29">#REF!</definedName>
    <definedName name="__SD141">#REF!</definedName>
    <definedName name="__SD142" localSheetId="8">#REF!</definedName>
    <definedName name="__SD142" localSheetId="10">#REF!</definedName>
    <definedName name="__SD142" localSheetId="29">#REF!</definedName>
    <definedName name="__SD142">#REF!</definedName>
    <definedName name="__SD143" localSheetId="8">#REF!</definedName>
    <definedName name="__SD143" localSheetId="10">#REF!</definedName>
    <definedName name="__SD143" localSheetId="29">#REF!</definedName>
    <definedName name="__SD143">#REF!</definedName>
    <definedName name="__SD144" localSheetId="8">#REF!</definedName>
    <definedName name="__SD144" localSheetId="10">#REF!</definedName>
    <definedName name="__SD144" localSheetId="29">#REF!</definedName>
    <definedName name="__SD144">#REF!</definedName>
    <definedName name="__SD145" localSheetId="8">#REF!</definedName>
    <definedName name="__SD145" localSheetId="10">#REF!</definedName>
    <definedName name="__SD145" localSheetId="29">#REF!</definedName>
    <definedName name="__SD145">#REF!</definedName>
    <definedName name="__SD146" localSheetId="8">#REF!</definedName>
    <definedName name="__SD146" localSheetId="10">#REF!</definedName>
    <definedName name="__SD146" localSheetId="29">#REF!</definedName>
    <definedName name="__SD146">#REF!</definedName>
    <definedName name="__SD147" localSheetId="8">#REF!</definedName>
    <definedName name="__SD147" localSheetId="10">#REF!</definedName>
    <definedName name="__SD147" localSheetId="29">#REF!</definedName>
    <definedName name="__SD147">#REF!</definedName>
    <definedName name="__SD148" localSheetId="8">#REF!</definedName>
    <definedName name="__SD148" localSheetId="10">#REF!</definedName>
    <definedName name="__SD148" localSheetId="29">#REF!</definedName>
    <definedName name="__SD148">#REF!</definedName>
    <definedName name="__SD149" localSheetId="8">#REF!</definedName>
    <definedName name="__SD149" localSheetId="10">#REF!</definedName>
    <definedName name="__SD149" localSheetId="29">#REF!</definedName>
    <definedName name="__SD149">#REF!</definedName>
    <definedName name="__SD15" localSheetId="8">#REF!</definedName>
    <definedName name="__SD15" localSheetId="10">#REF!</definedName>
    <definedName name="__SD15" localSheetId="29">#REF!</definedName>
    <definedName name="__SD15">#REF!</definedName>
    <definedName name="__SD150" localSheetId="8">#REF!</definedName>
    <definedName name="__SD150" localSheetId="10">#REF!</definedName>
    <definedName name="__SD150" localSheetId="29">#REF!</definedName>
    <definedName name="__SD150">#REF!</definedName>
    <definedName name="__SD16" localSheetId="8">#REF!</definedName>
    <definedName name="__SD16" localSheetId="10">#REF!</definedName>
    <definedName name="__SD16" localSheetId="29">#REF!</definedName>
    <definedName name="__SD16">#REF!</definedName>
    <definedName name="__SD17" localSheetId="8">#REF!</definedName>
    <definedName name="__SD17" localSheetId="10">#REF!</definedName>
    <definedName name="__SD17" localSheetId="29">#REF!</definedName>
    <definedName name="__SD17">#REF!</definedName>
    <definedName name="__SD18" localSheetId="8">#REF!</definedName>
    <definedName name="__SD18" localSheetId="10">#REF!</definedName>
    <definedName name="__SD18" localSheetId="29">#REF!</definedName>
    <definedName name="__SD18">#REF!</definedName>
    <definedName name="__SD19" localSheetId="8">#REF!</definedName>
    <definedName name="__SD19" localSheetId="10">#REF!</definedName>
    <definedName name="__SD19" localSheetId="29">#REF!</definedName>
    <definedName name="__SD19">#REF!</definedName>
    <definedName name="__SD2" localSheetId="8">#REF!</definedName>
    <definedName name="__SD2" localSheetId="10">#REF!</definedName>
    <definedName name="__SD2" localSheetId="29">#REF!</definedName>
    <definedName name="__SD2">#REF!</definedName>
    <definedName name="__SD20" localSheetId="8">#REF!</definedName>
    <definedName name="__SD20" localSheetId="10">#REF!</definedName>
    <definedName name="__SD20" localSheetId="29">#REF!</definedName>
    <definedName name="__SD20">#REF!</definedName>
    <definedName name="__SD21" localSheetId="8">#REF!</definedName>
    <definedName name="__SD21" localSheetId="10">#REF!</definedName>
    <definedName name="__SD21" localSheetId="29">#REF!</definedName>
    <definedName name="__SD21">#REF!</definedName>
    <definedName name="__SD22" localSheetId="8">#REF!</definedName>
    <definedName name="__SD22" localSheetId="10">#REF!</definedName>
    <definedName name="__SD22" localSheetId="29">#REF!</definedName>
    <definedName name="__SD22">#REF!</definedName>
    <definedName name="__SD23" localSheetId="8">#REF!</definedName>
    <definedName name="__SD23" localSheetId="10">#REF!</definedName>
    <definedName name="__SD23" localSheetId="29">#REF!</definedName>
    <definedName name="__SD23">#REF!</definedName>
    <definedName name="__SD24" localSheetId="8">#REF!</definedName>
    <definedName name="__SD24" localSheetId="10">#REF!</definedName>
    <definedName name="__SD24" localSheetId="29">#REF!</definedName>
    <definedName name="__SD24">#REF!</definedName>
    <definedName name="__SD25" localSheetId="8">#REF!</definedName>
    <definedName name="__SD25" localSheetId="10">#REF!</definedName>
    <definedName name="__SD25" localSheetId="29">#REF!</definedName>
    <definedName name="__SD25">#REF!</definedName>
    <definedName name="__SD250" localSheetId="8">#REF!</definedName>
    <definedName name="__SD250" localSheetId="10">#REF!</definedName>
    <definedName name="__SD250" localSheetId="29">#REF!</definedName>
    <definedName name="__SD250">#REF!</definedName>
    <definedName name="__SD26" localSheetId="8">#REF!</definedName>
    <definedName name="__SD26" localSheetId="10">#REF!</definedName>
    <definedName name="__SD26" localSheetId="29">#REF!</definedName>
    <definedName name="__SD26">#REF!</definedName>
    <definedName name="__SD27" localSheetId="8">#REF!</definedName>
    <definedName name="__SD27" localSheetId="10">#REF!</definedName>
    <definedName name="__SD27" localSheetId="29">#REF!</definedName>
    <definedName name="__SD27">#REF!</definedName>
    <definedName name="__SD28" localSheetId="8">#REF!</definedName>
    <definedName name="__SD28" localSheetId="10">#REF!</definedName>
    <definedName name="__SD28" localSheetId="29">#REF!</definedName>
    <definedName name="__SD28">#REF!</definedName>
    <definedName name="__SD29" localSheetId="8">#REF!</definedName>
    <definedName name="__SD29" localSheetId="10">#REF!</definedName>
    <definedName name="__SD29" localSheetId="29">#REF!</definedName>
    <definedName name="__SD29">#REF!</definedName>
    <definedName name="__SD3" localSheetId="8">#REF!</definedName>
    <definedName name="__SD3" localSheetId="10">#REF!</definedName>
    <definedName name="__SD3" localSheetId="29">#REF!</definedName>
    <definedName name="__SD3">#REF!</definedName>
    <definedName name="__SD30" localSheetId="8">#REF!</definedName>
    <definedName name="__SD30" localSheetId="10">#REF!</definedName>
    <definedName name="__SD30" localSheetId="29">#REF!</definedName>
    <definedName name="__SD30">#REF!</definedName>
    <definedName name="__SD31" localSheetId="8">#REF!</definedName>
    <definedName name="__SD31" localSheetId="10">#REF!</definedName>
    <definedName name="__SD31" localSheetId="29">#REF!</definedName>
    <definedName name="__SD31">#REF!</definedName>
    <definedName name="__SD32" localSheetId="8">#REF!</definedName>
    <definedName name="__SD32" localSheetId="10">#REF!</definedName>
    <definedName name="__SD32" localSheetId="29">#REF!</definedName>
    <definedName name="__SD32">#REF!</definedName>
    <definedName name="__SD33" localSheetId="8">#REF!</definedName>
    <definedName name="__SD33" localSheetId="10">#REF!</definedName>
    <definedName name="__SD33" localSheetId="29">#REF!</definedName>
    <definedName name="__SD33">#REF!</definedName>
    <definedName name="__SD34" localSheetId="8">#REF!</definedName>
    <definedName name="__SD34" localSheetId="10">#REF!</definedName>
    <definedName name="__SD34" localSheetId="29">#REF!</definedName>
    <definedName name="__SD34">#REF!</definedName>
    <definedName name="__SD35" localSheetId="8">#REF!</definedName>
    <definedName name="__SD35" localSheetId="10">#REF!</definedName>
    <definedName name="__SD35" localSheetId="29">#REF!</definedName>
    <definedName name="__SD35">#REF!</definedName>
    <definedName name="__SD36" localSheetId="8">#REF!</definedName>
    <definedName name="__SD36" localSheetId="10">#REF!</definedName>
    <definedName name="__SD36" localSheetId="29">#REF!</definedName>
    <definedName name="__SD36">#REF!</definedName>
    <definedName name="__SD37" localSheetId="8">#REF!</definedName>
    <definedName name="__SD37" localSheetId="10">#REF!</definedName>
    <definedName name="__SD37" localSheetId="29">#REF!</definedName>
    <definedName name="__SD37">#REF!</definedName>
    <definedName name="__SD38" localSheetId="8">#REF!</definedName>
    <definedName name="__SD38" localSheetId="10">#REF!</definedName>
    <definedName name="__SD38" localSheetId="29">#REF!</definedName>
    <definedName name="__SD38">#REF!</definedName>
    <definedName name="__SD39" localSheetId="8">#REF!</definedName>
    <definedName name="__SD39" localSheetId="10">#REF!</definedName>
    <definedName name="__SD39" localSheetId="29">#REF!</definedName>
    <definedName name="__SD39">#REF!</definedName>
    <definedName name="__SD4" localSheetId="8">#REF!</definedName>
    <definedName name="__SD4" localSheetId="10">#REF!</definedName>
    <definedName name="__SD4" localSheetId="29">#REF!</definedName>
    <definedName name="__SD4">#REF!</definedName>
    <definedName name="__SD40" localSheetId="8">#REF!</definedName>
    <definedName name="__SD40" localSheetId="10">#REF!</definedName>
    <definedName name="__SD40" localSheetId="29">#REF!</definedName>
    <definedName name="__SD40">#REF!</definedName>
    <definedName name="__SD41" localSheetId="8">#REF!</definedName>
    <definedName name="__SD41" localSheetId="10">#REF!</definedName>
    <definedName name="__SD41" localSheetId="29">#REF!</definedName>
    <definedName name="__SD41">#REF!</definedName>
    <definedName name="__SD42" localSheetId="8">#REF!</definedName>
    <definedName name="__SD42" localSheetId="10">#REF!</definedName>
    <definedName name="__SD42" localSheetId="29">#REF!</definedName>
    <definedName name="__SD42">#REF!</definedName>
    <definedName name="__SD43" localSheetId="8">#REF!</definedName>
    <definedName name="__SD43" localSheetId="10">#REF!</definedName>
    <definedName name="__SD43" localSheetId="29">#REF!</definedName>
    <definedName name="__SD43">#REF!</definedName>
    <definedName name="__SD44" localSheetId="8">#REF!</definedName>
    <definedName name="__SD44" localSheetId="10">#REF!</definedName>
    <definedName name="__SD44" localSheetId="29">#REF!</definedName>
    <definedName name="__SD44">#REF!</definedName>
    <definedName name="__SD45" localSheetId="8">#REF!</definedName>
    <definedName name="__SD45" localSheetId="10">#REF!</definedName>
    <definedName name="__SD45" localSheetId="29">#REF!</definedName>
    <definedName name="__SD45">#REF!</definedName>
    <definedName name="__SD46" localSheetId="8">#REF!</definedName>
    <definedName name="__SD46" localSheetId="10">#REF!</definedName>
    <definedName name="__SD46" localSheetId="29">#REF!</definedName>
    <definedName name="__SD46">#REF!</definedName>
    <definedName name="__SD47" localSheetId="8">#REF!</definedName>
    <definedName name="__SD47" localSheetId="10">#REF!</definedName>
    <definedName name="__SD47" localSheetId="29">#REF!</definedName>
    <definedName name="__SD47">#REF!</definedName>
    <definedName name="__SD48" localSheetId="8">#REF!</definedName>
    <definedName name="__SD48" localSheetId="10">#REF!</definedName>
    <definedName name="__SD48" localSheetId="29">#REF!</definedName>
    <definedName name="__SD48">#REF!</definedName>
    <definedName name="__SD49" localSheetId="8">#REF!</definedName>
    <definedName name="__SD49" localSheetId="10">#REF!</definedName>
    <definedName name="__SD49" localSheetId="29">#REF!</definedName>
    <definedName name="__SD49">#REF!</definedName>
    <definedName name="__SD5" localSheetId="8">#REF!</definedName>
    <definedName name="__SD5" localSheetId="10">#REF!</definedName>
    <definedName name="__SD5" localSheetId="29">#REF!</definedName>
    <definedName name="__SD5">#REF!</definedName>
    <definedName name="__SD50" localSheetId="8">#REF!</definedName>
    <definedName name="__SD50" localSheetId="10">#REF!</definedName>
    <definedName name="__SD50" localSheetId="29">#REF!</definedName>
    <definedName name="__SD50">#REF!</definedName>
    <definedName name="__SD500" localSheetId="8">#REF!</definedName>
    <definedName name="__SD500" localSheetId="10">#REF!</definedName>
    <definedName name="__SD500" localSheetId="29">#REF!</definedName>
    <definedName name="__SD500">#REF!</definedName>
    <definedName name="__SD51" localSheetId="8">#REF!</definedName>
    <definedName name="__SD51" localSheetId="10">#REF!</definedName>
    <definedName name="__SD51" localSheetId="29">#REF!</definedName>
    <definedName name="__SD51">#REF!</definedName>
    <definedName name="__SD52" localSheetId="8">#REF!</definedName>
    <definedName name="__SD52" localSheetId="10">#REF!</definedName>
    <definedName name="__SD52" localSheetId="29">#REF!</definedName>
    <definedName name="__SD52">#REF!</definedName>
    <definedName name="__SD53" localSheetId="8">#REF!</definedName>
    <definedName name="__SD53" localSheetId="10">#REF!</definedName>
    <definedName name="__SD53" localSheetId="29">#REF!</definedName>
    <definedName name="__SD53">#REF!</definedName>
    <definedName name="__SD54" localSheetId="8">#REF!</definedName>
    <definedName name="__SD54" localSheetId="10">#REF!</definedName>
    <definedName name="__SD54" localSheetId="29">#REF!</definedName>
    <definedName name="__SD54">#REF!</definedName>
    <definedName name="__SD55" localSheetId="8">#REF!</definedName>
    <definedName name="__SD55" localSheetId="10">#REF!</definedName>
    <definedName name="__SD55" localSheetId="29">#REF!</definedName>
    <definedName name="__SD55">#REF!</definedName>
    <definedName name="__SD56" localSheetId="8">#REF!</definedName>
    <definedName name="__SD56" localSheetId="10">#REF!</definedName>
    <definedName name="__SD56" localSheetId="29">#REF!</definedName>
    <definedName name="__SD56">#REF!</definedName>
    <definedName name="__SD57" localSheetId="8">#REF!</definedName>
    <definedName name="__SD57" localSheetId="10">#REF!</definedName>
    <definedName name="__SD57" localSheetId="29">#REF!</definedName>
    <definedName name="__SD57">#REF!</definedName>
    <definedName name="__SD58" localSheetId="8">#REF!</definedName>
    <definedName name="__SD58" localSheetId="10">#REF!</definedName>
    <definedName name="__SD58" localSheetId="29">#REF!</definedName>
    <definedName name="__SD58">#REF!</definedName>
    <definedName name="__SD59" localSheetId="8">#REF!</definedName>
    <definedName name="__SD59" localSheetId="10">#REF!</definedName>
    <definedName name="__SD59" localSheetId="29">#REF!</definedName>
    <definedName name="__SD59">#REF!</definedName>
    <definedName name="__SD6" localSheetId="8">#REF!</definedName>
    <definedName name="__SD6" localSheetId="10">#REF!</definedName>
    <definedName name="__SD6" localSheetId="29">#REF!</definedName>
    <definedName name="__SD6">#REF!</definedName>
    <definedName name="__SD60" localSheetId="8">#REF!</definedName>
    <definedName name="__SD60" localSheetId="10">#REF!</definedName>
    <definedName name="__SD60" localSheetId="29">#REF!</definedName>
    <definedName name="__SD60">#REF!</definedName>
    <definedName name="__SD61" localSheetId="8">#REF!</definedName>
    <definedName name="__SD61" localSheetId="10">#REF!</definedName>
    <definedName name="__SD61" localSheetId="29">#REF!</definedName>
    <definedName name="__SD61">#REF!</definedName>
    <definedName name="__SD62" localSheetId="8">#REF!</definedName>
    <definedName name="__SD62" localSheetId="10">#REF!</definedName>
    <definedName name="__SD62" localSheetId="29">#REF!</definedName>
    <definedName name="__SD62">#REF!</definedName>
    <definedName name="__SD63" localSheetId="8">#REF!</definedName>
    <definedName name="__SD63" localSheetId="10">#REF!</definedName>
    <definedName name="__SD63" localSheetId="29">#REF!</definedName>
    <definedName name="__SD63">#REF!</definedName>
    <definedName name="__SD64" localSheetId="8">#REF!</definedName>
    <definedName name="__SD64" localSheetId="10">#REF!</definedName>
    <definedName name="__SD64" localSheetId="29">#REF!</definedName>
    <definedName name="__SD64">#REF!</definedName>
    <definedName name="__SD65" localSheetId="8">#REF!</definedName>
    <definedName name="__SD65" localSheetId="10">#REF!</definedName>
    <definedName name="__SD65" localSheetId="29">#REF!</definedName>
    <definedName name="__SD65">#REF!</definedName>
    <definedName name="__SD66" localSheetId="8">#REF!</definedName>
    <definedName name="__SD66" localSheetId="10">#REF!</definedName>
    <definedName name="__SD66" localSheetId="29">#REF!</definedName>
    <definedName name="__SD66">#REF!</definedName>
    <definedName name="__SD67" localSheetId="8">#REF!</definedName>
    <definedName name="__SD67" localSheetId="10">#REF!</definedName>
    <definedName name="__SD67" localSheetId="29">#REF!</definedName>
    <definedName name="__SD67">#REF!</definedName>
    <definedName name="__SD68" localSheetId="8">#REF!</definedName>
    <definedName name="__SD68" localSheetId="10">#REF!</definedName>
    <definedName name="__SD68" localSheetId="29">#REF!</definedName>
    <definedName name="__SD68">#REF!</definedName>
    <definedName name="__SD69" localSheetId="8">#REF!</definedName>
    <definedName name="__SD69" localSheetId="10">#REF!</definedName>
    <definedName name="__SD69" localSheetId="29">#REF!</definedName>
    <definedName name="__SD69">#REF!</definedName>
    <definedName name="__SD7" localSheetId="8">#REF!</definedName>
    <definedName name="__SD7" localSheetId="10">#REF!</definedName>
    <definedName name="__SD7" localSheetId="29">#REF!</definedName>
    <definedName name="__SD7">#REF!</definedName>
    <definedName name="__SD70" localSheetId="8">#REF!</definedName>
    <definedName name="__SD70" localSheetId="10">#REF!</definedName>
    <definedName name="__SD70" localSheetId="29">#REF!</definedName>
    <definedName name="__SD70">#REF!</definedName>
    <definedName name="__SD71" localSheetId="8">#REF!</definedName>
    <definedName name="__SD71" localSheetId="10">#REF!</definedName>
    <definedName name="__SD71" localSheetId="29">#REF!</definedName>
    <definedName name="__SD71">#REF!</definedName>
    <definedName name="__SD72" localSheetId="8">#REF!</definedName>
    <definedName name="__SD72" localSheetId="10">#REF!</definedName>
    <definedName name="__SD72" localSheetId="29">#REF!</definedName>
    <definedName name="__SD72">#REF!</definedName>
    <definedName name="__SD73" localSheetId="8">#REF!</definedName>
    <definedName name="__SD73" localSheetId="10">#REF!</definedName>
    <definedName name="__SD73" localSheetId="29">#REF!</definedName>
    <definedName name="__SD73">#REF!</definedName>
    <definedName name="__SD74" localSheetId="8">#REF!</definedName>
    <definedName name="__SD74" localSheetId="10">#REF!</definedName>
    <definedName name="__SD74" localSheetId="29">#REF!</definedName>
    <definedName name="__SD74">#REF!</definedName>
    <definedName name="__SD75" localSheetId="8">#REF!</definedName>
    <definedName name="__SD75" localSheetId="10">#REF!</definedName>
    <definedName name="__SD75" localSheetId="29">#REF!</definedName>
    <definedName name="__SD75">#REF!</definedName>
    <definedName name="__SD76" localSheetId="8">#REF!</definedName>
    <definedName name="__SD76" localSheetId="10">#REF!</definedName>
    <definedName name="__SD76" localSheetId="29">#REF!</definedName>
    <definedName name="__SD76">#REF!</definedName>
    <definedName name="__SD77" localSheetId="8">#REF!</definedName>
    <definedName name="__SD77" localSheetId="10">#REF!</definedName>
    <definedName name="__SD77" localSheetId="29">#REF!</definedName>
    <definedName name="__SD77">#REF!</definedName>
    <definedName name="__SD78" localSheetId="8">#REF!</definedName>
    <definedName name="__SD78" localSheetId="10">#REF!</definedName>
    <definedName name="__SD78" localSheetId="29">#REF!</definedName>
    <definedName name="__SD78">#REF!</definedName>
    <definedName name="__SD79" localSheetId="8">#REF!</definedName>
    <definedName name="__SD79" localSheetId="10">#REF!</definedName>
    <definedName name="__SD79" localSheetId="29">#REF!</definedName>
    <definedName name="__SD79">#REF!</definedName>
    <definedName name="__SD8" localSheetId="8">#REF!</definedName>
    <definedName name="__SD8" localSheetId="10">#REF!</definedName>
    <definedName name="__SD8" localSheetId="29">#REF!</definedName>
    <definedName name="__SD8">#REF!</definedName>
    <definedName name="__SD80" localSheetId="8">#REF!</definedName>
    <definedName name="__SD80" localSheetId="10">#REF!</definedName>
    <definedName name="__SD80" localSheetId="29">#REF!</definedName>
    <definedName name="__SD80">#REF!</definedName>
    <definedName name="__SD81" localSheetId="8">#REF!</definedName>
    <definedName name="__SD81" localSheetId="10">#REF!</definedName>
    <definedName name="__SD81" localSheetId="29">#REF!</definedName>
    <definedName name="__SD81">#REF!</definedName>
    <definedName name="__SD82" localSheetId="8">#REF!</definedName>
    <definedName name="__SD82" localSheetId="10">#REF!</definedName>
    <definedName name="__SD82" localSheetId="29">#REF!</definedName>
    <definedName name="__SD82">#REF!</definedName>
    <definedName name="__SD83" localSheetId="8">#REF!</definedName>
    <definedName name="__SD83" localSheetId="10">#REF!</definedName>
    <definedName name="__SD83" localSheetId="29">#REF!</definedName>
    <definedName name="__SD83">#REF!</definedName>
    <definedName name="__SD84" localSheetId="8">#REF!</definedName>
    <definedName name="__SD84" localSheetId="10">#REF!</definedName>
    <definedName name="__SD84" localSheetId="29">#REF!</definedName>
    <definedName name="__SD84">#REF!</definedName>
    <definedName name="__SD85" localSheetId="8">#REF!</definedName>
    <definedName name="__SD85" localSheetId="10">#REF!</definedName>
    <definedName name="__SD85" localSheetId="29">#REF!</definedName>
    <definedName name="__SD85">#REF!</definedName>
    <definedName name="__SD86" localSheetId="8">#REF!</definedName>
    <definedName name="__SD86" localSheetId="10">#REF!</definedName>
    <definedName name="__SD86" localSheetId="29">#REF!</definedName>
    <definedName name="__SD86">#REF!</definedName>
    <definedName name="__SD87" localSheetId="8">#REF!</definedName>
    <definedName name="__SD87" localSheetId="10">#REF!</definedName>
    <definedName name="__SD87" localSheetId="29">#REF!</definedName>
    <definedName name="__SD87">#REF!</definedName>
    <definedName name="__SD88" localSheetId="8">#REF!</definedName>
    <definedName name="__SD88" localSheetId="10">#REF!</definedName>
    <definedName name="__SD88" localSheetId="29">#REF!</definedName>
    <definedName name="__SD88">#REF!</definedName>
    <definedName name="__SD89" localSheetId="8">#REF!</definedName>
    <definedName name="__SD89" localSheetId="10">#REF!</definedName>
    <definedName name="__SD89" localSheetId="29">#REF!</definedName>
    <definedName name="__SD89">#REF!</definedName>
    <definedName name="__SD9" localSheetId="8">#REF!</definedName>
    <definedName name="__SD9" localSheetId="10">#REF!</definedName>
    <definedName name="__SD9" localSheetId="29">#REF!</definedName>
    <definedName name="__SD9">#REF!</definedName>
    <definedName name="__SD90" localSheetId="8">#REF!</definedName>
    <definedName name="__SD90" localSheetId="10">#REF!</definedName>
    <definedName name="__SD90" localSheetId="29">#REF!</definedName>
    <definedName name="__SD90">#REF!</definedName>
    <definedName name="__SD91" localSheetId="8">#REF!</definedName>
    <definedName name="__SD91" localSheetId="10">#REF!</definedName>
    <definedName name="__SD91" localSheetId="29">#REF!</definedName>
    <definedName name="__SD91">#REF!</definedName>
    <definedName name="__SD92" localSheetId="8">#REF!</definedName>
    <definedName name="__SD92" localSheetId="10">#REF!</definedName>
    <definedName name="__SD92" localSheetId="29">#REF!</definedName>
    <definedName name="__SD92">#REF!</definedName>
    <definedName name="__SD93" localSheetId="8">#REF!</definedName>
    <definedName name="__SD93" localSheetId="10">#REF!</definedName>
    <definedName name="__SD93" localSheetId="29">#REF!</definedName>
    <definedName name="__SD93">#REF!</definedName>
    <definedName name="__SD94" localSheetId="8">#REF!</definedName>
    <definedName name="__SD94" localSheetId="10">#REF!</definedName>
    <definedName name="__SD94" localSheetId="29">#REF!</definedName>
    <definedName name="__SD94">#REF!</definedName>
    <definedName name="__SD95" localSheetId="8">#REF!</definedName>
    <definedName name="__SD95" localSheetId="10">#REF!</definedName>
    <definedName name="__SD95" localSheetId="29">#REF!</definedName>
    <definedName name="__SD95">#REF!</definedName>
    <definedName name="__SD96" localSheetId="8">#REF!</definedName>
    <definedName name="__SD96" localSheetId="10">#REF!</definedName>
    <definedName name="__SD96" localSheetId="29">#REF!</definedName>
    <definedName name="__SD96">#REF!</definedName>
    <definedName name="__SD97" localSheetId="8">#REF!</definedName>
    <definedName name="__SD97" localSheetId="10">#REF!</definedName>
    <definedName name="__SD97" localSheetId="29">#REF!</definedName>
    <definedName name="__SD97">#REF!</definedName>
    <definedName name="__SD98" localSheetId="8">#REF!</definedName>
    <definedName name="__SD98" localSheetId="10">#REF!</definedName>
    <definedName name="__SD98" localSheetId="29">#REF!</definedName>
    <definedName name="__SD98">#REF!</definedName>
    <definedName name="__SD99" localSheetId="8">#REF!</definedName>
    <definedName name="__SD99" localSheetId="10">#REF!</definedName>
    <definedName name="__SD99" localSheetId="29">#REF!</definedName>
    <definedName name="__SD99">#REF!</definedName>
    <definedName name="__SO016" localSheetId="8">#REF!</definedName>
    <definedName name="__SO016" localSheetId="10">#REF!</definedName>
    <definedName name="__SO016" localSheetId="11">#REF!</definedName>
    <definedName name="__SO016" localSheetId="29">#REF!</definedName>
    <definedName name="__SO016">#REF!</definedName>
    <definedName name="__SP001" localSheetId="8">#REF!</definedName>
    <definedName name="__SP001" localSheetId="10">#REF!</definedName>
    <definedName name="__SP001" localSheetId="11">#REF!</definedName>
    <definedName name="__SP001" localSheetId="29">#REF!</definedName>
    <definedName name="__SP001">#REF!</definedName>
    <definedName name="__SP002" localSheetId="8">#REF!</definedName>
    <definedName name="__SP002" localSheetId="10">#REF!</definedName>
    <definedName name="__SP002" localSheetId="11">#REF!</definedName>
    <definedName name="__SP002" localSheetId="29">#REF!</definedName>
    <definedName name="__SP002">#REF!</definedName>
    <definedName name="__SP003" localSheetId="8">#REF!</definedName>
    <definedName name="__SP003" localSheetId="10">#REF!</definedName>
    <definedName name="__SP003" localSheetId="11">#REF!</definedName>
    <definedName name="__SP003" localSheetId="29">#REF!</definedName>
    <definedName name="__SP003">#REF!</definedName>
    <definedName name="__SP004" localSheetId="8">#REF!</definedName>
    <definedName name="__SP004" localSheetId="10">#REF!</definedName>
    <definedName name="__SP004" localSheetId="11">#REF!</definedName>
    <definedName name="__SP004" localSheetId="29">#REF!</definedName>
    <definedName name="__SP004">#REF!</definedName>
    <definedName name="__SP005" localSheetId="8">#REF!</definedName>
    <definedName name="__SP005" localSheetId="10">#REF!</definedName>
    <definedName name="__SP005" localSheetId="11">#REF!</definedName>
    <definedName name="__SP005" localSheetId="29">#REF!</definedName>
    <definedName name="__SP005">#REF!</definedName>
    <definedName name="__SP006" localSheetId="8">#REF!</definedName>
    <definedName name="__SP006" localSheetId="10">#REF!</definedName>
    <definedName name="__SP006" localSheetId="11">#REF!</definedName>
    <definedName name="__SP006" localSheetId="29">#REF!</definedName>
    <definedName name="__SP006">#REF!</definedName>
    <definedName name="__SP007" localSheetId="8">#REF!</definedName>
    <definedName name="__SP007" localSheetId="10">#REF!</definedName>
    <definedName name="__SP007" localSheetId="11">#REF!</definedName>
    <definedName name="__SP007" localSheetId="29">#REF!</definedName>
    <definedName name="__SP007">#REF!</definedName>
    <definedName name="__SP008" localSheetId="8">#REF!</definedName>
    <definedName name="__SP008" localSheetId="10">#REF!</definedName>
    <definedName name="__SP008" localSheetId="11">#REF!</definedName>
    <definedName name="__SP008" localSheetId="29">#REF!</definedName>
    <definedName name="__SP008">#REF!</definedName>
    <definedName name="__SP009" localSheetId="8">#REF!</definedName>
    <definedName name="__SP009" localSheetId="10">#REF!</definedName>
    <definedName name="__SP009" localSheetId="11">#REF!</definedName>
    <definedName name="__SP009" localSheetId="29">#REF!</definedName>
    <definedName name="__SP009">#REF!</definedName>
    <definedName name="__SP010" localSheetId="8">#REF!</definedName>
    <definedName name="__SP010" localSheetId="10">#REF!</definedName>
    <definedName name="__SP010" localSheetId="11">#REF!</definedName>
    <definedName name="__SP010" localSheetId="29">#REF!</definedName>
    <definedName name="__SP010">#REF!</definedName>
    <definedName name="__SP011" localSheetId="8">#REF!</definedName>
    <definedName name="__SP011" localSheetId="10">#REF!</definedName>
    <definedName name="__SP011" localSheetId="11">#REF!</definedName>
    <definedName name="__SP011" localSheetId="29">#REF!</definedName>
    <definedName name="__SP011">#REF!</definedName>
    <definedName name="__SP012" localSheetId="8">#REF!</definedName>
    <definedName name="__SP012" localSheetId="10">#REF!</definedName>
    <definedName name="__SP012" localSheetId="11">#REF!</definedName>
    <definedName name="__SP012" localSheetId="29">#REF!</definedName>
    <definedName name="__SP012">#REF!</definedName>
    <definedName name="__SP013" localSheetId="8">#REF!</definedName>
    <definedName name="__SP013" localSheetId="10">#REF!</definedName>
    <definedName name="__SP013" localSheetId="11">#REF!</definedName>
    <definedName name="__SP013" localSheetId="29">#REF!</definedName>
    <definedName name="__SP013">#REF!</definedName>
    <definedName name="__SP014" localSheetId="8">#REF!</definedName>
    <definedName name="__SP014" localSheetId="10">#REF!</definedName>
    <definedName name="__SP014" localSheetId="11">#REF!</definedName>
    <definedName name="__SP014" localSheetId="29">#REF!</definedName>
    <definedName name="__SP014">#REF!</definedName>
    <definedName name="__SP015" localSheetId="8">#REF!</definedName>
    <definedName name="__SP015" localSheetId="10">#REF!</definedName>
    <definedName name="__SP015" localSheetId="11">#REF!</definedName>
    <definedName name="__SP015" localSheetId="29">#REF!</definedName>
    <definedName name="__SP015">#REF!</definedName>
    <definedName name="__SP016" localSheetId="8">#REF!</definedName>
    <definedName name="__SP016" localSheetId="10">#REF!</definedName>
    <definedName name="__SP016" localSheetId="11">#REF!</definedName>
    <definedName name="__SP016" localSheetId="29">#REF!</definedName>
    <definedName name="__SP016">#REF!</definedName>
    <definedName name="__SP017" localSheetId="8">#REF!</definedName>
    <definedName name="__SP017" localSheetId="10">#REF!</definedName>
    <definedName name="__SP017" localSheetId="11">#REF!</definedName>
    <definedName name="__SP017" localSheetId="29">#REF!</definedName>
    <definedName name="__SP017">#REF!</definedName>
    <definedName name="__SP018" localSheetId="8">#REF!</definedName>
    <definedName name="__SP018" localSheetId="10">#REF!</definedName>
    <definedName name="__SP018" localSheetId="11">#REF!</definedName>
    <definedName name="__SP018" localSheetId="29">#REF!</definedName>
    <definedName name="__SP018">#REF!</definedName>
    <definedName name="__SP019" localSheetId="8">#REF!</definedName>
    <definedName name="__SP019" localSheetId="10">#REF!</definedName>
    <definedName name="__SP019" localSheetId="11">#REF!</definedName>
    <definedName name="__SP019" localSheetId="29">#REF!</definedName>
    <definedName name="__SP019">#REF!</definedName>
    <definedName name="__SP020" localSheetId="8">#REF!</definedName>
    <definedName name="__SP020" localSheetId="10">#REF!</definedName>
    <definedName name="__SP020" localSheetId="11">#REF!</definedName>
    <definedName name="__SP020" localSheetId="29">#REF!</definedName>
    <definedName name="__SP020">#REF!</definedName>
    <definedName name="__SP021" localSheetId="8">#REF!</definedName>
    <definedName name="__SP021" localSheetId="10">#REF!</definedName>
    <definedName name="__SP021" localSheetId="11">#REF!</definedName>
    <definedName name="__SP021" localSheetId="29">#REF!</definedName>
    <definedName name="__SP021">#REF!</definedName>
    <definedName name="__SP022" localSheetId="8">#REF!</definedName>
    <definedName name="__SP022" localSheetId="10">#REF!</definedName>
    <definedName name="__SP022" localSheetId="11">#REF!</definedName>
    <definedName name="__SP022" localSheetId="29">#REF!</definedName>
    <definedName name="__SP022">#REF!</definedName>
    <definedName name="__SP023" localSheetId="8">#REF!</definedName>
    <definedName name="__SP023" localSheetId="10">#REF!</definedName>
    <definedName name="__SP023" localSheetId="11">#REF!</definedName>
    <definedName name="__SP023" localSheetId="29">#REF!</definedName>
    <definedName name="__SP023">#REF!</definedName>
    <definedName name="__SP024" localSheetId="8">#REF!</definedName>
    <definedName name="__SP024" localSheetId="10">#REF!</definedName>
    <definedName name="__SP024" localSheetId="11">#REF!</definedName>
    <definedName name="__SP024" localSheetId="29">#REF!</definedName>
    <definedName name="__SP024">#REF!</definedName>
    <definedName name="__SP025" localSheetId="8">#REF!</definedName>
    <definedName name="__SP025" localSheetId="10">#REF!</definedName>
    <definedName name="__SP025" localSheetId="11">#REF!</definedName>
    <definedName name="__SP025" localSheetId="29">#REF!</definedName>
    <definedName name="__SP025">#REF!</definedName>
    <definedName name="__SP026" localSheetId="8">#REF!</definedName>
    <definedName name="__SP026" localSheetId="10">#REF!</definedName>
    <definedName name="__SP026" localSheetId="11">#REF!</definedName>
    <definedName name="__SP026" localSheetId="29">#REF!</definedName>
    <definedName name="__SP026">#REF!</definedName>
    <definedName name="__SP027" localSheetId="8">#REF!</definedName>
    <definedName name="__SP027" localSheetId="10">#REF!</definedName>
    <definedName name="__SP027" localSheetId="11">#REF!</definedName>
    <definedName name="__SP027" localSheetId="29">#REF!</definedName>
    <definedName name="__SP027">#REF!</definedName>
    <definedName name="__SP028" localSheetId="8">#REF!</definedName>
    <definedName name="__SP028" localSheetId="10">#REF!</definedName>
    <definedName name="__SP028" localSheetId="11">#REF!</definedName>
    <definedName name="__SP028" localSheetId="29">#REF!</definedName>
    <definedName name="__SP028">#REF!</definedName>
    <definedName name="__SP029" localSheetId="8">#REF!</definedName>
    <definedName name="__SP029" localSheetId="10">#REF!</definedName>
    <definedName name="__SP029" localSheetId="11">#REF!</definedName>
    <definedName name="__SP029" localSheetId="29">#REF!</definedName>
    <definedName name="__SP029">#REF!</definedName>
    <definedName name="__SP030" localSheetId="8">#REF!</definedName>
    <definedName name="__SP030" localSheetId="10">#REF!</definedName>
    <definedName name="__SP030" localSheetId="11">#REF!</definedName>
    <definedName name="__SP030" localSheetId="29">#REF!</definedName>
    <definedName name="__SP030">#REF!</definedName>
    <definedName name="__SP031" localSheetId="8">#REF!</definedName>
    <definedName name="__SP031" localSheetId="10">#REF!</definedName>
    <definedName name="__SP031" localSheetId="11">#REF!</definedName>
    <definedName name="__SP031" localSheetId="29">#REF!</definedName>
    <definedName name="__SP031">#REF!</definedName>
    <definedName name="__SP032" localSheetId="8">#REF!</definedName>
    <definedName name="__SP032" localSheetId="10">#REF!</definedName>
    <definedName name="__SP032" localSheetId="11">#REF!</definedName>
    <definedName name="__SP032" localSheetId="29">#REF!</definedName>
    <definedName name="__SP032">#REF!</definedName>
    <definedName name="__SP033" localSheetId="8">#REF!</definedName>
    <definedName name="__SP033" localSheetId="10">#REF!</definedName>
    <definedName name="__SP033" localSheetId="11">#REF!</definedName>
    <definedName name="__SP033" localSheetId="29">#REF!</definedName>
    <definedName name="__SP033">#REF!</definedName>
    <definedName name="__SP034" localSheetId="8">#REF!</definedName>
    <definedName name="__SP034" localSheetId="10">#REF!</definedName>
    <definedName name="__SP034" localSheetId="11">#REF!</definedName>
    <definedName name="__SP034" localSheetId="29">#REF!</definedName>
    <definedName name="__SP034">#REF!</definedName>
    <definedName name="__SP035" localSheetId="8">#REF!</definedName>
    <definedName name="__SP035" localSheetId="10">#REF!</definedName>
    <definedName name="__SP035" localSheetId="11">#REF!</definedName>
    <definedName name="__SP035" localSheetId="29">#REF!</definedName>
    <definedName name="__SP035">#REF!</definedName>
    <definedName name="__SP036" localSheetId="8">#REF!</definedName>
    <definedName name="__SP036" localSheetId="10">#REF!</definedName>
    <definedName name="__SP036" localSheetId="11">#REF!</definedName>
    <definedName name="__SP036" localSheetId="29">#REF!</definedName>
    <definedName name="__SP036">#REF!</definedName>
    <definedName name="__SP037" localSheetId="8">#REF!</definedName>
    <definedName name="__SP037" localSheetId="10">#REF!</definedName>
    <definedName name="__SP037" localSheetId="11">#REF!</definedName>
    <definedName name="__SP037" localSheetId="29">#REF!</definedName>
    <definedName name="__SP037">#REF!</definedName>
    <definedName name="__SP038" localSheetId="8">#REF!</definedName>
    <definedName name="__SP038" localSheetId="10">#REF!</definedName>
    <definedName name="__SP038" localSheetId="11">#REF!</definedName>
    <definedName name="__SP038" localSheetId="29">#REF!</definedName>
    <definedName name="__SP038">#REF!</definedName>
    <definedName name="__SP039" localSheetId="8">#REF!</definedName>
    <definedName name="__SP039" localSheetId="10">#REF!</definedName>
    <definedName name="__SP039" localSheetId="11">#REF!</definedName>
    <definedName name="__SP039" localSheetId="29">#REF!</definedName>
    <definedName name="__SP039">#REF!</definedName>
    <definedName name="__SP040" localSheetId="8">#REF!</definedName>
    <definedName name="__SP040" localSheetId="10">#REF!</definedName>
    <definedName name="__SP040" localSheetId="11">#REF!</definedName>
    <definedName name="__SP040" localSheetId="29">#REF!</definedName>
    <definedName name="__SP040">#REF!</definedName>
    <definedName name="__SP041" localSheetId="8">#REF!</definedName>
    <definedName name="__SP041" localSheetId="10">#REF!</definedName>
    <definedName name="__SP041" localSheetId="11">#REF!</definedName>
    <definedName name="__SP041" localSheetId="29">#REF!</definedName>
    <definedName name="__SP041">#REF!</definedName>
    <definedName name="__SP042" localSheetId="8">#REF!</definedName>
    <definedName name="__SP042" localSheetId="10">#REF!</definedName>
    <definedName name="__SP042" localSheetId="11">#REF!</definedName>
    <definedName name="__SP042" localSheetId="29">#REF!</definedName>
    <definedName name="__SP042">#REF!</definedName>
    <definedName name="__SP043" localSheetId="8">#REF!</definedName>
    <definedName name="__SP043" localSheetId="10">#REF!</definedName>
    <definedName name="__SP043" localSheetId="11">#REF!</definedName>
    <definedName name="__SP043" localSheetId="29">#REF!</definedName>
    <definedName name="__SP043">#REF!</definedName>
    <definedName name="__SP044" localSheetId="8">#REF!</definedName>
    <definedName name="__SP044" localSheetId="10">#REF!</definedName>
    <definedName name="__SP044" localSheetId="11">#REF!</definedName>
    <definedName name="__SP044" localSheetId="29">#REF!</definedName>
    <definedName name="__SP044">#REF!</definedName>
    <definedName name="__SP045" localSheetId="8">#REF!</definedName>
    <definedName name="__SP045" localSheetId="10">#REF!</definedName>
    <definedName name="__SP045" localSheetId="11">#REF!</definedName>
    <definedName name="__SP045" localSheetId="29">#REF!</definedName>
    <definedName name="__SP045">#REF!</definedName>
    <definedName name="__SP046" localSheetId="8">#REF!</definedName>
    <definedName name="__SP046" localSheetId="10">#REF!</definedName>
    <definedName name="__SP046" localSheetId="11">#REF!</definedName>
    <definedName name="__SP046" localSheetId="29">#REF!</definedName>
    <definedName name="__SP046">#REF!</definedName>
    <definedName name="__SP047" localSheetId="8">#REF!</definedName>
    <definedName name="__SP047" localSheetId="10">#REF!</definedName>
    <definedName name="__SP047" localSheetId="11">#REF!</definedName>
    <definedName name="__SP047" localSheetId="29">#REF!</definedName>
    <definedName name="__SP047">#REF!</definedName>
    <definedName name="__SP048" localSheetId="8">#REF!</definedName>
    <definedName name="__SP048" localSheetId="10">#REF!</definedName>
    <definedName name="__SP048" localSheetId="11">#REF!</definedName>
    <definedName name="__SP048" localSheetId="29">#REF!</definedName>
    <definedName name="__SP048">#REF!</definedName>
    <definedName name="__SP049" localSheetId="8">#REF!</definedName>
    <definedName name="__SP049" localSheetId="10">#REF!</definedName>
    <definedName name="__SP049" localSheetId="11">#REF!</definedName>
    <definedName name="__SP049" localSheetId="29">#REF!</definedName>
    <definedName name="__SP049">#REF!</definedName>
    <definedName name="__SP050" localSheetId="8">#REF!</definedName>
    <definedName name="__SP050" localSheetId="10">#REF!</definedName>
    <definedName name="__SP050" localSheetId="11">#REF!</definedName>
    <definedName name="__SP050" localSheetId="29">#REF!</definedName>
    <definedName name="__SP050">#REF!</definedName>
    <definedName name="__SP051" localSheetId="8">#REF!</definedName>
    <definedName name="__SP051" localSheetId="10">#REF!</definedName>
    <definedName name="__SP051" localSheetId="11">#REF!</definedName>
    <definedName name="__SP051" localSheetId="29">#REF!</definedName>
    <definedName name="__SP051">#REF!</definedName>
    <definedName name="__SP052" localSheetId="8">#REF!</definedName>
    <definedName name="__SP052" localSheetId="10">#REF!</definedName>
    <definedName name="__SP052" localSheetId="11">#REF!</definedName>
    <definedName name="__SP052" localSheetId="29">#REF!</definedName>
    <definedName name="__SP052">#REF!</definedName>
    <definedName name="__SP053" localSheetId="8">#REF!</definedName>
    <definedName name="__SP053" localSheetId="10">#REF!</definedName>
    <definedName name="__SP053" localSheetId="11">#REF!</definedName>
    <definedName name="__SP053" localSheetId="29">#REF!</definedName>
    <definedName name="__SP053">#REF!</definedName>
    <definedName name="__SP054" localSheetId="8">#REF!</definedName>
    <definedName name="__SP054" localSheetId="10">#REF!</definedName>
    <definedName name="__SP054" localSheetId="11">#REF!</definedName>
    <definedName name="__SP054" localSheetId="29">#REF!</definedName>
    <definedName name="__SP054">#REF!</definedName>
    <definedName name="__SP055" localSheetId="8">#REF!</definedName>
    <definedName name="__SP055" localSheetId="10">#REF!</definedName>
    <definedName name="__SP055" localSheetId="11">#REF!</definedName>
    <definedName name="__SP055" localSheetId="29">#REF!</definedName>
    <definedName name="__SP055">#REF!</definedName>
    <definedName name="__SP056" localSheetId="8">#REF!</definedName>
    <definedName name="__SP056" localSheetId="10">#REF!</definedName>
    <definedName name="__SP056" localSheetId="11">#REF!</definedName>
    <definedName name="__SP056" localSheetId="29">#REF!</definedName>
    <definedName name="__SP056">#REF!</definedName>
    <definedName name="__SP057" localSheetId="8">#REF!</definedName>
    <definedName name="__SP057" localSheetId="10">#REF!</definedName>
    <definedName name="__SP057" localSheetId="11">#REF!</definedName>
    <definedName name="__SP057" localSheetId="29">#REF!</definedName>
    <definedName name="__SP057">#REF!</definedName>
    <definedName name="__SP058" localSheetId="8">#REF!</definedName>
    <definedName name="__SP058" localSheetId="10">#REF!</definedName>
    <definedName name="__SP058" localSheetId="11">#REF!</definedName>
    <definedName name="__SP058" localSheetId="29">#REF!</definedName>
    <definedName name="__SP058">#REF!</definedName>
    <definedName name="__SP059" localSheetId="8">#REF!</definedName>
    <definedName name="__SP059" localSheetId="10">#REF!</definedName>
    <definedName name="__SP059" localSheetId="11">#REF!</definedName>
    <definedName name="__SP059" localSheetId="29">#REF!</definedName>
    <definedName name="__SP059">#REF!</definedName>
    <definedName name="__SP060" localSheetId="8">#REF!</definedName>
    <definedName name="__SP060" localSheetId="10">#REF!</definedName>
    <definedName name="__SP060" localSheetId="11">#REF!</definedName>
    <definedName name="__SP060" localSheetId="29">#REF!</definedName>
    <definedName name="__SP060">#REF!</definedName>
    <definedName name="__SP061" localSheetId="8">#REF!</definedName>
    <definedName name="__SP061" localSheetId="10">#REF!</definedName>
    <definedName name="__SP061" localSheetId="11">#REF!</definedName>
    <definedName name="__SP061" localSheetId="29">#REF!</definedName>
    <definedName name="__SP061">#REF!</definedName>
    <definedName name="__SP062" localSheetId="8">#REF!</definedName>
    <definedName name="__SP062" localSheetId="10">#REF!</definedName>
    <definedName name="__SP062" localSheetId="11">#REF!</definedName>
    <definedName name="__SP062" localSheetId="29">#REF!</definedName>
    <definedName name="__SP062">#REF!</definedName>
    <definedName name="__SP063" localSheetId="8">#REF!</definedName>
    <definedName name="__SP063" localSheetId="10">#REF!</definedName>
    <definedName name="__SP063" localSheetId="11">#REF!</definedName>
    <definedName name="__SP063" localSheetId="29">#REF!</definedName>
    <definedName name="__SP063">#REF!</definedName>
    <definedName name="__SP064" localSheetId="8">#REF!</definedName>
    <definedName name="__SP064" localSheetId="10">#REF!</definedName>
    <definedName name="__SP064" localSheetId="11">#REF!</definedName>
    <definedName name="__SP064" localSheetId="29">#REF!</definedName>
    <definedName name="__SP064">#REF!</definedName>
    <definedName name="__SP065" localSheetId="8">#REF!</definedName>
    <definedName name="__SP065" localSheetId="10">#REF!</definedName>
    <definedName name="__SP065" localSheetId="11">#REF!</definedName>
    <definedName name="__SP065" localSheetId="29">#REF!</definedName>
    <definedName name="__SP065">#REF!</definedName>
    <definedName name="__SP066" localSheetId="8">#REF!</definedName>
    <definedName name="__SP066" localSheetId="10">#REF!</definedName>
    <definedName name="__SP066" localSheetId="11">#REF!</definedName>
    <definedName name="__SP066" localSheetId="29">#REF!</definedName>
    <definedName name="__SP066">#REF!</definedName>
    <definedName name="__SP067" localSheetId="8">#REF!</definedName>
    <definedName name="__SP067" localSheetId="10">#REF!</definedName>
    <definedName name="__SP067" localSheetId="11">#REF!</definedName>
    <definedName name="__SP067" localSheetId="29">#REF!</definedName>
    <definedName name="__SP067">#REF!</definedName>
    <definedName name="__SP068" localSheetId="8">#REF!</definedName>
    <definedName name="__SP068" localSheetId="10">#REF!</definedName>
    <definedName name="__SP068" localSheetId="11">#REF!</definedName>
    <definedName name="__SP068" localSheetId="29">#REF!</definedName>
    <definedName name="__SP068">#REF!</definedName>
    <definedName name="__SP069" localSheetId="8">#REF!</definedName>
    <definedName name="__SP069" localSheetId="10">#REF!</definedName>
    <definedName name="__SP069" localSheetId="11">#REF!</definedName>
    <definedName name="__SP069" localSheetId="29">#REF!</definedName>
    <definedName name="__SP069">#REF!</definedName>
    <definedName name="__SP070" localSheetId="8">#REF!</definedName>
    <definedName name="__SP070" localSheetId="10">#REF!</definedName>
    <definedName name="__SP070" localSheetId="11">#REF!</definedName>
    <definedName name="__SP070" localSheetId="29">#REF!</definedName>
    <definedName name="__SP070">#REF!</definedName>
    <definedName name="__sp071" localSheetId="8">#REF!</definedName>
    <definedName name="__sp071" localSheetId="10">#REF!</definedName>
    <definedName name="__sp071" localSheetId="11">#REF!</definedName>
    <definedName name="__sp071" localSheetId="29">#REF!</definedName>
    <definedName name="__sp071">#REF!</definedName>
    <definedName name="__SP072" localSheetId="8">#REF!</definedName>
    <definedName name="__SP072" localSheetId="10">#REF!</definedName>
    <definedName name="__SP072" localSheetId="11">#REF!</definedName>
    <definedName name="__SP072" localSheetId="29">#REF!</definedName>
    <definedName name="__SP072">#REF!</definedName>
    <definedName name="__SP073" localSheetId="8">#REF!</definedName>
    <definedName name="__SP073" localSheetId="10">#REF!</definedName>
    <definedName name="__SP073" localSheetId="11">#REF!</definedName>
    <definedName name="__SP073" localSheetId="29">#REF!</definedName>
    <definedName name="__SP073">#REF!</definedName>
    <definedName name="__SP074" localSheetId="8">#REF!</definedName>
    <definedName name="__SP074" localSheetId="10">#REF!</definedName>
    <definedName name="__SP074" localSheetId="11">#REF!</definedName>
    <definedName name="__SP074" localSheetId="29">#REF!</definedName>
    <definedName name="__SP074">#REF!</definedName>
    <definedName name="__SP075" localSheetId="8">#REF!</definedName>
    <definedName name="__SP075" localSheetId="10">#REF!</definedName>
    <definedName name="__SP075" localSheetId="11">#REF!</definedName>
    <definedName name="__SP075" localSheetId="29">#REF!</definedName>
    <definedName name="__SP075">#REF!</definedName>
    <definedName name="__SP076" localSheetId="8">#REF!</definedName>
    <definedName name="__SP076" localSheetId="10">#REF!</definedName>
    <definedName name="__SP076" localSheetId="11">#REF!</definedName>
    <definedName name="__SP076" localSheetId="29">#REF!</definedName>
    <definedName name="__SP076">#REF!</definedName>
    <definedName name="__SP077" localSheetId="8">#REF!</definedName>
    <definedName name="__SP077" localSheetId="10">#REF!</definedName>
    <definedName name="__SP077" localSheetId="11">#REF!</definedName>
    <definedName name="__SP077" localSheetId="29">#REF!</definedName>
    <definedName name="__SP077">#REF!</definedName>
    <definedName name="__sp078" localSheetId="8">#REF!</definedName>
    <definedName name="__sp078" localSheetId="10">#REF!</definedName>
    <definedName name="__sp078" localSheetId="11">#REF!</definedName>
    <definedName name="__sp078" localSheetId="29">#REF!</definedName>
    <definedName name="__sp078">#REF!</definedName>
    <definedName name="__SPO79" localSheetId="8">#REF!</definedName>
    <definedName name="__SPO79" localSheetId="10">#REF!</definedName>
    <definedName name="__SPO79" localSheetId="11">#REF!</definedName>
    <definedName name="__SPO79" localSheetId="29">#REF!</definedName>
    <definedName name="__SPO79">#REF!</definedName>
    <definedName name="__ss12_21" localSheetId="29">#REF!</definedName>
    <definedName name="__ss12_33">#REF!</definedName>
    <definedName name="__ss12_34">#REF!</definedName>
    <definedName name="__ss20_21" localSheetId="29">#REF!</definedName>
    <definedName name="__ss20_33">#REF!</definedName>
    <definedName name="__ss20_34">#REF!</definedName>
    <definedName name="__ss40_21" localSheetId="29">#REF!</definedName>
    <definedName name="__ss40_33">#REF!</definedName>
    <definedName name="__ss40_34">#REF!</definedName>
    <definedName name="__sw1" localSheetId="29">#REF!</definedName>
    <definedName name="__t1">#REF!</definedName>
    <definedName name="__t2">#REF!</definedName>
    <definedName name="__tab1">#REF!</definedName>
    <definedName name="__us1" localSheetId="29">#REF!</definedName>
    <definedName name="__var04">#REF!</definedName>
    <definedName name="__var1" localSheetId="21">#REF!</definedName>
    <definedName name="__var1" localSheetId="5">#REF!</definedName>
    <definedName name="__var1" localSheetId="8">#REF!</definedName>
    <definedName name="__var1" localSheetId="10">#REF!</definedName>
    <definedName name="__var1" localSheetId="11">#REF!</definedName>
    <definedName name="__var1" localSheetId="29">#REF!</definedName>
    <definedName name="__var1" localSheetId="31">#REF!</definedName>
    <definedName name="__var1" localSheetId="35">#REF!</definedName>
    <definedName name="__var1" localSheetId="36">#REF!</definedName>
    <definedName name="__var1">#REF!</definedName>
    <definedName name="__var1_23">"$#REF!.$#REF!$#REF!"</definedName>
    <definedName name="__var1_33">"$#REF!.$#REF!$#REF!"</definedName>
    <definedName name="__var1_34">"$#REF!.$#REF!$#REF!"</definedName>
    <definedName name="__var1_38">"$#REF!.$#REF!$#REF!"</definedName>
    <definedName name="__var1_41">"$#REF!.$#REF!$#REF!"</definedName>
    <definedName name="__var1_43">"$#REF!.$#REF!$#REF!"</definedName>
    <definedName name="__var1_48">"$#REF!.$#REF!$#REF!"</definedName>
    <definedName name="__var1_57">"$#REF!.$#REF!$#REF!"</definedName>
    <definedName name="__var1_59">"$#REF!.$#REF!$#REF!"</definedName>
    <definedName name="__var1_60">"$#REF!.$#REF!$#REF!"</definedName>
    <definedName name="__var1_61">"$#REF!.$#REF!$#REF!"</definedName>
    <definedName name="__var1_62">"$#REF!.$#REF!$#REF!"</definedName>
    <definedName name="__var1_7">"$#REF!.$#REF!$#REF!"</definedName>
    <definedName name="__var1_72">"$#REF!.$#REF!$#REF!"</definedName>
    <definedName name="__var1_73">"$#REF!.$#REF!$#REF!"</definedName>
    <definedName name="__var1_8">"$#REF!.$#REF!$#REF!"</definedName>
    <definedName name="__var4" localSheetId="21">#REF!</definedName>
    <definedName name="__var4" localSheetId="5">#REF!</definedName>
    <definedName name="__var4" localSheetId="8">#REF!</definedName>
    <definedName name="__var4" localSheetId="10">#REF!</definedName>
    <definedName name="__var4" localSheetId="11">#REF!</definedName>
    <definedName name="__var4" localSheetId="29">#REF!</definedName>
    <definedName name="__var4" localSheetId="31">#REF!</definedName>
    <definedName name="__var4" localSheetId="35">#REF!</definedName>
    <definedName name="__var4" localSheetId="36">#REF!</definedName>
    <definedName name="__var4">#REF!</definedName>
    <definedName name="__var4_23">"$#REF!.$#REF!$#REF!"</definedName>
    <definedName name="__var4_33">"$#REF!.$#REF!$#REF!"</definedName>
    <definedName name="__var4_34">"$#REF!.$#REF!$#REF!"</definedName>
    <definedName name="__var4_38">"$#REF!.$#REF!$#REF!"</definedName>
    <definedName name="__var4_41">"$#REF!.$#REF!$#REF!"</definedName>
    <definedName name="__var4_43">"$#REF!.$#REF!$#REF!"</definedName>
    <definedName name="__var4_48">"$#REF!.$#REF!$#REF!"</definedName>
    <definedName name="__var4_57">"$#REF!.$#REF!$#REF!"</definedName>
    <definedName name="__var4_59">"$#REF!.$#REF!$#REF!"</definedName>
    <definedName name="__var4_60">"$#REF!.$#REF!$#REF!"</definedName>
    <definedName name="__var4_61">"$#REF!.$#REF!$#REF!"</definedName>
    <definedName name="__var4_62">"$#REF!.$#REF!$#REF!"</definedName>
    <definedName name="__var4_7">"$#REF!.$#REF!$#REF!"</definedName>
    <definedName name="__var4_72">"$#REF!.$#REF!$#REF!"</definedName>
    <definedName name="__var4_73">"$#REF!.$#REF!$#REF!"</definedName>
    <definedName name="__var4_8">"$#REF!.$#REF!$#REF!"</definedName>
    <definedName name="__vat1" localSheetId="8">#REF!</definedName>
    <definedName name="__vat1" localSheetId="10">#REF!</definedName>
    <definedName name="__vat1" localSheetId="29">#REF!</definedName>
    <definedName name="__vat1">#REF!</definedName>
    <definedName name="__vat2" localSheetId="8">#REF!</definedName>
    <definedName name="__vat2" localSheetId="10">#REF!</definedName>
    <definedName name="__vat2" localSheetId="29">#REF!</definedName>
    <definedName name="__vat2">#REF!</definedName>
    <definedName name="__xh11010" localSheetId="8">#REF!</definedName>
    <definedName name="__xh11010" localSheetId="10">#REF!</definedName>
    <definedName name="__xh11010" localSheetId="11">#REF!</definedName>
    <definedName name="__xh11010" localSheetId="29">#REF!</definedName>
    <definedName name="__xh11010">#REF!</definedName>
    <definedName name="__xh1104" localSheetId="8">#REF!</definedName>
    <definedName name="__xh1104" localSheetId="10">#REF!</definedName>
    <definedName name="__xh1104" localSheetId="11">#REF!</definedName>
    <definedName name="__xh1104" localSheetId="29">#REF!</definedName>
    <definedName name="__xh1104">#REF!</definedName>
    <definedName name="__xh1106" localSheetId="8">#REF!</definedName>
    <definedName name="__xh1106" localSheetId="10">#REF!</definedName>
    <definedName name="__xh1106" localSheetId="11">#REF!</definedName>
    <definedName name="__xh1106" localSheetId="29">#REF!</definedName>
    <definedName name="__xh1106">#REF!</definedName>
    <definedName name="__xh1108" localSheetId="8">#REF!</definedName>
    <definedName name="__xh1108" localSheetId="10">#REF!</definedName>
    <definedName name="__xh1108" localSheetId="11">#REF!</definedName>
    <definedName name="__xh1108" localSheetId="29">#REF!</definedName>
    <definedName name="__xh1108">#REF!</definedName>
    <definedName name="__xh12510" localSheetId="8">#REF!</definedName>
    <definedName name="__xh12510" localSheetId="10">#REF!</definedName>
    <definedName name="__xh12510" localSheetId="11">#REF!</definedName>
    <definedName name="__xh12510" localSheetId="29">#REF!</definedName>
    <definedName name="__xh12510">#REF!</definedName>
    <definedName name="__xh1254" localSheetId="8">#REF!</definedName>
    <definedName name="__xh1254" localSheetId="10">#REF!</definedName>
    <definedName name="__xh1254" localSheetId="11">#REF!</definedName>
    <definedName name="__xh1254" localSheetId="29">#REF!</definedName>
    <definedName name="__xh1254">#REF!</definedName>
    <definedName name="__xh1256" localSheetId="8">#REF!</definedName>
    <definedName name="__xh1256" localSheetId="10">#REF!</definedName>
    <definedName name="__xh1256" localSheetId="11">#REF!</definedName>
    <definedName name="__xh1256" localSheetId="29">#REF!</definedName>
    <definedName name="__xh1256">#REF!</definedName>
    <definedName name="__xh1258" localSheetId="8">#REF!</definedName>
    <definedName name="__xh1258" localSheetId="10">#REF!</definedName>
    <definedName name="__xh1258" localSheetId="11">#REF!</definedName>
    <definedName name="__xh1258" localSheetId="29">#REF!</definedName>
    <definedName name="__xh1258">#REF!</definedName>
    <definedName name="__xh14010" localSheetId="8">#REF!</definedName>
    <definedName name="__xh14010" localSheetId="10">#REF!</definedName>
    <definedName name="__xh14010" localSheetId="11">#REF!</definedName>
    <definedName name="__xh14010" localSheetId="29">#REF!</definedName>
    <definedName name="__xh14010">#REF!</definedName>
    <definedName name="__xh1404" localSheetId="8">#REF!</definedName>
    <definedName name="__xh1404" localSheetId="10">#REF!</definedName>
    <definedName name="__xh1404" localSheetId="11">#REF!</definedName>
    <definedName name="__xh1404" localSheetId="29">#REF!</definedName>
    <definedName name="__xh1404">#REF!</definedName>
    <definedName name="__xh1406" localSheetId="8">#REF!</definedName>
    <definedName name="__xh1406" localSheetId="10">#REF!</definedName>
    <definedName name="__xh1406" localSheetId="11">#REF!</definedName>
    <definedName name="__xh1406" localSheetId="29">#REF!</definedName>
    <definedName name="__xh1406">#REF!</definedName>
    <definedName name="__xh1408" localSheetId="8">#REF!</definedName>
    <definedName name="__xh1408" localSheetId="10">#REF!</definedName>
    <definedName name="__xh1408" localSheetId="11">#REF!</definedName>
    <definedName name="__xh1408" localSheetId="29">#REF!</definedName>
    <definedName name="__xh1408">#REF!</definedName>
    <definedName name="__xh16010" localSheetId="8">#REF!</definedName>
    <definedName name="__xh16010" localSheetId="10">#REF!</definedName>
    <definedName name="__xh16010" localSheetId="11">#REF!</definedName>
    <definedName name="__xh16010" localSheetId="29">#REF!</definedName>
    <definedName name="__xh16010">#REF!</definedName>
    <definedName name="__xh1604" localSheetId="8">#REF!</definedName>
    <definedName name="__xh1604" localSheetId="10">#REF!</definedName>
    <definedName name="__xh1604" localSheetId="11">#REF!</definedName>
    <definedName name="__xh1604" localSheetId="29">#REF!</definedName>
    <definedName name="__xh1604">#REF!</definedName>
    <definedName name="__xh1606" localSheetId="8">#REF!</definedName>
    <definedName name="__xh1606" localSheetId="10">#REF!</definedName>
    <definedName name="__xh1606" localSheetId="11">#REF!</definedName>
    <definedName name="__xh1606" localSheetId="29">#REF!</definedName>
    <definedName name="__xh1606">#REF!</definedName>
    <definedName name="__xh1608" localSheetId="8">#REF!</definedName>
    <definedName name="__xh1608" localSheetId="10">#REF!</definedName>
    <definedName name="__xh1608" localSheetId="11">#REF!</definedName>
    <definedName name="__xh1608" localSheetId="29">#REF!</definedName>
    <definedName name="__xh1608">#REF!</definedName>
    <definedName name="__xh18010" localSheetId="8">#REF!</definedName>
    <definedName name="__xh18010" localSheetId="10">#REF!</definedName>
    <definedName name="__xh18010" localSheetId="11">#REF!</definedName>
    <definedName name="__xh18010" localSheetId="29">#REF!</definedName>
    <definedName name="__xh18010">#REF!</definedName>
    <definedName name="__xh1804" localSheetId="8">#REF!</definedName>
    <definedName name="__xh1804" localSheetId="10">#REF!</definedName>
    <definedName name="__xh1804" localSheetId="11">#REF!</definedName>
    <definedName name="__xh1804" localSheetId="29">#REF!</definedName>
    <definedName name="__xh1804">#REF!</definedName>
    <definedName name="__xh1806" localSheetId="8">#REF!</definedName>
    <definedName name="__xh1806" localSheetId="10">#REF!</definedName>
    <definedName name="__xh1806" localSheetId="11">#REF!</definedName>
    <definedName name="__xh1806" localSheetId="29">#REF!</definedName>
    <definedName name="__xh1806">#REF!</definedName>
    <definedName name="__xh1808" localSheetId="8">#REF!</definedName>
    <definedName name="__xh1808" localSheetId="10">#REF!</definedName>
    <definedName name="__xh1808" localSheetId="11">#REF!</definedName>
    <definedName name="__xh1808" localSheetId="29">#REF!</definedName>
    <definedName name="__xh1808">#REF!</definedName>
    <definedName name="__xh20010" localSheetId="8">#REF!</definedName>
    <definedName name="__xh20010" localSheetId="10">#REF!</definedName>
    <definedName name="__xh20010" localSheetId="11">#REF!</definedName>
    <definedName name="__xh20010" localSheetId="29">#REF!</definedName>
    <definedName name="__xh20010">#REF!</definedName>
    <definedName name="__xh2004" localSheetId="8">#REF!</definedName>
    <definedName name="__xh2004" localSheetId="10">#REF!</definedName>
    <definedName name="__xh2004" localSheetId="11">#REF!</definedName>
    <definedName name="__xh2004" localSheetId="29">#REF!</definedName>
    <definedName name="__xh2004">#REF!</definedName>
    <definedName name="__xh2006" localSheetId="8">#REF!</definedName>
    <definedName name="__xh2006" localSheetId="10">#REF!</definedName>
    <definedName name="__xh2006" localSheetId="11">#REF!</definedName>
    <definedName name="__xh2006" localSheetId="29">#REF!</definedName>
    <definedName name="__xh2006">#REF!</definedName>
    <definedName name="__xh2008" localSheetId="8">#REF!</definedName>
    <definedName name="__xh2008" localSheetId="10">#REF!</definedName>
    <definedName name="__xh2008" localSheetId="11">#REF!</definedName>
    <definedName name="__xh2008" localSheetId="29">#REF!</definedName>
    <definedName name="__xh2008">#REF!</definedName>
    <definedName name="__xh22510" localSheetId="8">#REF!</definedName>
    <definedName name="__xh22510" localSheetId="10">#REF!</definedName>
    <definedName name="__xh22510" localSheetId="11">#REF!</definedName>
    <definedName name="__xh22510" localSheetId="29">#REF!</definedName>
    <definedName name="__xh22510">#REF!</definedName>
    <definedName name="__xh2254" localSheetId="8">#REF!</definedName>
    <definedName name="__xh2254" localSheetId="10">#REF!</definedName>
    <definedName name="__xh2254" localSheetId="11">#REF!</definedName>
    <definedName name="__xh2254" localSheetId="29">#REF!</definedName>
    <definedName name="__xh2254">#REF!</definedName>
    <definedName name="__xh2258" localSheetId="8">#REF!</definedName>
    <definedName name="__xh2258" localSheetId="10">#REF!</definedName>
    <definedName name="__xh2258" localSheetId="11">#REF!</definedName>
    <definedName name="__xh2258" localSheetId="29">#REF!</definedName>
    <definedName name="__xh2258">#REF!</definedName>
    <definedName name="__xh25010" localSheetId="8">#REF!</definedName>
    <definedName name="__xh25010" localSheetId="10">#REF!</definedName>
    <definedName name="__xh25010" localSheetId="11">#REF!</definedName>
    <definedName name="__xh25010" localSheetId="29">#REF!</definedName>
    <definedName name="__xh25010">#REF!</definedName>
    <definedName name="__xh2504" localSheetId="8">#REF!</definedName>
    <definedName name="__xh2504" localSheetId="10">#REF!</definedName>
    <definedName name="__xh2504" localSheetId="11">#REF!</definedName>
    <definedName name="__xh2504" localSheetId="29">#REF!</definedName>
    <definedName name="__xh2504">#REF!</definedName>
    <definedName name="__xh2508" localSheetId="8">#REF!</definedName>
    <definedName name="__xh2508" localSheetId="10">#REF!</definedName>
    <definedName name="__xh2508" localSheetId="11">#REF!</definedName>
    <definedName name="__xh2508" localSheetId="29">#REF!</definedName>
    <definedName name="__xh2508">#REF!</definedName>
    <definedName name="__xh28010" localSheetId="8">#REF!</definedName>
    <definedName name="__xh28010" localSheetId="10">#REF!</definedName>
    <definedName name="__xh28010" localSheetId="11">#REF!</definedName>
    <definedName name="__xh28010" localSheetId="29">#REF!</definedName>
    <definedName name="__xh28010">#REF!</definedName>
    <definedName name="__xh2804" localSheetId="8">#REF!</definedName>
    <definedName name="__xh2804" localSheetId="10">#REF!</definedName>
    <definedName name="__xh2804" localSheetId="11">#REF!</definedName>
    <definedName name="__xh2804" localSheetId="29">#REF!</definedName>
    <definedName name="__xh2804">#REF!</definedName>
    <definedName name="__xh2808" localSheetId="8">#REF!</definedName>
    <definedName name="__xh2808" localSheetId="10">#REF!</definedName>
    <definedName name="__xh2808" localSheetId="11">#REF!</definedName>
    <definedName name="__xh2808" localSheetId="29">#REF!</definedName>
    <definedName name="__xh2808">#REF!</definedName>
    <definedName name="__xh31510" localSheetId="8">#REF!</definedName>
    <definedName name="__xh31510" localSheetId="10">#REF!</definedName>
    <definedName name="__xh31510" localSheetId="11">#REF!</definedName>
    <definedName name="__xh31510" localSheetId="29">#REF!</definedName>
    <definedName name="__xh31510">#REF!</definedName>
    <definedName name="__xh3154" localSheetId="8">#REF!</definedName>
    <definedName name="__xh3154" localSheetId="10">#REF!</definedName>
    <definedName name="__xh3154" localSheetId="11">#REF!</definedName>
    <definedName name="__xh3154" localSheetId="29">#REF!</definedName>
    <definedName name="__xh3154">#REF!</definedName>
    <definedName name="__xh3158" localSheetId="8">#REF!</definedName>
    <definedName name="__xh3158" localSheetId="10">#REF!</definedName>
    <definedName name="__xh3158" localSheetId="11">#REF!</definedName>
    <definedName name="__xh3158" localSheetId="29">#REF!</definedName>
    <definedName name="__xh3158">#REF!</definedName>
    <definedName name="__xh3554" localSheetId="8">#REF!</definedName>
    <definedName name="__xh3554" localSheetId="10">#REF!</definedName>
    <definedName name="__xh3554" localSheetId="11">#REF!</definedName>
    <definedName name="__xh3554" localSheetId="29">#REF!</definedName>
    <definedName name="__xh3554">#REF!</definedName>
    <definedName name="__xh3556" localSheetId="8">#REF!</definedName>
    <definedName name="__xh3556" localSheetId="10">#REF!</definedName>
    <definedName name="__xh3556" localSheetId="11">#REF!</definedName>
    <definedName name="__xh3556" localSheetId="29">#REF!</definedName>
    <definedName name="__xh3556">#REF!</definedName>
    <definedName name="__xh6310" localSheetId="8">#REF!</definedName>
    <definedName name="__xh6310" localSheetId="10">#REF!</definedName>
    <definedName name="__xh6310" localSheetId="11">#REF!</definedName>
    <definedName name="__xh6310" localSheetId="29">#REF!</definedName>
    <definedName name="__xh6310">#REF!</definedName>
    <definedName name="__xh636" localSheetId="8">#REF!</definedName>
    <definedName name="__xh636" localSheetId="10">#REF!</definedName>
    <definedName name="__xh636" localSheetId="11">#REF!</definedName>
    <definedName name="__xh636" localSheetId="29">#REF!</definedName>
    <definedName name="__xh636">#REF!</definedName>
    <definedName name="__xh638" localSheetId="8">#REF!</definedName>
    <definedName name="__xh638" localSheetId="10">#REF!</definedName>
    <definedName name="__xh638" localSheetId="11">#REF!</definedName>
    <definedName name="__xh638" localSheetId="29">#REF!</definedName>
    <definedName name="__xh638">#REF!</definedName>
    <definedName name="__xh7510" localSheetId="8">#REF!</definedName>
    <definedName name="__xh7510" localSheetId="10">#REF!</definedName>
    <definedName name="__xh7510" localSheetId="11">#REF!</definedName>
    <definedName name="__xh7510" localSheetId="29">#REF!</definedName>
    <definedName name="__xh7510">#REF!</definedName>
    <definedName name="__xh754" localSheetId="8">#REF!</definedName>
    <definedName name="__xh754" localSheetId="10">#REF!</definedName>
    <definedName name="__xh754" localSheetId="11">#REF!</definedName>
    <definedName name="__xh754" localSheetId="29">#REF!</definedName>
    <definedName name="__xh754">#REF!</definedName>
    <definedName name="__xh756" localSheetId="8">#REF!</definedName>
    <definedName name="__xh756" localSheetId="10">#REF!</definedName>
    <definedName name="__xh756" localSheetId="11">#REF!</definedName>
    <definedName name="__xh756" localSheetId="29">#REF!</definedName>
    <definedName name="__xh756">#REF!</definedName>
    <definedName name="__xh758" localSheetId="8">#REF!</definedName>
    <definedName name="__xh758" localSheetId="10">#REF!</definedName>
    <definedName name="__xh758" localSheetId="11">#REF!</definedName>
    <definedName name="__xh758" localSheetId="29">#REF!</definedName>
    <definedName name="__xh758">#REF!</definedName>
    <definedName name="__xh9010" localSheetId="8">#REF!</definedName>
    <definedName name="__xh9010" localSheetId="10">#REF!</definedName>
    <definedName name="__xh9010" localSheetId="11">#REF!</definedName>
    <definedName name="__xh9010" localSheetId="29">#REF!</definedName>
    <definedName name="__xh9010">#REF!</definedName>
    <definedName name="__xh904" localSheetId="8">#REF!</definedName>
    <definedName name="__xh904" localSheetId="10">#REF!</definedName>
    <definedName name="__xh904" localSheetId="11">#REF!</definedName>
    <definedName name="__xh904" localSheetId="29">#REF!</definedName>
    <definedName name="__xh904">#REF!</definedName>
    <definedName name="__xh906" localSheetId="8">#REF!</definedName>
    <definedName name="__xh906" localSheetId="10">#REF!</definedName>
    <definedName name="__xh906" localSheetId="11">#REF!</definedName>
    <definedName name="__xh906" localSheetId="29">#REF!</definedName>
    <definedName name="__xh906">#REF!</definedName>
    <definedName name="__xh908" localSheetId="8">#REF!</definedName>
    <definedName name="__xh908" localSheetId="10">#REF!</definedName>
    <definedName name="__xh908" localSheetId="11">#REF!</definedName>
    <definedName name="__xh908" localSheetId="29">#REF!</definedName>
    <definedName name="__xh908">#REF!</definedName>
    <definedName name="__xk7200" localSheetId="8">#REF!</definedName>
    <definedName name="__xk7200" localSheetId="10">#REF!</definedName>
    <definedName name="__xk7200" localSheetId="11">#REF!</definedName>
    <definedName name="__xk7200" localSheetId="29">#REF!</definedName>
    <definedName name="__xk7200">#REF!</definedName>
    <definedName name="__xk7350" localSheetId="8">#REF!</definedName>
    <definedName name="__xk7350" localSheetId="10">#REF!</definedName>
    <definedName name="__xk7350" localSheetId="11">#REF!</definedName>
    <definedName name="__xk7350" localSheetId="29">#REF!</definedName>
    <definedName name="__xk7350">#REF!</definedName>
    <definedName name="__xk7400" localSheetId="8">#REF!</definedName>
    <definedName name="__xk7400" localSheetId="10">#REF!</definedName>
    <definedName name="__xk7400" localSheetId="11">#REF!</definedName>
    <definedName name="__xk7400" localSheetId="29">#REF!</definedName>
    <definedName name="__xk7400">#REF!</definedName>
    <definedName name="__xk7450" localSheetId="8">#REF!</definedName>
    <definedName name="__xk7450" localSheetId="10">#REF!</definedName>
    <definedName name="__xk7450" localSheetId="11">#REF!</definedName>
    <definedName name="__xk7450" localSheetId="29">#REF!</definedName>
    <definedName name="__xk7450">#REF!</definedName>
    <definedName name="__xk7500" localSheetId="8">#REF!</definedName>
    <definedName name="__xk7500" localSheetId="10">#REF!</definedName>
    <definedName name="__xk7500" localSheetId="11">#REF!</definedName>
    <definedName name="__xk7500" localSheetId="29">#REF!</definedName>
    <definedName name="__xk7500">#REF!</definedName>
    <definedName name="__xk7600" localSheetId="8">#REF!</definedName>
    <definedName name="__xk7600" localSheetId="10">#REF!</definedName>
    <definedName name="__xk7600" localSheetId="11">#REF!</definedName>
    <definedName name="__xk7600" localSheetId="29">#REF!</definedName>
    <definedName name="__xk7600">#REF!</definedName>
    <definedName name="__xk9100" localSheetId="8">#REF!</definedName>
    <definedName name="__xk9100" localSheetId="10">#REF!</definedName>
    <definedName name="__xk9100" localSheetId="11">#REF!</definedName>
    <definedName name="__xk9100" localSheetId="29">#REF!</definedName>
    <definedName name="__xk9100">#REF!</definedName>
    <definedName name="__xk91000" localSheetId="8">#REF!</definedName>
    <definedName name="__xk91000" localSheetId="10">#REF!</definedName>
    <definedName name="__xk91000" localSheetId="11">#REF!</definedName>
    <definedName name="__xk91000" localSheetId="29">#REF!</definedName>
    <definedName name="__xk91000">#REF!</definedName>
    <definedName name="__xk9150" localSheetId="8">#REF!</definedName>
    <definedName name="__xk9150" localSheetId="10">#REF!</definedName>
    <definedName name="__xk9150" localSheetId="11">#REF!</definedName>
    <definedName name="__xk9150" localSheetId="29">#REF!</definedName>
    <definedName name="__xk9150">#REF!</definedName>
    <definedName name="__xk9200" localSheetId="8">#REF!</definedName>
    <definedName name="__xk9200" localSheetId="10">#REF!</definedName>
    <definedName name="__xk9200" localSheetId="11">#REF!</definedName>
    <definedName name="__xk9200" localSheetId="29">#REF!</definedName>
    <definedName name="__xk9200">#REF!</definedName>
    <definedName name="__xk9250" localSheetId="8">#REF!</definedName>
    <definedName name="__xk9250" localSheetId="10">#REF!</definedName>
    <definedName name="__xk9250" localSheetId="11">#REF!</definedName>
    <definedName name="__xk9250" localSheetId="29">#REF!</definedName>
    <definedName name="__xk9250">#REF!</definedName>
    <definedName name="__xk9300" localSheetId="8">#REF!</definedName>
    <definedName name="__xk9300" localSheetId="10">#REF!</definedName>
    <definedName name="__xk9300" localSheetId="11">#REF!</definedName>
    <definedName name="__xk9300" localSheetId="29">#REF!</definedName>
    <definedName name="__xk9300">#REF!</definedName>
    <definedName name="__xk9350" localSheetId="8">#REF!</definedName>
    <definedName name="__xk9350" localSheetId="10">#REF!</definedName>
    <definedName name="__xk9350" localSheetId="11">#REF!</definedName>
    <definedName name="__xk9350" localSheetId="29">#REF!</definedName>
    <definedName name="__xk9350">#REF!</definedName>
    <definedName name="__xk9400" localSheetId="8">#REF!</definedName>
    <definedName name="__xk9400" localSheetId="10">#REF!</definedName>
    <definedName name="__xk9400" localSheetId="11">#REF!</definedName>
    <definedName name="__xk9400" localSheetId="29">#REF!</definedName>
    <definedName name="__xk9400">#REF!</definedName>
    <definedName name="__xk9450" localSheetId="8">#REF!</definedName>
    <definedName name="__xk9450" localSheetId="10">#REF!</definedName>
    <definedName name="__xk9450" localSheetId="11">#REF!</definedName>
    <definedName name="__xk9450" localSheetId="29">#REF!</definedName>
    <definedName name="__xk9450">#REF!</definedName>
    <definedName name="__xk9500" localSheetId="8">#REF!</definedName>
    <definedName name="__xk9500" localSheetId="10">#REF!</definedName>
    <definedName name="__xk9500" localSheetId="11">#REF!</definedName>
    <definedName name="__xk9500" localSheetId="29">#REF!</definedName>
    <definedName name="__xk9500">#REF!</definedName>
    <definedName name="__xk9600" localSheetId="8">#REF!</definedName>
    <definedName name="__xk9600" localSheetId="10">#REF!</definedName>
    <definedName name="__xk9600" localSheetId="11">#REF!</definedName>
    <definedName name="__xk9600" localSheetId="29">#REF!</definedName>
    <definedName name="__xk9600">#REF!</definedName>
    <definedName name="__xk9700" localSheetId="8">#REF!</definedName>
    <definedName name="__xk9700" localSheetId="10">#REF!</definedName>
    <definedName name="__xk9700" localSheetId="11">#REF!</definedName>
    <definedName name="__xk9700" localSheetId="29">#REF!</definedName>
    <definedName name="__xk9700">#REF!</definedName>
    <definedName name="__xk9750" localSheetId="8">#REF!</definedName>
    <definedName name="__xk9750" localSheetId="10">#REF!</definedName>
    <definedName name="__xk9750" localSheetId="11">#REF!</definedName>
    <definedName name="__xk9750" localSheetId="29">#REF!</definedName>
    <definedName name="__xk9750">#REF!</definedName>
    <definedName name="__xk9800" localSheetId="8">#REF!</definedName>
    <definedName name="__xk9800" localSheetId="10">#REF!</definedName>
    <definedName name="__xk9800" localSheetId="11">#REF!</definedName>
    <definedName name="__xk9800" localSheetId="29">#REF!</definedName>
    <definedName name="__xk9800">#REF!</definedName>
    <definedName name="__xk9900" localSheetId="8">#REF!</definedName>
    <definedName name="__xk9900" localSheetId="10">#REF!</definedName>
    <definedName name="__xk9900" localSheetId="11">#REF!</definedName>
    <definedName name="__xk9900" localSheetId="29">#REF!</definedName>
    <definedName name="__xk9900">#REF!</definedName>
    <definedName name="__xlfn.BAHTTEXT" hidden="1">#NAME?</definedName>
    <definedName name="__xlfn_BAHTTEXT">#N/A</definedName>
    <definedName name="__xlnm.Print_Area_33" localSheetId="8">#REF!</definedName>
    <definedName name="__xlnm.Print_Area_33" localSheetId="10">#REF!</definedName>
    <definedName name="__xlnm.Print_Area_33" localSheetId="29">#REF!</definedName>
    <definedName name="__xlnm.Print_Area_33">#REF!</definedName>
    <definedName name="__xlnm.Print_Area_34" localSheetId="8">#REF!</definedName>
    <definedName name="__xlnm.Print_Area_34" localSheetId="10">#REF!</definedName>
    <definedName name="__xlnm.Print_Area_34" localSheetId="29">#REF!</definedName>
    <definedName name="__xlnm.Print_Area_34">#REF!</definedName>
    <definedName name="__xp12510" localSheetId="8">#REF!</definedName>
    <definedName name="__xp12510" localSheetId="10">#REF!</definedName>
    <definedName name="__xp12510" localSheetId="11">#REF!</definedName>
    <definedName name="__xp12510" localSheetId="29">#REF!</definedName>
    <definedName name="__xp12510">#REF!</definedName>
    <definedName name="__xp16010" localSheetId="8">#REF!</definedName>
    <definedName name="__xp16010" localSheetId="10">#REF!</definedName>
    <definedName name="__xp16010" localSheetId="11">#REF!</definedName>
    <definedName name="__xp16010" localSheetId="29">#REF!</definedName>
    <definedName name="__xp16010">#REF!</definedName>
    <definedName name="__xp18010" localSheetId="8">#REF!</definedName>
    <definedName name="__xp18010" localSheetId="10">#REF!</definedName>
    <definedName name="__xp18010" localSheetId="11">#REF!</definedName>
    <definedName name="__xp18010" localSheetId="29">#REF!</definedName>
    <definedName name="__xp18010">#REF!</definedName>
    <definedName name="__xp20010" localSheetId="8">#REF!</definedName>
    <definedName name="__xp20010" localSheetId="10">#REF!</definedName>
    <definedName name="__xp20010" localSheetId="11">#REF!</definedName>
    <definedName name="__xp20010" localSheetId="29">#REF!</definedName>
    <definedName name="__xp20010">#REF!</definedName>
    <definedName name="__xp2004" localSheetId="8">#REF!</definedName>
    <definedName name="__xp2004" localSheetId="10">#REF!</definedName>
    <definedName name="__xp2004" localSheetId="11">#REF!</definedName>
    <definedName name="__xp2004" localSheetId="29">#REF!</definedName>
    <definedName name="__xp2004">#REF!</definedName>
    <definedName name="__xp22510" localSheetId="8">#REF!</definedName>
    <definedName name="__xp22510" localSheetId="10">#REF!</definedName>
    <definedName name="__xp22510" localSheetId="11">#REF!</definedName>
    <definedName name="__xp22510" localSheetId="29">#REF!</definedName>
    <definedName name="__xp22510">#REF!</definedName>
    <definedName name="__xp2254" localSheetId="8">#REF!</definedName>
    <definedName name="__xp2254" localSheetId="10">#REF!</definedName>
    <definedName name="__xp2254" localSheetId="11">#REF!</definedName>
    <definedName name="__xp2254" localSheetId="29">#REF!</definedName>
    <definedName name="__xp2254">#REF!</definedName>
    <definedName name="__xp2256" localSheetId="8">#REF!</definedName>
    <definedName name="__xp2256" localSheetId="10">#REF!</definedName>
    <definedName name="__xp2256" localSheetId="11">#REF!</definedName>
    <definedName name="__xp2256" localSheetId="29">#REF!</definedName>
    <definedName name="__xp2256">#REF!</definedName>
    <definedName name="__xp25010" localSheetId="8">#REF!</definedName>
    <definedName name="__xp25010" localSheetId="10">#REF!</definedName>
    <definedName name="__xp25010" localSheetId="11">#REF!</definedName>
    <definedName name="__xp25010" localSheetId="29">#REF!</definedName>
    <definedName name="__xp25010">#REF!</definedName>
    <definedName name="__xp2504" localSheetId="8">#REF!</definedName>
    <definedName name="__xp2504" localSheetId="10">#REF!</definedName>
    <definedName name="__xp2504" localSheetId="11">#REF!</definedName>
    <definedName name="__xp2504" localSheetId="29">#REF!</definedName>
    <definedName name="__xp2504">#REF!</definedName>
    <definedName name="__xp2506" localSheetId="8">#REF!</definedName>
    <definedName name="__xp2506" localSheetId="10">#REF!</definedName>
    <definedName name="__xp2506" localSheetId="11">#REF!</definedName>
    <definedName name="__xp2506" localSheetId="29">#REF!</definedName>
    <definedName name="__xp2506">#REF!</definedName>
    <definedName name="__xp28010" localSheetId="8">#REF!</definedName>
    <definedName name="__xp28010" localSheetId="10">#REF!</definedName>
    <definedName name="__xp28010" localSheetId="11">#REF!</definedName>
    <definedName name="__xp28010" localSheetId="29">#REF!</definedName>
    <definedName name="__xp28010">#REF!</definedName>
    <definedName name="__xp2804" localSheetId="8">#REF!</definedName>
    <definedName name="__xp2804" localSheetId="10">#REF!</definedName>
    <definedName name="__xp2804" localSheetId="11">#REF!</definedName>
    <definedName name="__xp2804" localSheetId="29">#REF!</definedName>
    <definedName name="__xp2804">#REF!</definedName>
    <definedName name="__xp2806" localSheetId="8">#REF!</definedName>
    <definedName name="__xp2806" localSheetId="10">#REF!</definedName>
    <definedName name="__xp2806" localSheetId="11">#REF!</definedName>
    <definedName name="__xp2806" localSheetId="29">#REF!</definedName>
    <definedName name="__xp2806">#REF!</definedName>
    <definedName name="__xp31510" localSheetId="8">#REF!</definedName>
    <definedName name="__xp31510" localSheetId="10">#REF!</definedName>
    <definedName name="__xp31510" localSheetId="11">#REF!</definedName>
    <definedName name="__xp31510" localSheetId="29">#REF!</definedName>
    <definedName name="__xp31510">#REF!</definedName>
    <definedName name="__xp3154" localSheetId="8">#REF!</definedName>
    <definedName name="__xp3154" localSheetId="10">#REF!</definedName>
    <definedName name="__xp3154" localSheetId="11">#REF!</definedName>
    <definedName name="__xp3154" localSheetId="29">#REF!</definedName>
    <definedName name="__xp3154">#REF!</definedName>
    <definedName name="__xp3156" localSheetId="8">#REF!</definedName>
    <definedName name="__xp3156" localSheetId="10">#REF!</definedName>
    <definedName name="__xp3156" localSheetId="11">#REF!</definedName>
    <definedName name="__xp3156" localSheetId="29">#REF!</definedName>
    <definedName name="__xp3156">#REF!</definedName>
    <definedName name="__xp634" localSheetId="8">#REF!</definedName>
    <definedName name="__xp634" localSheetId="10">#REF!</definedName>
    <definedName name="__xp634" localSheetId="11">#REF!</definedName>
    <definedName name="__xp634" localSheetId="29">#REF!</definedName>
    <definedName name="__xp634">#REF!</definedName>
    <definedName name="_055" localSheetId="5">#REF!</definedName>
    <definedName name="_055" localSheetId="8">#REF!</definedName>
    <definedName name="_055" localSheetId="10">#REF!</definedName>
    <definedName name="_055" localSheetId="11">#REF!</definedName>
    <definedName name="_055" localSheetId="29">#REF!</definedName>
    <definedName name="_055" localSheetId="31">#REF!</definedName>
    <definedName name="_055">#REF!</definedName>
    <definedName name="_055_33">"$#REF!.$#REF!$#REF!"</definedName>
    <definedName name="_1.76_dmm">#REF!</definedName>
    <definedName name="_40MM_HBG" localSheetId="5">#REF!</definedName>
    <definedName name="_40MM_HBG" localSheetId="8">#REF!</definedName>
    <definedName name="_40MM_HBG" localSheetId="10">#REF!</definedName>
    <definedName name="_40MM_HBG" localSheetId="11">#REF!</definedName>
    <definedName name="_40MM_HBG" localSheetId="29">#REF!</definedName>
    <definedName name="_40MM_HBG" localSheetId="31">#REF!</definedName>
    <definedName name="_40MM_HBG">#REF!</definedName>
    <definedName name="_65MM_HBG" localSheetId="5">#REF!</definedName>
    <definedName name="_65MM_HBG" localSheetId="8">#REF!</definedName>
    <definedName name="_65MM_HBG" localSheetId="10">#REF!</definedName>
    <definedName name="_65MM_HBG" localSheetId="11">#REF!</definedName>
    <definedName name="_65MM_HBG" localSheetId="29">#REF!</definedName>
    <definedName name="_65MM_HBG" localSheetId="31">#REF!</definedName>
    <definedName name="_65MM_HBG">#REF!</definedName>
    <definedName name="_65MM_HBT" localSheetId="5">#REF!</definedName>
    <definedName name="_65MM_HBT" localSheetId="8">#REF!</definedName>
    <definedName name="_65MM_HBT" localSheetId="10">#REF!</definedName>
    <definedName name="_65MM_HBT" localSheetId="11">#REF!</definedName>
    <definedName name="_65MM_HBT" localSheetId="29">#REF!</definedName>
    <definedName name="_65MM_HBT" localSheetId="31">#REF!</definedName>
    <definedName name="_65MM_HBT">#REF!</definedName>
    <definedName name="_65MM_OG" localSheetId="5">#REF!</definedName>
    <definedName name="_65MM_OG" localSheetId="8">#REF!</definedName>
    <definedName name="_65MM_OG" localSheetId="10">#REF!</definedName>
    <definedName name="_65MM_OG" localSheetId="11">#REF!</definedName>
    <definedName name="_65MM_OG" localSheetId="29">#REF!</definedName>
    <definedName name="_65MM_OG" localSheetId="31">#REF!</definedName>
    <definedName name="_65MM_OG">#REF!</definedName>
    <definedName name="_a3" localSheetId="29">#REF!</definedName>
    <definedName name="_abs1" localSheetId="21">#REF!</definedName>
    <definedName name="_abs1" localSheetId="5">#REF!</definedName>
    <definedName name="_abs1" localSheetId="8">#REF!</definedName>
    <definedName name="_abs1" localSheetId="10">#REF!</definedName>
    <definedName name="_abs1" localSheetId="11">#REF!</definedName>
    <definedName name="_abs1" localSheetId="29">#REF!</definedName>
    <definedName name="_abs1" localSheetId="31">#REF!</definedName>
    <definedName name="_abs1" localSheetId="35">#REF!</definedName>
    <definedName name="_abs1" localSheetId="36">#REF!</definedName>
    <definedName name="_abs1">#REF!</definedName>
    <definedName name="_atw2" localSheetId="8">#REF!</definedName>
    <definedName name="_atw2" localSheetId="10">#REF!</definedName>
    <definedName name="_atw2" localSheetId="11">#REF!</definedName>
    <definedName name="_atw2" localSheetId="29">#REF!</definedName>
    <definedName name="_atw2">#REF!</definedName>
    <definedName name="_AUX1">#REF!</definedName>
    <definedName name="_aux2" localSheetId="29">#REF!</definedName>
    <definedName name="_AUX3">#REF!</definedName>
    <definedName name="_bla1_32">#REF!</definedName>
    <definedName name="_bla1_33">#REF!</definedName>
    <definedName name="_bla1_34">#REF!</definedName>
    <definedName name="_bla1_43">#REF!</definedName>
    <definedName name="_bla1_56">#REF!</definedName>
    <definedName name="_bla1_59">#REF!</definedName>
    <definedName name="_bla1_61">#REF!</definedName>
    <definedName name="_brush" localSheetId="8">#REF!</definedName>
    <definedName name="_brush" localSheetId="10">#REF!</definedName>
    <definedName name="_brush" localSheetId="11">#REF!</definedName>
    <definedName name="_brush" localSheetId="29">#REF!</definedName>
    <definedName name="_brush">#REF!</definedName>
    <definedName name="_BSG100" localSheetId="8">#REF!</definedName>
    <definedName name="_BSG100" localSheetId="10">#REF!</definedName>
    <definedName name="_BSG100" localSheetId="29">#REF!</definedName>
    <definedName name="_BSG100">#REF!</definedName>
    <definedName name="_BSG150" localSheetId="8">#REF!</definedName>
    <definedName name="_BSG150" localSheetId="10">#REF!</definedName>
    <definedName name="_BSG150" localSheetId="29">#REF!</definedName>
    <definedName name="_BSG150">#REF!</definedName>
    <definedName name="_BSG5" localSheetId="8">#REF!</definedName>
    <definedName name="_BSG5" localSheetId="10">#REF!</definedName>
    <definedName name="_BSG5" localSheetId="29">#REF!</definedName>
    <definedName name="_BSG5">#REF!</definedName>
    <definedName name="_BSG75" localSheetId="8">#REF!</definedName>
    <definedName name="_BSG75" localSheetId="10">#REF!</definedName>
    <definedName name="_BSG75" localSheetId="29">#REF!</definedName>
    <definedName name="_BSG75">#REF!</definedName>
    <definedName name="_BTC1" localSheetId="8">#REF!</definedName>
    <definedName name="_BTC1" localSheetId="10">#REF!</definedName>
    <definedName name="_BTC1" localSheetId="29">#REF!</definedName>
    <definedName name="_BTC1">#REF!</definedName>
    <definedName name="_BTC10" localSheetId="8">#REF!</definedName>
    <definedName name="_BTC10" localSheetId="10">#REF!</definedName>
    <definedName name="_BTC10" localSheetId="29">#REF!</definedName>
    <definedName name="_BTC10">#REF!</definedName>
    <definedName name="_BTC11" localSheetId="8">#REF!</definedName>
    <definedName name="_BTC11" localSheetId="10">#REF!</definedName>
    <definedName name="_BTC11" localSheetId="29">#REF!</definedName>
    <definedName name="_BTC11">#REF!</definedName>
    <definedName name="_BTC12" localSheetId="8">#REF!</definedName>
    <definedName name="_BTC12" localSheetId="10">#REF!</definedName>
    <definedName name="_BTC12" localSheetId="29">#REF!</definedName>
    <definedName name="_BTC12">#REF!</definedName>
    <definedName name="_BTC13" localSheetId="8">#REF!</definedName>
    <definedName name="_BTC13" localSheetId="10">#REF!</definedName>
    <definedName name="_BTC13" localSheetId="29">#REF!</definedName>
    <definedName name="_BTC13">#REF!</definedName>
    <definedName name="_BTC14" localSheetId="8">#REF!</definedName>
    <definedName name="_BTC14" localSheetId="10">#REF!</definedName>
    <definedName name="_BTC14" localSheetId="29">#REF!</definedName>
    <definedName name="_BTC14">#REF!</definedName>
    <definedName name="_BTC15" localSheetId="8">#REF!</definedName>
    <definedName name="_BTC15" localSheetId="10">#REF!</definedName>
    <definedName name="_BTC15" localSheetId="29">#REF!</definedName>
    <definedName name="_BTC15">#REF!</definedName>
    <definedName name="_BTC16">#REF!</definedName>
    <definedName name="_BTC17">#REF!</definedName>
    <definedName name="_BTC18">#REF!</definedName>
    <definedName name="_BTC19">#REF!</definedName>
    <definedName name="_BTC2" localSheetId="8">#REF!</definedName>
    <definedName name="_BTC2" localSheetId="10">#REF!</definedName>
    <definedName name="_BTC2" localSheetId="29">#REF!</definedName>
    <definedName name="_BTC2">#REF!</definedName>
    <definedName name="_BTC20">#REF!</definedName>
    <definedName name="_BTC21">#REF!</definedName>
    <definedName name="_BTC22">#REF!</definedName>
    <definedName name="_BTC23">#REF!</definedName>
    <definedName name="_BTC24">#REF!</definedName>
    <definedName name="_BTC3" localSheetId="8">#REF!</definedName>
    <definedName name="_BTC3" localSheetId="10">#REF!</definedName>
    <definedName name="_BTC3" localSheetId="29">#REF!</definedName>
    <definedName name="_BTC3">#REF!</definedName>
    <definedName name="_BTC4" localSheetId="8">#REF!</definedName>
    <definedName name="_BTC4" localSheetId="10">#REF!</definedName>
    <definedName name="_BTC4" localSheetId="29">#REF!</definedName>
    <definedName name="_BTC4">#REF!</definedName>
    <definedName name="_BTC5" localSheetId="8">#REF!</definedName>
    <definedName name="_BTC5" localSheetId="10">#REF!</definedName>
    <definedName name="_BTC5" localSheetId="29">#REF!</definedName>
    <definedName name="_BTC5">#REF!</definedName>
    <definedName name="_BTC6" localSheetId="8">#REF!</definedName>
    <definedName name="_BTC6" localSheetId="10">#REF!</definedName>
    <definedName name="_BTC6" localSheetId="29">#REF!</definedName>
    <definedName name="_BTC6">#REF!</definedName>
    <definedName name="_BTC7" localSheetId="8">#REF!</definedName>
    <definedName name="_BTC7" localSheetId="10">#REF!</definedName>
    <definedName name="_BTC7" localSheetId="29">#REF!</definedName>
    <definedName name="_BTC7">#REF!</definedName>
    <definedName name="_BTC8" localSheetId="8">#REF!</definedName>
    <definedName name="_BTC8" localSheetId="10">#REF!</definedName>
    <definedName name="_BTC8" localSheetId="29">#REF!</definedName>
    <definedName name="_BTC8">#REF!</definedName>
    <definedName name="_BTC9" localSheetId="8">#REF!</definedName>
    <definedName name="_BTC9" localSheetId="10">#REF!</definedName>
    <definedName name="_BTC9" localSheetId="29">#REF!</definedName>
    <definedName name="_BTC9">#REF!</definedName>
    <definedName name="_BTR1">#REF!</definedName>
    <definedName name="_BTR10">#REF!</definedName>
    <definedName name="_BTR11">#REF!</definedName>
    <definedName name="_BTR12">#REF!</definedName>
    <definedName name="_BTR13">#REF!</definedName>
    <definedName name="_BTR14">#REF!</definedName>
    <definedName name="_BTR15">#REF!</definedName>
    <definedName name="_BTR16">#REF!</definedName>
    <definedName name="_BTR17">#REF!</definedName>
    <definedName name="_BTR18">#REF!</definedName>
    <definedName name="_BTR19">#REF!</definedName>
    <definedName name="_BTR2">#REF!</definedName>
    <definedName name="_BTR20">#REF!</definedName>
    <definedName name="_BTR21">#REF!</definedName>
    <definedName name="_BTR22">#REF!</definedName>
    <definedName name="_BTR23">#REF!</definedName>
    <definedName name="_BTR24">#REF!</definedName>
    <definedName name="_BTR3">#REF!</definedName>
    <definedName name="_BTR4">#REF!</definedName>
    <definedName name="_BTR5">#REF!</definedName>
    <definedName name="_BTR6">#REF!</definedName>
    <definedName name="_BTR7">#REF!</definedName>
    <definedName name="_BTR8">#REF!</definedName>
    <definedName name="_BTR9">#REF!</definedName>
    <definedName name="_BTS1" localSheetId="8">#REF!</definedName>
    <definedName name="_BTS1" localSheetId="10">#REF!</definedName>
    <definedName name="_BTS1" localSheetId="29">#REF!</definedName>
    <definedName name="_BTS1">#REF!</definedName>
    <definedName name="_BTS10" localSheetId="8">#REF!</definedName>
    <definedName name="_BTS10" localSheetId="10">#REF!</definedName>
    <definedName name="_BTS10" localSheetId="29">#REF!</definedName>
    <definedName name="_BTS10">#REF!</definedName>
    <definedName name="_BTS11" localSheetId="8">#REF!</definedName>
    <definedName name="_BTS11" localSheetId="10">#REF!</definedName>
    <definedName name="_BTS11" localSheetId="29">#REF!</definedName>
    <definedName name="_BTS11">#REF!</definedName>
    <definedName name="_BTS12" localSheetId="8">#REF!</definedName>
    <definedName name="_BTS12" localSheetId="10">#REF!</definedName>
    <definedName name="_BTS12" localSheetId="29">#REF!</definedName>
    <definedName name="_BTS12">#REF!</definedName>
    <definedName name="_BTS13" localSheetId="8">#REF!</definedName>
    <definedName name="_BTS13" localSheetId="10">#REF!</definedName>
    <definedName name="_BTS13" localSheetId="29">#REF!</definedName>
    <definedName name="_BTS13">#REF!</definedName>
    <definedName name="_BTS14" localSheetId="8">#REF!</definedName>
    <definedName name="_BTS14" localSheetId="10">#REF!</definedName>
    <definedName name="_BTS14" localSheetId="29">#REF!</definedName>
    <definedName name="_BTS14">#REF!</definedName>
    <definedName name="_BTS15" localSheetId="8">#REF!</definedName>
    <definedName name="_BTS15" localSheetId="10">#REF!</definedName>
    <definedName name="_BTS15" localSheetId="29">#REF!</definedName>
    <definedName name="_BTS15">#REF!</definedName>
    <definedName name="_BTS16">#REF!</definedName>
    <definedName name="_BTS17">#REF!</definedName>
    <definedName name="_BTS18">#REF!</definedName>
    <definedName name="_BTS19">#REF!</definedName>
    <definedName name="_BTS2" localSheetId="8">#REF!</definedName>
    <definedName name="_BTS2" localSheetId="10">#REF!</definedName>
    <definedName name="_BTS2" localSheetId="29">#REF!</definedName>
    <definedName name="_BTS2">#REF!</definedName>
    <definedName name="_BTS20">#REF!</definedName>
    <definedName name="_BTS21">#REF!</definedName>
    <definedName name="_BTS22">#REF!</definedName>
    <definedName name="_BTS23">#REF!</definedName>
    <definedName name="_BTS24">#REF!</definedName>
    <definedName name="_BTS3" localSheetId="8">#REF!</definedName>
    <definedName name="_BTS3" localSheetId="10">#REF!</definedName>
    <definedName name="_BTS3" localSheetId="29">#REF!</definedName>
    <definedName name="_BTS3">#REF!</definedName>
    <definedName name="_BTS4" localSheetId="8">#REF!</definedName>
    <definedName name="_BTS4" localSheetId="10">#REF!</definedName>
    <definedName name="_BTS4" localSheetId="29">#REF!</definedName>
    <definedName name="_BTS4">#REF!</definedName>
    <definedName name="_BTS5" localSheetId="8">#REF!</definedName>
    <definedName name="_BTS5" localSheetId="10">#REF!</definedName>
    <definedName name="_BTS5" localSheetId="29">#REF!</definedName>
    <definedName name="_BTS5">#REF!</definedName>
    <definedName name="_BTS6" localSheetId="8">#REF!</definedName>
    <definedName name="_BTS6" localSheetId="10">#REF!</definedName>
    <definedName name="_BTS6" localSheetId="29">#REF!</definedName>
    <definedName name="_BTS6">#REF!</definedName>
    <definedName name="_BTS7" localSheetId="8">#REF!</definedName>
    <definedName name="_BTS7" localSheetId="10">#REF!</definedName>
    <definedName name="_BTS7" localSheetId="29">#REF!</definedName>
    <definedName name="_BTS7">#REF!</definedName>
    <definedName name="_BTS8" localSheetId="8">#REF!</definedName>
    <definedName name="_BTS8" localSheetId="10">#REF!</definedName>
    <definedName name="_BTS8" localSheetId="29">#REF!</definedName>
    <definedName name="_BTS8">#REF!</definedName>
    <definedName name="_BTS9" localSheetId="8">#REF!</definedName>
    <definedName name="_BTS9" localSheetId="10">#REF!</definedName>
    <definedName name="_BTS9" localSheetId="29">#REF!</definedName>
    <definedName name="_BTS9">#REF!</definedName>
    <definedName name="_CAN112">13.42</definedName>
    <definedName name="_CAN113">12.98</definedName>
    <definedName name="_CAN117">12.7</definedName>
    <definedName name="_CAN118">13.27</definedName>
    <definedName name="_CAN120">11.72</definedName>
    <definedName name="_CAN210">10.38</definedName>
    <definedName name="_CAN211">10.58</definedName>
    <definedName name="_CAN213">10.56</definedName>
    <definedName name="_CAN215">10.22</definedName>
    <definedName name="_CAN216">9.61</definedName>
    <definedName name="_CAN217">10.47</definedName>
    <definedName name="_CAN219">10.91</definedName>
    <definedName name="_CAN220">11.09</definedName>
    <definedName name="_CAN221">11.25</definedName>
    <definedName name="_CAN222">10.17</definedName>
    <definedName name="_CAN223">9.89</definedName>
    <definedName name="_CAN230">10.79</definedName>
    <definedName name="_can421">40.2</definedName>
    <definedName name="_can422">41.57</definedName>
    <definedName name="_can423">43.9</definedName>
    <definedName name="_can424">41.19</definedName>
    <definedName name="_can425">42.81</definedName>
    <definedName name="_can426">40.77</definedName>
    <definedName name="_can427">40.92</definedName>
    <definedName name="_can428">39.29</definedName>
    <definedName name="_can429">45.19</definedName>
    <definedName name="_can430">40.73</definedName>
    <definedName name="_can431">42.52</definedName>
    <definedName name="_can432">42.53</definedName>
    <definedName name="_can433">43.69</definedName>
    <definedName name="_can434">40.43</definedName>
    <definedName name="_can435">43.3</definedName>
    <definedName name="_cbr1" localSheetId="5">#REF!</definedName>
    <definedName name="_cbr1" localSheetId="8">#REF!</definedName>
    <definedName name="_cbr1" localSheetId="10">#REF!</definedName>
    <definedName name="_cbr1" localSheetId="11">#REF!</definedName>
    <definedName name="_cbr1" localSheetId="29">#REF!</definedName>
    <definedName name="_cbr1" localSheetId="31">#REF!</definedName>
    <definedName name="_cbr1">#REF!</definedName>
    <definedName name="_cbr2" localSheetId="5">#REF!</definedName>
    <definedName name="_cbr2" localSheetId="8">#REF!</definedName>
    <definedName name="_cbr2" localSheetId="10">#REF!</definedName>
    <definedName name="_cbr2" localSheetId="11">#REF!</definedName>
    <definedName name="_cbr2" localSheetId="29">#REF!</definedName>
    <definedName name="_cbr2" localSheetId="31">#REF!</definedName>
    <definedName name="_cbr2">#REF!</definedName>
    <definedName name="_cbr3" localSheetId="5">#REF!</definedName>
    <definedName name="_cbr3" localSheetId="8">#REF!</definedName>
    <definedName name="_cbr3" localSheetId="10">#REF!</definedName>
    <definedName name="_cbr3" localSheetId="11">#REF!</definedName>
    <definedName name="_cbr3" localSheetId="29">#REF!</definedName>
    <definedName name="_cbr3" localSheetId="31">#REF!</definedName>
    <definedName name="_cbr3">#REF!</definedName>
    <definedName name="_cbr4" localSheetId="5">#REF!</definedName>
    <definedName name="_cbr4" localSheetId="8">#REF!</definedName>
    <definedName name="_cbr4" localSheetId="10">#REF!</definedName>
    <definedName name="_cbr4" localSheetId="29">#REF!</definedName>
    <definedName name="_cbr4" localSheetId="31">#REF!</definedName>
    <definedName name="_cbr4">#REF!</definedName>
    <definedName name="_CD2" localSheetId="8">#REF!</definedName>
    <definedName name="_CD2" localSheetId="10">#REF!</definedName>
    <definedName name="_CD2" localSheetId="29">#REF!</definedName>
    <definedName name="_CD2" localSheetId="31">#REF!</definedName>
    <definedName name="_CD2">#REF!</definedName>
    <definedName name="_CEM" localSheetId="5">#REF!</definedName>
    <definedName name="_CEM" localSheetId="8">#REF!</definedName>
    <definedName name="_CEM" localSheetId="10">#REF!</definedName>
    <definedName name="_CEM" localSheetId="11">#REF!</definedName>
    <definedName name="_CEM" localSheetId="29">#REF!</definedName>
    <definedName name="_CEM" localSheetId="31">#REF!</definedName>
    <definedName name="_CEM">#REF!</definedName>
    <definedName name="_CEM_33">"$#REF!.$#REF!$#REF!"</definedName>
    <definedName name="_ceramic" localSheetId="8">#REF!</definedName>
    <definedName name="_ceramic" localSheetId="10">#REF!</definedName>
    <definedName name="_ceramic" localSheetId="11">#REF!</definedName>
    <definedName name="_ceramic" localSheetId="29">#REF!</definedName>
    <definedName name="_ceramic">#REF!</definedName>
    <definedName name="_cp" localSheetId="8">#REF!</definedName>
    <definedName name="_cp" localSheetId="10">#REF!</definedName>
    <definedName name="_cp" localSheetId="11">#REF!</definedName>
    <definedName name="_cp" localSheetId="29">#REF!</definedName>
    <definedName name="_cp">#REF!</definedName>
    <definedName name="_dadoing" localSheetId="8">#REF!</definedName>
    <definedName name="_dadoing" localSheetId="10">#REF!</definedName>
    <definedName name="_dadoing" localSheetId="11">#REF!</definedName>
    <definedName name="_dadoing" localSheetId="29">#REF!</definedName>
    <definedName name="_dadoing">#REF!</definedName>
    <definedName name="_df3" localSheetId="8">#REF!</definedName>
    <definedName name="_df3" localSheetId="10">#REF!</definedName>
    <definedName name="_df3" localSheetId="11">#REF!</definedName>
    <definedName name="_df3" localSheetId="29">#REF!</definedName>
    <definedName name="_df3">#REF!</definedName>
    <definedName name="_emulsion" localSheetId="8">#REF!</definedName>
    <definedName name="_emulsion" localSheetId="10">#REF!</definedName>
    <definedName name="_emulsion" localSheetId="11">#REF!</definedName>
    <definedName name="_emulsion" localSheetId="29">#REF!</definedName>
    <definedName name="_emulsion">#REF!</definedName>
    <definedName name="_er1">#REF!</definedName>
    <definedName name="_ewe1" localSheetId="5">#REF!</definedName>
    <definedName name="_ewe1" localSheetId="8">#REF!</definedName>
    <definedName name="_ewe1" localSheetId="10">#REF!</definedName>
    <definedName name="_ewe1" localSheetId="11">#REF!</definedName>
    <definedName name="_ewe1" localSheetId="29">#REF!</definedName>
    <definedName name="_ewe1" localSheetId="31">#REF!</definedName>
    <definedName name="_ewe1">#REF!</definedName>
    <definedName name="_ewe2">#REF!</definedName>
    <definedName name="_f1" localSheetId="8">#REF!</definedName>
    <definedName name="_f1" localSheetId="10">#REF!</definedName>
    <definedName name="_f1" localSheetId="11">#REF!</definedName>
    <definedName name="_f1" localSheetId="29">#REF!</definedName>
    <definedName name="_f1">#REF!</definedName>
    <definedName name="_xlnm._FilterDatabase" localSheetId="5">#REF!</definedName>
    <definedName name="_xlnm._FilterDatabase" localSheetId="14">#REF!</definedName>
    <definedName name="_xlnm._FilterDatabase" localSheetId="8">#REF!</definedName>
    <definedName name="_xlnm._FilterDatabase" localSheetId="10">#REF!</definedName>
    <definedName name="_xlnm._FilterDatabase" localSheetId="25" hidden="1">'Mtc-data'!#REF!</definedName>
    <definedName name="_xlnm._FilterDatabase" localSheetId="6" hidden="1">'Note File'!$A$65:$AD$90</definedName>
    <definedName name="_xlnm._FilterDatabase" localSheetId="29">#REF!</definedName>
    <definedName name="_xlnm._FilterDatabase" localSheetId="18" hidden="1">'Schedule-A'!$A$10:$P$191</definedName>
    <definedName name="_xlnm._FilterDatabase" localSheetId="31">#REF!</definedName>
    <definedName name="_xlnm._FilterDatabase">#REF!</definedName>
    <definedName name="_GBS11" localSheetId="8">#REF!</definedName>
    <definedName name="_GBS11" localSheetId="10">#REF!</definedName>
    <definedName name="_GBS11" localSheetId="29">#REF!</definedName>
    <definedName name="_GBS11">#REF!</definedName>
    <definedName name="_GBS110" localSheetId="8">#REF!</definedName>
    <definedName name="_GBS110" localSheetId="10">#REF!</definedName>
    <definedName name="_GBS110" localSheetId="29">#REF!</definedName>
    <definedName name="_GBS110">#REF!</definedName>
    <definedName name="_GBS111" localSheetId="8">#REF!</definedName>
    <definedName name="_GBS111" localSheetId="10">#REF!</definedName>
    <definedName name="_GBS111" localSheetId="29">#REF!</definedName>
    <definedName name="_GBS111">#REF!</definedName>
    <definedName name="_GBS112" localSheetId="8">#REF!</definedName>
    <definedName name="_GBS112" localSheetId="10">#REF!</definedName>
    <definedName name="_GBS112" localSheetId="29">#REF!</definedName>
    <definedName name="_GBS112">#REF!</definedName>
    <definedName name="_GBS113" localSheetId="8">#REF!</definedName>
    <definedName name="_GBS113" localSheetId="10">#REF!</definedName>
    <definedName name="_GBS113" localSheetId="29">#REF!</definedName>
    <definedName name="_GBS113">#REF!</definedName>
    <definedName name="_GBS114" localSheetId="8">#REF!</definedName>
    <definedName name="_GBS114" localSheetId="10">#REF!</definedName>
    <definedName name="_GBS114" localSheetId="29">#REF!</definedName>
    <definedName name="_GBS114">#REF!</definedName>
    <definedName name="_GBS115" localSheetId="8">#REF!</definedName>
    <definedName name="_GBS115" localSheetId="10">#REF!</definedName>
    <definedName name="_GBS115" localSheetId="29">#REF!</definedName>
    <definedName name="_GBS115">#REF!</definedName>
    <definedName name="_GBS116">#REF!</definedName>
    <definedName name="_GBS117">#REF!</definedName>
    <definedName name="_GBS118">#REF!</definedName>
    <definedName name="_GBS119">#REF!</definedName>
    <definedName name="_GBS12" localSheetId="8">#REF!</definedName>
    <definedName name="_GBS12" localSheetId="10">#REF!</definedName>
    <definedName name="_GBS12" localSheetId="29">#REF!</definedName>
    <definedName name="_GBS12">#REF!</definedName>
    <definedName name="_GBS120">#REF!</definedName>
    <definedName name="_GBS121">#REF!</definedName>
    <definedName name="_GBS122">#REF!</definedName>
    <definedName name="_GBS123">#REF!</definedName>
    <definedName name="_GBS124">#REF!</definedName>
    <definedName name="_GBS13" localSheetId="8">#REF!</definedName>
    <definedName name="_GBS13" localSheetId="10">#REF!</definedName>
    <definedName name="_GBS13" localSheetId="29">#REF!</definedName>
    <definedName name="_GBS13">#REF!</definedName>
    <definedName name="_GBS14" localSheetId="8">#REF!</definedName>
    <definedName name="_GBS14" localSheetId="10">#REF!</definedName>
    <definedName name="_GBS14" localSheetId="29">#REF!</definedName>
    <definedName name="_GBS14">#REF!</definedName>
    <definedName name="_GBS15" localSheetId="8">#REF!</definedName>
    <definedName name="_GBS15" localSheetId="10">#REF!</definedName>
    <definedName name="_GBS15" localSheetId="29">#REF!</definedName>
    <definedName name="_GBS15">#REF!</definedName>
    <definedName name="_GBS16" localSheetId="8">#REF!</definedName>
    <definedName name="_GBS16" localSheetId="10">#REF!</definedName>
    <definedName name="_GBS16" localSheetId="29">#REF!</definedName>
    <definedName name="_GBS16">#REF!</definedName>
    <definedName name="_GBS17" localSheetId="8">#REF!</definedName>
    <definedName name="_GBS17" localSheetId="10">#REF!</definedName>
    <definedName name="_GBS17" localSheetId="29">#REF!</definedName>
    <definedName name="_GBS17">#REF!</definedName>
    <definedName name="_GBS18" localSheetId="8">#REF!</definedName>
    <definedName name="_GBS18" localSheetId="10">#REF!</definedName>
    <definedName name="_GBS18" localSheetId="29">#REF!</definedName>
    <definedName name="_GBS18">#REF!</definedName>
    <definedName name="_GBS19" localSheetId="8">#REF!</definedName>
    <definedName name="_GBS19" localSheetId="10">#REF!</definedName>
    <definedName name="_GBS19" localSheetId="29">#REF!</definedName>
    <definedName name="_GBS19">#REF!</definedName>
    <definedName name="_GBS21" localSheetId="8">#REF!</definedName>
    <definedName name="_GBS21" localSheetId="10">#REF!</definedName>
    <definedName name="_GBS21" localSheetId="29">#REF!</definedName>
    <definedName name="_GBS21">#REF!</definedName>
    <definedName name="_GBS210" localSheetId="8">#REF!</definedName>
    <definedName name="_GBS210" localSheetId="10">#REF!</definedName>
    <definedName name="_GBS210" localSheetId="29">#REF!</definedName>
    <definedName name="_GBS210">#REF!</definedName>
    <definedName name="_GBS211" localSheetId="8">#REF!</definedName>
    <definedName name="_GBS211" localSheetId="10">#REF!</definedName>
    <definedName name="_GBS211" localSheetId="29">#REF!</definedName>
    <definedName name="_GBS211">#REF!</definedName>
    <definedName name="_GBS212" localSheetId="8">#REF!</definedName>
    <definedName name="_GBS212" localSheetId="10">#REF!</definedName>
    <definedName name="_GBS212" localSheetId="29">#REF!</definedName>
    <definedName name="_GBS212">#REF!</definedName>
    <definedName name="_GBS213" localSheetId="8">#REF!</definedName>
    <definedName name="_GBS213" localSheetId="10">#REF!</definedName>
    <definedName name="_GBS213" localSheetId="29">#REF!</definedName>
    <definedName name="_GBS213">#REF!</definedName>
    <definedName name="_GBS214" localSheetId="8">#REF!</definedName>
    <definedName name="_GBS214" localSheetId="10">#REF!</definedName>
    <definedName name="_GBS214" localSheetId="29">#REF!</definedName>
    <definedName name="_GBS214">#REF!</definedName>
    <definedName name="_GBS215" localSheetId="8">#REF!</definedName>
    <definedName name="_GBS215" localSheetId="10">#REF!</definedName>
    <definedName name="_GBS215" localSheetId="29">#REF!</definedName>
    <definedName name="_GBS215">#REF!</definedName>
    <definedName name="_GBS216">#REF!</definedName>
    <definedName name="_GBS217">#REF!</definedName>
    <definedName name="_GBS218">#REF!</definedName>
    <definedName name="_GBS219">#REF!</definedName>
    <definedName name="_GBS22" localSheetId="8">#REF!</definedName>
    <definedName name="_GBS22" localSheetId="10">#REF!</definedName>
    <definedName name="_GBS22" localSheetId="29">#REF!</definedName>
    <definedName name="_GBS22">#REF!</definedName>
    <definedName name="_GBS220">#REF!</definedName>
    <definedName name="_GBS221">#REF!</definedName>
    <definedName name="_GBS222">#REF!</definedName>
    <definedName name="_GBS223">#REF!</definedName>
    <definedName name="_GBS224">#REF!</definedName>
    <definedName name="_GBS23" localSheetId="8">#REF!</definedName>
    <definedName name="_GBS23" localSheetId="10">#REF!</definedName>
    <definedName name="_GBS23" localSheetId="29">#REF!</definedName>
    <definedName name="_GBS23">#REF!</definedName>
    <definedName name="_GBS24" localSheetId="8">#REF!</definedName>
    <definedName name="_GBS24" localSheetId="10">#REF!</definedName>
    <definedName name="_GBS24" localSheetId="29">#REF!</definedName>
    <definedName name="_GBS24">#REF!</definedName>
    <definedName name="_GBS25" localSheetId="8">#REF!</definedName>
    <definedName name="_GBS25" localSheetId="10">#REF!</definedName>
    <definedName name="_GBS25" localSheetId="29">#REF!</definedName>
    <definedName name="_GBS25">#REF!</definedName>
    <definedName name="_GBS26" localSheetId="8">#REF!</definedName>
    <definedName name="_GBS26" localSheetId="10">#REF!</definedName>
    <definedName name="_GBS26" localSheetId="29">#REF!</definedName>
    <definedName name="_GBS26">#REF!</definedName>
    <definedName name="_GBS27" localSheetId="8">#REF!</definedName>
    <definedName name="_GBS27" localSheetId="10">#REF!</definedName>
    <definedName name="_GBS27" localSheetId="29">#REF!</definedName>
    <definedName name="_GBS27">#REF!</definedName>
    <definedName name="_GBS28" localSheetId="8">#REF!</definedName>
    <definedName name="_GBS28" localSheetId="10">#REF!</definedName>
    <definedName name="_GBS28" localSheetId="29">#REF!</definedName>
    <definedName name="_GBS28">#REF!</definedName>
    <definedName name="_GBS29" localSheetId="8">#REF!</definedName>
    <definedName name="_GBS29" localSheetId="10">#REF!</definedName>
    <definedName name="_GBS29" localSheetId="29">#REF!</definedName>
    <definedName name="_GBS29">#REF!</definedName>
    <definedName name="_GRA" localSheetId="5">#REF!</definedName>
    <definedName name="_GRA" localSheetId="8">#REF!</definedName>
    <definedName name="_GRA" localSheetId="10">#REF!</definedName>
    <definedName name="_GRA" localSheetId="11">#REF!</definedName>
    <definedName name="_GRA" localSheetId="29">#REF!</definedName>
    <definedName name="_GRA" localSheetId="31">#REF!</definedName>
    <definedName name="_GRA">#REF!</definedName>
    <definedName name="_GRA_33">"$#REF!.$#REF!$#REF!"</definedName>
    <definedName name="_grp10003" localSheetId="8">#REF!</definedName>
    <definedName name="_grp10003" localSheetId="10">#REF!</definedName>
    <definedName name="_grp10003" localSheetId="11">#REF!</definedName>
    <definedName name="_grp10003" localSheetId="29">#REF!</definedName>
    <definedName name="_grp10003">#REF!</definedName>
    <definedName name="_grp3503" localSheetId="8">#REF!</definedName>
    <definedName name="_grp3503" localSheetId="10">#REF!</definedName>
    <definedName name="_grp3503" localSheetId="11">#REF!</definedName>
    <definedName name="_grp3503" localSheetId="29">#REF!</definedName>
    <definedName name="_grp3503">#REF!</definedName>
    <definedName name="_grp4003" localSheetId="8">#REF!</definedName>
    <definedName name="_grp4003" localSheetId="10">#REF!</definedName>
    <definedName name="_grp4003" localSheetId="11">#REF!</definedName>
    <definedName name="_grp4003" localSheetId="29">#REF!</definedName>
    <definedName name="_grp4003">#REF!</definedName>
    <definedName name="_grp4503" localSheetId="8">#REF!</definedName>
    <definedName name="_grp4503" localSheetId="10">#REF!</definedName>
    <definedName name="_grp4503" localSheetId="11">#REF!</definedName>
    <definedName name="_grp4503" localSheetId="29">#REF!</definedName>
    <definedName name="_grp4503">#REF!</definedName>
    <definedName name="_grp5003" localSheetId="8">#REF!</definedName>
    <definedName name="_grp5003" localSheetId="10">#REF!</definedName>
    <definedName name="_grp5003" localSheetId="11">#REF!</definedName>
    <definedName name="_grp5003" localSheetId="29">#REF!</definedName>
    <definedName name="_grp5003">#REF!</definedName>
    <definedName name="_grp6003" localSheetId="8">#REF!</definedName>
    <definedName name="_grp6003" localSheetId="10">#REF!</definedName>
    <definedName name="_grp6003" localSheetId="11">#REF!</definedName>
    <definedName name="_grp6003" localSheetId="29">#REF!</definedName>
    <definedName name="_grp6003">#REF!</definedName>
    <definedName name="_grp7003" localSheetId="8">#REF!</definedName>
    <definedName name="_grp7003" localSheetId="10">#REF!</definedName>
    <definedName name="_grp7003" localSheetId="11">#REF!</definedName>
    <definedName name="_grp7003" localSheetId="29">#REF!</definedName>
    <definedName name="_grp7003">#REF!</definedName>
    <definedName name="_grp8003" localSheetId="8">#REF!</definedName>
    <definedName name="_grp8003" localSheetId="10">#REF!</definedName>
    <definedName name="_grp8003" localSheetId="11">#REF!</definedName>
    <definedName name="_grp8003" localSheetId="29">#REF!</definedName>
    <definedName name="_grp8003">#REF!</definedName>
    <definedName name="_grp9003" localSheetId="8">#REF!</definedName>
    <definedName name="_grp9003" localSheetId="10">#REF!</definedName>
    <definedName name="_grp9003" localSheetId="11">#REF!</definedName>
    <definedName name="_grp9003" localSheetId="29">#REF!</definedName>
    <definedName name="_grp9003">#REF!</definedName>
    <definedName name="_grstn" localSheetId="8">#REF!</definedName>
    <definedName name="_grstn" localSheetId="10">#REF!</definedName>
    <definedName name="_grstn" localSheetId="11">#REF!</definedName>
    <definedName name="_grstn" localSheetId="29">#REF!</definedName>
    <definedName name="_grstn">#REF!</definedName>
    <definedName name="_gus1">#REF!</definedName>
    <definedName name="_hpm1">#REF!</definedName>
    <definedName name="_I06" localSheetId="5">#REF!</definedName>
    <definedName name="_I06" localSheetId="8">#REF!</definedName>
    <definedName name="_I06" localSheetId="10">#REF!</definedName>
    <definedName name="_I06" localSheetId="11">#REF!</definedName>
    <definedName name="_I06" localSheetId="29">#REF!</definedName>
    <definedName name="_I06" localSheetId="31">#REF!</definedName>
    <definedName name="_I06">#REF!</definedName>
    <definedName name="_I06_33">"$#REF!.$#REF!$#REF!"</definedName>
    <definedName name="_I10" localSheetId="5">#REF!</definedName>
    <definedName name="_I10" localSheetId="8">#REF!</definedName>
    <definedName name="_I10" localSheetId="10">#REF!</definedName>
    <definedName name="_I10" localSheetId="11">#REF!</definedName>
    <definedName name="_I10" localSheetId="29">#REF!</definedName>
    <definedName name="_I10" localSheetId="31">#REF!</definedName>
    <definedName name="_I10">#REF!</definedName>
    <definedName name="_I10_33">"$#REF!.$#REF!$#REF!"</definedName>
    <definedName name="_I12" localSheetId="5">#REF!</definedName>
    <definedName name="_I12" localSheetId="8">#REF!</definedName>
    <definedName name="_I12" localSheetId="10">#REF!</definedName>
    <definedName name="_I12" localSheetId="11">#REF!</definedName>
    <definedName name="_I12" localSheetId="29">#REF!</definedName>
    <definedName name="_I12" localSheetId="31">#REF!</definedName>
    <definedName name="_I12">#REF!</definedName>
    <definedName name="_I12_33">"$#REF!.$#REF!$#REF!"</definedName>
    <definedName name="_I150" localSheetId="5">#REF!</definedName>
    <definedName name="_I150" localSheetId="8">#REF!</definedName>
    <definedName name="_I150" localSheetId="10">#REF!</definedName>
    <definedName name="_I150" localSheetId="11">#REF!</definedName>
    <definedName name="_I150" localSheetId="29">#REF!</definedName>
    <definedName name="_I150" localSheetId="31">#REF!</definedName>
    <definedName name="_I150">#REF!</definedName>
    <definedName name="_I150_33">"$#REF!.$#REF!$#REF!"</definedName>
    <definedName name="_I20" localSheetId="5">#REF!</definedName>
    <definedName name="_I20" localSheetId="8">#REF!</definedName>
    <definedName name="_I20" localSheetId="10">#REF!</definedName>
    <definedName name="_I20" localSheetId="11">#REF!</definedName>
    <definedName name="_I20" localSheetId="29">#REF!</definedName>
    <definedName name="_I20" localSheetId="31">#REF!</definedName>
    <definedName name="_I20">#REF!</definedName>
    <definedName name="_I20_33">"$#REF!.$#REF!$#REF!"</definedName>
    <definedName name="_I25" localSheetId="5">#REF!</definedName>
    <definedName name="_I25" localSheetId="8">#REF!</definedName>
    <definedName name="_I25" localSheetId="10">#REF!</definedName>
    <definedName name="_I25" localSheetId="11">#REF!</definedName>
    <definedName name="_I25" localSheetId="29">#REF!</definedName>
    <definedName name="_I25" localSheetId="31">#REF!</definedName>
    <definedName name="_I25">#REF!</definedName>
    <definedName name="_I25_33">"$#REF!.$#REF!$#REF!"</definedName>
    <definedName name="_I40" localSheetId="5">#REF!</definedName>
    <definedName name="_I40" localSheetId="8">#REF!</definedName>
    <definedName name="_I40" localSheetId="10">#REF!</definedName>
    <definedName name="_I40" localSheetId="11">#REF!</definedName>
    <definedName name="_I40" localSheetId="29">#REF!</definedName>
    <definedName name="_I40" localSheetId="31">#REF!</definedName>
    <definedName name="_I40">#REF!</definedName>
    <definedName name="_I40_33">"$#REF!.$#REF!$#REF!"</definedName>
    <definedName name="_i5">#REF!</definedName>
    <definedName name="_I50" localSheetId="5">#REF!</definedName>
    <definedName name="_I50" localSheetId="8">#REF!</definedName>
    <definedName name="_I50" localSheetId="10">#REF!</definedName>
    <definedName name="_I50" localSheetId="11">#REF!</definedName>
    <definedName name="_I50" localSheetId="29">#REF!</definedName>
    <definedName name="_I50" localSheetId="31">#REF!</definedName>
    <definedName name="_I50">#REF!</definedName>
    <definedName name="_I50_33">"$#REF!.$#REF!$#REF!"</definedName>
    <definedName name="_I60" localSheetId="5">#REF!</definedName>
    <definedName name="_I60" localSheetId="8">#REF!</definedName>
    <definedName name="_I60" localSheetId="10">#REF!</definedName>
    <definedName name="_I60" localSheetId="11">#REF!</definedName>
    <definedName name="_I60" localSheetId="29">#REF!</definedName>
    <definedName name="_I60" localSheetId="31">#REF!</definedName>
    <definedName name="_I60">#REF!</definedName>
    <definedName name="_I60_33">"$#REF!.$#REF!$#REF!"</definedName>
    <definedName name="_I65" localSheetId="5">#REF!</definedName>
    <definedName name="_I65" localSheetId="8">#REF!</definedName>
    <definedName name="_I65" localSheetId="10">#REF!</definedName>
    <definedName name="_I65" localSheetId="11">#REF!</definedName>
    <definedName name="_I65" localSheetId="29">#REF!</definedName>
    <definedName name="_I65" localSheetId="31">#REF!</definedName>
    <definedName name="_I65">#REF!</definedName>
    <definedName name="_I65_33">"$#REF!.$#REF!$#REF!"</definedName>
    <definedName name="_I75" localSheetId="5">#REF!</definedName>
    <definedName name="_I75" localSheetId="8">#REF!</definedName>
    <definedName name="_I75" localSheetId="10">#REF!</definedName>
    <definedName name="_I75" localSheetId="11">#REF!</definedName>
    <definedName name="_I75" localSheetId="29">#REF!</definedName>
    <definedName name="_I75" localSheetId="31">#REF!</definedName>
    <definedName name="_I75">#REF!</definedName>
    <definedName name="_I75_33">"$#REF!.$#REF!$#REF!"</definedName>
    <definedName name="_k1" localSheetId="8">#REF!</definedName>
    <definedName name="_k1" localSheetId="10">#REF!</definedName>
    <definedName name="_k1" localSheetId="29">#REF!</definedName>
    <definedName name="_k1">#REF!</definedName>
    <definedName name="_Key1" hidden="1">#REF!</definedName>
    <definedName name="_knr2" localSheetId="5">#REF!</definedName>
    <definedName name="_knr2" localSheetId="8">#REF!</definedName>
    <definedName name="_knr2" localSheetId="10">#REF!</definedName>
    <definedName name="_knr2" localSheetId="11">#REF!</definedName>
    <definedName name="_knr2" localSheetId="29">#REF!</definedName>
    <definedName name="_knr2" localSheetId="31">#REF!</definedName>
    <definedName name="_knr2">#REF!</definedName>
    <definedName name="_l1_32">#REF!</definedName>
    <definedName name="_l1_33">#REF!</definedName>
    <definedName name="_l1_34">#REF!</definedName>
    <definedName name="_l1_43">#REF!</definedName>
    <definedName name="_l1_56">#REF!</definedName>
    <definedName name="_l1_59">#REF!</definedName>
    <definedName name="_l1_61">#REF!</definedName>
    <definedName name="_l12" localSheetId="5">#REF!</definedName>
    <definedName name="_l12" localSheetId="8">#REF!</definedName>
    <definedName name="_l12" localSheetId="10">#REF!</definedName>
    <definedName name="_l12" localSheetId="11">#REF!</definedName>
    <definedName name="_l12" localSheetId="29">#REF!</definedName>
    <definedName name="_l12" localSheetId="31">#REF!</definedName>
    <definedName name="_l12">#REF!</definedName>
    <definedName name="_l12_23">"$#REF!.$#REF!$#REF!"</definedName>
    <definedName name="_l12_32">"$#REF!.$#REF!$#REF!"</definedName>
    <definedName name="_l12_33">"$#REF!.$#REF!$#REF!"</definedName>
    <definedName name="_l12_34">"$#REF!.$#REF!$#REF!"</definedName>
    <definedName name="_l12_38">"$#REF!.$#REF!$#REF!"</definedName>
    <definedName name="_l12_41">"$#REF!.$#REF!$#REF!"</definedName>
    <definedName name="_l12_43">"$#REF!.$#REF!$#REF!"</definedName>
    <definedName name="_l12_48">"$#REF!.$#REF!$#REF!"</definedName>
    <definedName name="_l12_56">"$#REF!.$#REF!$#REF!"</definedName>
    <definedName name="_l12_57">"$#REF!.$#REF!$#REF!"</definedName>
    <definedName name="_l12_59">"$#REF!.$#REF!$#REF!"</definedName>
    <definedName name="_l12_60">"$#REF!.$#REF!$#REF!"</definedName>
    <definedName name="_l12_61">"$#REF!.$#REF!$#REF!"</definedName>
    <definedName name="_l12_62">"$#REF!.$#REF!$#REF!"</definedName>
    <definedName name="_l12_7">"$#REF!.$#REF!$#REF!"</definedName>
    <definedName name="_l12_72">"$#REF!.$#REF!$#REF!"</definedName>
    <definedName name="_l12_73">"$#REF!.$#REF!$#REF!"</definedName>
    <definedName name="_l12_8">"$#REF!.$#REF!$#REF!"</definedName>
    <definedName name="_l122">#REF!</definedName>
    <definedName name="_l13">#REF!</definedName>
    <definedName name="_l14">#REF!</definedName>
    <definedName name="_l3" localSheetId="21">#REF!</definedName>
    <definedName name="_l3" localSheetId="5">#REF!</definedName>
    <definedName name="_l3" localSheetId="8">#REF!</definedName>
    <definedName name="_l3" localSheetId="10">#REF!</definedName>
    <definedName name="_l3" localSheetId="11">#REF!</definedName>
    <definedName name="_l3" localSheetId="29">#REF!</definedName>
    <definedName name="_l3" localSheetId="31">#REF!</definedName>
    <definedName name="_l3" localSheetId="35">#REF!</definedName>
    <definedName name="_l3" localSheetId="36">#REF!</definedName>
    <definedName name="_l3">#REF!</definedName>
    <definedName name="_l3_23">"$#REF!.$#REF!$#REF!"</definedName>
    <definedName name="_l3_32">"$#REF!.$#REF!$#REF!"</definedName>
    <definedName name="_l3_33">"$#REF!.$#REF!$#REF!"</definedName>
    <definedName name="_l3_34">"$#REF!.$#REF!$#REF!"</definedName>
    <definedName name="_l3_38">"$#REF!.$#REF!$#REF!"</definedName>
    <definedName name="_l3_41">"$#REF!.$#REF!$#REF!"</definedName>
    <definedName name="_l3_43">"$#REF!.$#REF!$#REF!"</definedName>
    <definedName name="_l3_48">"$#REF!.$#REF!$#REF!"</definedName>
    <definedName name="_l3_56">"$#REF!.$#REF!$#REF!"</definedName>
    <definedName name="_l3_57">"$#REF!.$#REF!$#REF!"</definedName>
    <definedName name="_l3_59">"$#REF!.$#REF!$#REF!"</definedName>
    <definedName name="_l3_60">"$#REF!.$#REF!$#REF!"</definedName>
    <definedName name="_l3_61">"$#REF!.$#REF!$#REF!"</definedName>
    <definedName name="_l3_62">"$#REF!.$#REF!$#REF!"</definedName>
    <definedName name="_l3_7">"$#REF!.$#REF!$#REF!"</definedName>
    <definedName name="_l3_72">"$#REF!.$#REF!$#REF!"</definedName>
    <definedName name="_l3_73">"$#REF!.$#REF!$#REF!"</definedName>
    <definedName name="_l3_8">"$#REF!.$#REF!$#REF!"</definedName>
    <definedName name="_l4_32">#REF!</definedName>
    <definedName name="_l4_33">#REF!</definedName>
    <definedName name="_l4_34">#REF!</definedName>
    <definedName name="_l4_43">#REF!</definedName>
    <definedName name="_l4_56">#REF!</definedName>
    <definedName name="_l4_59">#REF!</definedName>
    <definedName name="_l4_61">#REF!</definedName>
    <definedName name="_l5" localSheetId="21">#REF!</definedName>
    <definedName name="_l5" localSheetId="5">#REF!</definedName>
    <definedName name="_l5" localSheetId="8">#REF!</definedName>
    <definedName name="_l5" localSheetId="10">#REF!</definedName>
    <definedName name="_l5" localSheetId="11">#REF!</definedName>
    <definedName name="_l5" localSheetId="29">#REF!</definedName>
    <definedName name="_l5" localSheetId="31">#REF!</definedName>
    <definedName name="_l5" localSheetId="35">#REF!</definedName>
    <definedName name="_l5" localSheetId="36">#REF!</definedName>
    <definedName name="_l5">#REF!</definedName>
    <definedName name="_l5_23">"$#REF!.$#REF!$#REF!"</definedName>
    <definedName name="_l5_32">"$#REF!.$#REF!$#REF!"</definedName>
    <definedName name="_l5_33">"$#REF!.$#REF!$#REF!"</definedName>
    <definedName name="_l5_34">"$#REF!.$#REF!$#REF!"</definedName>
    <definedName name="_l5_38">"$#REF!.$#REF!$#REF!"</definedName>
    <definedName name="_l5_41">"$#REF!.$#REF!$#REF!"</definedName>
    <definedName name="_l5_43">"$#REF!.$#REF!$#REF!"</definedName>
    <definedName name="_l5_48">"$#REF!.$#REF!$#REF!"</definedName>
    <definedName name="_l5_56">"$#REF!.$#REF!$#REF!"</definedName>
    <definedName name="_l5_57">"$#REF!.$#REF!$#REF!"</definedName>
    <definedName name="_l5_59">"$#REF!.$#REF!$#REF!"</definedName>
    <definedName name="_l5_60">"$#REF!.$#REF!$#REF!"</definedName>
    <definedName name="_l5_61">"$#REF!.$#REF!$#REF!"</definedName>
    <definedName name="_l5_62">"$#REF!.$#REF!$#REF!"</definedName>
    <definedName name="_l5_7">"$#REF!.$#REF!$#REF!"</definedName>
    <definedName name="_l5_72">"$#REF!.$#REF!$#REF!"</definedName>
    <definedName name="_l5_73">"$#REF!.$#REF!$#REF!"</definedName>
    <definedName name="_l5_8">"$#REF!.$#REF!$#REF!"</definedName>
    <definedName name="_lcn1">#REF!</definedName>
    <definedName name="_LI9" localSheetId="8">#REF!</definedName>
    <definedName name="_LI9" localSheetId="10">#REF!</definedName>
    <definedName name="_LI9" localSheetId="29">#REF!</definedName>
    <definedName name="_LI9">#REF!</definedName>
    <definedName name="_LII9" localSheetId="8">#REF!</definedName>
    <definedName name="_LII9" localSheetId="10">#REF!</definedName>
    <definedName name="_LII9" localSheetId="29">#REF!</definedName>
    <definedName name="_LII9">#REF!</definedName>
    <definedName name="_lj600" localSheetId="29">#REF!</definedName>
    <definedName name="_lj900" localSheetId="8">#REF!</definedName>
    <definedName name="_lj900" localSheetId="10">#REF!</definedName>
    <definedName name="_lj900" localSheetId="29">#REF!</definedName>
    <definedName name="_lj900" localSheetId="31">#REF!</definedName>
    <definedName name="_lj900">#REF!</definedName>
    <definedName name="_LL3">#REF!</definedName>
    <definedName name="_lm1">#REF!</definedName>
    <definedName name="_M5" localSheetId="29">#REF!</definedName>
    <definedName name="_ma" localSheetId="8">#REF!</definedName>
    <definedName name="_ma" localSheetId="10">#REF!</definedName>
    <definedName name="_ma" localSheetId="11">#REF!</definedName>
    <definedName name="_ma" localSheetId="29">#REF!</definedName>
    <definedName name="_ma">#REF!</definedName>
    <definedName name="_ma1" localSheetId="8">#REF!</definedName>
    <definedName name="_ma1" localSheetId="10">#REF!</definedName>
    <definedName name="_ma1" localSheetId="11">#REF!</definedName>
    <definedName name="_ma1" localSheetId="29">#REF!</definedName>
    <definedName name="_ma1">#REF!</definedName>
    <definedName name="_ma2" localSheetId="8">#REF!</definedName>
    <definedName name="_ma2" localSheetId="10">#REF!</definedName>
    <definedName name="_ma2" localSheetId="11">#REF!</definedName>
    <definedName name="_ma2" localSheetId="29">#REF!</definedName>
    <definedName name="_ma2">#REF!</definedName>
    <definedName name="_melamine" localSheetId="8">#REF!</definedName>
    <definedName name="_melamine" localSheetId="10">#REF!</definedName>
    <definedName name="_melamine" localSheetId="11">#REF!</definedName>
    <definedName name="_melamine" localSheetId="29">#REF!</definedName>
    <definedName name="_melamine">#REF!</definedName>
    <definedName name="_Met22">#REF!</definedName>
    <definedName name="_Met45">#REF!</definedName>
    <definedName name="_MEt55">#REF!</definedName>
    <definedName name="_Met63">#REF!</definedName>
    <definedName name="_ML11" localSheetId="8">#REF!</definedName>
    <definedName name="_ML11" localSheetId="10">#REF!</definedName>
    <definedName name="_ML11" localSheetId="29">#REF!</definedName>
    <definedName name="_ML11">#REF!</definedName>
    <definedName name="_ML110" localSheetId="8">#REF!</definedName>
    <definedName name="_ML110" localSheetId="10">#REF!</definedName>
    <definedName name="_ML110" localSheetId="29">#REF!</definedName>
    <definedName name="_ML110">#REF!</definedName>
    <definedName name="_ML111" localSheetId="8">#REF!</definedName>
    <definedName name="_ML111" localSheetId="10">#REF!</definedName>
    <definedName name="_ML111" localSheetId="29">#REF!</definedName>
    <definedName name="_ML111">#REF!</definedName>
    <definedName name="_ML112" localSheetId="8">#REF!</definedName>
    <definedName name="_ML112" localSheetId="10">#REF!</definedName>
    <definedName name="_ML112" localSheetId="29">#REF!</definedName>
    <definedName name="_ML112">#REF!</definedName>
    <definedName name="_ML113" localSheetId="8">#REF!</definedName>
    <definedName name="_ML113" localSheetId="10">#REF!</definedName>
    <definedName name="_ML113" localSheetId="29">#REF!</definedName>
    <definedName name="_ML113">#REF!</definedName>
    <definedName name="_ML114" localSheetId="8">#REF!</definedName>
    <definedName name="_ML114" localSheetId="10">#REF!</definedName>
    <definedName name="_ML114" localSheetId="29">#REF!</definedName>
    <definedName name="_ML114">#REF!</definedName>
    <definedName name="_ML115" localSheetId="8">#REF!</definedName>
    <definedName name="_ML115" localSheetId="10">#REF!</definedName>
    <definedName name="_ML115" localSheetId="29">#REF!</definedName>
    <definedName name="_ML115">#REF!</definedName>
    <definedName name="_ML12" localSheetId="8">#REF!</definedName>
    <definedName name="_ML12" localSheetId="10">#REF!</definedName>
    <definedName name="_ML12" localSheetId="29">#REF!</definedName>
    <definedName name="_ML12">#REF!</definedName>
    <definedName name="_ML13" localSheetId="8">#REF!</definedName>
    <definedName name="_ML13" localSheetId="10">#REF!</definedName>
    <definedName name="_ML13" localSheetId="29">#REF!</definedName>
    <definedName name="_ML13">#REF!</definedName>
    <definedName name="_ML14" localSheetId="8">#REF!</definedName>
    <definedName name="_ML14" localSheetId="10">#REF!</definedName>
    <definedName name="_ML14" localSheetId="29">#REF!</definedName>
    <definedName name="_ML14">#REF!</definedName>
    <definedName name="_ML15" localSheetId="8">#REF!</definedName>
    <definedName name="_ML15" localSheetId="10">#REF!</definedName>
    <definedName name="_ML15" localSheetId="29">#REF!</definedName>
    <definedName name="_ML15">#REF!</definedName>
    <definedName name="_ML16" localSheetId="8">#REF!</definedName>
    <definedName name="_ML16" localSheetId="10">#REF!</definedName>
    <definedName name="_ML16" localSheetId="29">#REF!</definedName>
    <definedName name="_ML16">#REF!</definedName>
    <definedName name="_ML17" localSheetId="8">#REF!</definedName>
    <definedName name="_ML17" localSheetId="10">#REF!</definedName>
    <definedName name="_ML17" localSheetId="29">#REF!</definedName>
    <definedName name="_ML17">#REF!</definedName>
    <definedName name="_ML18" localSheetId="8">#REF!</definedName>
    <definedName name="_ML18" localSheetId="10">#REF!</definedName>
    <definedName name="_ML18" localSheetId="29">#REF!</definedName>
    <definedName name="_ML18">#REF!</definedName>
    <definedName name="_ML19" localSheetId="8">#REF!</definedName>
    <definedName name="_ML19" localSheetId="10">#REF!</definedName>
    <definedName name="_ML19" localSheetId="29">#REF!</definedName>
    <definedName name="_ML19">#REF!</definedName>
    <definedName name="_ML21" localSheetId="8">#REF!</definedName>
    <definedName name="_ML21" localSheetId="10">#REF!</definedName>
    <definedName name="_ML21" localSheetId="29">#REF!</definedName>
    <definedName name="_ML21">#REF!</definedName>
    <definedName name="_ML210" localSheetId="8">#REF!</definedName>
    <definedName name="_ML210" localSheetId="10">#REF!</definedName>
    <definedName name="_ML210" localSheetId="29">#REF!</definedName>
    <definedName name="_ML210">#REF!</definedName>
    <definedName name="_ML211" localSheetId="8">#REF!</definedName>
    <definedName name="_ML211" localSheetId="10">#REF!</definedName>
    <definedName name="_ML211" localSheetId="29">#REF!</definedName>
    <definedName name="_ML211">#REF!</definedName>
    <definedName name="_ML212" localSheetId="8">#REF!</definedName>
    <definedName name="_ML212" localSheetId="10">#REF!</definedName>
    <definedName name="_ML212" localSheetId="29">#REF!</definedName>
    <definedName name="_ML212">#REF!</definedName>
    <definedName name="_ML213" localSheetId="8">#REF!</definedName>
    <definedName name="_ML213" localSheetId="10">#REF!</definedName>
    <definedName name="_ML213" localSheetId="29">#REF!</definedName>
    <definedName name="_ML213">#REF!</definedName>
    <definedName name="_ML214" localSheetId="8">#REF!</definedName>
    <definedName name="_ML214" localSheetId="10">#REF!</definedName>
    <definedName name="_ML214" localSheetId="29">#REF!</definedName>
    <definedName name="_ML214">#REF!</definedName>
    <definedName name="_ML215" localSheetId="8">#REF!</definedName>
    <definedName name="_ML215" localSheetId="10">#REF!</definedName>
    <definedName name="_ML215" localSheetId="29">#REF!</definedName>
    <definedName name="_ML215">#REF!</definedName>
    <definedName name="_ML216">#REF!</definedName>
    <definedName name="_ML217">#REF!</definedName>
    <definedName name="_ML218">#REF!</definedName>
    <definedName name="_ML219">#REF!</definedName>
    <definedName name="_ML22" localSheetId="8">#REF!</definedName>
    <definedName name="_ML22" localSheetId="10">#REF!</definedName>
    <definedName name="_ML22" localSheetId="29">#REF!</definedName>
    <definedName name="_ML22">#REF!</definedName>
    <definedName name="_ML220">#REF!</definedName>
    <definedName name="_ML221">#REF!</definedName>
    <definedName name="_ML222">#REF!</definedName>
    <definedName name="_ML223">#REF!</definedName>
    <definedName name="_ML224">#REF!</definedName>
    <definedName name="_ML23" localSheetId="8">#REF!</definedName>
    <definedName name="_ML23" localSheetId="10">#REF!</definedName>
    <definedName name="_ML23" localSheetId="29">#REF!</definedName>
    <definedName name="_ML23">#REF!</definedName>
    <definedName name="_ML24" localSheetId="8">#REF!</definedName>
    <definedName name="_ML24" localSheetId="10">#REF!</definedName>
    <definedName name="_ML24" localSheetId="29">#REF!</definedName>
    <definedName name="_ML24">#REF!</definedName>
    <definedName name="_ML25" localSheetId="8">#REF!</definedName>
    <definedName name="_ML25" localSheetId="10">#REF!</definedName>
    <definedName name="_ML25" localSheetId="29">#REF!</definedName>
    <definedName name="_ML25">#REF!</definedName>
    <definedName name="_ML26" localSheetId="8">#REF!</definedName>
    <definedName name="_ML26" localSheetId="10">#REF!</definedName>
    <definedName name="_ML26" localSheetId="29">#REF!</definedName>
    <definedName name="_ML26">#REF!</definedName>
    <definedName name="_ML27" localSheetId="8">#REF!</definedName>
    <definedName name="_ML27" localSheetId="10">#REF!</definedName>
    <definedName name="_ML27" localSheetId="29">#REF!</definedName>
    <definedName name="_ML27">#REF!</definedName>
    <definedName name="_ML28" localSheetId="8">#REF!</definedName>
    <definedName name="_ML28" localSheetId="10">#REF!</definedName>
    <definedName name="_ML28" localSheetId="29">#REF!</definedName>
    <definedName name="_ML28">#REF!</definedName>
    <definedName name="_ML29" localSheetId="8">#REF!</definedName>
    <definedName name="_ML29" localSheetId="10">#REF!</definedName>
    <definedName name="_ML29" localSheetId="29">#REF!</definedName>
    <definedName name="_ML29">#REF!</definedName>
    <definedName name="_ML31" localSheetId="8">#REF!</definedName>
    <definedName name="_ML31" localSheetId="10">#REF!</definedName>
    <definedName name="_ML31" localSheetId="29">#REF!</definedName>
    <definedName name="_ML31">#REF!</definedName>
    <definedName name="_ML310" localSheetId="8">#REF!</definedName>
    <definedName name="_ML310" localSheetId="10">#REF!</definedName>
    <definedName name="_ML310" localSheetId="29">#REF!</definedName>
    <definedName name="_ML310">#REF!</definedName>
    <definedName name="_ML311" localSheetId="8">#REF!</definedName>
    <definedName name="_ML311" localSheetId="10">#REF!</definedName>
    <definedName name="_ML311" localSheetId="29">#REF!</definedName>
    <definedName name="_ML311">#REF!</definedName>
    <definedName name="_ML312" localSheetId="8">#REF!</definedName>
    <definedName name="_ML312" localSheetId="10">#REF!</definedName>
    <definedName name="_ML312" localSheetId="29">#REF!</definedName>
    <definedName name="_ML312">#REF!</definedName>
    <definedName name="_ML313" localSheetId="8">#REF!</definedName>
    <definedName name="_ML313" localSheetId="10">#REF!</definedName>
    <definedName name="_ML313" localSheetId="29">#REF!</definedName>
    <definedName name="_ML313">#REF!</definedName>
    <definedName name="_ML314" localSheetId="8">#REF!</definedName>
    <definedName name="_ML314" localSheetId="10">#REF!</definedName>
    <definedName name="_ML314" localSheetId="29">#REF!</definedName>
    <definedName name="_ML314">#REF!</definedName>
    <definedName name="_ML315" localSheetId="8">#REF!</definedName>
    <definedName name="_ML315" localSheetId="10">#REF!</definedName>
    <definedName name="_ML315" localSheetId="29">#REF!</definedName>
    <definedName name="_ML315">#REF!</definedName>
    <definedName name="_ML316">#REF!</definedName>
    <definedName name="_ML317">#REF!</definedName>
    <definedName name="_ML318">#REF!</definedName>
    <definedName name="_ML319">#REF!</definedName>
    <definedName name="_ML32" localSheetId="8">#REF!</definedName>
    <definedName name="_ML32" localSheetId="10">#REF!</definedName>
    <definedName name="_ML32" localSheetId="29">#REF!</definedName>
    <definedName name="_ML32">#REF!</definedName>
    <definedName name="_ML320">#REF!</definedName>
    <definedName name="_ML321">#REF!</definedName>
    <definedName name="_ML322">#REF!</definedName>
    <definedName name="_ML323">#REF!</definedName>
    <definedName name="_ML324">#REF!</definedName>
    <definedName name="_ML33" localSheetId="8">#REF!</definedName>
    <definedName name="_ML33" localSheetId="10">#REF!</definedName>
    <definedName name="_ML33" localSheetId="29">#REF!</definedName>
    <definedName name="_ML33">#REF!</definedName>
    <definedName name="_ML34" localSheetId="8">#REF!</definedName>
    <definedName name="_ML34" localSheetId="10">#REF!</definedName>
    <definedName name="_ML34" localSheetId="29">#REF!</definedName>
    <definedName name="_ML34">#REF!</definedName>
    <definedName name="_ML35" localSheetId="8">#REF!</definedName>
    <definedName name="_ML35" localSheetId="10">#REF!</definedName>
    <definedName name="_ML35" localSheetId="29">#REF!</definedName>
    <definedName name="_ML35">#REF!</definedName>
    <definedName name="_ML36" localSheetId="8">#REF!</definedName>
    <definedName name="_ML36" localSheetId="10">#REF!</definedName>
    <definedName name="_ML36" localSheetId="29">#REF!</definedName>
    <definedName name="_ML36">#REF!</definedName>
    <definedName name="_ML37" localSheetId="8">#REF!</definedName>
    <definedName name="_ML37" localSheetId="10">#REF!</definedName>
    <definedName name="_ML37" localSheetId="29">#REF!</definedName>
    <definedName name="_ML37">#REF!</definedName>
    <definedName name="_ML38" localSheetId="8">#REF!</definedName>
    <definedName name="_ML38" localSheetId="10">#REF!</definedName>
    <definedName name="_ML38" localSheetId="29">#REF!</definedName>
    <definedName name="_ML38">#REF!</definedName>
    <definedName name="_ML39" localSheetId="8">#REF!</definedName>
    <definedName name="_ML39" localSheetId="10">#REF!</definedName>
    <definedName name="_ML39" localSheetId="29">#REF!</definedName>
    <definedName name="_ML39">#REF!</definedName>
    <definedName name="_ML7" localSheetId="8">#REF!</definedName>
    <definedName name="_ML7" localSheetId="10">#REF!</definedName>
    <definedName name="_ML7" localSheetId="29">#REF!</definedName>
    <definedName name="_ML7">#REF!</definedName>
    <definedName name="_ML8" localSheetId="8">#REF!</definedName>
    <definedName name="_ML8" localSheetId="10">#REF!</definedName>
    <definedName name="_ML8" localSheetId="29">#REF!</definedName>
    <definedName name="_ML8">#REF!</definedName>
    <definedName name="_ML9" localSheetId="8">#REF!</definedName>
    <definedName name="_ML9" localSheetId="10">#REF!</definedName>
    <definedName name="_ML9" localSheetId="29">#REF!</definedName>
    <definedName name="_ML9">#REF!</definedName>
    <definedName name="_mm" localSheetId="8">#REF!</definedName>
    <definedName name="_mm" localSheetId="10">#REF!</definedName>
    <definedName name="_mm" localSheetId="11">#REF!</definedName>
    <definedName name="_mm" localSheetId="29">#REF!</definedName>
    <definedName name="_mm">#REF!</definedName>
    <definedName name="_mm1_32">#REF!</definedName>
    <definedName name="_mm1_33">#REF!</definedName>
    <definedName name="_mm1_34">#REF!</definedName>
    <definedName name="_mm1_43">#REF!</definedName>
    <definedName name="_mm1_56">#REF!</definedName>
    <definedName name="_mm1_59">#REF!</definedName>
    <definedName name="_mm1_61">#REF!</definedName>
    <definedName name="_mm1000">#REF!</definedName>
    <definedName name="_mm20" localSheetId="5">#REF!</definedName>
    <definedName name="_mm20" localSheetId="8">#REF!</definedName>
    <definedName name="_mm20" localSheetId="10">#REF!</definedName>
    <definedName name="_mm20" localSheetId="29">#REF!</definedName>
    <definedName name="_mm20" localSheetId="31">#REF!</definedName>
    <definedName name="_mm20">#REF!</definedName>
    <definedName name="_mm40" localSheetId="5">#REF!</definedName>
    <definedName name="_mm40" localSheetId="8">#REF!</definedName>
    <definedName name="_mm40" localSheetId="10">#REF!</definedName>
    <definedName name="_mm40" localSheetId="29">#REF!</definedName>
    <definedName name="_mm40" localSheetId="31">#REF!</definedName>
    <definedName name="_mm40">#REF!</definedName>
    <definedName name="_mm600">#REF!</definedName>
    <definedName name="_mm800">#REF!</definedName>
    <definedName name="_MT1" localSheetId="8">#REF!</definedName>
    <definedName name="_MT1" localSheetId="10">#REF!</definedName>
    <definedName name="_MT1" localSheetId="29">#REF!</definedName>
    <definedName name="_MT1">#REF!</definedName>
    <definedName name="_MT10" localSheetId="8">#REF!</definedName>
    <definedName name="_MT10" localSheetId="10">#REF!</definedName>
    <definedName name="_MT10" localSheetId="29">#REF!</definedName>
    <definedName name="_MT10">#REF!</definedName>
    <definedName name="_MT100" localSheetId="8">#REF!</definedName>
    <definedName name="_MT100" localSheetId="10">#REF!</definedName>
    <definedName name="_MT100" localSheetId="29">#REF!</definedName>
    <definedName name="_MT100">#REF!</definedName>
    <definedName name="_MT101" localSheetId="8">#REF!</definedName>
    <definedName name="_MT101" localSheetId="10">#REF!</definedName>
    <definedName name="_MT101" localSheetId="29">#REF!</definedName>
    <definedName name="_MT101">#REF!</definedName>
    <definedName name="_MT102" localSheetId="8">#REF!</definedName>
    <definedName name="_MT102" localSheetId="10">#REF!</definedName>
    <definedName name="_MT102" localSheetId="29">#REF!</definedName>
    <definedName name="_MT102">#REF!</definedName>
    <definedName name="_MT103" localSheetId="8">#REF!</definedName>
    <definedName name="_MT103" localSheetId="10">#REF!</definedName>
    <definedName name="_MT103" localSheetId="29">#REF!</definedName>
    <definedName name="_MT103">#REF!</definedName>
    <definedName name="_MT104" localSheetId="8">#REF!</definedName>
    <definedName name="_MT104" localSheetId="10">#REF!</definedName>
    <definedName name="_MT104" localSheetId="29">#REF!</definedName>
    <definedName name="_MT104">#REF!</definedName>
    <definedName name="_MT105" localSheetId="8">#REF!</definedName>
    <definedName name="_MT105" localSheetId="10">#REF!</definedName>
    <definedName name="_MT105" localSheetId="29">#REF!</definedName>
    <definedName name="_MT105">#REF!</definedName>
    <definedName name="_MT106" localSheetId="8">#REF!</definedName>
    <definedName name="_MT106" localSheetId="10">#REF!</definedName>
    <definedName name="_MT106" localSheetId="29">#REF!</definedName>
    <definedName name="_MT106">#REF!</definedName>
    <definedName name="_MT107" localSheetId="8">#REF!</definedName>
    <definedName name="_MT107" localSheetId="10">#REF!</definedName>
    <definedName name="_MT107" localSheetId="29">#REF!</definedName>
    <definedName name="_MT107">#REF!</definedName>
    <definedName name="_MT108" localSheetId="8">#REF!</definedName>
    <definedName name="_MT108" localSheetId="10">#REF!</definedName>
    <definedName name="_MT108" localSheetId="29">#REF!</definedName>
    <definedName name="_MT108">#REF!</definedName>
    <definedName name="_MT109" localSheetId="8">#REF!</definedName>
    <definedName name="_MT109" localSheetId="10">#REF!</definedName>
    <definedName name="_MT109" localSheetId="29">#REF!</definedName>
    <definedName name="_MT109">#REF!</definedName>
    <definedName name="_MT11" localSheetId="8">#REF!</definedName>
    <definedName name="_MT11" localSheetId="10">#REF!</definedName>
    <definedName name="_MT11" localSheetId="29">#REF!</definedName>
    <definedName name="_MT11">#REF!</definedName>
    <definedName name="_MT110" localSheetId="8">#REF!</definedName>
    <definedName name="_MT110" localSheetId="10">#REF!</definedName>
    <definedName name="_MT110" localSheetId="29">#REF!</definedName>
    <definedName name="_MT110">#REF!</definedName>
    <definedName name="_MT111" localSheetId="8">#REF!</definedName>
    <definedName name="_MT111" localSheetId="10">#REF!</definedName>
    <definedName name="_MT111" localSheetId="29">#REF!</definedName>
    <definedName name="_MT111">#REF!</definedName>
    <definedName name="_MT112" localSheetId="8">#REF!</definedName>
    <definedName name="_MT112" localSheetId="10">#REF!</definedName>
    <definedName name="_MT112" localSheetId="29">#REF!</definedName>
    <definedName name="_MT112">#REF!</definedName>
    <definedName name="_MT113" localSheetId="8">#REF!</definedName>
    <definedName name="_MT113" localSheetId="10">#REF!</definedName>
    <definedName name="_MT113" localSheetId="29">#REF!</definedName>
    <definedName name="_MT113">#REF!</definedName>
    <definedName name="_MT114" localSheetId="8">#REF!</definedName>
    <definedName name="_MT114" localSheetId="10">#REF!</definedName>
    <definedName name="_MT114" localSheetId="29">#REF!</definedName>
    <definedName name="_MT114">#REF!</definedName>
    <definedName name="_MT115" localSheetId="8">#REF!</definedName>
    <definedName name="_MT115" localSheetId="10">#REF!</definedName>
    <definedName name="_MT115" localSheetId="29">#REF!</definedName>
    <definedName name="_MT115">#REF!</definedName>
    <definedName name="_MT116" localSheetId="8">#REF!</definedName>
    <definedName name="_MT116" localSheetId="10">#REF!</definedName>
    <definedName name="_MT116" localSheetId="29">#REF!</definedName>
    <definedName name="_MT116">#REF!</definedName>
    <definedName name="_MT117" localSheetId="8">#REF!</definedName>
    <definedName name="_MT117" localSheetId="10">#REF!</definedName>
    <definedName name="_MT117" localSheetId="29">#REF!</definedName>
    <definedName name="_MT117">#REF!</definedName>
    <definedName name="_MT118" localSheetId="8">#REF!</definedName>
    <definedName name="_MT118" localSheetId="10">#REF!</definedName>
    <definedName name="_MT118" localSheetId="29">#REF!</definedName>
    <definedName name="_MT118">#REF!</definedName>
    <definedName name="_MT119" localSheetId="8">#REF!</definedName>
    <definedName name="_MT119" localSheetId="10">#REF!</definedName>
    <definedName name="_MT119" localSheetId="29">#REF!</definedName>
    <definedName name="_MT119">#REF!</definedName>
    <definedName name="_MT12" localSheetId="8">#REF!</definedName>
    <definedName name="_MT12" localSheetId="10">#REF!</definedName>
    <definedName name="_MT12" localSheetId="29">#REF!</definedName>
    <definedName name="_MT12">#REF!</definedName>
    <definedName name="_MT120" localSheetId="8">#REF!</definedName>
    <definedName name="_MT120" localSheetId="10">#REF!</definedName>
    <definedName name="_MT120" localSheetId="29">#REF!</definedName>
    <definedName name="_MT120">#REF!</definedName>
    <definedName name="_MT121" localSheetId="8">#REF!</definedName>
    <definedName name="_MT121" localSheetId="10">#REF!</definedName>
    <definedName name="_MT121" localSheetId="29">#REF!</definedName>
    <definedName name="_MT121">#REF!</definedName>
    <definedName name="_MT122" localSheetId="8">#REF!</definedName>
    <definedName name="_MT122" localSheetId="10">#REF!</definedName>
    <definedName name="_MT122" localSheetId="29">#REF!</definedName>
    <definedName name="_MT122">#REF!</definedName>
    <definedName name="_MT123" localSheetId="8">#REF!</definedName>
    <definedName name="_MT123" localSheetId="10">#REF!</definedName>
    <definedName name="_MT123" localSheetId="29">#REF!</definedName>
    <definedName name="_MT123">#REF!</definedName>
    <definedName name="_MT124" localSheetId="8">#REF!</definedName>
    <definedName name="_MT124" localSheetId="10">#REF!</definedName>
    <definedName name="_MT124" localSheetId="29">#REF!</definedName>
    <definedName name="_MT124">#REF!</definedName>
    <definedName name="_MT125" localSheetId="8">#REF!</definedName>
    <definedName name="_MT125" localSheetId="10">#REF!</definedName>
    <definedName name="_MT125" localSheetId="29">#REF!</definedName>
    <definedName name="_MT125">#REF!</definedName>
    <definedName name="_MT126" localSheetId="8">#REF!</definedName>
    <definedName name="_MT126" localSheetId="10">#REF!</definedName>
    <definedName name="_MT126" localSheetId="29">#REF!</definedName>
    <definedName name="_MT126">#REF!</definedName>
    <definedName name="_MT127" localSheetId="8">#REF!</definedName>
    <definedName name="_MT127" localSheetId="10">#REF!</definedName>
    <definedName name="_MT127" localSheetId="29">#REF!</definedName>
    <definedName name="_MT127">#REF!</definedName>
    <definedName name="_MT128" localSheetId="8">#REF!</definedName>
    <definedName name="_MT128" localSheetId="10">#REF!</definedName>
    <definedName name="_MT128" localSheetId="29">#REF!</definedName>
    <definedName name="_MT128">#REF!</definedName>
    <definedName name="_MT129" localSheetId="8">#REF!</definedName>
    <definedName name="_MT129" localSheetId="10">#REF!</definedName>
    <definedName name="_MT129" localSheetId="29">#REF!</definedName>
    <definedName name="_MT129">#REF!</definedName>
    <definedName name="_MT13" localSheetId="8">#REF!</definedName>
    <definedName name="_MT13" localSheetId="10">#REF!</definedName>
    <definedName name="_MT13" localSheetId="29">#REF!</definedName>
    <definedName name="_MT13">#REF!</definedName>
    <definedName name="_MT130" localSheetId="8">#REF!</definedName>
    <definedName name="_MT130" localSheetId="10">#REF!</definedName>
    <definedName name="_MT130" localSheetId="29">#REF!</definedName>
    <definedName name="_MT130">#REF!</definedName>
    <definedName name="_MT131" localSheetId="8">#REF!</definedName>
    <definedName name="_MT131" localSheetId="10">#REF!</definedName>
    <definedName name="_MT131" localSheetId="29">#REF!</definedName>
    <definedName name="_MT131">#REF!</definedName>
    <definedName name="_MT132" localSheetId="8">#REF!</definedName>
    <definedName name="_MT132" localSheetId="10">#REF!</definedName>
    <definedName name="_MT132" localSheetId="29">#REF!</definedName>
    <definedName name="_MT132">#REF!</definedName>
    <definedName name="_MT133" localSheetId="8">#REF!</definedName>
    <definedName name="_MT133" localSheetId="10">#REF!</definedName>
    <definedName name="_MT133" localSheetId="29">#REF!</definedName>
    <definedName name="_MT133">#REF!</definedName>
    <definedName name="_MT134" localSheetId="8">#REF!</definedName>
    <definedName name="_MT134" localSheetId="10">#REF!</definedName>
    <definedName name="_MT134" localSheetId="29">#REF!</definedName>
    <definedName name="_MT134">#REF!</definedName>
    <definedName name="_MT135" localSheetId="8">#REF!</definedName>
    <definedName name="_MT135" localSheetId="10">#REF!</definedName>
    <definedName name="_MT135" localSheetId="29">#REF!</definedName>
    <definedName name="_MT135">#REF!</definedName>
    <definedName name="_MT136" localSheetId="8">#REF!</definedName>
    <definedName name="_MT136" localSheetId="10">#REF!</definedName>
    <definedName name="_MT136" localSheetId="29">#REF!</definedName>
    <definedName name="_MT136">#REF!</definedName>
    <definedName name="_MT137" localSheetId="8">#REF!</definedName>
    <definedName name="_MT137" localSheetId="10">#REF!</definedName>
    <definedName name="_MT137" localSheetId="29">#REF!</definedName>
    <definedName name="_MT137">#REF!</definedName>
    <definedName name="_MT138" localSheetId="8">#REF!</definedName>
    <definedName name="_MT138" localSheetId="10">#REF!</definedName>
    <definedName name="_MT138" localSheetId="29">#REF!</definedName>
    <definedName name="_MT138">#REF!</definedName>
    <definedName name="_MT139" localSheetId="8">#REF!</definedName>
    <definedName name="_MT139" localSheetId="10">#REF!</definedName>
    <definedName name="_MT139" localSheetId="29">#REF!</definedName>
    <definedName name="_MT139">#REF!</definedName>
    <definedName name="_MT14" localSheetId="8">#REF!</definedName>
    <definedName name="_MT14" localSheetId="10">#REF!</definedName>
    <definedName name="_MT14" localSheetId="29">#REF!</definedName>
    <definedName name="_MT14">#REF!</definedName>
    <definedName name="_MT140" localSheetId="8">#REF!</definedName>
    <definedName name="_MT140" localSheetId="10">#REF!</definedName>
    <definedName name="_MT140" localSheetId="29">#REF!</definedName>
    <definedName name="_MT140">#REF!</definedName>
    <definedName name="_MT141" localSheetId="8">#REF!</definedName>
    <definedName name="_MT141" localSheetId="10">#REF!</definedName>
    <definedName name="_MT141" localSheetId="29">#REF!</definedName>
    <definedName name="_MT141">#REF!</definedName>
    <definedName name="_MT142" localSheetId="8">#REF!</definedName>
    <definedName name="_MT142" localSheetId="10">#REF!</definedName>
    <definedName name="_MT142" localSheetId="29">#REF!</definedName>
    <definedName name="_MT142">#REF!</definedName>
    <definedName name="_MT143" localSheetId="8">#REF!</definedName>
    <definedName name="_MT143" localSheetId="10">#REF!</definedName>
    <definedName name="_MT143" localSheetId="29">#REF!</definedName>
    <definedName name="_MT143">#REF!</definedName>
    <definedName name="_MT144" localSheetId="8">#REF!</definedName>
    <definedName name="_MT144" localSheetId="10">#REF!</definedName>
    <definedName name="_MT144" localSheetId="29">#REF!</definedName>
    <definedName name="_MT144">#REF!</definedName>
    <definedName name="_MT145" localSheetId="8">#REF!</definedName>
    <definedName name="_MT145" localSheetId="10">#REF!</definedName>
    <definedName name="_MT145" localSheetId="29">#REF!</definedName>
    <definedName name="_MT145">#REF!</definedName>
    <definedName name="_MT146" localSheetId="8">#REF!</definedName>
    <definedName name="_MT146" localSheetId="10">#REF!</definedName>
    <definedName name="_MT146" localSheetId="29">#REF!</definedName>
    <definedName name="_MT146">#REF!</definedName>
    <definedName name="_MT147" localSheetId="8">#REF!</definedName>
    <definedName name="_MT147" localSheetId="10">#REF!</definedName>
    <definedName name="_MT147" localSheetId="29">#REF!</definedName>
    <definedName name="_MT147">#REF!</definedName>
    <definedName name="_MT148" localSheetId="8">#REF!</definedName>
    <definedName name="_MT148" localSheetId="10">#REF!</definedName>
    <definedName name="_MT148" localSheetId="29">#REF!</definedName>
    <definedName name="_MT148">#REF!</definedName>
    <definedName name="_MT149" localSheetId="8">#REF!</definedName>
    <definedName name="_MT149" localSheetId="10">#REF!</definedName>
    <definedName name="_MT149" localSheetId="29">#REF!</definedName>
    <definedName name="_MT149">#REF!</definedName>
    <definedName name="_MT15" localSheetId="8">#REF!</definedName>
    <definedName name="_MT15" localSheetId="10">#REF!</definedName>
    <definedName name="_MT15" localSheetId="29">#REF!</definedName>
    <definedName name="_MT15">#REF!</definedName>
    <definedName name="_MT150" localSheetId="8">#REF!</definedName>
    <definedName name="_MT150" localSheetId="10">#REF!</definedName>
    <definedName name="_MT150" localSheetId="29">#REF!</definedName>
    <definedName name="_MT150">#REF!</definedName>
    <definedName name="_MT16" localSheetId="8">#REF!</definedName>
    <definedName name="_MT16" localSheetId="10">#REF!</definedName>
    <definedName name="_MT16" localSheetId="29">#REF!</definedName>
    <definedName name="_MT16">#REF!</definedName>
    <definedName name="_MT17" localSheetId="8">#REF!</definedName>
    <definedName name="_MT17" localSheetId="10">#REF!</definedName>
    <definedName name="_MT17" localSheetId="29">#REF!</definedName>
    <definedName name="_MT17">#REF!</definedName>
    <definedName name="_MT18" localSheetId="8">#REF!</definedName>
    <definedName name="_MT18" localSheetId="10">#REF!</definedName>
    <definedName name="_MT18" localSheetId="29">#REF!</definedName>
    <definedName name="_MT18">#REF!</definedName>
    <definedName name="_MT19" localSheetId="8">#REF!</definedName>
    <definedName name="_MT19" localSheetId="10">#REF!</definedName>
    <definedName name="_MT19" localSheetId="29">#REF!</definedName>
    <definedName name="_MT19">#REF!</definedName>
    <definedName name="_MT2" localSheetId="8">#REF!</definedName>
    <definedName name="_MT2" localSheetId="10">#REF!</definedName>
    <definedName name="_MT2" localSheetId="29">#REF!</definedName>
    <definedName name="_MT2">#REF!</definedName>
    <definedName name="_MT20" localSheetId="8">#REF!</definedName>
    <definedName name="_MT20" localSheetId="10">#REF!</definedName>
    <definedName name="_MT20" localSheetId="29">#REF!</definedName>
    <definedName name="_MT20">#REF!</definedName>
    <definedName name="_MT21" localSheetId="8">#REF!</definedName>
    <definedName name="_MT21" localSheetId="10">#REF!</definedName>
    <definedName name="_MT21" localSheetId="29">#REF!</definedName>
    <definedName name="_MT21">#REF!</definedName>
    <definedName name="_MT22" localSheetId="8">#REF!</definedName>
    <definedName name="_MT22" localSheetId="10">#REF!</definedName>
    <definedName name="_MT22" localSheetId="29">#REF!</definedName>
    <definedName name="_MT22">#REF!</definedName>
    <definedName name="_MT23" localSheetId="8">#REF!</definedName>
    <definedName name="_MT23" localSheetId="10">#REF!</definedName>
    <definedName name="_MT23" localSheetId="29">#REF!</definedName>
    <definedName name="_MT23">#REF!</definedName>
    <definedName name="_MT24" localSheetId="8">#REF!</definedName>
    <definedName name="_MT24" localSheetId="10">#REF!</definedName>
    <definedName name="_MT24" localSheetId="29">#REF!</definedName>
    <definedName name="_MT24">#REF!</definedName>
    <definedName name="_MT25" localSheetId="8">#REF!</definedName>
    <definedName name="_MT25" localSheetId="10">#REF!</definedName>
    <definedName name="_MT25" localSheetId="29">#REF!</definedName>
    <definedName name="_MT25">#REF!</definedName>
    <definedName name="_MT26" localSheetId="8">#REF!</definedName>
    <definedName name="_MT26" localSheetId="10">#REF!</definedName>
    <definedName name="_MT26" localSheetId="29">#REF!</definedName>
    <definedName name="_MT26">#REF!</definedName>
    <definedName name="_MT27" localSheetId="8">#REF!</definedName>
    <definedName name="_MT27" localSheetId="10">#REF!</definedName>
    <definedName name="_MT27" localSheetId="29">#REF!</definedName>
    <definedName name="_MT27">#REF!</definedName>
    <definedName name="_MT28" localSheetId="8">#REF!</definedName>
    <definedName name="_MT28" localSheetId="10">#REF!</definedName>
    <definedName name="_MT28" localSheetId="29">#REF!</definedName>
    <definedName name="_MT28">#REF!</definedName>
    <definedName name="_MT29" localSheetId="8">#REF!</definedName>
    <definedName name="_MT29" localSheetId="10">#REF!</definedName>
    <definedName name="_MT29" localSheetId="29">#REF!</definedName>
    <definedName name="_MT29">#REF!</definedName>
    <definedName name="_MT3" localSheetId="8">#REF!</definedName>
    <definedName name="_MT3" localSheetId="10">#REF!</definedName>
    <definedName name="_MT3" localSheetId="29">#REF!</definedName>
    <definedName name="_MT3">#REF!</definedName>
    <definedName name="_MT30" localSheetId="8">#REF!</definedName>
    <definedName name="_MT30" localSheetId="10">#REF!</definedName>
    <definedName name="_MT30" localSheetId="29">#REF!</definedName>
    <definedName name="_MT30">#REF!</definedName>
    <definedName name="_MT31" localSheetId="8">#REF!</definedName>
    <definedName name="_MT31" localSheetId="10">#REF!</definedName>
    <definedName name="_MT31" localSheetId="29">#REF!</definedName>
    <definedName name="_MT31">#REF!</definedName>
    <definedName name="_MT32" localSheetId="8">#REF!</definedName>
    <definedName name="_MT32" localSheetId="10">#REF!</definedName>
    <definedName name="_MT32" localSheetId="29">#REF!</definedName>
    <definedName name="_MT32">#REF!</definedName>
    <definedName name="_MT33" localSheetId="8">#REF!</definedName>
    <definedName name="_MT33" localSheetId="10">#REF!</definedName>
    <definedName name="_MT33" localSheetId="29">#REF!</definedName>
    <definedName name="_MT33">#REF!</definedName>
    <definedName name="_MT34" localSheetId="8">#REF!</definedName>
    <definedName name="_MT34" localSheetId="10">#REF!</definedName>
    <definedName name="_MT34" localSheetId="29">#REF!</definedName>
    <definedName name="_MT34">#REF!</definedName>
    <definedName name="_MT35" localSheetId="8">#REF!</definedName>
    <definedName name="_MT35" localSheetId="10">#REF!</definedName>
    <definedName name="_MT35" localSheetId="29">#REF!</definedName>
    <definedName name="_MT35">#REF!</definedName>
    <definedName name="_MT36" localSheetId="8">#REF!</definedName>
    <definedName name="_MT36" localSheetId="10">#REF!</definedName>
    <definedName name="_MT36" localSheetId="29">#REF!</definedName>
    <definedName name="_MT36">#REF!</definedName>
    <definedName name="_MT37" localSheetId="8">#REF!</definedName>
    <definedName name="_MT37" localSheetId="10">#REF!</definedName>
    <definedName name="_MT37" localSheetId="29">#REF!</definedName>
    <definedName name="_MT37">#REF!</definedName>
    <definedName name="_MT38" localSheetId="8">#REF!</definedName>
    <definedName name="_MT38" localSheetId="10">#REF!</definedName>
    <definedName name="_MT38" localSheetId="29">#REF!</definedName>
    <definedName name="_MT38">#REF!</definedName>
    <definedName name="_MT39" localSheetId="8">#REF!</definedName>
    <definedName name="_MT39" localSheetId="10">#REF!</definedName>
    <definedName name="_MT39" localSheetId="29">#REF!</definedName>
    <definedName name="_MT39">#REF!</definedName>
    <definedName name="_MT4" localSheetId="8">#REF!</definedName>
    <definedName name="_MT4" localSheetId="10">#REF!</definedName>
    <definedName name="_MT4" localSheetId="29">#REF!</definedName>
    <definedName name="_MT4">#REF!</definedName>
    <definedName name="_MT40" localSheetId="8">#REF!</definedName>
    <definedName name="_MT40" localSheetId="10">#REF!</definedName>
    <definedName name="_MT40" localSheetId="29">#REF!</definedName>
    <definedName name="_MT40">#REF!</definedName>
    <definedName name="_MT41" localSheetId="8">#REF!</definedName>
    <definedName name="_MT41" localSheetId="10">#REF!</definedName>
    <definedName name="_MT41" localSheetId="29">#REF!</definedName>
    <definedName name="_MT41">#REF!</definedName>
    <definedName name="_MT42" localSheetId="8">#REF!</definedName>
    <definedName name="_MT42" localSheetId="10">#REF!</definedName>
    <definedName name="_MT42" localSheetId="29">#REF!</definedName>
    <definedName name="_MT42">#REF!</definedName>
    <definedName name="_MT43" localSheetId="8">#REF!</definedName>
    <definedName name="_MT43" localSheetId="10">#REF!</definedName>
    <definedName name="_MT43" localSheetId="29">#REF!</definedName>
    <definedName name="_MT43">#REF!</definedName>
    <definedName name="_MT44" localSheetId="8">#REF!</definedName>
    <definedName name="_MT44" localSheetId="10">#REF!</definedName>
    <definedName name="_MT44" localSheetId="29">#REF!</definedName>
    <definedName name="_MT44">#REF!</definedName>
    <definedName name="_MT45" localSheetId="8">#REF!</definedName>
    <definedName name="_MT45" localSheetId="10">#REF!</definedName>
    <definedName name="_MT45" localSheetId="29">#REF!</definedName>
    <definedName name="_MT45">#REF!</definedName>
    <definedName name="_MT46" localSheetId="8">#REF!</definedName>
    <definedName name="_MT46" localSheetId="10">#REF!</definedName>
    <definedName name="_MT46" localSheetId="29">#REF!</definedName>
    <definedName name="_MT46">#REF!</definedName>
    <definedName name="_MT47" localSheetId="8">#REF!</definedName>
    <definedName name="_MT47" localSheetId="10">#REF!</definedName>
    <definedName name="_MT47" localSheetId="29">#REF!</definedName>
    <definedName name="_MT47">#REF!</definedName>
    <definedName name="_MT48" localSheetId="8">#REF!</definedName>
    <definedName name="_MT48" localSheetId="10">#REF!</definedName>
    <definedName name="_MT48" localSheetId="29">#REF!</definedName>
    <definedName name="_MT48">#REF!</definedName>
    <definedName name="_MT49" localSheetId="8">#REF!</definedName>
    <definedName name="_MT49" localSheetId="10">#REF!</definedName>
    <definedName name="_MT49" localSheetId="29">#REF!</definedName>
    <definedName name="_MT49">#REF!</definedName>
    <definedName name="_MT5" localSheetId="8">#REF!</definedName>
    <definedName name="_MT5" localSheetId="10">#REF!</definedName>
    <definedName name="_MT5" localSheetId="29">#REF!</definedName>
    <definedName name="_MT5">#REF!</definedName>
    <definedName name="_MT50" localSheetId="8">#REF!</definedName>
    <definedName name="_MT50" localSheetId="10">#REF!</definedName>
    <definedName name="_MT50" localSheetId="29">#REF!</definedName>
    <definedName name="_MT50">#REF!</definedName>
    <definedName name="_MT500" localSheetId="8">#REF!</definedName>
    <definedName name="_MT500" localSheetId="10">#REF!</definedName>
    <definedName name="_MT500" localSheetId="29">#REF!</definedName>
    <definedName name="_MT500">#REF!</definedName>
    <definedName name="_MT51" localSheetId="8">#REF!</definedName>
    <definedName name="_MT51" localSheetId="10">#REF!</definedName>
    <definedName name="_MT51" localSheetId="29">#REF!</definedName>
    <definedName name="_MT51">#REF!</definedName>
    <definedName name="_MT52" localSheetId="8">#REF!</definedName>
    <definedName name="_MT52" localSheetId="10">#REF!</definedName>
    <definedName name="_MT52" localSheetId="29">#REF!</definedName>
    <definedName name="_MT52">#REF!</definedName>
    <definedName name="_MT53" localSheetId="8">#REF!</definedName>
    <definedName name="_MT53" localSheetId="10">#REF!</definedName>
    <definedName name="_MT53" localSheetId="29">#REF!</definedName>
    <definedName name="_MT53">#REF!</definedName>
    <definedName name="_MT54" localSheetId="8">#REF!</definedName>
    <definedName name="_MT54" localSheetId="10">#REF!</definedName>
    <definedName name="_MT54" localSheetId="29">#REF!</definedName>
    <definedName name="_MT54">#REF!</definedName>
    <definedName name="_MT55" localSheetId="8">#REF!</definedName>
    <definedName name="_MT55" localSheetId="10">#REF!</definedName>
    <definedName name="_MT55" localSheetId="29">#REF!</definedName>
    <definedName name="_MT55">#REF!</definedName>
    <definedName name="_MT56" localSheetId="8">#REF!</definedName>
    <definedName name="_MT56" localSheetId="10">#REF!</definedName>
    <definedName name="_MT56" localSheetId="29">#REF!</definedName>
    <definedName name="_MT56">#REF!</definedName>
    <definedName name="_MT57" localSheetId="8">#REF!</definedName>
    <definedName name="_MT57" localSheetId="10">#REF!</definedName>
    <definedName name="_MT57" localSheetId="29">#REF!</definedName>
    <definedName name="_MT57">#REF!</definedName>
    <definedName name="_MT58" localSheetId="8">#REF!</definedName>
    <definedName name="_MT58" localSheetId="10">#REF!</definedName>
    <definedName name="_MT58" localSheetId="29">#REF!</definedName>
    <definedName name="_MT58">#REF!</definedName>
    <definedName name="_MT59" localSheetId="8">#REF!</definedName>
    <definedName name="_MT59" localSheetId="10">#REF!</definedName>
    <definedName name="_MT59" localSheetId="29">#REF!</definedName>
    <definedName name="_MT59">#REF!</definedName>
    <definedName name="_MT6" localSheetId="8">#REF!</definedName>
    <definedName name="_MT6" localSheetId="10">#REF!</definedName>
    <definedName name="_MT6" localSheetId="29">#REF!</definedName>
    <definedName name="_MT6">#REF!</definedName>
    <definedName name="_MT60" localSheetId="8">#REF!</definedName>
    <definedName name="_MT60" localSheetId="10">#REF!</definedName>
    <definedName name="_MT60" localSheetId="29">#REF!</definedName>
    <definedName name="_MT60">#REF!</definedName>
    <definedName name="_MT61" localSheetId="8">#REF!</definedName>
    <definedName name="_MT61" localSheetId="10">#REF!</definedName>
    <definedName name="_MT61" localSheetId="29">#REF!</definedName>
    <definedName name="_MT61">#REF!</definedName>
    <definedName name="_MT62" localSheetId="8">#REF!</definedName>
    <definedName name="_MT62" localSheetId="10">#REF!</definedName>
    <definedName name="_MT62" localSheetId="29">#REF!</definedName>
    <definedName name="_MT62">#REF!</definedName>
    <definedName name="_MT63" localSheetId="8">#REF!</definedName>
    <definedName name="_MT63" localSheetId="10">#REF!</definedName>
    <definedName name="_MT63" localSheetId="29">#REF!</definedName>
    <definedName name="_MT63">#REF!</definedName>
    <definedName name="_MT64" localSheetId="8">#REF!</definedName>
    <definedName name="_MT64" localSheetId="10">#REF!</definedName>
    <definedName name="_MT64" localSheetId="29">#REF!</definedName>
    <definedName name="_MT64">#REF!</definedName>
    <definedName name="_MT65" localSheetId="8">#REF!</definedName>
    <definedName name="_MT65" localSheetId="10">#REF!</definedName>
    <definedName name="_MT65" localSheetId="29">#REF!</definedName>
    <definedName name="_MT65">#REF!</definedName>
    <definedName name="_MT66" localSheetId="8">#REF!</definedName>
    <definedName name="_MT66" localSheetId="10">#REF!</definedName>
    <definedName name="_MT66" localSheetId="29">#REF!</definedName>
    <definedName name="_MT66">#REF!</definedName>
    <definedName name="_MT67" localSheetId="8">#REF!</definedName>
    <definedName name="_MT67" localSheetId="10">#REF!</definedName>
    <definedName name="_MT67" localSheetId="29">#REF!</definedName>
    <definedName name="_MT67">#REF!</definedName>
    <definedName name="_MT68" localSheetId="8">#REF!</definedName>
    <definedName name="_MT68" localSheetId="10">#REF!</definedName>
    <definedName name="_MT68" localSheetId="29">#REF!</definedName>
    <definedName name="_MT68">#REF!</definedName>
    <definedName name="_MT69" localSheetId="8">#REF!</definedName>
    <definedName name="_MT69" localSheetId="10">#REF!</definedName>
    <definedName name="_MT69" localSheetId="29">#REF!</definedName>
    <definedName name="_MT69">#REF!</definedName>
    <definedName name="_MT7" localSheetId="8">#REF!</definedName>
    <definedName name="_MT7" localSheetId="10">#REF!</definedName>
    <definedName name="_MT7" localSheetId="29">#REF!</definedName>
    <definedName name="_MT7">#REF!</definedName>
    <definedName name="_MT70" localSheetId="8">#REF!</definedName>
    <definedName name="_MT70" localSheetId="10">#REF!</definedName>
    <definedName name="_MT70" localSheetId="29">#REF!</definedName>
    <definedName name="_MT70">#REF!</definedName>
    <definedName name="_MT71" localSheetId="8">#REF!</definedName>
    <definedName name="_MT71" localSheetId="10">#REF!</definedName>
    <definedName name="_MT71" localSheetId="29">#REF!</definedName>
    <definedName name="_MT71">#REF!</definedName>
    <definedName name="_MT72" localSheetId="8">#REF!</definedName>
    <definedName name="_MT72" localSheetId="10">#REF!</definedName>
    <definedName name="_MT72" localSheetId="29">#REF!</definedName>
    <definedName name="_MT72">#REF!</definedName>
    <definedName name="_MT73" localSheetId="8">#REF!</definedName>
    <definedName name="_MT73" localSheetId="10">#REF!</definedName>
    <definedName name="_MT73" localSheetId="29">#REF!</definedName>
    <definedName name="_MT73">#REF!</definedName>
    <definedName name="_MT74" localSheetId="8">#REF!</definedName>
    <definedName name="_MT74" localSheetId="10">#REF!</definedName>
    <definedName name="_MT74" localSheetId="29">#REF!</definedName>
    <definedName name="_MT74">#REF!</definedName>
    <definedName name="_MT75" localSheetId="8">#REF!</definedName>
    <definedName name="_MT75" localSheetId="10">#REF!</definedName>
    <definedName name="_MT75" localSheetId="29">#REF!</definedName>
    <definedName name="_MT75">#REF!</definedName>
    <definedName name="_MT76" localSheetId="8">#REF!</definedName>
    <definedName name="_MT76" localSheetId="10">#REF!</definedName>
    <definedName name="_MT76" localSheetId="29">#REF!</definedName>
    <definedName name="_MT76">#REF!</definedName>
    <definedName name="_MT77" localSheetId="8">#REF!</definedName>
    <definedName name="_MT77" localSheetId="10">#REF!</definedName>
    <definedName name="_MT77" localSheetId="29">#REF!</definedName>
    <definedName name="_MT77">#REF!</definedName>
    <definedName name="_MT78" localSheetId="8">#REF!</definedName>
    <definedName name="_MT78" localSheetId="10">#REF!</definedName>
    <definedName name="_MT78" localSheetId="29">#REF!</definedName>
    <definedName name="_MT78">#REF!</definedName>
    <definedName name="_MT79" localSheetId="8">#REF!</definedName>
    <definedName name="_MT79" localSheetId="10">#REF!</definedName>
    <definedName name="_MT79" localSheetId="29">#REF!</definedName>
    <definedName name="_MT79">#REF!</definedName>
    <definedName name="_MT8" localSheetId="8">#REF!</definedName>
    <definedName name="_MT8" localSheetId="10">#REF!</definedName>
    <definedName name="_MT8" localSheetId="29">#REF!</definedName>
    <definedName name="_MT8">#REF!</definedName>
    <definedName name="_MT80" localSheetId="8">#REF!</definedName>
    <definedName name="_MT80" localSheetId="10">#REF!</definedName>
    <definedName name="_MT80" localSheetId="29">#REF!</definedName>
    <definedName name="_MT80">#REF!</definedName>
    <definedName name="_MT81" localSheetId="8">#REF!</definedName>
    <definedName name="_MT81" localSheetId="10">#REF!</definedName>
    <definedName name="_MT81" localSheetId="29">#REF!</definedName>
    <definedName name="_MT81">#REF!</definedName>
    <definedName name="_MT82" localSheetId="8">#REF!</definedName>
    <definedName name="_MT82" localSheetId="10">#REF!</definedName>
    <definedName name="_MT82" localSheetId="29">#REF!</definedName>
    <definedName name="_MT82">#REF!</definedName>
    <definedName name="_MT83" localSheetId="8">#REF!</definedName>
    <definedName name="_MT83" localSheetId="10">#REF!</definedName>
    <definedName name="_MT83" localSheetId="29">#REF!</definedName>
    <definedName name="_MT83">#REF!</definedName>
    <definedName name="_MT84" localSheetId="8">#REF!</definedName>
    <definedName name="_MT84" localSheetId="10">#REF!</definedName>
    <definedName name="_MT84" localSheetId="29">#REF!</definedName>
    <definedName name="_MT84">#REF!</definedName>
    <definedName name="_MT85" localSheetId="8">#REF!</definedName>
    <definedName name="_MT85" localSheetId="10">#REF!</definedName>
    <definedName name="_MT85" localSheetId="29">#REF!</definedName>
    <definedName name="_MT85">#REF!</definedName>
    <definedName name="_MT86" localSheetId="8">#REF!</definedName>
    <definedName name="_MT86" localSheetId="10">#REF!</definedName>
    <definedName name="_MT86" localSheetId="29">#REF!</definedName>
    <definedName name="_MT86">#REF!</definedName>
    <definedName name="_MT87" localSheetId="8">#REF!</definedName>
    <definedName name="_MT87" localSheetId="10">#REF!</definedName>
    <definedName name="_MT87" localSheetId="29">#REF!</definedName>
    <definedName name="_MT87">#REF!</definedName>
    <definedName name="_MT88" localSheetId="8">#REF!</definedName>
    <definedName name="_MT88" localSheetId="10">#REF!</definedName>
    <definedName name="_MT88" localSheetId="29">#REF!</definedName>
    <definedName name="_MT88">#REF!</definedName>
    <definedName name="_MT89" localSheetId="8">#REF!</definedName>
    <definedName name="_MT89" localSheetId="10">#REF!</definedName>
    <definedName name="_MT89" localSheetId="29">#REF!</definedName>
    <definedName name="_MT89">#REF!</definedName>
    <definedName name="_MT9" localSheetId="8">#REF!</definedName>
    <definedName name="_MT9" localSheetId="10">#REF!</definedName>
    <definedName name="_MT9" localSheetId="29">#REF!</definedName>
    <definedName name="_MT9">#REF!</definedName>
    <definedName name="_MT90" localSheetId="8">#REF!</definedName>
    <definedName name="_MT90" localSheetId="10">#REF!</definedName>
    <definedName name="_MT90" localSheetId="29">#REF!</definedName>
    <definedName name="_MT90">#REF!</definedName>
    <definedName name="_MT91" localSheetId="8">#REF!</definedName>
    <definedName name="_MT91" localSheetId="10">#REF!</definedName>
    <definedName name="_MT91" localSheetId="29">#REF!</definedName>
    <definedName name="_MT91">#REF!</definedName>
    <definedName name="_MT92" localSheetId="8">#REF!</definedName>
    <definedName name="_MT92" localSheetId="10">#REF!</definedName>
    <definedName name="_MT92" localSheetId="29">#REF!</definedName>
    <definedName name="_MT92">#REF!</definedName>
    <definedName name="_MT93" localSheetId="8">#REF!</definedName>
    <definedName name="_MT93" localSheetId="10">#REF!</definedName>
    <definedName name="_MT93" localSheetId="29">#REF!</definedName>
    <definedName name="_MT93">#REF!</definedName>
    <definedName name="_MT94" localSheetId="8">#REF!</definedName>
    <definedName name="_MT94" localSheetId="10">#REF!</definedName>
    <definedName name="_MT94" localSheetId="29">#REF!</definedName>
    <definedName name="_MT94">#REF!</definedName>
    <definedName name="_MT95" localSheetId="8">#REF!</definedName>
    <definedName name="_MT95" localSheetId="10">#REF!</definedName>
    <definedName name="_MT95" localSheetId="29">#REF!</definedName>
    <definedName name="_MT95">#REF!</definedName>
    <definedName name="_MT96" localSheetId="8">#REF!</definedName>
    <definedName name="_MT96" localSheetId="10">#REF!</definedName>
    <definedName name="_MT96" localSheetId="29">#REF!</definedName>
    <definedName name="_MT96">#REF!</definedName>
    <definedName name="_MT97" localSheetId="8">#REF!</definedName>
    <definedName name="_MT97" localSheetId="10">#REF!</definedName>
    <definedName name="_MT97" localSheetId="29">#REF!</definedName>
    <definedName name="_MT97">#REF!</definedName>
    <definedName name="_MT98" localSheetId="8">#REF!</definedName>
    <definedName name="_MT98" localSheetId="10">#REF!</definedName>
    <definedName name="_MT98" localSheetId="29">#REF!</definedName>
    <definedName name="_MT98">#REF!</definedName>
    <definedName name="_MT99" localSheetId="8">#REF!</definedName>
    <definedName name="_MT99" localSheetId="10">#REF!</definedName>
    <definedName name="_MT99" localSheetId="29">#REF!</definedName>
    <definedName name="_MT99">#REF!</definedName>
    <definedName name="_O10" localSheetId="5">#REF!</definedName>
    <definedName name="_O10" localSheetId="8">#REF!</definedName>
    <definedName name="_O10" localSheetId="10">#REF!</definedName>
    <definedName name="_O10" localSheetId="11">#REF!</definedName>
    <definedName name="_O10" localSheetId="29">#REF!</definedName>
    <definedName name="_O10" localSheetId="31">#REF!</definedName>
    <definedName name="_O10">#REF!</definedName>
    <definedName name="_O10_33">"$#REF!.$#REF!$#REF!"</definedName>
    <definedName name="_O100" localSheetId="5">#REF!</definedName>
    <definedName name="_O100" localSheetId="8">#REF!</definedName>
    <definedName name="_O100" localSheetId="10">#REF!</definedName>
    <definedName name="_O100" localSheetId="11">#REF!</definedName>
    <definedName name="_O100" localSheetId="29">#REF!</definedName>
    <definedName name="_O100" localSheetId="31">#REF!</definedName>
    <definedName name="_O100">#REF!</definedName>
    <definedName name="_O100_33">"$#REF!.$#REF!$#REF!"</definedName>
    <definedName name="_O12" localSheetId="5">#REF!</definedName>
    <definedName name="_O12" localSheetId="8">#REF!</definedName>
    <definedName name="_O12" localSheetId="10">#REF!</definedName>
    <definedName name="_O12" localSheetId="11">#REF!</definedName>
    <definedName name="_O12" localSheetId="29">#REF!</definedName>
    <definedName name="_O12" localSheetId="31">#REF!</definedName>
    <definedName name="_O12">#REF!</definedName>
    <definedName name="_O12_33">"$#REF!.$#REF!$#REF!"</definedName>
    <definedName name="_O150" localSheetId="5">#REF!</definedName>
    <definedName name="_O150" localSheetId="8">#REF!</definedName>
    <definedName name="_O150" localSheetId="10">#REF!</definedName>
    <definedName name="_O150" localSheetId="11">#REF!</definedName>
    <definedName name="_O150" localSheetId="29">#REF!</definedName>
    <definedName name="_O150" localSheetId="31">#REF!</definedName>
    <definedName name="_O150">#REF!</definedName>
    <definedName name="_O150_33">"$#REF!.$#REF!$#REF!"</definedName>
    <definedName name="_O20" localSheetId="5">#REF!</definedName>
    <definedName name="_O20" localSheetId="8">#REF!</definedName>
    <definedName name="_O20" localSheetId="10">#REF!</definedName>
    <definedName name="_O20" localSheetId="11">#REF!</definedName>
    <definedName name="_O20" localSheetId="29">#REF!</definedName>
    <definedName name="_O20" localSheetId="31">#REF!</definedName>
    <definedName name="_O20">#REF!</definedName>
    <definedName name="_O20_33">"$#REF!.$#REF!$#REF!"</definedName>
    <definedName name="_o3">#REF!</definedName>
    <definedName name="_O300" localSheetId="5">#REF!</definedName>
    <definedName name="_O300" localSheetId="8">#REF!</definedName>
    <definedName name="_O300" localSheetId="10">#REF!</definedName>
    <definedName name="_O300" localSheetId="11">#REF!</definedName>
    <definedName name="_O300" localSheetId="29">#REF!</definedName>
    <definedName name="_O300" localSheetId="31">#REF!</definedName>
    <definedName name="_O300">#REF!</definedName>
    <definedName name="_O300_33">"$#REF!.$#REF!$#REF!"</definedName>
    <definedName name="_O45" localSheetId="5">#REF!</definedName>
    <definedName name="_O45" localSheetId="8">#REF!</definedName>
    <definedName name="_O45" localSheetId="10">#REF!</definedName>
    <definedName name="_O45" localSheetId="11">#REF!</definedName>
    <definedName name="_O45" localSheetId="29">#REF!</definedName>
    <definedName name="_O45" localSheetId="31">#REF!</definedName>
    <definedName name="_O45">#REF!</definedName>
    <definedName name="_O45_33">"$#REF!.$#REF!$#REF!"</definedName>
    <definedName name="_O450" localSheetId="5">#REF!</definedName>
    <definedName name="_O450" localSheetId="8">#REF!</definedName>
    <definedName name="_O450" localSheetId="10">#REF!</definedName>
    <definedName name="_O450" localSheetId="11">#REF!</definedName>
    <definedName name="_O450" localSheetId="29">#REF!</definedName>
    <definedName name="_O450" localSheetId="31">#REF!</definedName>
    <definedName name="_O450">#REF!</definedName>
    <definedName name="_O450_33">"$#REF!.$#REF!$#REF!"</definedName>
    <definedName name="_O55" localSheetId="5">#REF!</definedName>
    <definedName name="_O55" localSheetId="8">#REF!</definedName>
    <definedName name="_O55" localSheetId="10">#REF!</definedName>
    <definedName name="_O55" localSheetId="11">#REF!</definedName>
    <definedName name="_O55" localSheetId="29">#REF!</definedName>
    <definedName name="_O55" localSheetId="31">#REF!</definedName>
    <definedName name="_O55">#REF!</definedName>
    <definedName name="_O55_33">"$#REF!.$#REF!$#REF!"</definedName>
    <definedName name="_O65" localSheetId="5">#REF!</definedName>
    <definedName name="_O65" localSheetId="8">#REF!</definedName>
    <definedName name="_O65" localSheetId="10">#REF!</definedName>
    <definedName name="_O65" localSheetId="11">#REF!</definedName>
    <definedName name="_O65" localSheetId="29">#REF!</definedName>
    <definedName name="_O65" localSheetId="31">#REF!</definedName>
    <definedName name="_O65">#REF!</definedName>
    <definedName name="_O65_33">"$#REF!.$#REF!$#REF!"</definedName>
    <definedName name="_O75" localSheetId="5">#REF!</definedName>
    <definedName name="_O75" localSheetId="8">#REF!</definedName>
    <definedName name="_O75" localSheetId="10">#REF!</definedName>
    <definedName name="_O75" localSheetId="11">#REF!</definedName>
    <definedName name="_O75" localSheetId="29">#REF!</definedName>
    <definedName name="_O75" localSheetId="31">#REF!</definedName>
    <definedName name="_O75">#REF!</definedName>
    <definedName name="_O75_33">"$#REF!.$#REF!$#REF!"</definedName>
    <definedName name="_od1" localSheetId="8">#REF!</definedName>
    <definedName name="_od1" localSheetId="10">#REF!</definedName>
    <definedName name="_od1" localSheetId="11">#REF!</definedName>
    <definedName name="_od1" localSheetId="29">#REF!</definedName>
    <definedName name="_od1">#REF!</definedName>
    <definedName name="_OQUA" localSheetId="5">#REF!</definedName>
    <definedName name="_OQUA" localSheetId="8">#REF!</definedName>
    <definedName name="_OQUA" localSheetId="10">#REF!</definedName>
    <definedName name="_OQUA" localSheetId="11">#REF!</definedName>
    <definedName name="_OQUA" localSheetId="29">#REF!</definedName>
    <definedName name="_OQUA" localSheetId="31">#REF!</definedName>
    <definedName name="_OQUA">#REF!</definedName>
    <definedName name="_OQUA_33">"$#REF!.$#REF!$#REF!"</definedName>
    <definedName name="_Order1" hidden="1">255</definedName>
    <definedName name="_Order2" hidden="1">255</definedName>
    <definedName name="_p5" localSheetId="8">#REF!</definedName>
    <definedName name="_p5" localSheetId="10">#REF!</definedName>
    <definedName name="_p5" localSheetId="29">#REF!</definedName>
    <definedName name="_p5">#REF!</definedName>
    <definedName name="_pc02" localSheetId="29">#REF!</definedName>
    <definedName name="_PC1" localSheetId="29">#REF!</definedName>
    <definedName name="_PC10">#REF!</definedName>
    <definedName name="_PC11">#REF!</definedName>
    <definedName name="_PC12">#REF!</definedName>
    <definedName name="_PC13">#REF!</definedName>
    <definedName name="_PC14">#REF!</definedName>
    <definedName name="_PC15">#REF!</definedName>
    <definedName name="_PC16">#REF!</definedName>
    <definedName name="_PC17">#REF!</definedName>
    <definedName name="_PC18">#REF!</definedName>
    <definedName name="_PC19">#REF!</definedName>
    <definedName name="_pc2" localSheetId="21">#REF!</definedName>
    <definedName name="_pc2" localSheetId="5">#REF!</definedName>
    <definedName name="_pc2" localSheetId="8">#REF!</definedName>
    <definedName name="_pc2" localSheetId="10">#REF!</definedName>
    <definedName name="_pc2" localSheetId="11">#REF!</definedName>
    <definedName name="_pc2" localSheetId="29">#REF!</definedName>
    <definedName name="_pc2" localSheetId="31">#REF!</definedName>
    <definedName name="_pc2" localSheetId="35">#REF!</definedName>
    <definedName name="_pc2" localSheetId="36">#REF!</definedName>
    <definedName name="_pc2">#REF!</definedName>
    <definedName name="_pc2_23">"$#REF!.$#REF!$#REF!"</definedName>
    <definedName name="_pc2_32">"$#REF!.$#REF!$#REF!"</definedName>
    <definedName name="_pc2_33">"$#REF!.$#REF!$#REF!"</definedName>
    <definedName name="_pc2_34">"$#REF!.$#REF!$#REF!"</definedName>
    <definedName name="_pc2_38">"$#REF!.$#REF!$#REF!"</definedName>
    <definedName name="_pc2_41">"$#REF!.$#REF!$#REF!"</definedName>
    <definedName name="_pc2_43">"$#REF!.$#REF!$#REF!"</definedName>
    <definedName name="_pc2_48">"$#REF!.$#REF!$#REF!"</definedName>
    <definedName name="_pc2_56">"$#REF!.$#REF!$#REF!"</definedName>
    <definedName name="_pc2_57">"$#REF!.$#REF!$#REF!"</definedName>
    <definedName name="_pc2_59">"$#REF!.$#REF!$#REF!"</definedName>
    <definedName name="_pc2_60">"$#REF!.$#REF!$#REF!"</definedName>
    <definedName name="_pc2_61">"$#REF!.$#REF!$#REF!"</definedName>
    <definedName name="_pc2_62">"$#REF!.$#REF!$#REF!"</definedName>
    <definedName name="_pc2_7">"$#REF!.$#REF!$#REF!"</definedName>
    <definedName name="_pc2_72">"$#REF!.$#REF!$#REF!"</definedName>
    <definedName name="_pc2_73">"$#REF!.$#REF!$#REF!"</definedName>
    <definedName name="_pc2_8">"$#REF!.$#REF!$#REF!"</definedName>
    <definedName name="_PC20">#REF!</definedName>
    <definedName name="_PC21">#REF!</definedName>
    <definedName name="_PC22">#REF!</definedName>
    <definedName name="_PC23">#REF!</definedName>
    <definedName name="_PC24">#REF!</definedName>
    <definedName name="_PC3">#REF!</definedName>
    <definedName name="_PC4">#REF!</definedName>
    <definedName name="_PC5">#REF!</definedName>
    <definedName name="_PC6">#REF!</definedName>
    <definedName name="_pc600">#REF!</definedName>
    <definedName name="_PC7">#REF!</definedName>
    <definedName name="_PC8">#REF!</definedName>
    <definedName name="_PC9">#REF!</definedName>
    <definedName name="_pc900">#REF!</definedName>
    <definedName name="_pi1">#REF!</definedName>
    <definedName name="_PMS2" localSheetId="8">#REF!</definedName>
    <definedName name="_PMS2" localSheetId="10">#REF!</definedName>
    <definedName name="_PMS2" localSheetId="29">#REF!</definedName>
    <definedName name="_PMS2">#REF!</definedName>
    <definedName name="_PPA14" localSheetId="8">#REF!</definedName>
    <definedName name="_PPA14" localSheetId="10">#REF!</definedName>
    <definedName name="_PPA14" localSheetId="29">#REF!</definedName>
    <definedName name="_PPA14">#REF!</definedName>
    <definedName name="_PPB154" localSheetId="8">#REF!</definedName>
    <definedName name="_PPB154" localSheetId="10">#REF!</definedName>
    <definedName name="_PPB154" localSheetId="29">#REF!</definedName>
    <definedName name="_PPB154">#REF!</definedName>
    <definedName name="_PPB155" localSheetId="8">#REF!</definedName>
    <definedName name="_PPB155" localSheetId="10">#REF!</definedName>
    <definedName name="_PPB155" localSheetId="29">#REF!</definedName>
    <definedName name="_PPB155">#REF!</definedName>
    <definedName name="_PPB16" localSheetId="8">#REF!</definedName>
    <definedName name="_PPB16" localSheetId="10">#REF!</definedName>
    <definedName name="_PPB16" localSheetId="29">#REF!</definedName>
    <definedName name="_PPB16">#REF!</definedName>
    <definedName name="_PPB17" localSheetId="8">#REF!</definedName>
    <definedName name="_PPB17" localSheetId="10">#REF!</definedName>
    <definedName name="_PPB17" localSheetId="29">#REF!</definedName>
    <definedName name="_PPB17">#REF!</definedName>
    <definedName name="_PPB18" localSheetId="8">#REF!</definedName>
    <definedName name="_PPB18" localSheetId="10">#REF!</definedName>
    <definedName name="_PPB18" localSheetId="29">#REF!</definedName>
    <definedName name="_PPB18">#REF!</definedName>
    <definedName name="_PPB19" localSheetId="8">#REF!</definedName>
    <definedName name="_PPB19" localSheetId="10">#REF!</definedName>
    <definedName name="_PPB19" localSheetId="29">#REF!</definedName>
    <definedName name="_PPB19">#REF!</definedName>
    <definedName name="_PPB2" localSheetId="8">#REF!</definedName>
    <definedName name="_PPB2" localSheetId="10">#REF!</definedName>
    <definedName name="_PPB2" localSheetId="29">#REF!</definedName>
    <definedName name="_PPB2">#REF!</definedName>
    <definedName name="_PPB20" localSheetId="8">#REF!</definedName>
    <definedName name="_PPB20" localSheetId="10">#REF!</definedName>
    <definedName name="_PPB20" localSheetId="29">#REF!</definedName>
    <definedName name="_PPB20">#REF!</definedName>
    <definedName name="_PPB21" localSheetId="8">#REF!</definedName>
    <definedName name="_PPB21" localSheetId="10">#REF!</definedName>
    <definedName name="_PPB21" localSheetId="29">#REF!</definedName>
    <definedName name="_PPB21">#REF!</definedName>
    <definedName name="_PPB22" localSheetId="8">#REF!</definedName>
    <definedName name="_PPB22" localSheetId="10">#REF!</definedName>
    <definedName name="_PPB22" localSheetId="29">#REF!</definedName>
    <definedName name="_PPB22">#REF!</definedName>
    <definedName name="_PPB23" localSheetId="8">#REF!</definedName>
    <definedName name="_PPB23" localSheetId="10">#REF!</definedName>
    <definedName name="_PPB23" localSheetId="29">#REF!</definedName>
    <definedName name="_PPB23">#REF!</definedName>
    <definedName name="_PPB24" localSheetId="8">#REF!</definedName>
    <definedName name="_PPB24" localSheetId="10">#REF!</definedName>
    <definedName name="_PPB24" localSheetId="29">#REF!</definedName>
    <definedName name="_PPB24">#REF!</definedName>
    <definedName name="_PPB25" localSheetId="8">#REF!</definedName>
    <definedName name="_PPB25" localSheetId="10">#REF!</definedName>
    <definedName name="_PPB25" localSheetId="29">#REF!</definedName>
    <definedName name="_PPB25">#REF!</definedName>
    <definedName name="_PPB26" localSheetId="8">#REF!</definedName>
    <definedName name="_PPB26" localSheetId="10">#REF!</definedName>
    <definedName name="_PPB26" localSheetId="29">#REF!</definedName>
    <definedName name="_PPB26">#REF!</definedName>
    <definedName name="_PPB27" localSheetId="8">#REF!</definedName>
    <definedName name="_PPB27" localSheetId="10">#REF!</definedName>
    <definedName name="_PPB27" localSheetId="29">#REF!</definedName>
    <definedName name="_PPB27">#REF!</definedName>
    <definedName name="_PPB28" localSheetId="8">#REF!</definedName>
    <definedName name="_PPB28" localSheetId="10">#REF!</definedName>
    <definedName name="_PPB28" localSheetId="29">#REF!</definedName>
    <definedName name="_PPB28">#REF!</definedName>
    <definedName name="_PPB29" localSheetId="8">#REF!</definedName>
    <definedName name="_PPB29" localSheetId="10">#REF!</definedName>
    <definedName name="_PPB29" localSheetId="29">#REF!</definedName>
    <definedName name="_PPB29">#REF!</definedName>
    <definedName name="_PPB3" localSheetId="8">#REF!</definedName>
    <definedName name="_PPB3" localSheetId="10">#REF!</definedName>
    <definedName name="_PPB3" localSheetId="29">#REF!</definedName>
    <definedName name="_PPB3">#REF!</definedName>
    <definedName name="_PPB30" localSheetId="8">#REF!</definedName>
    <definedName name="_PPB30" localSheetId="10">#REF!</definedName>
    <definedName name="_PPB30" localSheetId="29">#REF!</definedName>
    <definedName name="_PPB30">#REF!</definedName>
    <definedName name="_PPB31" localSheetId="8">#REF!</definedName>
    <definedName name="_PPB31" localSheetId="10">#REF!</definedName>
    <definedName name="_PPB31" localSheetId="29">#REF!</definedName>
    <definedName name="_PPB31">#REF!</definedName>
    <definedName name="_PPB32" localSheetId="8">#REF!</definedName>
    <definedName name="_PPB32" localSheetId="10">#REF!</definedName>
    <definedName name="_PPB32" localSheetId="29">#REF!</definedName>
    <definedName name="_PPB32">#REF!</definedName>
    <definedName name="_PPB33" localSheetId="8">#REF!</definedName>
    <definedName name="_PPB33" localSheetId="10">#REF!</definedName>
    <definedName name="_PPB33" localSheetId="29">#REF!</definedName>
    <definedName name="_PPB33">#REF!</definedName>
    <definedName name="_PPB34" localSheetId="8">#REF!</definedName>
    <definedName name="_PPB34" localSheetId="10">#REF!</definedName>
    <definedName name="_PPB34" localSheetId="29">#REF!</definedName>
    <definedName name="_PPB34">#REF!</definedName>
    <definedName name="_PPB35" localSheetId="8">#REF!</definedName>
    <definedName name="_PPB35" localSheetId="10">#REF!</definedName>
    <definedName name="_PPB35" localSheetId="29">#REF!</definedName>
    <definedName name="_PPB35">#REF!</definedName>
    <definedName name="_PPB36" localSheetId="8">#REF!</definedName>
    <definedName name="_PPB36" localSheetId="10">#REF!</definedName>
    <definedName name="_PPB36" localSheetId="29">#REF!</definedName>
    <definedName name="_PPB36">#REF!</definedName>
    <definedName name="_PPB37" localSheetId="8">#REF!</definedName>
    <definedName name="_PPB37" localSheetId="10">#REF!</definedName>
    <definedName name="_PPB37" localSheetId="29">#REF!</definedName>
    <definedName name="_PPB37">#REF!</definedName>
    <definedName name="_PPB38" localSheetId="8">#REF!</definedName>
    <definedName name="_PPB38" localSheetId="10">#REF!</definedName>
    <definedName name="_PPB38" localSheetId="29">#REF!</definedName>
    <definedName name="_PPB38">#REF!</definedName>
    <definedName name="_PPB39" localSheetId="8">#REF!</definedName>
    <definedName name="_PPB39" localSheetId="10">#REF!</definedName>
    <definedName name="_PPB39" localSheetId="29">#REF!</definedName>
    <definedName name="_PPB39">#REF!</definedName>
    <definedName name="_PPB4" localSheetId="8">#REF!</definedName>
    <definedName name="_PPB4" localSheetId="10">#REF!</definedName>
    <definedName name="_PPB4" localSheetId="29">#REF!</definedName>
    <definedName name="_PPB4">#REF!</definedName>
    <definedName name="_PPB40" localSheetId="8">#REF!</definedName>
    <definedName name="_PPB40" localSheetId="10">#REF!</definedName>
    <definedName name="_PPB40" localSheetId="29">#REF!</definedName>
    <definedName name="_PPB40">#REF!</definedName>
    <definedName name="_PPB41" localSheetId="8">#REF!</definedName>
    <definedName name="_PPB41" localSheetId="10">#REF!</definedName>
    <definedName name="_PPB41" localSheetId="29">#REF!</definedName>
    <definedName name="_PPB41">#REF!</definedName>
    <definedName name="_PPB42" localSheetId="8">#REF!</definedName>
    <definedName name="_PPB42" localSheetId="10">#REF!</definedName>
    <definedName name="_PPB42" localSheetId="29">#REF!</definedName>
    <definedName name="_PPB42">#REF!</definedName>
    <definedName name="_PPB43" localSheetId="8">#REF!</definedName>
    <definedName name="_PPB43" localSheetId="10">#REF!</definedName>
    <definedName name="_PPB43" localSheetId="29">#REF!</definedName>
    <definedName name="_PPB43">#REF!</definedName>
    <definedName name="_PPB44" localSheetId="8">#REF!</definedName>
    <definedName name="_PPB44" localSheetId="10">#REF!</definedName>
    <definedName name="_PPB44" localSheetId="29">#REF!</definedName>
    <definedName name="_PPB44">#REF!</definedName>
    <definedName name="_PPB45" localSheetId="8">#REF!</definedName>
    <definedName name="_PPB45" localSheetId="10">#REF!</definedName>
    <definedName name="_PPB45" localSheetId="29">#REF!</definedName>
    <definedName name="_PPB45">#REF!</definedName>
    <definedName name="_PPB46" localSheetId="8">#REF!</definedName>
    <definedName name="_PPB46" localSheetId="10">#REF!</definedName>
    <definedName name="_PPB46" localSheetId="29">#REF!</definedName>
    <definedName name="_PPB46">#REF!</definedName>
    <definedName name="_PPB47" localSheetId="8">#REF!</definedName>
    <definedName name="_PPB47" localSheetId="10">#REF!</definedName>
    <definedName name="_PPB47" localSheetId="29">#REF!</definedName>
    <definedName name="_PPB47">#REF!</definedName>
    <definedName name="_PPB48" localSheetId="8">#REF!</definedName>
    <definedName name="_PPB48" localSheetId="10">#REF!</definedName>
    <definedName name="_PPB48" localSheetId="29">#REF!</definedName>
    <definedName name="_PPB48">#REF!</definedName>
    <definedName name="_PPB49" localSheetId="8">#REF!</definedName>
    <definedName name="_PPB49" localSheetId="10">#REF!</definedName>
    <definedName name="_PPB49" localSheetId="29">#REF!</definedName>
    <definedName name="_PPB49">#REF!</definedName>
    <definedName name="_PPB5" localSheetId="8">#REF!</definedName>
    <definedName name="_PPB5" localSheetId="10">#REF!</definedName>
    <definedName name="_PPB5" localSheetId="29">#REF!</definedName>
    <definedName name="_PPB5">#REF!</definedName>
    <definedName name="_PPB50" localSheetId="8">#REF!</definedName>
    <definedName name="_PPB50" localSheetId="10">#REF!</definedName>
    <definedName name="_PPB50" localSheetId="29">#REF!</definedName>
    <definedName name="_PPB50">#REF!</definedName>
    <definedName name="_PPB51" localSheetId="8">#REF!</definedName>
    <definedName name="_PPB51" localSheetId="10">#REF!</definedName>
    <definedName name="_PPB51" localSheetId="29">#REF!</definedName>
    <definedName name="_PPB51">#REF!</definedName>
    <definedName name="_PPB52" localSheetId="8">#REF!</definedName>
    <definedName name="_PPB52" localSheetId="10">#REF!</definedName>
    <definedName name="_PPB52" localSheetId="29">#REF!</definedName>
    <definedName name="_PPB52">#REF!</definedName>
    <definedName name="_PPB53" localSheetId="8">#REF!</definedName>
    <definedName name="_PPB53" localSheetId="10">#REF!</definedName>
    <definedName name="_PPB53" localSheetId="29">#REF!</definedName>
    <definedName name="_PPB53">#REF!</definedName>
    <definedName name="_PPB54" localSheetId="8">#REF!</definedName>
    <definedName name="_PPB54" localSheetId="10">#REF!</definedName>
    <definedName name="_PPB54" localSheetId="29">#REF!</definedName>
    <definedName name="_PPB54">#REF!</definedName>
    <definedName name="_PPB55" localSheetId="8">#REF!</definedName>
    <definedName name="_PPB55" localSheetId="10">#REF!</definedName>
    <definedName name="_PPB55" localSheetId="29">#REF!</definedName>
    <definedName name="_PPB55">#REF!</definedName>
    <definedName name="_PPB56" localSheetId="8">#REF!</definedName>
    <definedName name="_PPB56" localSheetId="10">#REF!</definedName>
    <definedName name="_PPB56" localSheetId="29">#REF!</definedName>
    <definedName name="_PPB56">#REF!</definedName>
    <definedName name="_PPB57" localSheetId="8">#REF!</definedName>
    <definedName name="_PPB57" localSheetId="10">#REF!</definedName>
    <definedName name="_PPB57" localSheetId="29">#REF!</definedName>
    <definedName name="_PPB57">#REF!</definedName>
    <definedName name="_PPB58" localSheetId="8">#REF!</definedName>
    <definedName name="_PPB58" localSheetId="10">#REF!</definedName>
    <definedName name="_PPB58" localSheetId="29">#REF!</definedName>
    <definedName name="_PPB58">#REF!</definedName>
    <definedName name="_PPB59" localSheetId="8">#REF!</definedName>
    <definedName name="_PPB59" localSheetId="10">#REF!</definedName>
    <definedName name="_PPB59" localSheetId="29">#REF!</definedName>
    <definedName name="_PPB59">#REF!</definedName>
    <definedName name="_PPB6" localSheetId="8">#REF!</definedName>
    <definedName name="_PPB6" localSheetId="10">#REF!</definedName>
    <definedName name="_PPB6" localSheetId="29">#REF!</definedName>
    <definedName name="_PPB6">#REF!</definedName>
    <definedName name="_PPB60" localSheetId="8">#REF!</definedName>
    <definedName name="_PPB60" localSheetId="10">#REF!</definedName>
    <definedName name="_PPB60" localSheetId="29">#REF!</definedName>
    <definedName name="_PPB60">#REF!</definedName>
    <definedName name="_PPB61" localSheetId="8">#REF!</definedName>
    <definedName name="_PPB61" localSheetId="10">#REF!</definedName>
    <definedName name="_PPB61" localSheetId="29">#REF!</definedName>
    <definedName name="_PPB61">#REF!</definedName>
    <definedName name="_PPB62" localSheetId="8">#REF!</definedName>
    <definedName name="_PPB62" localSheetId="10">#REF!</definedName>
    <definedName name="_PPB62" localSheetId="29">#REF!</definedName>
    <definedName name="_PPB62">#REF!</definedName>
    <definedName name="_PPB63" localSheetId="8">#REF!</definedName>
    <definedName name="_PPB63" localSheetId="10">#REF!</definedName>
    <definedName name="_PPB63" localSheetId="29">#REF!</definedName>
    <definedName name="_PPB63">#REF!</definedName>
    <definedName name="_PPB64" localSheetId="8">#REF!</definedName>
    <definedName name="_PPB64" localSheetId="10">#REF!</definedName>
    <definedName name="_PPB64" localSheetId="29">#REF!</definedName>
    <definedName name="_PPB64">#REF!</definedName>
    <definedName name="_PPB65" localSheetId="8">#REF!</definedName>
    <definedName name="_PPB65" localSheetId="10">#REF!</definedName>
    <definedName name="_PPB65" localSheetId="29">#REF!</definedName>
    <definedName name="_PPB65">#REF!</definedName>
    <definedName name="_PPB66" localSheetId="8">#REF!</definedName>
    <definedName name="_PPB66" localSheetId="10">#REF!</definedName>
    <definedName name="_PPB66" localSheetId="29">#REF!</definedName>
    <definedName name="_PPB66">#REF!</definedName>
    <definedName name="_PPB67" localSheetId="8">#REF!</definedName>
    <definedName name="_PPB67" localSheetId="10">#REF!</definedName>
    <definedName name="_PPB67" localSheetId="29">#REF!</definedName>
    <definedName name="_PPB67">#REF!</definedName>
    <definedName name="_PPB68" localSheetId="8">#REF!</definedName>
    <definedName name="_PPB68" localSheetId="10">#REF!</definedName>
    <definedName name="_PPB68" localSheetId="29">#REF!</definedName>
    <definedName name="_PPB68">#REF!</definedName>
    <definedName name="_PPB69" localSheetId="8">#REF!</definedName>
    <definedName name="_PPB69" localSheetId="10">#REF!</definedName>
    <definedName name="_PPB69" localSheetId="29">#REF!</definedName>
    <definedName name="_PPB69">#REF!</definedName>
    <definedName name="_PPB7" localSheetId="8">#REF!</definedName>
    <definedName name="_PPB7" localSheetId="10">#REF!</definedName>
    <definedName name="_PPB7" localSheetId="29">#REF!</definedName>
    <definedName name="_PPB7">#REF!</definedName>
    <definedName name="_PPB70" localSheetId="8">#REF!</definedName>
    <definedName name="_PPB70" localSheetId="10">#REF!</definedName>
    <definedName name="_PPB70" localSheetId="29">#REF!</definedName>
    <definedName name="_PPB70">#REF!</definedName>
    <definedName name="_PPB71" localSheetId="8">#REF!</definedName>
    <definedName name="_PPB71" localSheetId="10">#REF!</definedName>
    <definedName name="_PPB71" localSheetId="29">#REF!</definedName>
    <definedName name="_PPB71">#REF!</definedName>
    <definedName name="_PPB72" localSheetId="8">#REF!</definedName>
    <definedName name="_PPB72" localSheetId="10">#REF!</definedName>
    <definedName name="_PPB72" localSheetId="29">#REF!</definedName>
    <definedName name="_PPB72">#REF!</definedName>
    <definedName name="_PPB73" localSheetId="8">#REF!</definedName>
    <definedName name="_PPB73" localSheetId="10">#REF!</definedName>
    <definedName name="_PPB73" localSheetId="29">#REF!</definedName>
    <definedName name="_PPB73">#REF!</definedName>
    <definedName name="_PPB74" localSheetId="8">#REF!</definedName>
    <definedName name="_PPB74" localSheetId="10">#REF!</definedName>
    <definedName name="_PPB74" localSheetId="29">#REF!</definedName>
    <definedName name="_PPB74">#REF!</definedName>
    <definedName name="_PPB75" localSheetId="8">#REF!</definedName>
    <definedName name="_PPB75" localSheetId="10">#REF!</definedName>
    <definedName name="_PPB75" localSheetId="29">#REF!</definedName>
    <definedName name="_PPB75">#REF!</definedName>
    <definedName name="_PPB76" localSheetId="8">#REF!</definedName>
    <definedName name="_PPB76" localSheetId="10">#REF!</definedName>
    <definedName name="_PPB76" localSheetId="29">#REF!</definedName>
    <definedName name="_PPB76">#REF!</definedName>
    <definedName name="_PPB77" localSheetId="8">#REF!</definedName>
    <definedName name="_PPB77" localSheetId="10">#REF!</definedName>
    <definedName name="_PPB77" localSheetId="29">#REF!</definedName>
    <definedName name="_PPB77">#REF!</definedName>
    <definedName name="_PPB78" localSheetId="8">#REF!</definedName>
    <definedName name="_PPB78" localSheetId="10">#REF!</definedName>
    <definedName name="_PPB78" localSheetId="29">#REF!</definedName>
    <definedName name="_PPB78">#REF!</definedName>
    <definedName name="_PPB79" localSheetId="8">#REF!</definedName>
    <definedName name="_PPB79" localSheetId="10">#REF!</definedName>
    <definedName name="_PPB79" localSheetId="29">#REF!</definedName>
    <definedName name="_PPB79">#REF!</definedName>
    <definedName name="_PPB8" localSheetId="8">#REF!</definedName>
    <definedName name="_PPB8" localSheetId="10">#REF!</definedName>
    <definedName name="_PPB8" localSheetId="29">#REF!</definedName>
    <definedName name="_PPB8">#REF!</definedName>
    <definedName name="_PPB80" localSheetId="8">#REF!</definedName>
    <definedName name="_PPB80" localSheetId="10">#REF!</definedName>
    <definedName name="_PPB80" localSheetId="29">#REF!</definedName>
    <definedName name="_PPB80">#REF!</definedName>
    <definedName name="_PPB81" localSheetId="8">#REF!</definedName>
    <definedName name="_PPB81" localSheetId="10">#REF!</definedName>
    <definedName name="_PPB81" localSheetId="29">#REF!</definedName>
    <definedName name="_PPB81">#REF!</definedName>
    <definedName name="_PPB82" localSheetId="8">#REF!</definedName>
    <definedName name="_PPB82" localSheetId="10">#REF!</definedName>
    <definedName name="_PPB82" localSheetId="29">#REF!</definedName>
    <definedName name="_PPB82">#REF!</definedName>
    <definedName name="_PPB83" localSheetId="8">#REF!</definedName>
    <definedName name="_PPB83" localSheetId="10">#REF!</definedName>
    <definedName name="_PPB83" localSheetId="29">#REF!</definedName>
    <definedName name="_PPB83">#REF!</definedName>
    <definedName name="_PPB84" localSheetId="8">#REF!</definedName>
    <definedName name="_PPB84" localSheetId="10">#REF!</definedName>
    <definedName name="_PPB84" localSheetId="29">#REF!</definedName>
    <definedName name="_PPB84">#REF!</definedName>
    <definedName name="_PPB85" localSheetId="8">#REF!</definedName>
    <definedName name="_PPB85" localSheetId="10">#REF!</definedName>
    <definedName name="_PPB85" localSheetId="29">#REF!</definedName>
    <definedName name="_PPB85">#REF!</definedName>
    <definedName name="_PPB86" localSheetId="8">#REF!</definedName>
    <definedName name="_PPB86" localSheetId="10">#REF!</definedName>
    <definedName name="_PPB86" localSheetId="29">#REF!</definedName>
    <definedName name="_PPB86">#REF!</definedName>
    <definedName name="_PPB87" localSheetId="8">#REF!</definedName>
    <definedName name="_PPB87" localSheetId="10">#REF!</definedName>
    <definedName name="_PPB87" localSheetId="29">#REF!</definedName>
    <definedName name="_PPB87">#REF!</definedName>
    <definedName name="_PPB88" localSheetId="8">#REF!</definedName>
    <definedName name="_PPB88" localSheetId="10">#REF!</definedName>
    <definedName name="_PPB88" localSheetId="29">#REF!</definedName>
    <definedName name="_PPB88">#REF!</definedName>
    <definedName name="_PPB89" localSheetId="8">#REF!</definedName>
    <definedName name="_PPB89" localSheetId="10">#REF!</definedName>
    <definedName name="_PPB89" localSheetId="29">#REF!</definedName>
    <definedName name="_PPB89">#REF!</definedName>
    <definedName name="_PPB9" localSheetId="8">#REF!</definedName>
    <definedName name="_PPB9" localSheetId="10">#REF!</definedName>
    <definedName name="_PPB9" localSheetId="29">#REF!</definedName>
    <definedName name="_PPB9">#REF!</definedName>
    <definedName name="_PPB90" localSheetId="8">#REF!</definedName>
    <definedName name="_PPB90" localSheetId="10">#REF!</definedName>
    <definedName name="_PPB90" localSheetId="29">#REF!</definedName>
    <definedName name="_PPB90">#REF!</definedName>
    <definedName name="_PPB91" localSheetId="8">#REF!</definedName>
    <definedName name="_PPB91" localSheetId="10">#REF!</definedName>
    <definedName name="_PPB91" localSheetId="29">#REF!</definedName>
    <definedName name="_PPB91">#REF!</definedName>
    <definedName name="_PPB92" localSheetId="8">#REF!</definedName>
    <definedName name="_PPB92" localSheetId="10">#REF!</definedName>
    <definedName name="_PPB92" localSheetId="29">#REF!</definedName>
    <definedName name="_PPB92">#REF!</definedName>
    <definedName name="_PPB93" localSheetId="8">#REF!</definedName>
    <definedName name="_PPB93" localSheetId="10">#REF!</definedName>
    <definedName name="_PPB93" localSheetId="29">#REF!</definedName>
    <definedName name="_PPB93">#REF!</definedName>
    <definedName name="_PPB94" localSheetId="8">#REF!</definedName>
    <definedName name="_PPB94" localSheetId="10">#REF!</definedName>
    <definedName name="_PPB94" localSheetId="29">#REF!</definedName>
    <definedName name="_PPB94">#REF!</definedName>
    <definedName name="_PPB95" localSheetId="8">#REF!</definedName>
    <definedName name="_PPB95" localSheetId="10">#REF!</definedName>
    <definedName name="_PPB95" localSheetId="29">#REF!</definedName>
    <definedName name="_PPB95">#REF!</definedName>
    <definedName name="_PPB96" localSheetId="8">#REF!</definedName>
    <definedName name="_PPB96" localSheetId="10">#REF!</definedName>
    <definedName name="_PPB96" localSheetId="29">#REF!</definedName>
    <definedName name="_PPB96">#REF!</definedName>
    <definedName name="_PPB97" localSheetId="8">#REF!</definedName>
    <definedName name="_PPB97" localSheetId="10">#REF!</definedName>
    <definedName name="_PPB97" localSheetId="29">#REF!</definedName>
    <definedName name="_PPB97">#REF!</definedName>
    <definedName name="_PPB98" localSheetId="8">#REF!</definedName>
    <definedName name="_PPB98" localSheetId="10">#REF!</definedName>
    <definedName name="_PPB98" localSheetId="29">#REF!</definedName>
    <definedName name="_PPB98">#REF!</definedName>
    <definedName name="_PPB99" localSheetId="8">#REF!</definedName>
    <definedName name="_PPB99" localSheetId="10">#REF!</definedName>
    <definedName name="_PPB99" localSheetId="29">#REF!</definedName>
    <definedName name="_PPB99">#REF!</definedName>
    <definedName name="_PPC1" localSheetId="8">#REF!</definedName>
    <definedName name="_PPC1" localSheetId="10">#REF!</definedName>
    <definedName name="_PPC1" localSheetId="29">#REF!</definedName>
    <definedName name="_PPC1">#REF!</definedName>
    <definedName name="_PPC10" localSheetId="8">#REF!</definedName>
    <definedName name="_PPC10" localSheetId="10">#REF!</definedName>
    <definedName name="_PPC10" localSheetId="29">#REF!</definedName>
    <definedName name="_PPC10">#REF!</definedName>
    <definedName name="_PPC100" localSheetId="8">#REF!</definedName>
    <definedName name="_PPC100" localSheetId="10">#REF!</definedName>
    <definedName name="_PPC100" localSheetId="29">#REF!</definedName>
    <definedName name="_PPC100">#REF!</definedName>
    <definedName name="_PPC101" localSheetId="8">#REF!</definedName>
    <definedName name="_PPC101" localSheetId="10">#REF!</definedName>
    <definedName name="_PPC101" localSheetId="29">#REF!</definedName>
    <definedName name="_PPC101">#REF!</definedName>
    <definedName name="_PPC102" localSheetId="8">#REF!</definedName>
    <definedName name="_PPC102" localSheetId="10">#REF!</definedName>
    <definedName name="_PPC102" localSheetId="29">#REF!</definedName>
    <definedName name="_PPC102">#REF!</definedName>
    <definedName name="_PPC103" localSheetId="8">#REF!</definedName>
    <definedName name="_PPC103" localSheetId="10">#REF!</definedName>
    <definedName name="_PPC103" localSheetId="29">#REF!</definedName>
    <definedName name="_PPC103">#REF!</definedName>
    <definedName name="_PPC104" localSheetId="8">#REF!</definedName>
    <definedName name="_PPC104" localSheetId="10">#REF!</definedName>
    <definedName name="_PPC104" localSheetId="29">#REF!</definedName>
    <definedName name="_PPC104">#REF!</definedName>
    <definedName name="_PPC105" localSheetId="8">#REF!</definedName>
    <definedName name="_PPC105" localSheetId="10">#REF!</definedName>
    <definedName name="_PPC105" localSheetId="29">#REF!</definedName>
    <definedName name="_PPC105">#REF!</definedName>
    <definedName name="_PPC106" localSheetId="8">#REF!</definedName>
    <definedName name="_PPC106" localSheetId="10">#REF!</definedName>
    <definedName name="_PPC106" localSheetId="29">#REF!</definedName>
    <definedName name="_PPC106">#REF!</definedName>
    <definedName name="_PPC107" localSheetId="8">#REF!</definedName>
    <definedName name="_PPC107" localSheetId="10">#REF!</definedName>
    <definedName name="_PPC107" localSheetId="29">#REF!</definedName>
    <definedName name="_PPC107">#REF!</definedName>
    <definedName name="_PPC108" localSheetId="8">#REF!</definedName>
    <definedName name="_PPC108" localSheetId="10">#REF!</definedName>
    <definedName name="_PPC108" localSheetId="29">#REF!</definedName>
    <definedName name="_PPC108">#REF!</definedName>
    <definedName name="_PPC109" localSheetId="8">#REF!</definedName>
    <definedName name="_PPC109" localSheetId="10">#REF!</definedName>
    <definedName name="_PPC109" localSheetId="29">#REF!</definedName>
    <definedName name="_PPC109">#REF!</definedName>
    <definedName name="_PPC11" localSheetId="8">#REF!</definedName>
    <definedName name="_PPC11" localSheetId="10">#REF!</definedName>
    <definedName name="_PPC11" localSheetId="29">#REF!</definedName>
    <definedName name="_PPC11">#REF!</definedName>
    <definedName name="_PPC110" localSheetId="8">#REF!</definedName>
    <definedName name="_PPC110" localSheetId="10">#REF!</definedName>
    <definedName name="_PPC110" localSheetId="29">#REF!</definedName>
    <definedName name="_PPC110">#REF!</definedName>
    <definedName name="_PPC111" localSheetId="8">#REF!</definedName>
    <definedName name="_PPC111" localSheetId="10">#REF!</definedName>
    <definedName name="_PPC111" localSheetId="29">#REF!</definedName>
    <definedName name="_PPC111">#REF!</definedName>
    <definedName name="_PPC112" localSheetId="8">#REF!</definedName>
    <definedName name="_PPC112" localSheetId="10">#REF!</definedName>
    <definedName name="_PPC112" localSheetId="29">#REF!</definedName>
    <definedName name="_PPC112">#REF!</definedName>
    <definedName name="_PPC113" localSheetId="8">#REF!</definedName>
    <definedName name="_PPC113" localSheetId="10">#REF!</definedName>
    <definedName name="_PPC113" localSheetId="29">#REF!</definedName>
    <definedName name="_PPC113">#REF!</definedName>
    <definedName name="_PPC114" localSheetId="8">#REF!</definedName>
    <definedName name="_PPC114" localSheetId="10">#REF!</definedName>
    <definedName name="_PPC114" localSheetId="29">#REF!</definedName>
    <definedName name="_PPC114">#REF!</definedName>
    <definedName name="_PPC115" localSheetId="8">#REF!</definedName>
    <definedName name="_PPC115" localSheetId="10">#REF!</definedName>
    <definedName name="_PPC115" localSheetId="29">#REF!</definedName>
    <definedName name="_PPC115">#REF!</definedName>
    <definedName name="_PPC116" localSheetId="8">#REF!</definedName>
    <definedName name="_PPC116" localSheetId="10">#REF!</definedName>
    <definedName name="_PPC116" localSheetId="29">#REF!</definedName>
    <definedName name="_PPC116">#REF!</definedName>
    <definedName name="_PPC117" localSheetId="8">#REF!</definedName>
    <definedName name="_PPC117" localSheetId="10">#REF!</definedName>
    <definedName name="_PPC117" localSheetId="29">#REF!</definedName>
    <definedName name="_PPC117">#REF!</definedName>
    <definedName name="_PPC118" localSheetId="8">#REF!</definedName>
    <definedName name="_PPC118" localSheetId="10">#REF!</definedName>
    <definedName name="_PPC118" localSheetId="29">#REF!</definedName>
    <definedName name="_PPC118">#REF!</definedName>
    <definedName name="_PPC119" localSheetId="8">#REF!</definedName>
    <definedName name="_PPC119" localSheetId="10">#REF!</definedName>
    <definedName name="_PPC119" localSheetId="29">#REF!</definedName>
    <definedName name="_PPC119">#REF!</definedName>
    <definedName name="_PPC12" localSheetId="8">#REF!</definedName>
    <definedName name="_PPC12" localSheetId="10">#REF!</definedName>
    <definedName name="_PPC12" localSheetId="29">#REF!</definedName>
    <definedName name="_PPC12">#REF!</definedName>
    <definedName name="_PPC120" localSheetId="8">#REF!</definedName>
    <definedName name="_PPC120" localSheetId="10">#REF!</definedName>
    <definedName name="_PPC120" localSheetId="29">#REF!</definedName>
    <definedName name="_PPC120">#REF!</definedName>
    <definedName name="_PPC121" localSheetId="8">#REF!</definedName>
    <definedName name="_PPC121" localSheetId="10">#REF!</definedName>
    <definedName name="_PPC121" localSheetId="29">#REF!</definedName>
    <definedName name="_PPC121">#REF!</definedName>
    <definedName name="_PPC122" localSheetId="8">#REF!</definedName>
    <definedName name="_PPC122" localSheetId="10">#REF!</definedName>
    <definedName name="_PPC122" localSheetId="29">#REF!</definedName>
    <definedName name="_PPC122">#REF!</definedName>
    <definedName name="_PPC123" localSheetId="8">#REF!</definedName>
    <definedName name="_PPC123" localSheetId="10">#REF!</definedName>
    <definedName name="_PPC123" localSheetId="29">#REF!</definedName>
    <definedName name="_PPC123">#REF!</definedName>
    <definedName name="_PPC124" localSheetId="8">#REF!</definedName>
    <definedName name="_PPC124" localSheetId="10">#REF!</definedName>
    <definedName name="_PPC124" localSheetId="29">#REF!</definedName>
    <definedName name="_PPC124">#REF!</definedName>
    <definedName name="_PPC125" localSheetId="8">#REF!</definedName>
    <definedName name="_PPC125" localSheetId="10">#REF!</definedName>
    <definedName name="_PPC125" localSheetId="29">#REF!</definedName>
    <definedName name="_PPC125">#REF!</definedName>
    <definedName name="_PPC126" localSheetId="8">#REF!</definedName>
    <definedName name="_PPC126" localSheetId="10">#REF!</definedName>
    <definedName name="_PPC126" localSheetId="29">#REF!</definedName>
    <definedName name="_PPC126">#REF!</definedName>
    <definedName name="_PPC127" localSheetId="8">#REF!</definedName>
    <definedName name="_PPC127" localSheetId="10">#REF!</definedName>
    <definedName name="_PPC127" localSheetId="29">#REF!</definedName>
    <definedName name="_PPC127">#REF!</definedName>
    <definedName name="_PPC128" localSheetId="8">#REF!</definedName>
    <definedName name="_PPC128" localSheetId="10">#REF!</definedName>
    <definedName name="_PPC128" localSheetId="29">#REF!</definedName>
    <definedName name="_PPC128">#REF!</definedName>
    <definedName name="_PPC129" localSheetId="8">#REF!</definedName>
    <definedName name="_PPC129" localSheetId="10">#REF!</definedName>
    <definedName name="_PPC129" localSheetId="29">#REF!</definedName>
    <definedName name="_PPC129">#REF!</definedName>
    <definedName name="_PPC13" localSheetId="8">#REF!</definedName>
    <definedName name="_PPC13" localSheetId="10">#REF!</definedName>
    <definedName name="_PPC13" localSheetId="29">#REF!</definedName>
    <definedName name="_PPC13">#REF!</definedName>
    <definedName name="_PPC130" localSheetId="8">#REF!</definedName>
    <definedName name="_PPC130" localSheetId="10">#REF!</definedName>
    <definedName name="_PPC130" localSheetId="29">#REF!</definedName>
    <definedName name="_PPC130">#REF!</definedName>
    <definedName name="_PPC131" localSheetId="8">#REF!</definedName>
    <definedName name="_PPC131" localSheetId="10">#REF!</definedName>
    <definedName name="_PPC131" localSheetId="29">#REF!</definedName>
    <definedName name="_PPC131">#REF!</definedName>
    <definedName name="_PPC132" localSheetId="8">#REF!</definedName>
    <definedName name="_PPC132" localSheetId="10">#REF!</definedName>
    <definedName name="_PPC132" localSheetId="29">#REF!</definedName>
    <definedName name="_PPC132">#REF!</definedName>
    <definedName name="_PPC133" localSheetId="8">#REF!</definedName>
    <definedName name="_PPC133" localSheetId="10">#REF!</definedName>
    <definedName name="_PPC133" localSheetId="29">#REF!</definedName>
    <definedName name="_PPC133">#REF!</definedName>
    <definedName name="_PPC134" localSheetId="8">#REF!</definedName>
    <definedName name="_PPC134" localSheetId="10">#REF!</definedName>
    <definedName name="_PPC134" localSheetId="29">#REF!</definedName>
    <definedName name="_PPC134">#REF!</definedName>
    <definedName name="_PPC135" localSheetId="8">#REF!</definedName>
    <definedName name="_PPC135" localSheetId="10">#REF!</definedName>
    <definedName name="_PPC135" localSheetId="29">#REF!</definedName>
    <definedName name="_PPC135">#REF!</definedName>
    <definedName name="_PPC136" localSheetId="8">#REF!</definedName>
    <definedName name="_PPC136" localSheetId="10">#REF!</definedName>
    <definedName name="_PPC136" localSheetId="29">#REF!</definedName>
    <definedName name="_PPC136">#REF!</definedName>
    <definedName name="_PPC137" localSheetId="8">#REF!</definedName>
    <definedName name="_PPC137" localSheetId="10">#REF!</definedName>
    <definedName name="_PPC137" localSheetId="29">#REF!</definedName>
    <definedName name="_PPC137">#REF!</definedName>
    <definedName name="_PPC138" localSheetId="8">#REF!</definedName>
    <definedName name="_PPC138" localSheetId="10">#REF!</definedName>
    <definedName name="_PPC138" localSheetId="29">#REF!</definedName>
    <definedName name="_PPC138">#REF!</definedName>
    <definedName name="_PPC139" localSheetId="8">#REF!</definedName>
    <definedName name="_PPC139" localSheetId="10">#REF!</definedName>
    <definedName name="_PPC139" localSheetId="29">#REF!</definedName>
    <definedName name="_PPC139">#REF!</definedName>
    <definedName name="_PPC14" localSheetId="8">#REF!</definedName>
    <definedName name="_PPC14" localSheetId="10">#REF!</definedName>
    <definedName name="_PPC14" localSheetId="29">#REF!</definedName>
    <definedName name="_PPC14">#REF!</definedName>
    <definedName name="_PPC140" localSheetId="8">#REF!</definedName>
    <definedName name="_PPC140" localSheetId="10">#REF!</definedName>
    <definedName name="_PPC140" localSheetId="29">#REF!</definedName>
    <definedName name="_PPC140">#REF!</definedName>
    <definedName name="_PPC141" localSheetId="8">#REF!</definedName>
    <definedName name="_PPC141" localSheetId="10">#REF!</definedName>
    <definedName name="_PPC141" localSheetId="29">#REF!</definedName>
    <definedName name="_PPC141">#REF!</definedName>
    <definedName name="_PPC142" localSheetId="8">#REF!</definedName>
    <definedName name="_PPC142" localSheetId="10">#REF!</definedName>
    <definedName name="_PPC142" localSheetId="29">#REF!</definedName>
    <definedName name="_PPC142">#REF!</definedName>
    <definedName name="_PPC143" localSheetId="8">#REF!</definedName>
    <definedName name="_PPC143" localSheetId="10">#REF!</definedName>
    <definedName name="_PPC143" localSheetId="29">#REF!</definedName>
    <definedName name="_PPC143">#REF!</definedName>
    <definedName name="_PPC144" localSheetId="8">#REF!</definedName>
    <definedName name="_PPC144" localSheetId="10">#REF!</definedName>
    <definedName name="_PPC144" localSheetId="29">#REF!</definedName>
    <definedName name="_PPC144">#REF!</definedName>
    <definedName name="_PPC145" localSheetId="8">#REF!</definedName>
    <definedName name="_PPC145" localSheetId="10">#REF!</definedName>
    <definedName name="_PPC145" localSheetId="29">#REF!</definedName>
    <definedName name="_PPC145">#REF!</definedName>
    <definedName name="_PPC146" localSheetId="8">#REF!</definedName>
    <definedName name="_PPC146" localSheetId="10">#REF!</definedName>
    <definedName name="_PPC146" localSheetId="29">#REF!</definedName>
    <definedName name="_PPC146">#REF!</definedName>
    <definedName name="_PPC147" localSheetId="8">#REF!</definedName>
    <definedName name="_PPC147" localSheetId="10">#REF!</definedName>
    <definedName name="_PPC147" localSheetId="29">#REF!</definedName>
    <definedName name="_PPC147">#REF!</definedName>
    <definedName name="_PPC148" localSheetId="8">#REF!</definedName>
    <definedName name="_PPC148" localSheetId="10">#REF!</definedName>
    <definedName name="_PPC148" localSheetId="29">#REF!</definedName>
    <definedName name="_PPC148">#REF!</definedName>
    <definedName name="_PPC149" localSheetId="8">#REF!</definedName>
    <definedName name="_PPC149" localSheetId="10">#REF!</definedName>
    <definedName name="_PPC149" localSheetId="29">#REF!</definedName>
    <definedName name="_PPC149">#REF!</definedName>
    <definedName name="_PPC15" localSheetId="8">#REF!</definedName>
    <definedName name="_PPC15" localSheetId="10">#REF!</definedName>
    <definedName name="_PPC15" localSheetId="29">#REF!</definedName>
    <definedName name="_PPC15">#REF!</definedName>
    <definedName name="_PPC150" localSheetId="8">#REF!</definedName>
    <definedName name="_PPC150" localSheetId="10">#REF!</definedName>
    <definedName name="_PPC150" localSheetId="29">#REF!</definedName>
    <definedName name="_PPC150">#REF!</definedName>
    <definedName name="_PPC151" localSheetId="8">#REF!</definedName>
    <definedName name="_PPC151" localSheetId="10">#REF!</definedName>
    <definedName name="_PPC151" localSheetId="29">#REF!</definedName>
    <definedName name="_PPC151">#REF!</definedName>
    <definedName name="_PPC152" localSheetId="8">#REF!</definedName>
    <definedName name="_PPC152" localSheetId="10">#REF!</definedName>
    <definedName name="_PPC152" localSheetId="29">#REF!</definedName>
    <definedName name="_PPC152">#REF!</definedName>
    <definedName name="_PPC153" localSheetId="8">#REF!</definedName>
    <definedName name="_PPC153" localSheetId="10">#REF!</definedName>
    <definedName name="_PPC153" localSheetId="29">#REF!</definedName>
    <definedName name="_PPC153">#REF!</definedName>
    <definedName name="_PPC154" localSheetId="8">#REF!</definedName>
    <definedName name="_PPC154" localSheetId="10">#REF!</definedName>
    <definedName name="_PPC154" localSheetId="29">#REF!</definedName>
    <definedName name="_PPC154">#REF!</definedName>
    <definedName name="_PPC155" localSheetId="8">#REF!</definedName>
    <definedName name="_PPC155" localSheetId="10">#REF!</definedName>
    <definedName name="_PPC155" localSheetId="29">#REF!</definedName>
    <definedName name="_PPC155">#REF!</definedName>
    <definedName name="_PPC16" localSheetId="8">#REF!</definedName>
    <definedName name="_PPC16" localSheetId="10">#REF!</definedName>
    <definedName name="_PPC16" localSheetId="29">#REF!</definedName>
    <definedName name="_PPC16">#REF!</definedName>
    <definedName name="_PPC17" localSheetId="8">#REF!</definedName>
    <definedName name="_PPC17" localSheetId="10">#REF!</definedName>
    <definedName name="_PPC17" localSheetId="29">#REF!</definedName>
    <definedName name="_PPC17">#REF!</definedName>
    <definedName name="_PPC18" localSheetId="8">#REF!</definedName>
    <definedName name="_PPC18" localSheetId="10">#REF!</definedName>
    <definedName name="_PPC18" localSheetId="29">#REF!</definedName>
    <definedName name="_PPC18">#REF!</definedName>
    <definedName name="_PPC19" localSheetId="8">#REF!</definedName>
    <definedName name="_PPC19" localSheetId="10">#REF!</definedName>
    <definedName name="_PPC19" localSheetId="29">#REF!</definedName>
    <definedName name="_PPC19">#REF!</definedName>
    <definedName name="_PPC2" localSheetId="8">#REF!</definedName>
    <definedName name="_PPC2" localSheetId="10">#REF!</definedName>
    <definedName name="_PPC2" localSheetId="29">#REF!</definedName>
    <definedName name="_PPC2">#REF!</definedName>
    <definedName name="_PPC20" localSheetId="8">#REF!</definedName>
    <definedName name="_PPC20" localSheetId="10">#REF!</definedName>
    <definedName name="_PPC20" localSheetId="29">#REF!</definedName>
    <definedName name="_PPC20">#REF!</definedName>
    <definedName name="_PPC21" localSheetId="8">#REF!</definedName>
    <definedName name="_PPC21" localSheetId="10">#REF!</definedName>
    <definedName name="_PPC21" localSheetId="29">#REF!</definedName>
    <definedName name="_PPC21">#REF!</definedName>
    <definedName name="_PPC22" localSheetId="8">#REF!</definedName>
    <definedName name="_PPC22" localSheetId="10">#REF!</definedName>
    <definedName name="_PPC22" localSheetId="29">#REF!</definedName>
    <definedName name="_PPC22">#REF!</definedName>
    <definedName name="_PPC23" localSheetId="8">#REF!</definedName>
    <definedName name="_PPC23" localSheetId="10">#REF!</definedName>
    <definedName name="_PPC23" localSheetId="29">#REF!</definedName>
    <definedName name="_PPC23">#REF!</definedName>
    <definedName name="_PPC24" localSheetId="8">#REF!</definedName>
    <definedName name="_PPC24" localSheetId="10">#REF!</definedName>
    <definedName name="_PPC24" localSheetId="29">#REF!</definedName>
    <definedName name="_PPC24">#REF!</definedName>
    <definedName name="_PPC25" localSheetId="8">#REF!</definedName>
    <definedName name="_PPC25" localSheetId="10">#REF!</definedName>
    <definedName name="_PPC25" localSheetId="29">#REF!</definedName>
    <definedName name="_PPC25">#REF!</definedName>
    <definedName name="_PPC26" localSheetId="8">#REF!</definedName>
    <definedName name="_PPC26" localSheetId="10">#REF!</definedName>
    <definedName name="_PPC26" localSheetId="29">#REF!</definedName>
    <definedName name="_PPC26">#REF!</definedName>
    <definedName name="_PPC27" localSheetId="8">#REF!</definedName>
    <definedName name="_PPC27" localSheetId="10">#REF!</definedName>
    <definedName name="_PPC27" localSheetId="29">#REF!</definedName>
    <definedName name="_PPC27">#REF!</definedName>
    <definedName name="_PPC28" localSheetId="8">#REF!</definedName>
    <definedName name="_PPC28" localSheetId="10">#REF!</definedName>
    <definedName name="_PPC28" localSheetId="29">#REF!</definedName>
    <definedName name="_PPC28">#REF!</definedName>
    <definedName name="_PPC29" localSheetId="8">#REF!</definedName>
    <definedName name="_PPC29" localSheetId="10">#REF!</definedName>
    <definedName name="_PPC29" localSheetId="29">#REF!</definedName>
    <definedName name="_PPC29">#REF!</definedName>
    <definedName name="_PPC3" localSheetId="8">#REF!</definedName>
    <definedName name="_PPC3" localSheetId="10">#REF!</definedName>
    <definedName name="_PPC3" localSheetId="29">#REF!</definedName>
    <definedName name="_PPC3">#REF!</definedName>
    <definedName name="_PPC30" localSheetId="8">#REF!</definedName>
    <definedName name="_PPC30" localSheetId="10">#REF!</definedName>
    <definedName name="_PPC30" localSheetId="29">#REF!</definedName>
    <definedName name="_PPC30">#REF!</definedName>
    <definedName name="_PPC31" localSheetId="8">#REF!</definedName>
    <definedName name="_PPC31" localSheetId="10">#REF!</definedName>
    <definedName name="_PPC31" localSheetId="29">#REF!</definedName>
    <definedName name="_PPC31">#REF!</definedName>
    <definedName name="_PPC32" localSheetId="8">#REF!</definedName>
    <definedName name="_PPC32" localSheetId="10">#REF!</definedName>
    <definedName name="_PPC32" localSheetId="29">#REF!</definedName>
    <definedName name="_PPC32">#REF!</definedName>
    <definedName name="_PPC33" localSheetId="8">#REF!</definedName>
    <definedName name="_PPC33" localSheetId="10">#REF!</definedName>
    <definedName name="_PPC33" localSheetId="29">#REF!</definedName>
    <definedName name="_PPC33">#REF!</definedName>
    <definedName name="_PPC34" localSheetId="8">#REF!</definedName>
    <definedName name="_PPC34" localSheetId="10">#REF!</definedName>
    <definedName name="_PPC34" localSheetId="29">#REF!</definedName>
    <definedName name="_PPC34">#REF!</definedName>
    <definedName name="_PPC35" localSheetId="8">#REF!</definedName>
    <definedName name="_PPC35" localSheetId="10">#REF!</definedName>
    <definedName name="_PPC35" localSheetId="29">#REF!</definedName>
    <definedName name="_PPC35">#REF!</definedName>
    <definedName name="_PPC36" localSheetId="8">#REF!</definedName>
    <definedName name="_PPC36" localSheetId="10">#REF!</definedName>
    <definedName name="_PPC36" localSheetId="29">#REF!</definedName>
    <definedName name="_PPC36">#REF!</definedName>
    <definedName name="_PPC37" localSheetId="8">#REF!</definedName>
    <definedName name="_PPC37" localSheetId="10">#REF!</definedName>
    <definedName name="_PPC37" localSheetId="29">#REF!</definedName>
    <definedName name="_PPC37">#REF!</definedName>
    <definedName name="_PPC38" localSheetId="8">#REF!</definedName>
    <definedName name="_PPC38" localSheetId="10">#REF!</definedName>
    <definedName name="_PPC38" localSheetId="29">#REF!</definedName>
    <definedName name="_PPC38">#REF!</definedName>
    <definedName name="_PPC39" localSheetId="8">#REF!</definedName>
    <definedName name="_PPC39" localSheetId="10">#REF!</definedName>
    <definedName name="_PPC39" localSheetId="29">#REF!</definedName>
    <definedName name="_PPC39">#REF!</definedName>
    <definedName name="_PPC4" localSheetId="8">#REF!</definedName>
    <definedName name="_PPC4" localSheetId="10">#REF!</definedName>
    <definedName name="_PPC4" localSheetId="29">#REF!</definedName>
    <definedName name="_PPC4">#REF!</definedName>
    <definedName name="_PPC40" localSheetId="8">#REF!</definedName>
    <definedName name="_PPC40" localSheetId="10">#REF!</definedName>
    <definedName name="_PPC40" localSheetId="29">#REF!</definedName>
    <definedName name="_PPC40">#REF!</definedName>
    <definedName name="_PPC41" localSheetId="8">#REF!</definedName>
    <definedName name="_PPC41" localSheetId="10">#REF!</definedName>
    <definedName name="_PPC41" localSheetId="29">#REF!</definedName>
    <definedName name="_PPC41">#REF!</definedName>
    <definedName name="_PPC42" localSheetId="8">#REF!</definedName>
    <definedName name="_PPC42" localSheetId="10">#REF!</definedName>
    <definedName name="_PPC42" localSheetId="29">#REF!</definedName>
    <definedName name="_PPC42">#REF!</definedName>
    <definedName name="_PPC43" localSheetId="8">#REF!</definedName>
    <definedName name="_PPC43" localSheetId="10">#REF!</definedName>
    <definedName name="_PPC43" localSheetId="29">#REF!</definedName>
    <definedName name="_PPC43">#REF!</definedName>
    <definedName name="_PPC44" localSheetId="8">#REF!</definedName>
    <definedName name="_PPC44" localSheetId="10">#REF!</definedName>
    <definedName name="_PPC44" localSheetId="29">#REF!</definedName>
    <definedName name="_PPC44">#REF!</definedName>
    <definedName name="_PPC45" localSheetId="8">#REF!</definedName>
    <definedName name="_PPC45" localSheetId="10">#REF!</definedName>
    <definedName name="_PPC45" localSheetId="29">#REF!</definedName>
    <definedName name="_PPC45">#REF!</definedName>
    <definedName name="_PPC46" localSheetId="8">#REF!</definedName>
    <definedName name="_PPC46" localSheetId="10">#REF!</definedName>
    <definedName name="_PPC46" localSheetId="29">#REF!</definedName>
    <definedName name="_PPC46">#REF!</definedName>
    <definedName name="_PPC47" localSheetId="8">#REF!</definedName>
    <definedName name="_PPC47" localSheetId="10">#REF!</definedName>
    <definedName name="_PPC47" localSheetId="29">#REF!</definedName>
    <definedName name="_PPC47">#REF!</definedName>
    <definedName name="_PPC48" localSheetId="8">#REF!</definedName>
    <definedName name="_PPC48" localSheetId="10">#REF!</definedName>
    <definedName name="_PPC48" localSheetId="29">#REF!</definedName>
    <definedName name="_PPC48">#REF!</definedName>
    <definedName name="_PPC49" localSheetId="8">#REF!</definedName>
    <definedName name="_PPC49" localSheetId="10">#REF!</definedName>
    <definedName name="_PPC49" localSheetId="29">#REF!</definedName>
    <definedName name="_PPC49">#REF!</definedName>
    <definedName name="_PPC5" localSheetId="8">#REF!</definedName>
    <definedName name="_PPC5" localSheetId="10">#REF!</definedName>
    <definedName name="_PPC5" localSheetId="29">#REF!</definedName>
    <definedName name="_PPC5">#REF!</definedName>
    <definedName name="_PPC50" localSheetId="8">#REF!</definedName>
    <definedName name="_PPC50" localSheetId="10">#REF!</definedName>
    <definedName name="_PPC50" localSheetId="29">#REF!</definedName>
    <definedName name="_PPC50">#REF!</definedName>
    <definedName name="_PPC51" localSheetId="8">#REF!</definedName>
    <definedName name="_PPC51" localSheetId="10">#REF!</definedName>
    <definedName name="_PPC51" localSheetId="29">#REF!</definedName>
    <definedName name="_PPC51">#REF!</definedName>
    <definedName name="_PPC52" localSheetId="8">#REF!</definedName>
    <definedName name="_PPC52" localSheetId="10">#REF!</definedName>
    <definedName name="_PPC52" localSheetId="29">#REF!</definedName>
    <definedName name="_PPC52">#REF!</definedName>
    <definedName name="_PPC53" localSheetId="8">#REF!</definedName>
    <definedName name="_PPC53" localSheetId="10">#REF!</definedName>
    <definedName name="_PPC53" localSheetId="29">#REF!</definedName>
    <definedName name="_PPC53">#REF!</definedName>
    <definedName name="_PPC54" localSheetId="8">#REF!</definedName>
    <definedName name="_PPC54" localSheetId="10">#REF!</definedName>
    <definedName name="_PPC54" localSheetId="29">#REF!</definedName>
    <definedName name="_PPC54">#REF!</definedName>
    <definedName name="_PPC55" localSheetId="8">#REF!</definedName>
    <definedName name="_PPC55" localSheetId="10">#REF!</definedName>
    <definedName name="_PPC55" localSheetId="29">#REF!</definedName>
    <definedName name="_PPC55">#REF!</definedName>
    <definedName name="_PPC56" localSheetId="8">#REF!</definedName>
    <definedName name="_PPC56" localSheetId="10">#REF!</definedName>
    <definedName name="_PPC56" localSheetId="29">#REF!</definedName>
    <definedName name="_PPC56">#REF!</definedName>
    <definedName name="_PPC57" localSheetId="8">#REF!</definedName>
    <definedName name="_PPC57" localSheetId="10">#REF!</definedName>
    <definedName name="_PPC57" localSheetId="29">#REF!</definedName>
    <definedName name="_PPC57">#REF!</definedName>
    <definedName name="_PPC58" localSheetId="8">#REF!</definedName>
    <definedName name="_PPC58" localSheetId="10">#REF!</definedName>
    <definedName name="_PPC58" localSheetId="29">#REF!</definedName>
    <definedName name="_PPC58">#REF!</definedName>
    <definedName name="_PPC59" localSheetId="8">#REF!</definedName>
    <definedName name="_PPC59" localSheetId="10">#REF!</definedName>
    <definedName name="_PPC59" localSheetId="29">#REF!</definedName>
    <definedName name="_PPC59">#REF!</definedName>
    <definedName name="_PPC6" localSheetId="8">#REF!</definedName>
    <definedName name="_PPC6" localSheetId="10">#REF!</definedName>
    <definedName name="_PPC6" localSheetId="29">#REF!</definedName>
    <definedName name="_PPC6">#REF!</definedName>
    <definedName name="_PPC60" localSheetId="8">#REF!</definedName>
    <definedName name="_PPC60" localSheetId="10">#REF!</definedName>
    <definedName name="_PPC60" localSheetId="29">#REF!</definedName>
    <definedName name="_PPC60">#REF!</definedName>
    <definedName name="_PPC61" localSheetId="8">#REF!</definedName>
    <definedName name="_PPC61" localSheetId="10">#REF!</definedName>
    <definedName name="_PPC61" localSheetId="29">#REF!</definedName>
    <definedName name="_PPC61">#REF!</definedName>
    <definedName name="_PPC62" localSheetId="8">#REF!</definedName>
    <definedName name="_PPC62" localSheetId="10">#REF!</definedName>
    <definedName name="_PPC62" localSheetId="29">#REF!</definedName>
    <definedName name="_PPC62">#REF!</definedName>
    <definedName name="_PPC63" localSheetId="8">#REF!</definedName>
    <definedName name="_PPC63" localSheetId="10">#REF!</definedName>
    <definedName name="_PPC63" localSheetId="29">#REF!</definedName>
    <definedName name="_PPC63">#REF!</definedName>
    <definedName name="_PPC64" localSheetId="8">#REF!</definedName>
    <definedName name="_PPC64" localSheetId="10">#REF!</definedName>
    <definedName name="_PPC64" localSheetId="29">#REF!</definedName>
    <definedName name="_PPC64">#REF!</definedName>
    <definedName name="_PPC65" localSheetId="8">#REF!</definedName>
    <definedName name="_PPC65" localSheetId="10">#REF!</definedName>
    <definedName name="_PPC65" localSheetId="29">#REF!</definedName>
    <definedName name="_PPC65">#REF!</definedName>
    <definedName name="_PPC66" localSheetId="8">#REF!</definedName>
    <definedName name="_PPC66" localSheetId="10">#REF!</definedName>
    <definedName name="_PPC66" localSheetId="29">#REF!</definedName>
    <definedName name="_PPC66">#REF!</definedName>
    <definedName name="_PPC67" localSheetId="8">#REF!</definedName>
    <definedName name="_PPC67" localSheetId="10">#REF!</definedName>
    <definedName name="_PPC67" localSheetId="29">#REF!</definedName>
    <definedName name="_PPC67">#REF!</definedName>
    <definedName name="_PPC68" localSheetId="8">#REF!</definedName>
    <definedName name="_PPC68" localSheetId="10">#REF!</definedName>
    <definedName name="_PPC68" localSheetId="29">#REF!</definedName>
    <definedName name="_PPC68">#REF!</definedName>
    <definedName name="_PPC69" localSheetId="8">#REF!</definedName>
    <definedName name="_PPC69" localSheetId="10">#REF!</definedName>
    <definedName name="_PPC69" localSheetId="29">#REF!</definedName>
    <definedName name="_PPC69">#REF!</definedName>
    <definedName name="_PPC7" localSheetId="8">#REF!</definedName>
    <definedName name="_PPC7" localSheetId="10">#REF!</definedName>
    <definedName name="_PPC7" localSheetId="29">#REF!</definedName>
    <definedName name="_PPC7">#REF!</definedName>
    <definedName name="_PPC70" localSheetId="8">#REF!</definedName>
    <definedName name="_PPC70" localSheetId="10">#REF!</definedName>
    <definedName name="_PPC70" localSheetId="29">#REF!</definedName>
    <definedName name="_PPC70">#REF!</definedName>
    <definedName name="_PPC71" localSheetId="8">#REF!</definedName>
    <definedName name="_PPC71" localSheetId="10">#REF!</definedName>
    <definedName name="_PPC71" localSheetId="29">#REF!</definedName>
    <definedName name="_PPC71">#REF!</definedName>
    <definedName name="_PPC72" localSheetId="8">#REF!</definedName>
    <definedName name="_PPC72" localSheetId="10">#REF!</definedName>
    <definedName name="_PPC72" localSheetId="29">#REF!</definedName>
    <definedName name="_PPC72">#REF!</definedName>
    <definedName name="_PPC73" localSheetId="8">#REF!</definedName>
    <definedName name="_PPC73" localSheetId="10">#REF!</definedName>
    <definedName name="_PPC73" localSheetId="29">#REF!</definedName>
    <definedName name="_PPC73">#REF!</definedName>
    <definedName name="_PPC74" localSheetId="8">#REF!</definedName>
    <definedName name="_PPC74" localSheetId="10">#REF!</definedName>
    <definedName name="_PPC74" localSheetId="29">#REF!</definedName>
    <definedName name="_PPC74">#REF!</definedName>
    <definedName name="_PPC75" localSheetId="8">#REF!</definedName>
    <definedName name="_PPC75" localSheetId="10">#REF!</definedName>
    <definedName name="_PPC75" localSheetId="29">#REF!</definedName>
    <definedName name="_PPC75">#REF!</definedName>
    <definedName name="_PPC76" localSheetId="8">#REF!</definedName>
    <definedName name="_PPC76" localSheetId="10">#REF!</definedName>
    <definedName name="_PPC76" localSheetId="29">#REF!</definedName>
    <definedName name="_PPC76">#REF!</definedName>
    <definedName name="_PPC77" localSheetId="8">#REF!</definedName>
    <definedName name="_PPC77" localSheetId="10">#REF!</definedName>
    <definedName name="_PPC77" localSheetId="29">#REF!</definedName>
    <definedName name="_PPC77">#REF!</definedName>
    <definedName name="_PPC78" localSheetId="8">#REF!</definedName>
    <definedName name="_PPC78" localSheetId="10">#REF!</definedName>
    <definedName name="_PPC78" localSheetId="29">#REF!</definedName>
    <definedName name="_PPC78">#REF!</definedName>
    <definedName name="_PPC79" localSheetId="8">#REF!</definedName>
    <definedName name="_PPC79" localSheetId="10">#REF!</definedName>
    <definedName name="_PPC79" localSheetId="29">#REF!</definedName>
    <definedName name="_PPC79">#REF!</definedName>
    <definedName name="_PPC8" localSheetId="8">#REF!</definedName>
    <definedName name="_PPC8" localSheetId="10">#REF!</definedName>
    <definedName name="_PPC8" localSheetId="29">#REF!</definedName>
    <definedName name="_PPC8">#REF!</definedName>
    <definedName name="_PPC80" localSheetId="8">#REF!</definedName>
    <definedName name="_PPC80" localSheetId="10">#REF!</definedName>
    <definedName name="_PPC80" localSheetId="29">#REF!</definedName>
    <definedName name="_PPC80">#REF!</definedName>
    <definedName name="_PPC81" localSheetId="8">#REF!</definedName>
    <definedName name="_PPC81" localSheetId="10">#REF!</definedName>
    <definedName name="_PPC81" localSheetId="29">#REF!</definedName>
    <definedName name="_PPC81">#REF!</definedName>
    <definedName name="_PPC82" localSheetId="8">#REF!</definedName>
    <definedName name="_PPC82" localSheetId="10">#REF!</definedName>
    <definedName name="_PPC82" localSheetId="29">#REF!</definedName>
    <definedName name="_PPC82">#REF!</definedName>
    <definedName name="_PPC83" localSheetId="8">#REF!</definedName>
    <definedName name="_PPC83" localSheetId="10">#REF!</definedName>
    <definedName name="_PPC83" localSheetId="29">#REF!</definedName>
    <definedName name="_PPC83">#REF!</definedName>
    <definedName name="_PPC84" localSheetId="8">#REF!</definedName>
    <definedName name="_PPC84" localSheetId="10">#REF!</definedName>
    <definedName name="_PPC84" localSheetId="29">#REF!</definedName>
    <definedName name="_PPC84">#REF!</definedName>
    <definedName name="_PPC85" localSheetId="8">#REF!</definedName>
    <definedName name="_PPC85" localSheetId="10">#REF!</definedName>
    <definedName name="_PPC85" localSheetId="29">#REF!</definedName>
    <definedName name="_PPC85">#REF!</definedName>
    <definedName name="_PPC86" localSheetId="8">#REF!</definedName>
    <definedName name="_PPC86" localSheetId="10">#REF!</definedName>
    <definedName name="_PPC86" localSheetId="29">#REF!</definedName>
    <definedName name="_PPC86">#REF!</definedName>
    <definedName name="_PPC87" localSheetId="8">#REF!</definedName>
    <definedName name="_PPC87" localSheetId="10">#REF!</definedName>
    <definedName name="_PPC87" localSheetId="29">#REF!</definedName>
    <definedName name="_PPC87">#REF!</definedName>
    <definedName name="_PPC88" localSheetId="8">#REF!</definedName>
    <definedName name="_PPC88" localSheetId="10">#REF!</definedName>
    <definedName name="_PPC88" localSheetId="29">#REF!</definedName>
    <definedName name="_PPC88">#REF!</definedName>
    <definedName name="_PPC89" localSheetId="8">#REF!</definedName>
    <definedName name="_PPC89" localSheetId="10">#REF!</definedName>
    <definedName name="_PPC89" localSheetId="29">#REF!</definedName>
    <definedName name="_PPC89">#REF!</definedName>
    <definedName name="_PPC9" localSheetId="8">#REF!</definedName>
    <definedName name="_PPC9" localSheetId="10">#REF!</definedName>
    <definedName name="_PPC9" localSheetId="29">#REF!</definedName>
    <definedName name="_PPC9">#REF!</definedName>
    <definedName name="_PPC90" localSheetId="8">#REF!</definedName>
    <definedName name="_PPC90" localSheetId="10">#REF!</definedName>
    <definedName name="_PPC90" localSheetId="29">#REF!</definedName>
    <definedName name="_PPC90">#REF!</definedName>
    <definedName name="_PPC91" localSheetId="8">#REF!</definedName>
    <definedName name="_PPC91" localSheetId="10">#REF!</definedName>
    <definedName name="_PPC91" localSheetId="29">#REF!</definedName>
    <definedName name="_PPC91">#REF!</definedName>
    <definedName name="_PPC92" localSheetId="8">#REF!</definedName>
    <definedName name="_PPC92" localSheetId="10">#REF!</definedName>
    <definedName name="_PPC92" localSheetId="29">#REF!</definedName>
    <definedName name="_PPC92">#REF!</definedName>
    <definedName name="_PPC93" localSheetId="8">#REF!</definedName>
    <definedName name="_PPC93" localSheetId="10">#REF!</definedName>
    <definedName name="_PPC93" localSheetId="29">#REF!</definedName>
    <definedName name="_PPC93">#REF!</definedName>
    <definedName name="_PPC94" localSheetId="8">#REF!</definedName>
    <definedName name="_PPC94" localSheetId="10">#REF!</definedName>
    <definedName name="_PPC94" localSheetId="29">#REF!</definedName>
    <definedName name="_PPC94">#REF!</definedName>
    <definedName name="_PPC95" localSheetId="8">#REF!</definedName>
    <definedName name="_PPC95" localSheetId="10">#REF!</definedName>
    <definedName name="_PPC95" localSheetId="29">#REF!</definedName>
    <definedName name="_PPC95">#REF!</definedName>
    <definedName name="_PPD114" localSheetId="8">#REF!</definedName>
    <definedName name="_PPD114" localSheetId="10">#REF!</definedName>
    <definedName name="_PPD114" localSheetId="29">#REF!</definedName>
    <definedName name="_PPD114">#REF!</definedName>
    <definedName name="_PPD89" localSheetId="8">#REF!</definedName>
    <definedName name="_PPD89" localSheetId="10">#REF!</definedName>
    <definedName name="_PPD89" localSheetId="29">#REF!</definedName>
    <definedName name="_PPD89">#REF!</definedName>
    <definedName name="_psc10006" localSheetId="8">#REF!</definedName>
    <definedName name="_psc10006" localSheetId="10">#REF!</definedName>
    <definedName name="_psc10006" localSheetId="11">#REF!</definedName>
    <definedName name="_psc10006" localSheetId="29">#REF!</definedName>
    <definedName name="_psc10006">#REF!</definedName>
    <definedName name="_psc10008" localSheetId="8">#REF!</definedName>
    <definedName name="_psc10008" localSheetId="10">#REF!</definedName>
    <definedName name="_psc10008" localSheetId="11">#REF!</definedName>
    <definedName name="_psc10008" localSheetId="29">#REF!</definedName>
    <definedName name="_psc10008">#REF!</definedName>
    <definedName name="_psc3506" localSheetId="8">#REF!</definedName>
    <definedName name="_psc3506" localSheetId="10">#REF!</definedName>
    <definedName name="_psc3506" localSheetId="11">#REF!</definedName>
    <definedName name="_psc3506" localSheetId="29">#REF!</definedName>
    <definedName name="_psc3506">#REF!</definedName>
    <definedName name="_psc3508" localSheetId="8">#REF!</definedName>
    <definedName name="_psc3508" localSheetId="10">#REF!</definedName>
    <definedName name="_psc3508" localSheetId="11">#REF!</definedName>
    <definedName name="_psc3508" localSheetId="29">#REF!</definedName>
    <definedName name="_psc3508">#REF!</definedName>
    <definedName name="_psc4006" localSheetId="8">#REF!</definedName>
    <definedName name="_psc4006" localSheetId="10">#REF!</definedName>
    <definedName name="_psc4006" localSheetId="11">#REF!</definedName>
    <definedName name="_psc4006" localSheetId="29">#REF!</definedName>
    <definedName name="_psc4006">#REF!</definedName>
    <definedName name="_psc4008" localSheetId="8">#REF!</definedName>
    <definedName name="_psc4008" localSheetId="10">#REF!</definedName>
    <definedName name="_psc4008" localSheetId="11">#REF!</definedName>
    <definedName name="_psc4008" localSheetId="29">#REF!</definedName>
    <definedName name="_psc4008">#REF!</definedName>
    <definedName name="_psc4506" localSheetId="8">#REF!</definedName>
    <definedName name="_psc4506" localSheetId="10">#REF!</definedName>
    <definedName name="_psc4506" localSheetId="11">#REF!</definedName>
    <definedName name="_psc4506" localSheetId="29">#REF!</definedName>
    <definedName name="_psc4506">#REF!</definedName>
    <definedName name="_psc4508" localSheetId="8">#REF!</definedName>
    <definedName name="_psc4508" localSheetId="10">#REF!</definedName>
    <definedName name="_psc4508" localSheetId="11">#REF!</definedName>
    <definedName name="_psc4508" localSheetId="29">#REF!</definedName>
    <definedName name="_psc4508">#REF!</definedName>
    <definedName name="_psc5006" localSheetId="8">#REF!</definedName>
    <definedName name="_psc5006" localSheetId="10">#REF!</definedName>
    <definedName name="_psc5006" localSheetId="11">#REF!</definedName>
    <definedName name="_psc5006" localSheetId="29">#REF!</definedName>
    <definedName name="_psc5006">#REF!</definedName>
    <definedName name="_psc5008" localSheetId="8">#REF!</definedName>
    <definedName name="_psc5008" localSheetId="10">#REF!</definedName>
    <definedName name="_psc5008" localSheetId="11">#REF!</definedName>
    <definedName name="_psc5008" localSheetId="29">#REF!</definedName>
    <definedName name="_psc5008">#REF!</definedName>
    <definedName name="_psc6006" localSheetId="8">#REF!</definedName>
    <definedName name="_psc6006" localSheetId="10">#REF!</definedName>
    <definedName name="_psc6006" localSheetId="11">#REF!</definedName>
    <definedName name="_psc6006" localSheetId="29">#REF!</definedName>
    <definedName name="_psc6006">#REF!</definedName>
    <definedName name="_psc6008" localSheetId="8">#REF!</definedName>
    <definedName name="_psc6008" localSheetId="10">#REF!</definedName>
    <definedName name="_psc6008" localSheetId="11">#REF!</definedName>
    <definedName name="_psc6008" localSheetId="29">#REF!</definedName>
    <definedName name="_psc6008">#REF!</definedName>
    <definedName name="_psc7006" localSheetId="8">#REF!</definedName>
    <definedName name="_psc7006" localSheetId="10">#REF!</definedName>
    <definedName name="_psc7006" localSheetId="11">#REF!</definedName>
    <definedName name="_psc7006" localSheetId="29">#REF!</definedName>
    <definedName name="_psc7006">#REF!</definedName>
    <definedName name="_psc7008" localSheetId="8">#REF!</definedName>
    <definedName name="_psc7008" localSheetId="10">#REF!</definedName>
    <definedName name="_psc7008" localSheetId="11">#REF!</definedName>
    <definedName name="_psc7008" localSheetId="29">#REF!</definedName>
    <definedName name="_psc7008">#REF!</definedName>
    <definedName name="_psc8006" localSheetId="8">#REF!</definedName>
    <definedName name="_psc8006" localSheetId="10">#REF!</definedName>
    <definedName name="_psc8006" localSheetId="11">#REF!</definedName>
    <definedName name="_psc8006" localSheetId="29">#REF!</definedName>
    <definedName name="_psc8006">#REF!</definedName>
    <definedName name="_psc8008" localSheetId="8">#REF!</definedName>
    <definedName name="_psc8008" localSheetId="10">#REF!</definedName>
    <definedName name="_psc8008" localSheetId="11">#REF!</definedName>
    <definedName name="_psc8008" localSheetId="29">#REF!</definedName>
    <definedName name="_psc8008">#REF!</definedName>
    <definedName name="_psc9006" localSheetId="8">#REF!</definedName>
    <definedName name="_psc9006" localSheetId="10">#REF!</definedName>
    <definedName name="_psc9006" localSheetId="11">#REF!</definedName>
    <definedName name="_psc9006" localSheetId="29">#REF!</definedName>
    <definedName name="_psc9006">#REF!</definedName>
    <definedName name="_psc9008" localSheetId="8">#REF!</definedName>
    <definedName name="_psc9008" localSheetId="10">#REF!</definedName>
    <definedName name="_psc9008" localSheetId="11">#REF!</definedName>
    <definedName name="_psc9008" localSheetId="29">#REF!</definedName>
    <definedName name="_psc9008">#REF!</definedName>
    <definedName name="_pv1" localSheetId="5">#REF!</definedName>
    <definedName name="_pv1" localSheetId="8">#REF!</definedName>
    <definedName name="_pv1" localSheetId="10">#REF!</definedName>
    <definedName name="_pv1" localSheetId="29">#REF!</definedName>
    <definedName name="_pv1" localSheetId="31">#REF!</definedName>
    <definedName name="_pv1">#REF!</definedName>
    <definedName name="_pv2" localSheetId="21">#REF!</definedName>
    <definedName name="_pv2" localSheetId="5">#REF!</definedName>
    <definedName name="_pv2" localSheetId="8">#REF!</definedName>
    <definedName name="_pv2" localSheetId="10">#REF!</definedName>
    <definedName name="_pv2" localSheetId="11">#REF!</definedName>
    <definedName name="_pv2" localSheetId="29">#REF!</definedName>
    <definedName name="_pv2" localSheetId="31">#REF!</definedName>
    <definedName name="_pv2" localSheetId="35">#REF!</definedName>
    <definedName name="_pv2" localSheetId="36">#REF!</definedName>
    <definedName name="_pv2">#REF!</definedName>
    <definedName name="_pv2_23">"$#REF!.$#REF!$#REF!"</definedName>
    <definedName name="_pv2_32">"$#REF!.$#REF!$#REF!"</definedName>
    <definedName name="_pv2_33">"$#REF!.$#REF!$#REF!"</definedName>
    <definedName name="_pv2_34">"$#REF!.$#REF!$#REF!"</definedName>
    <definedName name="_pv2_38">"$#REF!.$#REF!$#REF!"</definedName>
    <definedName name="_pv2_41">"$#REF!.$#REF!$#REF!"</definedName>
    <definedName name="_pv2_43">"$#REF!.$#REF!$#REF!"</definedName>
    <definedName name="_pv2_48">"$#REF!.$#REF!$#REF!"</definedName>
    <definedName name="_pv2_56">"$#REF!.$#REF!$#REF!"</definedName>
    <definedName name="_pv2_57">"$#REF!.$#REF!$#REF!"</definedName>
    <definedName name="_pv2_59">"$#REF!.$#REF!$#REF!"</definedName>
    <definedName name="_pv2_60">"$#REF!.$#REF!$#REF!"</definedName>
    <definedName name="_pv2_61">"$#REF!.$#REF!$#REF!"</definedName>
    <definedName name="_pv2_62">"$#REF!.$#REF!$#REF!"</definedName>
    <definedName name="_pv2_7">"$#REF!.$#REF!$#REF!"</definedName>
    <definedName name="_pv2_72">"$#REF!.$#REF!$#REF!"</definedName>
    <definedName name="_pv2_73">"$#REF!.$#REF!$#REF!"</definedName>
    <definedName name="_pv2_8">"$#REF!.$#REF!$#REF!"</definedName>
    <definedName name="_QUA" localSheetId="5">#REF!</definedName>
    <definedName name="_QUA" localSheetId="8">#REF!</definedName>
    <definedName name="_QUA" localSheetId="10">#REF!</definedName>
    <definedName name="_QUA" localSheetId="11">#REF!</definedName>
    <definedName name="_QUA" localSheetId="29">#REF!</definedName>
    <definedName name="_QUA" localSheetId="31">#REF!</definedName>
    <definedName name="_QUA">#REF!</definedName>
    <definedName name="_QUA_33">"$#REF!.$#REF!$#REF!"</definedName>
    <definedName name="_QUA_RABBISH" localSheetId="5">#REF!</definedName>
    <definedName name="_QUA_RABBISH" localSheetId="8">#REF!</definedName>
    <definedName name="_QUA_RABBISH" localSheetId="10">#REF!</definedName>
    <definedName name="_QUA_RABBISH" localSheetId="11">#REF!</definedName>
    <definedName name="_QUA_RABBISH" localSheetId="29">#REF!</definedName>
    <definedName name="_QUA_RABBISH" localSheetId="31">#REF!</definedName>
    <definedName name="_QUA_RABBISH">#REF!</definedName>
    <definedName name="_QUA_RABBISH_33">"$#REF!.$#REF!$#REF!"</definedName>
    <definedName name="_rabbit" localSheetId="8">#REF!</definedName>
    <definedName name="_rabbit" localSheetId="10">#REF!</definedName>
    <definedName name="_rabbit" localSheetId="11">#REF!</definedName>
    <definedName name="_rabbit" localSheetId="29">#REF!</definedName>
    <definedName name="_rabbit">#REF!</definedName>
    <definedName name="_rr3_32">#REF!</definedName>
    <definedName name="_rr3_33">#REF!</definedName>
    <definedName name="_rr3_34">#REF!</definedName>
    <definedName name="_rr3_43">#REF!</definedName>
    <definedName name="_rr3_56">#REF!</definedName>
    <definedName name="_rr3_59">#REF!</definedName>
    <definedName name="_rr3_61">#REF!</definedName>
    <definedName name="_rrr1_32">#REF!</definedName>
    <definedName name="_rrr1_33">#REF!</definedName>
    <definedName name="_rrr1_34">#REF!</definedName>
    <definedName name="_rrr1_43">#REF!</definedName>
    <definedName name="_rrr1_56">#REF!</definedName>
    <definedName name="_rrr1_59">#REF!</definedName>
    <definedName name="_rrr1_61">#REF!</definedName>
    <definedName name="_RS300" localSheetId="8">#REF!</definedName>
    <definedName name="_RS300" localSheetId="10">#REF!</definedName>
    <definedName name="_RS300" localSheetId="29">#REF!</definedName>
    <definedName name="_RS300">#REF!</definedName>
    <definedName name="_S06" localSheetId="5">#REF!</definedName>
    <definedName name="_S06" localSheetId="8">#REF!</definedName>
    <definedName name="_S06" localSheetId="10">#REF!</definedName>
    <definedName name="_S06" localSheetId="11">#REF!</definedName>
    <definedName name="_S06" localSheetId="29">#REF!</definedName>
    <definedName name="_S06" localSheetId="31">#REF!</definedName>
    <definedName name="_S06">#REF!</definedName>
    <definedName name="_S06_33">"$#REF!.$#REF!$#REF!"</definedName>
    <definedName name="_s1" localSheetId="8">#REF!</definedName>
    <definedName name="_s1" localSheetId="10">#REF!</definedName>
    <definedName name="_s1" localSheetId="11">#REF!</definedName>
    <definedName name="_s1" localSheetId="29">#REF!</definedName>
    <definedName name="_s1">#REF!</definedName>
    <definedName name="_S10" localSheetId="5">#REF!</definedName>
    <definedName name="_S10" localSheetId="8">#REF!</definedName>
    <definedName name="_S10" localSheetId="10">#REF!</definedName>
    <definedName name="_S10" localSheetId="11">#REF!</definedName>
    <definedName name="_S10" localSheetId="29">#REF!</definedName>
    <definedName name="_S10" localSheetId="31">#REF!</definedName>
    <definedName name="_S10">#REF!</definedName>
    <definedName name="_S10_33">"$#REF!.$#REF!$#REF!"</definedName>
    <definedName name="_S100" localSheetId="5">#REF!</definedName>
    <definedName name="_S100" localSheetId="8">#REF!</definedName>
    <definedName name="_S100" localSheetId="10">#REF!</definedName>
    <definedName name="_S100" localSheetId="11">#REF!</definedName>
    <definedName name="_S100" localSheetId="29">#REF!</definedName>
    <definedName name="_S100" localSheetId="31">#REF!</definedName>
    <definedName name="_S100">#REF!</definedName>
    <definedName name="_S100_33">"$#REF!.$#REF!$#REF!"</definedName>
    <definedName name="_S12" localSheetId="5">#REF!</definedName>
    <definedName name="_S12" localSheetId="8">#REF!</definedName>
    <definedName name="_S12" localSheetId="10">#REF!</definedName>
    <definedName name="_S12" localSheetId="11">#REF!</definedName>
    <definedName name="_S12" localSheetId="29">#REF!</definedName>
    <definedName name="_S12" localSheetId="31">#REF!</definedName>
    <definedName name="_S12">#REF!</definedName>
    <definedName name="_S12_33">"$#REF!.$#REF!$#REF!"</definedName>
    <definedName name="_s2" localSheetId="8">#REF!</definedName>
    <definedName name="_s2" localSheetId="10">#REF!</definedName>
    <definedName name="_s2" localSheetId="29">#REF!</definedName>
    <definedName name="_s2">#REF!</definedName>
    <definedName name="_S20" localSheetId="5">#REF!</definedName>
    <definedName name="_S20" localSheetId="8">#REF!</definedName>
    <definedName name="_S20" localSheetId="10">#REF!</definedName>
    <definedName name="_S20" localSheetId="11">#REF!</definedName>
    <definedName name="_S20" localSheetId="29">#REF!</definedName>
    <definedName name="_S20" localSheetId="31">#REF!</definedName>
    <definedName name="_S20">#REF!</definedName>
    <definedName name="_S20_33">"$#REF!.$#REF!$#REF!"</definedName>
    <definedName name="_S25" localSheetId="5">#REF!</definedName>
    <definedName name="_S25" localSheetId="8">#REF!</definedName>
    <definedName name="_S25" localSheetId="10">#REF!</definedName>
    <definedName name="_S25" localSheetId="11">#REF!</definedName>
    <definedName name="_S25" localSheetId="29">#REF!</definedName>
    <definedName name="_S25" localSheetId="31">#REF!</definedName>
    <definedName name="_S25">#REF!</definedName>
    <definedName name="_S25_33">"$#REF!.$#REF!$#REF!"</definedName>
    <definedName name="_S40" localSheetId="5">#REF!</definedName>
    <definedName name="_S40" localSheetId="8">#REF!</definedName>
    <definedName name="_S40" localSheetId="10">#REF!</definedName>
    <definedName name="_S40" localSheetId="11">#REF!</definedName>
    <definedName name="_S40" localSheetId="29">#REF!</definedName>
    <definedName name="_S40" localSheetId="31">#REF!</definedName>
    <definedName name="_S40">#REF!</definedName>
    <definedName name="_S40_33">"$#REF!.$#REF!$#REF!"</definedName>
    <definedName name="_S50" localSheetId="5">#REF!</definedName>
    <definedName name="_S50" localSheetId="8">#REF!</definedName>
    <definedName name="_S50" localSheetId="10">#REF!</definedName>
    <definedName name="_S50" localSheetId="11">#REF!</definedName>
    <definedName name="_S50" localSheetId="29">#REF!</definedName>
    <definedName name="_S50" localSheetId="31">#REF!</definedName>
    <definedName name="_S50">#REF!</definedName>
    <definedName name="_S50_33">"$#REF!.$#REF!$#REF!"</definedName>
    <definedName name="_S60" localSheetId="5">#REF!</definedName>
    <definedName name="_S60" localSheetId="8">#REF!</definedName>
    <definedName name="_S60" localSheetId="10">#REF!</definedName>
    <definedName name="_S60" localSheetId="11">#REF!</definedName>
    <definedName name="_S60" localSheetId="29">#REF!</definedName>
    <definedName name="_S60" localSheetId="31">#REF!</definedName>
    <definedName name="_S60">#REF!</definedName>
    <definedName name="_S60_33">"$#REF!.$#REF!$#REF!"</definedName>
    <definedName name="_S65" localSheetId="5">#REF!</definedName>
    <definedName name="_S65" localSheetId="8">#REF!</definedName>
    <definedName name="_S65" localSheetId="10">#REF!</definedName>
    <definedName name="_S65" localSheetId="11">#REF!</definedName>
    <definedName name="_S65" localSheetId="29">#REF!</definedName>
    <definedName name="_S65" localSheetId="31">#REF!</definedName>
    <definedName name="_S65">#REF!</definedName>
    <definedName name="_S65_33">"$#REF!.$#REF!$#REF!"</definedName>
    <definedName name="_S75" localSheetId="5">#REF!</definedName>
    <definedName name="_S75" localSheetId="8">#REF!</definedName>
    <definedName name="_S75" localSheetId="10">#REF!</definedName>
    <definedName name="_S75" localSheetId="11">#REF!</definedName>
    <definedName name="_S75" localSheetId="29">#REF!</definedName>
    <definedName name="_S75" localSheetId="31">#REF!</definedName>
    <definedName name="_S75">#REF!</definedName>
    <definedName name="_S75_33">"$#REF!.$#REF!$#REF!"</definedName>
    <definedName name="_SANF" localSheetId="5">#REF!</definedName>
    <definedName name="_SANF" localSheetId="8">#REF!</definedName>
    <definedName name="_SANF" localSheetId="10">#REF!</definedName>
    <definedName name="_SANF" localSheetId="11">#REF!</definedName>
    <definedName name="_SANF" localSheetId="29">#REF!</definedName>
    <definedName name="_SANF" localSheetId="31">#REF!</definedName>
    <definedName name="_SANF">#REF!</definedName>
    <definedName name="_SANF_33">"$#REF!.$#REF!$#REF!"</definedName>
    <definedName name="_SANM" localSheetId="5">#REF!</definedName>
    <definedName name="_SANM" localSheetId="8">#REF!</definedName>
    <definedName name="_SANM" localSheetId="10">#REF!</definedName>
    <definedName name="_SANM" localSheetId="11">#REF!</definedName>
    <definedName name="_SANM" localSheetId="29">#REF!</definedName>
    <definedName name="_SANM" localSheetId="31">#REF!</definedName>
    <definedName name="_SANM">#REF!</definedName>
    <definedName name="_SANM_33">"$#REF!.$#REF!$#REF!"</definedName>
    <definedName name="_SD1">#REF!</definedName>
    <definedName name="_SD10" localSheetId="8">#REF!</definedName>
    <definedName name="_SD10" localSheetId="10">#REF!</definedName>
    <definedName name="_SD10" localSheetId="29">#REF!</definedName>
    <definedName name="_SD10">#REF!</definedName>
    <definedName name="_SD100" localSheetId="8">#REF!</definedName>
    <definedName name="_SD100" localSheetId="10">#REF!</definedName>
    <definedName name="_SD100" localSheetId="29">#REF!</definedName>
    <definedName name="_SD100">#REF!</definedName>
    <definedName name="_SD101" localSheetId="8">#REF!</definedName>
    <definedName name="_SD101" localSheetId="10">#REF!</definedName>
    <definedName name="_SD101" localSheetId="29">#REF!</definedName>
    <definedName name="_SD101">#REF!</definedName>
    <definedName name="_SD102" localSheetId="8">#REF!</definedName>
    <definedName name="_SD102" localSheetId="10">#REF!</definedName>
    <definedName name="_SD102" localSheetId="29">#REF!</definedName>
    <definedName name="_SD102">#REF!</definedName>
    <definedName name="_SD103" localSheetId="8">#REF!</definedName>
    <definedName name="_SD103" localSheetId="10">#REF!</definedName>
    <definedName name="_SD103" localSheetId="29">#REF!</definedName>
    <definedName name="_SD103">#REF!</definedName>
    <definedName name="_SD104" localSheetId="8">#REF!</definedName>
    <definedName name="_SD104" localSheetId="10">#REF!</definedName>
    <definedName name="_SD104" localSheetId="29">#REF!</definedName>
    <definedName name="_SD104">#REF!</definedName>
    <definedName name="_SD105" localSheetId="8">#REF!</definedName>
    <definedName name="_SD105" localSheetId="10">#REF!</definedName>
    <definedName name="_SD105" localSheetId="29">#REF!</definedName>
    <definedName name="_SD105">#REF!</definedName>
    <definedName name="_SD106" localSheetId="8">#REF!</definedName>
    <definedName name="_SD106" localSheetId="10">#REF!</definedName>
    <definedName name="_SD106" localSheetId="29">#REF!</definedName>
    <definedName name="_SD106">#REF!</definedName>
    <definedName name="_SD107" localSheetId="8">#REF!</definedName>
    <definedName name="_SD107" localSheetId="10">#REF!</definedName>
    <definedName name="_SD107" localSheetId="29">#REF!</definedName>
    <definedName name="_SD107">#REF!</definedName>
    <definedName name="_SD108" localSheetId="8">#REF!</definedName>
    <definedName name="_SD108" localSheetId="10">#REF!</definedName>
    <definedName name="_SD108" localSheetId="29">#REF!</definedName>
    <definedName name="_SD108">#REF!</definedName>
    <definedName name="_SD109" localSheetId="8">#REF!</definedName>
    <definedName name="_SD109" localSheetId="10">#REF!</definedName>
    <definedName name="_SD109" localSheetId="29">#REF!</definedName>
    <definedName name="_SD109">#REF!</definedName>
    <definedName name="_SD11" localSheetId="8">#REF!</definedName>
    <definedName name="_SD11" localSheetId="10">#REF!</definedName>
    <definedName name="_SD11" localSheetId="29">#REF!</definedName>
    <definedName name="_SD11">#REF!</definedName>
    <definedName name="_SD110" localSheetId="8">#REF!</definedName>
    <definedName name="_SD110" localSheetId="10">#REF!</definedName>
    <definedName name="_SD110" localSheetId="29">#REF!</definedName>
    <definedName name="_SD110">#REF!</definedName>
    <definedName name="_SD111" localSheetId="8">#REF!</definedName>
    <definedName name="_SD111" localSheetId="10">#REF!</definedName>
    <definedName name="_SD111" localSheetId="29">#REF!</definedName>
    <definedName name="_SD111">#REF!</definedName>
    <definedName name="_SD112" localSheetId="8">#REF!</definedName>
    <definedName name="_SD112" localSheetId="10">#REF!</definedName>
    <definedName name="_SD112" localSheetId="29">#REF!</definedName>
    <definedName name="_SD112">#REF!</definedName>
    <definedName name="_SD113" localSheetId="8">#REF!</definedName>
    <definedName name="_SD113" localSheetId="10">#REF!</definedName>
    <definedName name="_SD113" localSheetId="29">#REF!</definedName>
    <definedName name="_SD113">#REF!</definedName>
    <definedName name="_SD114" localSheetId="8">#REF!</definedName>
    <definedName name="_SD114" localSheetId="10">#REF!</definedName>
    <definedName name="_SD114" localSheetId="29">#REF!</definedName>
    <definedName name="_SD114">#REF!</definedName>
    <definedName name="_SD115" localSheetId="8">#REF!</definedName>
    <definedName name="_SD115" localSheetId="10">#REF!</definedName>
    <definedName name="_SD115" localSheetId="29">#REF!</definedName>
    <definedName name="_SD115">#REF!</definedName>
    <definedName name="_SD116" localSheetId="8">#REF!</definedName>
    <definedName name="_SD116" localSheetId="10">#REF!</definedName>
    <definedName name="_SD116" localSheetId="29">#REF!</definedName>
    <definedName name="_SD116">#REF!</definedName>
    <definedName name="_SD117" localSheetId="8">#REF!</definedName>
    <definedName name="_SD117" localSheetId="10">#REF!</definedName>
    <definedName name="_SD117" localSheetId="29">#REF!</definedName>
    <definedName name="_SD117">#REF!</definedName>
    <definedName name="_SD118" localSheetId="8">#REF!</definedName>
    <definedName name="_SD118" localSheetId="10">#REF!</definedName>
    <definedName name="_SD118" localSheetId="29">#REF!</definedName>
    <definedName name="_SD118">#REF!</definedName>
    <definedName name="_SD119" localSheetId="8">#REF!</definedName>
    <definedName name="_SD119" localSheetId="10">#REF!</definedName>
    <definedName name="_SD119" localSheetId="29">#REF!</definedName>
    <definedName name="_SD119">#REF!</definedName>
    <definedName name="_SD12" localSheetId="8">#REF!</definedName>
    <definedName name="_SD12" localSheetId="10">#REF!</definedName>
    <definedName name="_SD12" localSheetId="29">#REF!</definedName>
    <definedName name="_SD12">#REF!</definedName>
    <definedName name="_SD120" localSheetId="8">#REF!</definedName>
    <definedName name="_SD120" localSheetId="10">#REF!</definedName>
    <definedName name="_SD120" localSheetId="29">#REF!</definedName>
    <definedName name="_SD120">#REF!</definedName>
    <definedName name="_SD121" localSheetId="8">#REF!</definedName>
    <definedName name="_SD121" localSheetId="10">#REF!</definedName>
    <definedName name="_SD121" localSheetId="29">#REF!</definedName>
    <definedName name="_SD121">#REF!</definedName>
    <definedName name="_SD122" localSheetId="8">#REF!</definedName>
    <definedName name="_SD122" localSheetId="10">#REF!</definedName>
    <definedName name="_SD122" localSheetId="29">#REF!</definedName>
    <definedName name="_SD122">#REF!</definedName>
    <definedName name="_SD123" localSheetId="8">#REF!</definedName>
    <definedName name="_SD123" localSheetId="10">#REF!</definedName>
    <definedName name="_SD123" localSheetId="29">#REF!</definedName>
    <definedName name="_SD123">#REF!</definedName>
    <definedName name="_SD124" localSheetId="8">#REF!</definedName>
    <definedName name="_SD124" localSheetId="10">#REF!</definedName>
    <definedName name="_SD124" localSheetId="29">#REF!</definedName>
    <definedName name="_SD124">#REF!</definedName>
    <definedName name="_SD125" localSheetId="8">#REF!</definedName>
    <definedName name="_SD125" localSheetId="10">#REF!</definedName>
    <definedName name="_SD125" localSheetId="29">#REF!</definedName>
    <definedName name="_SD125">#REF!</definedName>
    <definedName name="_SD126" localSheetId="8">#REF!</definedName>
    <definedName name="_SD126" localSheetId="10">#REF!</definedName>
    <definedName name="_SD126" localSheetId="29">#REF!</definedName>
    <definedName name="_SD126">#REF!</definedName>
    <definedName name="_SD127" localSheetId="8">#REF!</definedName>
    <definedName name="_SD127" localSheetId="10">#REF!</definedName>
    <definedName name="_SD127" localSheetId="29">#REF!</definedName>
    <definedName name="_SD127">#REF!</definedName>
    <definedName name="_SD128" localSheetId="8">#REF!</definedName>
    <definedName name="_SD128" localSheetId="10">#REF!</definedName>
    <definedName name="_SD128" localSheetId="29">#REF!</definedName>
    <definedName name="_SD128">#REF!</definedName>
    <definedName name="_SD129" localSheetId="8">#REF!</definedName>
    <definedName name="_SD129" localSheetId="10">#REF!</definedName>
    <definedName name="_SD129" localSheetId="29">#REF!</definedName>
    <definedName name="_SD129">#REF!</definedName>
    <definedName name="_SD13" localSheetId="8">#REF!</definedName>
    <definedName name="_SD13" localSheetId="10">#REF!</definedName>
    <definedName name="_SD13" localSheetId="29">#REF!</definedName>
    <definedName name="_SD13">#REF!</definedName>
    <definedName name="_SD130" localSheetId="8">#REF!</definedName>
    <definedName name="_SD130" localSheetId="10">#REF!</definedName>
    <definedName name="_SD130" localSheetId="29">#REF!</definedName>
    <definedName name="_SD130">#REF!</definedName>
    <definedName name="_SD131" localSheetId="8">#REF!</definedName>
    <definedName name="_SD131" localSheetId="10">#REF!</definedName>
    <definedName name="_SD131" localSheetId="29">#REF!</definedName>
    <definedName name="_SD131">#REF!</definedName>
    <definedName name="_SD132" localSheetId="8">#REF!</definedName>
    <definedName name="_SD132" localSheetId="10">#REF!</definedName>
    <definedName name="_SD132" localSheetId="29">#REF!</definedName>
    <definedName name="_SD132">#REF!</definedName>
    <definedName name="_SD133" localSheetId="8">#REF!</definedName>
    <definedName name="_SD133" localSheetId="10">#REF!</definedName>
    <definedName name="_SD133" localSheetId="29">#REF!</definedName>
    <definedName name="_SD133">#REF!</definedName>
    <definedName name="_SD134" localSheetId="8">#REF!</definedName>
    <definedName name="_SD134" localSheetId="10">#REF!</definedName>
    <definedName name="_SD134" localSheetId="29">#REF!</definedName>
    <definedName name="_SD134">#REF!</definedName>
    <definedName name="_SD135" localSheetId="8">#REF!</definedName>
    <definedName name="_SD135" localSheetId="10">#REF!</definedName>
    <definedName name="_SD135" localSheetId="29">#REF!</definedName>
    <definedName name="_SD135">#REF!</definedName>
    <definedName name="_SD136" localSheetId="8">#REF!</definedName>
    <definedName name="_SD136" localSheetId="10">#REF!</definedName>
    <definedName name="_SD136" localSheetId="29">#REF!</definedName>
    <definedName name="_SD136">#REF!</definedName>
    <definedName name="_SD137" localSheetId="8">#REF!</definedName>
    <definedName name="_SD137" localSheetId="10">#REF!</definedName>
    <definedName name="_SD137" localSheetId="29">#REF!</definedName>
    <definedName name="_SD137">#REF!</definedName>
    <definedName name="_SD138" localSheetId="8">#REF!</definedName>
    <definedName name="_SD138" localSheetId="10">#REF!</definedName>
    <definedName name="_SD138" localSheetId="29">#REF!</definedName>
    <definedName name="_SD138">#REF!</definedName>
    <definedName name="_SD139" localSheetId="8">#REF!</definedName>
    <definedName name="_SD139" localSheetId="10">#REF!</definedName>
    <definedName name="_SD139" localSheetId="29">#REF!</definedName>
    <definedName name="_SD139">#REF!</definedName>
    <definedName name="_SD14" localSheetId="8">#REF!</definedName>
    <definedName name="_SD14" localSheetId="10">#REF!</definedName>
    <definedName name="_SD14" localSheetId="29">#REF!</definedName>
    <definedName name="_SD14">#REF!</definedName>
    <definedName name="_SD140" localSheetId="8">#REF!</definedName>
    <definedName name="_SD140" localSheetId="10">#REF!</definedName>
    <definedName name="_SD140" localSheetId="29">#REF!</definedName>
    <definedName name="_SD140">#REF!</definedName>
    <definedName name="_SD141" localSheetId="8">#REF!</definedName>
    <definedName name="_SD141" localSheetId="10">#REF!</definedName>
    <definedName name="_SD141" localSheetId="29">#REF!</definedName>
    <definedName name="_SD141">#REF!</definedName>
    <definedName name="_SD142" localSheetId="8">#REF!</definedName>
    <definedName name="_SD142" localSheetId="10">#REF!</definedName>
    <definedName name="_SD142" localSheetId="29">#REF!</definedName>
    <definedName name="_SD142">#REF!</definedName>
    <definedName name="_SD143" localSheetId="8">#REF!</definedName>
    <definedName name="_SD143" localSheetId="10">#REF!</definedName>
    <definedName name="_SD143" localSheetId="29">#REF!</definedName>
    <definedName name="_SD143">#REF!</definedName>
    <definedName name="_SD144" localSheetId="8">#REF!</definedName>
    <definedName name="_SD144" localSheetId="10">#REF!</definedName>
    <definedName name="_SD144" localSheetId="29">#REF!</definedName>
    <definedName name="_SD144">#REF!</definedName>
    <definedName name="_SD145" localSheetId="8">#REF!</definedName>
    <definedName name="_SD145" localSheetId="10">#REF!</definedName>
    <definedName name="_SD145" localSheetId="29">#REF!</definedName>
    <definedName name="_SD145">#REF!</definedName>
    <definedName name="_SD146" localSheetId="8">#REF!</definedName>
    <definedName name="_SD146" localSheetId="10">#REF!</definedName>
    <definedName name="_SD146" localSheetId="29">#REF!</definedName>
    <definedName name="_SD146">#REF!</definedName>
    <definedName name="_SD147" localSheetId="8">#REF!</definedName>
    <definedName name="_SD147" localSheetId="10">#REF!</definedName>
    <definedName name="_SD147" localSheetId="29">#REF!</definedName>
    <definedName name="_SD147">#REF!</definedName>
    <definedName name="_SD148" localSheetId="8">#REF!</definedName>
    <definedName name="_SD148" localSheetId="10">#REF!</definedName>
    <definedName name="_SD148" localSheetId="29">#REF!</definedName>
    <definedName name="_SD148">#REF!</definedName>
    <definedName name="_SD149" localSheetId="8">#REF!</definedName>
    <definedName name="_SD149" localSheetId="10">#REF!</definedName>
    <definedName name="_SD149" localSheetId="29">#REF!</definedName>
    <definedName name="_SD149">#REF!</definedName>
    <definedName name="_SD15" localSheetId="8">#REF!</definedName>
    <definedName name="_SD15" localSheetId="10">#REF!</definedName>
    <definedName name="_SD15" localSheetId="29">#REF!</definedName>
    <definedName name="_SD15">#REF!</definedName>
    <definedName name="_SD150" localSheetId="8">#REF!</definedName>
    <definedName name="_SD150" localSheetId="10">#REF!</definedName>
    <definedName name="_SD150" localSheetId="29">#REF!</definedName>
    <definedName name="_SD150">#REF!</definedName>
    <definedName name="_SD16" localSheetId="8">#REF!</definedName>
    <definedName name="_SD16" localSheetId="10">#REF!</definedName>
    <definedName name="_SD16" localSheetId="29">#REF!</definedName>
    <definedName name="_SD16">#REF!</definedName>
    <definedName name="_SD17" localSheetId="8">#REF!</definedName>
    <definedName name="_SD17" localSheetId="10">#REF!</definedName>
    <definedName name="_SD17" localSheetId="29">#REF!</definedName>
    <definedName name="_SD17">#REF!</definedName>
    <definedName name="_SD18" localSheetId="8">#REF!</definedName>
    <definedName name="_SD18" localSheetId="10">#REF!</definedName>
    <definedName name="_SD18" localSheetId="29">#REF!</definedName>
    <definedName name="_SD18">#REF!</definedName>
    <definedName name="_SD19" localSheetId="8">#REF!</definedName>
    <definedName name="_SD19" localSheetId="10">#REF!</definedName>
    <definedName name="_SD19" localSheetId="29">#REF!</definedName>
    <definedName name="_SD19">#REF!</definedName>
    <definedName name="_SD2" localSheetId="8">#REF!</definedName>
    <definedName name="_SD2" localSheetId="10">#REF!</definedName>
    <definedName name="_SD2" localSheetId="29">#REF!</definedName>
    <definedName name="_SD2">#REF!</definedName>
    <definedName name="_SD20" localSheetId="8">#REF!</definedName>
    <definedName name="_SD20" localSheetId="10">#REF!</definedName>
    <definedName name="_SD20" localSheetId="29">#REF!</definedName>
    <definedName name="_SD20">#REF!</definedName>
    <definedName name="_SD21" localSheetId="8">#REF!</definedName>
    <definedName name="_SD21" localSheetId="10">#REF!</definedName>
    <definedName name="_SD21" localSheetId="29">#REF!</definedName>
    <definedName name="_SD21">#REF!</definedName>
    <definedName name="_SD22" localSheetId="8">#REF!</definedName>
    <definedName name="_SD22" localSheetId="10">#REF!</definedName>
    <definedName name="_SD22" localSheetId="29">#REF!</definedName>
    <definedName name="_SD22">#REF!</definedName>
    <definedName name="_SD23" localSheetId="8">#REF!</definedName>
    <definedName name="_SD23" localSheetId="10">#REF!</definedName>
    <definedName name="_SD23" localSheetId="29">#REF!</definedName>
    <definedName name="_SD23">#REF!</definedName>
    <definedName name="_SD24" localSheetId="8">#REF!</definedName>
    <definedName name="_SD24" localSheetId="10">#REF!</definedName>
    <definedName name="_SD24" localSheetId="29">#REF!</definedName>
    <definedName name="_SD24">#REF!</definedName>
    <definedName name="_SD25" localSheetId="8">#REF!</definedName>
    <definedName name="_SD25" localSheetId="10">#REF!</definedName>
    <definedName name="_SD25" localSheetId="29">#REF!</definedName>
    <definedName name="_SD25">#REF!</definedName>
    <definedName name="_SD250" localSheetId="8">#REF!</definedName>
    <definedName name="_SD250" localSheetId="10">#REF!</definedName>
    <definedName name="_SD250" localSheetId="29">#REF!</definedName>
    <definedName name="_SD250">#REF!</definedName>
    <definedName name="_SD26" localSheetId="8">#REF!</definedName>
    <definedName name="_SD26" localSheetId="10">#REF!</definedName>
    <definedName name="_SD26" localSheetId="29">#REF!</definedName>
    <definedName name="_SD26">#REF!</definedName>
    <definedName name="_SD27" localSheetId="8">#REF!</definedName>
    <definedName name="_SD27" localSheetId="10">#REF!</definedName>
    <definedName name="_SD27" localSheetId="29">#REF!</definedName>
    <definedName name="_SD27">#REF!</definedName>
    <definedName name="_SD28" localSheetId="8">#REF!</definedName>
    <definedName name="_SD28" localSheetId="10">#REF!</definedName>
    <definedName name="_SD28" localSheetId="29">#REF!</definedName>
    <definedName name="_SD28">#REF!</definedName>
    <definedName name="_SD29" localSheetId="8">#REF!</definedName>
    <definedName name="_SD29" localSheetId="10">#REF!</definedName>
    <definedName name="_SD29" localSheetId="29">#REF!</definedName>
    <definedName name="_SD29">#REF!</definedName>
    <definedName name="_SD3" localSheetId="8">#REF!</definedName>
    <definedName name="_SD3" localSheetId="10">#REF!</definedName>
    <definedName name="_SD3" localSheetId="29">#REF!</definedName>
    <definedName name="_SD3">#REF!</definedName>
    <definedName name="_SD30" localSheetId="8">#REF!</definedName>
    <definedName name="_SD30" localSheetId="10">#REF!</definedName>
    <definedName name="_SD30" localSheetId="29">#REF!</definedName>
    <definedName name="_SD30">#REF!</definedName>
    <definedName name="_SD31" localSheetId="8">#REF!</definedName>
    <definedName name="_SD31" localSheetId="10">#REF!</definedName>
    <definedName name="_SD31" localSheetId="29">#REF!</definedName>
    <definedName name="_SD31">#REF!</definedName>
    <definedName name="_SD32" localSheetId="8">#REF!</definedName>
    <definedName name="_SD32" localSheetId="10">#REF!</definedName>
    <definedName name="_SD32" localSheetId="29">#REF!</definedName>
    <definedName name="_SD32">#REF!</definedName>
    <definedName name="_SD33" localSheetId="8">#REF!</definedName>
    <definedName name="_SD33" localSheetId="10">#REF!</definedName>
    <definedName name="_SD33" localSheetId="29">#REF!</definedName>
    <definedName name="_SD33">#REF!</definedName>
    <definedName name="_SD34" localSheetId="8">#REF!</definedName>
    <definedName name="_SD34" localSheetId="10">#REF!</definedName>
    <definedName name="_SD34" localSheetId="29">#REF!</definedName>
    <definedName name="_SD34">#REF!</definedName>
    <definedName name="_SD35" localSheetId="8">#REF!</definedName>
    <definedName name="_SD35" localSheetId="10">#REF!</definedName>
    <definedName name="_SD35" localSheetId="29">#REF!</definedName>
    <definedName name="_SD35">#REF!</definedName>
    <definedName name="_SD36" localSheetId="8">#REF!</definedName>
    <definedName name="_SD36" localSheetId="10">#REF!</definedName>
    <definedName name="_SD36" localSheetId="29">#REF!</definedName>
    <definedName name="_SD36">#REF!</definedName>
    <definedName name="_SD37" localSheetId="8">#REF!</definedName>
    <definedName name="_SD37" localSheetId="10">#REF!</definedName>
    <definedName name="_SD37" localSheetId="29">#REF!</definedName>
    <definedName name="_SD37">#REF!</definedName>
    <definedName name="_SD38" localSheetId="8">#REF!</definedName>
    <definedName name="_SD38" localSheetId="10">#REF!</definedName>
    <definedName name="_SD38" localSheetId="29">#REF!</definedName>
    <definedName name="_SD38">#REF!</definedName>
    <definedName name="_SD39" localSheetId="8">#REF!</definedName>
    <definedName name="_SD39" localSheetId="10">#REF!</definedName>
    <definedName name="_SD39" localSheetId="29">#REF!</definedName>
    <definedName name="_SD39">#REF!</definedName>
    <definedName name="_SD4" localSheetId="8">#REF!</definedName>
    <definedName name="_SD4" localSheetId="10">#REF!</definedName>
    <definedName name="_SD4" localSheetId="29">#REF!</definedName>
    <definedName name="_SD4">#REF!</definedName>
    <definedName name="_SD40" localSheetId="8">#REF!</definedName>
    <definedName name="_SD40" localSheetId="10">#REF!</definedName>
    <definedName name="_SD40" localSheetId="29">#REF!</definedName>
    <definedName name="_SD40">#REF!</definedName>
    <definedName name="_SD41" localSheetId="8">#REF!</definedName>
    <definedName name="_SD41" localSheetId="10">#REF!</definedName>
    <definedName name="_SD41" localSheetId="29">#REF!</definedName>
    <definedName name="_SD41">#REF!</definedName>
    <definedName name="_SD42" localSheetId="8">#REF!</definedName>
    <definedName name="_SD42" localSheetId="10">#REF!</definedName>
    <definedName name="_SD42" localSheetId="29">#REF!</definedName>
    <definedName name="_SD42">#REF!</definedName>
    <definedName name="_SD43" localSheetId="8">#REF!</definedName>
    <definedName name="_SD43" localSheetId="10">#REF!</definedName>
    <definedName name="_SD43" localSheetId="29">#REF!</definedName>
    <definedName name="_SD43">#REF!</definedName>
    <definedName name="_SD44" localSheetId="8">#REF!</definedName>
    <definedName name="_SD44" localSheetId="10">#REF!</definedName>
    <definedName name="_SD44" localSheetId="29">#REF!</definedName>
    <definedName name="_SD44">#REF!</definedName>
    <definedName name="_SD45" localSheetId="8">#REF!</definedName>
    <definedName name="_SD45" localSheetId="10">#REF!</definedName>
    <definedName name="_SD45" localSheetId="29">#REF!</definedName>
    <definedName name="_SD45">#REF!</definedName>
    <definedName name="_SD46" localSheetId="8">#REF!</definedName>
    <definedName name="_SD46" localSheetId="10">#REF!</definedName>
    <definedName name="_SD46" localSheetId="29">#REF!</definedName>
    <definedName name="_SD46">#REF!</definedName>
    <definedName name="_SD47" localSheetId="8">#REF!</definedName>
    <definedName name="_SD47" localSheetId="10">#REF!</definedName>
    <definedName name="_SD47" localSheetId="29">#REF!</definedName>
    <definedName name="_SD47">#REF!</definedName>
    <definedName name="_SD48" localSheetId="8">#REF!</definedName>
    <definedName name="_SD48" localSheetId="10">#REF!</definedName>
    <definedName name="_SD48" localSheetId="29">#REF!</definedName>
    <definedName name="_SD48">#REF!</definedName>
    <definedName name="_SD49" localSheetId="8">#REF!</definedName>
    <definedName name="_SD49" localSheetId="10">#REF!</definedName>
    <definedName name="_SD49" localSheetId="29">#REF!</definedName>
    <definedName name="_SD49">#REF!</definedName>
    <definedName name="_SD5" localSheetId="8">#REF!</definedName>
    <definedName name="_SD5" localSheetId="10">#REF!</definedName>
    <definedName name="_SD5" localSheetId="29">#REF!</definedName>
    <definedName name="_SD5">#REF!</definedName>
    <definedName name="_SD50" localSheetId="8">#REF!</definedName>
    <definedName name="_SD50" localSheetId="10">#REF!</definedName>
    <definedName name="_SD50" localSheetId="29">#REF!</definedName>
    <definedName name="_SD50">#REF!</definedName>
    <definedName name="_SD500" localSheetId="8">#REF!</definedName>
    <definedName name="_SD500" localSheetId="10">#REF!</definedName>
    <definedName name="_SD500" localSheetId="29">#REF!</definedName>
    <definedName name="_SD500">#REF!</definedName>
    <definedName name="_SD51" localSheetId="8">#REF!</definedName>
    <definedName name="_SD51" localSheetId="10">#REF!</definedName>
    <definedName name="_SD51" localSheetId="29">#REF!</definedName>
    <definedName name="_SD51">#REF!</definedName>
    <definedName name="_SD52" localSheetId="8">#REF!</definedName>
    <definedName name="_SD52" localSheetId="10">#REF!</definedName>
    <definedName name="_SD52" localSheetId="29">#REF!</definedName>
    <definedName name="_SD52">#REF!</definedName>
    <definedName name="_SD53" localSheetId="8">#REF!</definedName>
    <definedName name="_SD53" localSheetId="10">#REF!</definedName>
    <definedName name="_SD53" localSheetId="29">#REF!</definedName>
    <definedName name="_SD53">#REF!</definedName>
    <definedName name="_SD54" localSheetId="8">#REF!</definedName>
    <definedName name="_SD54" localSheetId="10">#REF!</definedName>
    <definedName name="_SD54" localSheetId="29">#REF!</definedName>
    <definedName name="_SD54">#REF!</definedName>
    <definedName name="_SD55" localSheetId="8">#REF!</definedName>
    <definedName name="_SD55" localSheetId="10">#REF!</definedName>
    <definedName name="_SD55" localSheetId="29">#REF!</definedName>
    <definedName name="_SD55">#REF!</definedName>
    <definedName name="_SD56" localSheetId="8">#REF!</definedName>
    <definedName name="_SD56" localSheetId="10">#REF!</definedName>
    <definedName name="_SD56" localSheetId="29">#REF!</definedName>
    <definedName name="_SD56">#REF!</definedName>
    <definedName name="_SD57" localSheetId="8">#REF!</definedName>
    <definedName name="_SD57" localSheetId="10">#REF!</definedName>
    <definedName name="_SD57" localSheetId="29">#REF!</definedName>
    <definedName name="_SD57">#REF!</definedName>
    <definedName name="_SD58" localSheetId="8">#REF!</definedName>
    <definedName name="_SD58" localSheetId="10">#REF!</definedName>
    <definedName name="_SD58" localSheetId="29">#REF!</definedName>
    <definedName name="_SD58">#REF!</definedName>
    <definedName name="_SD59" localSheetId="8">#REF!</definedName>
    <definedName name="_SD59" localSheetId="10">#REF!</definedName>
    <definedName name="_SD59" localSheetId="29">#REF!</definedName>
    <definedName name="_SD59">#REF!</definedName>
    <definedName name="_SD6" localSheetId="8">#REF!</definedName>
    <definedName name="_SD6" localSheetId="10">#REF!</definedName>
    <definedName name="_SD6" localSheetId="29">#REF!</definedName>
    <definedName name="_SD6">#REF!</definedName>
    <definedName name="_SD60" localSheetId="8">#REF!</definedName>
    <definedName name="_SD60" localSheetId="10">#REF!</definedName>
    <definedName name="_SD60" localSheetId="29">#REF!</definedName>
    <definedName name="_SD60">#REF!</definedName>
    <definedName name="_SD61" localSheetId="8">#REF!</definedName>
    <definedName name="_SD61" localSheetId="10">#REF!</definedName>
    <definedName name="_SD61" localSheetId="29">#REF!</definedName>
    <definedName name="_SD61">#REF!</definedName>
    <definedName name="_SD62" localSheetId="8">#REF!</definedName>
    <definedName name="_SD62" localSheetId="10">#REF!</definedName>
    <definedName name="_SD62" localSheetId="29">#REF!</definedName>
    <definedName name="_SD62">#REF!</definedName>
    <definedName name="_SD63" localSheetId="8">#REF!</definedName>
    <definedName name="_SD63" localSheetId="10">#REF!</definedName>
    <definedName name="_SD63" localSheetId="29">#REF!</definedName>
    <definedName name="_SD63">#REF!</definedName>
    <definedName name="_SD64" localSheetId="8">#REF!</definedName>
    <definedName name="_SD64" localSheetId="10">#REF!</definedName>
    <definedName name="_SD64" localSheetId="29">#REF!</definedName>
    <definedName name="_SD64">#REF!</definedName>
    <definedName name="_SD65" localSheetId="8">#REF!</definedName>
    <definedName name="_SD65" localSheetId="10">#REF!</definedName>
    <definedName name="_SD65" localSheetId="29">#REF!</definedName>
    <definedName name="_SD65">#REF!</definedName>
    <definedName name="_SD66" localSheetId="8">#REF!</definedName>
    <definedName name="_SD66" localSheetId="10">#REF!</definedName>
    <definedName name="_SD66" localSheetId="29">#REF!</definedName>
    <definedName name="_SD66">#REF!</definedName>
    <definedName name="_SD67" localSheetId="8">#REF!</definedName>
    <definedName name="_SD67" localSheetId="10">#REF!</definedName>
    <definedName name="_SD67" localSheetId="29">#REF!</definedName>
    <definedName name="_SD67">#REF!</definedName>
    <definedName name="_SD68" localSheetId="8">#REF!</definedName>
    <definedName name="_SD68" localSheetId="10">#REF!</definedName>
    <definedName name="_SD68" localSheetId="29">#REF!</definedName>
    <definedName name="_SD68">#REF!</definedName>
    <definedName name="_SD69" localSheetId="8">#REF!</definedName>
    <definedName name="_SD69" localSheetId="10">#REF!</definedName>
    <definedName name="_SD69" localSheetId="29">#REF!</definedName>
    <definedName name="_SD69">#REF!</definedName>
    <definedName name="_SD7" localSheetId="8">#REF!</definedName>
    <definedName name="_SD7" localSheetId="10">#REF!</definedName>
    <definedName name="_SD7" localSheetId="29">#REF!</definedName>
    <definedName name="_SD7">#REF!</definedName>
    <definedName name="_SD70" localSheetId="8">#REF!</definedName>
    <definedName name="_SD70" localSheetId="10">#REF!</definedName>
    <definedName name="_SD70" localSheetId="29">#REF!</definedName>
    <definedName name="_SD70">#REF!</definedName>
    <definedName name="_SD71" localSheetId="8">#REF!</definedName>
    <definedName name="_SD71" localSheetId="10">#REF!</definedName>
    <definedName name="_SD71" localSheetId="29">#REF!</definedName>
    <definedName name="_SD71">#REF!</definedName>
    <definedName name="_SD72" localSheetId="8">#REF!</definedName>
    <definedName name="_SD72" localSheetId="10">#REF!</definedName>
    <definedName name="_SD72" localSheetId="29">#REF!</definedName>
    <definedName name="_SD72">#REF!</definedName>
    <definedName name="_SD73" localSheetId="8">#REF!</definedName>
    <definedName name="_SD73" localSheetId="10">#REF!</definedName>
    <definedName name="_SD73" localSheetId="29">#REF!</definedName>
    <definedName name="_SD73">#REF!</definedName>
    <definedName name="_SD74" localSheetId="8">#REF!</definedName>
    <definedName name="_SD74" localSheetId="10">#REF!</definedName>
    <definedName name="_SD74" localSheetId="29">#REF!</definedName>
    <definedName name="_SD74">#REF!</definedName>
    <definedName name="_SD75" localSheetId="8">#REF!</definedName>
    <definedName name="_SD75" localSheetId="10">#REF!</definedName>
    <definedName name="_SD75" localSheetId="29">#REF!</definedName>
    <definedName name="_SD75">#REF!</definedName>
    <definedName name="_SD76" localSheetId="8">#REF!</definedName>
    <definedName name="_SD76" localSheetId="10">#REF!</definedName>
    <definedName name="_SD76" localSheetId="29">#REF!</definedName>
    <definedName name="_SD76">#REF!</definedName>
    <definedName name="_SD77" localSheetId="8">#REF!</definedName>
    <definedName name="_SD77" localSheetId="10">#REF!</definedName>
    <definedName name="_SD77" localSheetId="29">#REF!</definedName>
    <definedName name="_SD77">#REF!</definedName>
    <definedName name="_SD78" localSheetId="8">#REF!</definedName>
    <definedName name="_SD78" localSheetId="10">#REF!</definedName>
    <definedName name="_SD78" localSheetId="29">#REF!</definedName>
    <definedName name="_SD78">#REF!</definedName>
    <definedName name="_SD79" localSheetId="8">#REF!</definedName>
    <definedName name="_SD79" localSheetId="10">#REF!</definedName>
    <definedName name="_SD79" localSheetId="29">#REF!</definedName>
    <definedName name="_SD79">#REF!</definedName>
    <definedName name="_SD8" localSheetId="8">#REF!</definedName>
    <definedName name="_SD8" localSheetId="10">#REF!</definedName>
    <definedName name="_SD8" localSheetId="29">#REF!</definedName>
    <definedName name="_SD8">#REF!</definedName>
    <definedName name="_SD80" localSheetId="8">#REF!</definedName>
    <definedName name="_SD80" localSheetId="10">#REF!</definedName>
    <definedName name="_SD80" localSheetId="29">#REF!</definedName>
    <definedName name="_SD80">#REF!</definedName>
    <definedName name="_SD81" localSheetId="8">#REF!</definedName>
    <definedName name="_SD81" localSheetId="10">#REF!</definedName>
    <definedName name="_SD81" localSheetId="29">#REF!</definedName>
    <definedName name="_SD81">#REF!</definedName>
    <definedName name="_SD82" localSheetId="8">#REF!</definedName>
    <definedName name="_SD82" localSheetId="10">#REF!</definedName>
    <definedName name="_SD82" localSheetId="29">#REF!</definedName>
    <definedName name="_SD82">#REF!</definedName>
    <definedName name="_SD83" localSheetId="8">#REF!</definedName>
    <definedName name="_SD83" localSheetId="10">#REF!</definedName>
    <definedName name="_SD83" localSheetId="29">#REF!</definedName>
    <definedName name="_SD83">#REF!</definedName>
    <definedName name="_SD84" localSheetId="8">#REF!</definedName>
    <definedName name="_SD84" localSheetId="10">#REF!</definedName>
    <definedName name="_SD84" localSheetId="29">#REF!</definedName>
    <definedName name="_SD84">#REF!</definedName>
    <definedName name="_SD85" localSheetId="8">#REF!</definedName>
    <definedName name="_SD85" localSheetId="10">#REF!</definedName>
    <definedName name="_SD85" localSheetId="29">#REF!</definedName>
    <definedName name="_SD85">#REF!</definedName>
    <definedName name="_SD86" localSheetId="8">#REF!</definedName>
    <definedName name="_SD86" localSheetId="10">#REF!</definedName>
    <definedName name="_SD86" localSheetId="29">#REF!</definedName>
    <definedName name="_SD86">#REF!</definedName>
    <definedName name="_SD87" localSheetId="8">#REF!</definedName>
    <definedName name="_SD87" localSheetId="10">#REF!</definedName>
    <definedName name="_SD87" localSheetId="29">#REF!</definedName>
    <definedName name="_SD87">#REF!</definedName>
    <definedName name="_SD88" localSheetId="8">#REF!</definedName>
    <definedName name="_SD88" localSheetId="10">#REF!</definedName>
    <definedName name="_SD88" localSheetId="29">#REF!</definedName>
    <definedName name="_SD88">#REF!</definedName>
    <definedName name="_SD89" localSheetId="8">#REF!</definedName>
    <definedName name="_SD89" localSheetId="10">#REF!</definedName>
    <definedName name="_SD89" localSheetId="29">#REF!</definedName>
    <definedName name="_SD89">#REF!</definedName>
    <definedName name="_SD9" localSheetId="8">#REF!</definedName>
    <definedName name="_SD9" localSheetId="10">#REF!</definedName>
    <definedName name="_SD9" localSheetId="29">#REF!</definedName>
    <definedName name="_SD9">#REF!</definedName>
    <definedName name="_SD90" localSheetId="8">#REF!</definedName>
    <definedName name="_SD90" localSheetId="10">#REF!</definedName>
    <definedName name="_SD90" localSheetId="29">#REF!</definedName>
    <definedName name="_SD90">#REF!</definedName>
    <definedName name="_SD91" localSheetId="8">#REF!</definedName>
    <definedName name="_SD91" localSheetId="10">#REF!</definedName>
    <definedName name="_SD91" localSheetId="29">#REF!</definedName>
    <definedName name="_SD91">#REF!</definedName>
    <definedName name="_SD92" localSheetId="8">#REF!</definedName>
    <definedName name="_SD92" localSheetId="10">#REF!</definedName>
    <definedName name="_SD92" localSheetId="29">#REF!</definedName>
    <definedName name="_SD92">#REF!</definedName>
    <definedName name="_SD93" localSheetId="8">#REF!</definedName>
    <definedName name="_SD93" localSheetId="10">#REF!</definedName>
    <definedName name="_SD93" localSheetId="29">#REF!</definedName>
    <definedName name="_SD93">#REF!</definedName>
    <definedName name="_SD94" localSheetId="8">#REF!</definedName>
    <definedName name="_SD94" localSheetId="10">#REF!</definedName>
    <definedName name="_SD94" localSheetId="29">#REF!</definedName>
    <definedName name="_SD94">#REF!</definedName>
    <definedName name="_SD95" localSheetId="8">#REF!</definedName>
    <definedName name="_SD95" localSheetId="10">#REF!</definedName>
    <definedName name="_SD95" localSheetId="29">#REF!</definedName>
    <definedName name="_SD95">#REF!</definedName>
    <definedName name="_SD96" localSheetId="8">#REF!</definedName>
    <definedName name="_SD96" localSheetId="10">#REF!</definedName>
    <definedName name="_SD96" localSheetId="29">#REF!</definedName>
    <definedName name="_SD96">#REF!</definedName>
    <definedName name="_SD97" localSheetId="8">#REF!</definedName>
    <definedName name="_SD97" localSheetId="10">#REF!</definedName>
    <definedName name="_SD97" localSheetId="29">#REF!</definedName>
    <definedName name="_SD97">#REF!</definedName>
    <definedName name="_SD98" localSheetId="8">#REF!</definedName>
    <definedName name="_SD98" localSheetId="10">#REF!</definedName>
    <definedName name="_SD98" localSheetId="29">#REF!</definedName>
    <definedName name="_SD98">#REF!</definedName>
    <definedName name="_SD99" localSheetId="8">#REF!</definedName>
    <definedName name="_SD99" localSheetId="10">#REF!</definedName>
    <definedName name="_SD99" localSheetId="29">#REF!</definedName>
    <definedName name="_SD99">#REF!</definedName>
    <definedName name="_shahbad" localSheetId="8">#REF!</definedName>
    <definedName name="_shahbad" localSheetId="10">#REF!</definedName>
    <definedName name="_shahbad" localSheetId="11">#REF!</definedName>
    <definedName name="_shahbad" localSheetId="29">#REF!</definedName>
    <definedName name="_shahbad">#REF!</definedName>
    <definedName name="_skirting_grn" localSheetId="8">#REF!</definedName>
    <definedName name="_skirting_grn" localSheetId="10">#REF!</definedName>
    <definedName name="_skirting_grn" localSheetId="11">#REF!</definedName>
    <definedName name="_skirting_grn" localSheetId="29">#REF!</definedName>
    <definedName name="_skirting_grn">#REF!</definedName>
    <definedName name="_skirting_vit" localSheetId="8">#REF!</definedName>
    <definedName name="_skirting_vit" localSheetId="10">#REF!</definedName>
    <definedName name="_skirting_vit" localSheetId="11">#REF!</definedName>
    <definedName name="_skirting_vit" localSheetId="29">#REF!</definedName>
    <definedName name="_skirting_vit">#REF!</definedName>
    <definedName name="_SO016" localSheetId="8">#REF!</definedName>
    <definedName name="_SO016" localSheetId="10">#REF!</definedName>
    <definedName name="_SO016" localSheetId="11">#REF!</definedName>
    <definedName name="_SO016" localSheetId="29">#REF!</definedName>
    <definedName name="_SO016">#REF!</definedName>
    <definedName name="_Sort" localSheetId="29" hidden="1">#REF!</definedName>
    <definedName name="_SP001" localSheetId="8">#REF!</definedName>
    <definedName name="_SP001" localSheetId="10">#REF!</definedName>
    <definedName name="_SP001" localSheetId="11">#REF!</definedName>
    <definedName name="_SP001" localSheetId="29">#REF!</definedName>
    <definedName name="_SP001">#REF!</definedName>
    <definedName name="_SP002" localSheetId="8">#REF!</definedName>
    <definedName name="_SP002" localSheetId="10">#REF!</definedName>
    <definedName name="_SP002" localSheetId="11">#REF!</definedName>
    <definedName name="_SP002" localSheetId="29">#REF!</definedName>
    <definedName name="_SP002">#REF!</definedName>
    <definedName name="_SP003" localSheetId="8">#REF!</definedName>
    <definedName name="_SP003" localSheetId="10">#REF!</definedName>
    <definedName name="_SP003" localSheetId="11">#REF!</definedName>
    <definedName name="_SP003" localSheetId="29">#REF!</definedName>
    <definedName name="_SP003">#REF!</definedName>
    <definedName name="_SP004" localSheetId="8">#REF!</definedName>
    <definedName name="_SP004" localSheetId="10">#REF!</definedName>
    <definedName name="_SP004" localSheetId="11">#REF!</definedName>
    <definedName name="_SP004" localSheetId="29">#REF!</definedName>
    <definedName name="_SP004">#REF!</definedName>
    <definedName name="_SP005" localSheetId="8">#REF!</definedName>
    <definedName name="_SP005" localSheetId="10">#REF!</definedName>
    <definedName name="_SP005" localSheetId="11">#REF!</definedName>
    <definedName name="_SP005" localSheetId="29">#REF!</definedName>
    <definedName name="_SP005">#REF!</definedName>
    <definedName name="_SP006" localSheetId="8">#REF!</definedName>
    <definedName name="_SP006" localSheetId="10">#REF!</definedName>
    <definedName name="_SP006" localSheetId="11">#REF!</definedName>
    <definedName name="_SP006" localSheetId="29">#REF!</definedName>
    <definedName name="_SP006">#REF!</definedName>
    <definedName name="_SP007" localSheetId="8">#REF!</definedName>
    <definedName name="_SP007" localSheetId="10">#REF!</definedName>
    <definedName name="_SP007" localSheetId="11">#REF!</definedName>
    <definedName name="_SP007" localSheetId="29">#REF!</definedName>
    <definedName name="_SP007">#REF!</definedName>
    <definedName name="_SP008" localSheetId="8">#REF!</definedName>
    <definedName name="_SP008" localSheetId="10">#REF!</definedName>
    <definedName name="_SP008" localSheetId="11">#REF!</definedName>
    <definedName name="_SP008" localSheetId="29">#REF!</definedName>
    <definedName name="_SP008">#REF!</definedName>
    <definedName name="_SP009" localSheetId="8">#REF!</definedName>
    <definedName name="_SP009" localSheetId="10">#REF!</definedName>
    <definedName name="_SP009" localSheetId="11">#REF!</definedName>
    <definedName name="_SP009" localSheetId="29">#REF!</definedName>
    <definedName name="_SP009">#REF!</definedName>
    <definedName name="_SP010" localSheetId="8">#REF!</definedName>
    <definedName name="_SP010" localSheetId="10">#REF!</definedName>
    <definedName name="_SP010" localSheetId="11">#REF!</definedName>
    <definedName name="_SP010" localSheetId="29">#REF!</definedName>
    <definedName name="_SP010">#REF!</definedName>
    <definedName name="_SP011" localSheetId="8">#REF!</definedName>
    <definedName name="_SP011" localSheetId="10">#REF!</definedName>
    <definedName name="_SP011" localSheetId="11">#REF!</definedName>
    <definedName name="_SP011" localSheetId="29">#REF!</definedName>
    <definedName name="_SP011">#REF!</definedName>
    <definedName name="_SP012" localSheetId="8">#REF!</definedName>
    <definedName name="_SP012" localSheetId="10">#REF!</definedName>
    <definedName name="_SP012" localSheetId="11">#REF!</definedName>
    <definedName name="_SP012" localSheetId="29">#REF!</definedName>
    <definedName name="_SP012">#REF!</definedName>
    <definedName name="_SP013" localSheetId="8">#REF!</definedName>
    <definedName name="_SP013" localSheetId="10">#REF!</definedName>
    <definedName name="_SP013" localSheetId="11">#REF!</definedName>
    <definedName name="_SP013" localSheetId="29">#REF!</definedName>
    <definedName name="_SP013">#REF!</definedName>
    <definedName name="_SP014" localSheetId="8">#REF!</definedName>
    <definedName name="_SP014" localSheetId="10">#REF!</definedName>
    <definedName name="_SP014" localSheetId="11">#REF!</definedName>
    <definedName name="_SP014" localSheetId="29">#REF!</definedName>
    <definedName name="_SP014">#REF!</definedName>
    <definedName name="_SP015" localSheetId="8">#REF!</definedName>
    <definedName name="_SP015" localSheetId="10">#REF!</definedName>
    <definedName name="_SP015" localSheetId="11">#REF!</definedName>
    <definedName name="_SP015" localSheetId="29">#REF!</definedName>
    <definedName name="_SP015">#REF!</definedName>
    <definedName name="_SP016" localSheetId="8">#REF!</definedName>
    <definedName name="_SP016" localSheetId="10">#REF!</definedName>
    <definedName name="_SP016" localSheetId="11">#REF!</definedName>
    <definedName name="_SP016" localSheetId="29">#REF!</definedName>
    <definedName name="_SP016">#REF!</definedName>
    <definedName name="_SP017" localSheetId="8">#REF!</definedName>
    <definedName name="_SP017" localSheetId="10">#REF!</definedName>
    <definedName name="_SP017" localSheetId="11">#REF!</definedName>
    <definedName name="_SP017" localSheetId="29">#REF!</definedName>
    <definedName name="_SP017">#REF!</definedName>
    <definedName name="_SP018" localSheetId="8">#REF!</definedName>
    <definedName name="_SP018" localSheetId="10">#REF!</definedName>
    <definedName name="_SP018" localSheetId="11">#REF!</definedName>
    <definedName name="_SP018" localSheetId="29">#REF!</definedName>
    <definedName name="_SP018">#REF!</definedName>
    <definedName name="_SP019" localSheetId="8">#REF!</definedName>
    <definedName name="_SP019" localSheetId="10">#REF!</definedName>
    <definedName name="_SP019" localSheetId="11">#REF!</definedName>
    <definedName name="_SP019" localSheetId="29">#REF!</definedName>
    <definedName name="_SP019">#REF!</definedName>
    <definedName name="_SP020" localSheetId="8">#REF!</definedName>
    <definedName name="_SP020" localSheetId="10">#REF!</definedName>
    <definedName name="_SP020" localSheetId="11">#REF!</definedName>
    <definedName name="_SP020" localSheetId="29">#REF!</definedName>
    <definedName name="_SP020">#REF!</definedName>
    <definedName name="_SP021" localSheetId="8">#REF!</definedName>
    <definedName name="_SP021" localSheetId="10">#REF!</definedName>
    <definedName name="_SP021" localSheetId="11">#REF!</definedName>
    <definedName name="_SP021" localSheetId="29">#REF!</definedName>
    <definedName name="_SP021">#REF!</definedName>
    <definedName name="_SP022" localSheetId="8">#REF!</definedName>
    <definedName name="_SP022" localSheetId="10">#REF!</definedName>
    <definedName name="_SP022" localSheetId="11">#REF!</definedName>
    <definedName name="_SP022" localSheetId="29">#REF!</definedName>
    <definedName name="_SP022">#REF!</definedName>
    <definedName name="_SP023" localSheetId="8">#REF!</definedName>
    <definedName name="_SP023" localSheetId="10">#REF!</definedName>
    <definedName name="_SP023" localSheetId="11">#REF!</definedName>
    <definedName name="_SP023" localSheetId="29">#REF!</definedName>
    <definedName name="_SP023">#REF!</definedName>
    <definedName name="_SP024" localSheetId="8">#REF!</definedName>
    <definedName name="_SP024" localSheetId="10">#REF!</definedName>
    <definedName name="_SP024" localSheetId="11">#REF!</definedName>
    <definedName name="_SP024" localSheetId="29">#REF!</definedName>
    <definedName name="_SP024">#REF!</definedName>
    <definedName name="_SP025" localSheetId="8">#REF!</definedName>
    <definedName name="_SP025" localSheetId="10">#REF!</definedName>
    <definedName name="_SP025" localSheetId="11">#REF!</definedName>
    <definedName name="_SP025" localSheetId="29">#REF!</definedName>
    <definedName name="_SP025">#REF!</definedName>
    <definedName name="_SP026" localSheetId="8">#REF!</definedName>
    <definedName name="_SP026" localSheetId="10">#REF!</definedName>
    <definedName name="_SP026" localSheetId="11">#REF!</definedName>
    <definedName name="_SP026" localSheetId="29">#REF!</definedName>
    <definedName name="_SP026">#REF!</definedName>
    <definedName name="_SP027" localSheetId="8">#REF!</definedName>
    <definedName name="_SP027" localSheetId="10">#REF!</definedName>
    <definedName name="_SP027" localSheetId="11">#REF!</definedName>
    <definedName name="_SP027" localSheetId="29">#REF!</definedName>
    <definedName name="_SP027">#REF!</definedName>
    <definedName name="_SP028" localSheetId="8">#REF!</definedName>
    <definedName name="_SP028" localSheetId="10">#REF!</definedName>
    <definedName name="_SP028" localSheetId="11">#REF!</definedName>
    <definedName name="_SP028" localSheetId="29">#REF!</definedName>
    <definedName name="_SP028">#REF!</definedName>
    <definedName name="_SP029" localSheetId="8">#REF!</definedName>
    <definedName name="_SP029" localSheetId="10">#REF!</definedName>
    <definedName name="_SP029" localSheetId="11">#REF!</definedName>
    <definedName name="_SP029" localSheetId="29">#REF!</definedName>
    <definedName name="_SP029">#REF!</definedName>
    <definedName name="_SP030" localSheetId="8">#REF!</definedName>
    <definedName name="_SP030" localSheetId="10">#REF!</definedName>
    <definedName name="_SP030" localSheetId="11">#REF!</definedName>
    <definedName name="_SP030" localSheetId="29">#REF!</definedName>
    <definedName name="_SP030">#REF!</definedName>
    <definedName name="_SP031" localSheetId="8">#REF!</definedName>
    <definedName name="_SP031" localSheetId="10">#REF!</definedName>
    <definedName name="_SP031" localSheetId="11">#REF!</definedName>
    <definedName name="_SP031" localSheetId="29">#REF!</definedName>
    <definedName name="_SP031">#REF!</definedName>
    <definedName name="_SP032" localSheetId="8">#REF!</definedName>
    <definedName name="_SP032" localSheetId="10">#REF!</definedName>
    <definedName name="_SP032" localSheetId="11">#REF!</definedName>
    <definedName name="_SP032" localSheetId="29">#REF!</definedName>
    <definedName name="_SP032">#REF!</definedName>
    <definedName name="_SP033" localSheetId="8">#REF!</definedName>
    <definedName name="_SP033" localSheetId="10">#REF!</definedName>
    <definedName name="_SP033" localSheetId="11">#REF!</definedName>
    <definedName name="_SP033" localSheetId="29">#REF!</definedName>
    <definedName name="_SP033">#REF!</definedName>
    <definedName name="_SP034" localSheetId="8">#REF!</definedName>
    <definedName name="_SP034" localSheetId="10">#REF!</definedName>
    <definedName name="_SP034" localSheetId="11">#REF!</definedName>
    <definedName name="_SP034" localSheetId="29">#REF!</definedName>
    <definedName name="_SP034">#REF!</definedName>
    <definedName name="_SP035" localSheetId="8">#REF!</definedName>
    <definedName name="_SP035" localSheetId="10">#REF!</definedName>
    <definedName name="_SP035" localSheetId="11">#REF!</definedName>
    <definedName name="_SP035" localSheetId="29">#REF!</definedName>
    <definedName name="_SP035">#REF!</definedName>
    <definedName name="_SP036" localSheetId="8">#REF!</definedName>
    <definedName name="_SP036" localSheetId="10">#REF!</definedName>
    <definedName name="_SP036" localSheetId="11">#REF!</definedName>
    <definedName name="_SP036" localSheetId="29">#REF!</definedName>
    <definedName name="_SP036">#REF!</definedName>
    <definedName name="_SP037" localSheetId="8">#REF!</definedName>
    <definedName name="_SP037" localSheetId="10">#REF!</definedName>
    <definedName name="_SP037" localSheetId="11">#REF!</definedName>
    <definedName name="_SP037" localSheetId="29">#REF!</definedName>
    <definedName name="_SP037">#REF!</definedName>
    <definedName name="_SP038" localSheetId="8">#REF!</definedName>
    <definedName name="_SP038" localSheetId="10">#REF!</definedName>
    <definedName name="_SP038" localSheetId="11">#REF!</definedName>
    <definedName name="_SP038" localSheetId="29">#REF!</definedName>
    <definedName name="_SP038">#REF!</definedName>
    <definedName name="_SP039" localSheetId="8">#REF!</definedName>
    <definedName name="_SP039" localSheetId="10">#REF!</definedName>
    <definedName name="_SP039" localSheetId="11">#REF!</definedName>
    <definedName name="_SP039" localSheetId="29">#REF!</definedName>
    <definedName name="_SP039">#REF!</definedName>
    <definedName name="_SP040" localSheetId="8">#REF!</definedName>
    <definedName name="_SP040" localSheetId="10">#REF!</definedName>
    <definedName name="_SP040" localSheetId="11">#REF!</definedName>
    <definedName name="_SP040" localSheetId="29">#REF!</definedName>
    <definedName name="_SP040">#REF!</definedName>
    <definedName name="_SP041" localSheetId="8">#REF!</definedName>
    <definedName name="_SP041" localSheetId="10">#REF!</definedName>
    <definedName name="_SP041" localSheetId="11">#REF!</definedName>
    <definedName name="_SP041" localSheetId="29">#REF!</definedName>
    <definedName name="_SP041">#REF!</definedName>
    <definedName name="_SP042" localSheetId="8">#REF!</definedName>
    <definedName name="_SP042" localSheetId="10">#REF!</definedName>
    <definedName name="_SP042" localSheetId="11">#REF!</definedName>
    <definedName name="_SP042" localSheetId="29">#REF!</definedName>
    <definedName name="_SP042">#REF!</definedName>
    <definedName name="_SP043" localSheetId="8">#REF!</definedName>
    <definedName name="_SP043" localSheetId="10">#REF!</definedName>
    <definedName name="_SP043" localSheetId="11">#REF!</definedName>
    <definedName name="_SP043" localSheetId="29">#REF!</definedName>
    <definedName name="_SP043">#REF!</definedName>
    <definedName name="_SP044" localSheetId="8">#REF!</definedName>
    <definedName name="_SP044" localSheetId="10">#REF!</definedName>
    <definedName name="_SP044" localSheetId="11">#REF!</definedName>
    <definedName name="_SP044" localSheetId="29">#REF!</definedName>
    <definedName name="_SP044">#REF!</definedName>
    <definedName name="_SP045" localSheetId="8">#REF!</definedName>
    <definedName name="_SP045" localSheetId="10">#REF!</definedName>
    <definedName name="_SP045" localSheetId="11">#REF!</definedName>
    <definedName name="_SP045" localSheetId="29">#REF!</definedName>
    <definedName name="_SP045">#REF!</definedName>
    <definedName name="_SP046" localSheetId="8">#REF!</definedName>
    <definedName name="_SP046" localSheetId="10">#REF!</definedName>
    <definedName name="_SP046" localSheetId="11">#REF!</definedName>
    <definedName name="_SP046" localSheetId="29">#REF!</definedName>
    <definedName name="_SP046">#REF!</definedName>
    <definedName name="_SP047" localSheetId="8">#REF!</definedName>
    <definedName name="_SP047" localSheetId="10">#REF!</definedName>
    <definedName name="_SP047" localSheetId="11">#REF!</definedName>
    <definedName name="_SP047" localSheetId="29">#REF!</definedName>
    <definedName name="_SP047">#REF!</definedName>
    <definedName name="_SP048" localSheetId="8">#REF!</definedName>
    <definedName name="_SP048" localSheetId="10">#REF!</definedName>
    <definedName name="_SP048" localSheetId="11">#REF!</definedName>
    <definedName name="_SP048" localSheetId="29">#REF!</definedName>
    <definedName name="_SP048">#REF!</definedName>
    <definedName name="_SP049" localSheetId="8">#REF!</definedName>
    <definedName name="_SP049" localSheetId="10">#REF!</definedName>
    <definedName name="_SP049" localSheetId="11">#REF!</definedName>
    <definedName name="_SP049" localSheetId="29">#REF!</definedName>
    <definedName name="_SP049">#REF!</definedName>
    <definedName name="_SP050" localSheetId="8">#REF!</definedName>
    <definedName name="_SP050" localSheetId="10">#REF!</definedName>
    <definedName name="_SP050" localSheetId="11">#REF!</definedName>
    <definedName name="_SP050" localSheetId="29">#REF!</definedName>
    <definedName name="_SP050">#REF!</definedName>
    <definedName name="_SP051" localSheetId="8">#REF!</definedName>
    <definedName name="_SP051" localSheetId="10">#REF!</definedName>
    <definedName name="_SP051" localSheetId="11">#REF!</definedName>
    <definedName name="_SP051" localSheetId="29">#REF!</definedName>
    <definedName name="_SP051">#REF!</definedName>
    <definedName name="_SP052" localSheetId="8">#REF!</definedName>
    <definedName name="_SP052" localSheetId="10">#REF!</definedName>
    <definedName name="_SP052" localSheetId="11">#REF!</definedName>
    <definedName name="_SP052" localSheetId="29">#REF!</definedName>
    <definedName name="_SP052">#REF!</definedName>
    <definedName name="_SP053" localSheetId="8">#REF!</definedName>
    <definedName name="_SP053" localSheetId="10">#REF!</definedName>
    <definedName name="_SP053" localSheetId="11">#REF!</definedName>
    <definedName name="_SP053" localSheetId="29">#REF!</definedName>
    <definedName name="_SP053">#REF!</definedName>
    <definedName name="_SP054" localSheetId="8">#REF!</definedName>
    <definedName name="_SP054" localSheetId="10">#REF!</definedName>
    <definedName name="_SP054" localSheetId="11">#REF!</definedName>
    <definedName name="_SP054" localSheetId="29">#REF!</definedName>
    <definedName name="_SP054">#REF!</definedName>
    <definedName name="_SP055" localSheetId="8">#REF!</definedName>
    <definedName name="_SP055" localSheetId="10">#REF!</definedName>
    <definedName name="_SP055" localSheetId="11">#REF!</definedName>
    <definedName name="_SP055" localSheetId="29">#REF!</definedName>
    <definedName name="_SP055">#REF!</definedName>
    <definedName name="_SP056" localSheetId="8">#REF!</definedName>
    <definedName name="_SP056" localSheetId="10">#REF!</definedName>
    <definedName name="_SP056" localSheetId="11">#REF!</definedName>
    <definedName name="_SP056" localSheetId="29">#REF!</definedName>
    <definedName name="_SP056">#REF!</definedName>
    <definedName name="_SP057" localSheetId="8">#REF!</definedName>
    <definedName name="_SP057" localSheetId="10">#REF!</definedName>
    <definedName name="_SP057" localSheetId="11">#REF!</definedName>
    <definedName name="_SP057" localSheetId="29">#REF!</definedName>
    <definedName name="_SP057">#REF!</definedName>
    <definedName name="_SP058" localSheetId="8">#REF!</definedName>
    <definedName name="_SP058" localSheetId="10">#REF!</definedName>
    <definedName name="_SP058" localSheetId="11">#REF!</definedName>
    <definedName name="_SP058" localSheetId="29">#REF!</definedName>
    <definedName name="_SP058">#REF!</definedName>
    <definedName name="_SP059" localSheetId="8">#REF!</definedName>
    <definedName name="_SP059" localSheetId="10">#REF!</definedName>
    <definedName name="_SP059" localSheetId="11">#REF!</definedName>
    <definedName name="_SP059" localSheetId="29">#REF!</definedName>
    <definedName name="_SP059">#REF!</definedName>
    <definedName name="_SP060" localSheetId="8">#REF!</definedName>
    <definedName name="_SP060" localSheetId="10">#REF!</definedName>
    <definedName name="_SP060" localSheetId="11">#REF!</definedName>
    <definedName name="_SP060" localSheetId="29">#REF!</definedName>
    <definedName name="_SP060">#REF!</definedName>
    <definedName name="_SP061" localSheetId="8">#REF!</definedName>
    <definedName name="_SP061" localSheetId="10">#REF!</definedName>
    <definedName name="_SP061" localSheetId="11">#REF!</definedName>
    <definedName name="_SP061" localSheetId="29">#REF!</definedName>
    <definedName name="_SP061">#REF!</definedName>
    <definedName name="_SP062" localSheetId="8">#REF!</definedName>
    <definedName name="_SP062" localSheetId="10">#REF!</definedName>
    <definedName name="_SP062" localSheetId="11">#REF!</definedName>
    <definedName name="_SP062" localSheetId="29">#REF!</definedName>
    <definedName name="_SP062">#REF!</definedName>
    <definedName name="_SP063" localSheetId="8">#REF!</definedName>
    <definedName name="_SP063" localSheetId="10">#REF!</definedName>
    <definedName name="_SP063" localSheetId="11">#REF!</definedName>
    <definedName name="_SP063" localSheetId="29">#REF!</definedName>
    <definedName name="_SP063">#REF!</definedName>
    <definedName name="_SP064" localSheetId="8">#REF!</definedName>
    <definedName name="_SP064" localSheetId="10">#REF!</definedName>
    <definedName name="_SP064" localSheetId="11">#REF!</definedName>
    <definedName name="_SP064" localSheetId="29">#REF!</definedName>
    <definedName name="_SP064">#REF!</definedName>
    <definedName name="_SP065" localSheetId="8">#REF!</definedName>
    <definedName name="_SP065" localSheetId="10">#REF!</definedName>
    <definedName name="_SP065" localSheetId="11">#REF!</definedName>
    <definedName name="_SP065" localSheetId="29">#REF!</definedName>
    <definedName name="_SP065">#REF!</definedName>
    <definedName name="_SP066" localSheetId="8">#REF!</definedName>
    <definedName name="_SP066" localSheetId="10">#REF!</definedName>
    <definedName name="_SP066" localSheetId="11">#REF!</definedName>
    <definedName name="_SP066" localSheetId="29">#REF!</definedName>
    <definedName name="_SP066">#REF!</definedName>
    <definedName name="_SP067" localSheetId="8">#REF!</definedName>
    <definedName name="_SP067" localSheetId="10">#REF!</definedName>
    <definedName name="_SP067" localSheetId="11">#REF!</definedName>
    <definedName name="_SP067" localSheetId="29">#REF!</definedName>
    <definedName name="_SP067">#REF!</definedName>
    <definedName name="_SP068" localSheetId="8">#REF!</definedName>
    <definedName name="_SP068" localSheetId="10">#REF!</definedName>
    <definedName name="_SP068" localSheetId="11">#REF!</definedName>
    <definedName name="_SP068" localSheetId="29">#REF!</definedName>
    <definedName name="_SP068">#REF!</definedName>
    <definedName name="_SP069" localSheetId="8">#REF!</definedName>
    <definedName name="_SP069" localSheetId="10">#REF!</definedName>
    <definedName name="_SP069" localSheetId="11">#REF!</definedName>
    <definedName name="_SP069" localSheetId="29">#REF!</definedName>
    <definedName name="_SP069">#REF!</definedName>
    <definedName name="_SP070" localSheetId="8">#REF!</definedName>
    <definedName name="_SP070" localSheetId="10">#REF!</definedName>
    <definedName name="_SP070" localSheetId="11">#REF!</definedName>
    <definedName name="_SP070" localSheetId="29">#REF!</definedName>
    <definedName name="_SP070">#REF!</definedName>
    <definedName name="_sp071" localSheetId="8">#REF!</definedName>
    <definedName name="_sp071" localSheetId="10">#REF!</definedName>
    <definedName name="_sp071" localSheetId="11">#REF!</definedName>
    <definedName name="_sp071" localSheetId="29">#REF!</definedName>
    <definedName name="_sp071">#REF!</definedName>
    <definedName name="_SP072" localSheetId="8">#REF!</definedName>
    <definedName name="_SP072" localSheetId="10">#REF!</definedName>
    <definedName name="_SP072" localSheetId="11">#REF!</definedName>
    <definedName name="_SP072" localSheetId="29">#REF!</definedName>
    <definedName name="_SP072">#REF!</definedName>
    <definedName name="_SP073" localSheetId="8">#REF!</definedName>
    <definedName name="_SP073" localSheetId="10">#REF!</definedName>
    <definedName name="_SP073" localSheetId="11">#REF!</definedName>
    <definedName name="_SP073" localSheetId="29">#REF!</definedName>
    <definedName name="_SP073">#REF!</definedName>
    <definedName name="_SP074" localSheetId="8">#REF!</definedName>
    <definedName name="_SP074" localSheetId="10">#REF!</definedName>
    <definedName name="_SP074" localSheetId="11">#REF!</definedName>
    <definedName name="_SP074" localSheetId="29">#REF!</definedName>
    <definedName name="_SP074">#REF!</definedName>
    <definedName name="_SP075" localSheetId="8">#REF!</definedName>
    <definedName name="_SP075" localSheetId="10">#REF!</definedName>
    <definedName name="_SP075" localSheetId="11">#REF!</definedName>
    <definedName name="_SP075" localSheetId="29">#REF!</definedName>
    <definedName name="_SP075">#REF!</definedName>
    <definedName name="_SP076" localSheetId="8">#REF!</definedName>
    <definedName name="_SP076" localSheetId="10">#REF!</definedName>
    <definedName name="_SP076" localSheetId="11">#REF!</definedName>
    <definedName name="_SP076" localSheetId="29">#REF!</definedName>
    <definedName name="_SP076">#REF!</definedName>
    <definedName name="_SP077" localSheetId="8">#REF!</definedName>
    <definedName name="_SP077" localSheetId="10">#REF!</definedName>
    <definedName name="_SP077" localSheetId="11">#REF!</definedName>
    <definedName name="_SP077" localSheetId="29">#REF!</definedName>
    <definedName name="_SP077">#REF!</definedName>
    <definedName name="_sp078" localSheetId="8">#REF!</definedName>
    <definedName name="_sp078" localSheetId="10">#REF!</definedName>
    <definedName name="_sp078" localSheetId="11">#REF!</definedName>
    <definedName name="_sp078" localSheetId="29">#REF!</definedName>
    <definedName name="_sp078">#REF!</definedName>
    <definedName name="_SPO79" localSheetId="8">#REF!</definedName>
    <definedName name="_SPO79" localSheetId="10">#REF!</definedName>
    <definedName name="_SPO79" localSheetId="11">#REF!</definedName>
    <definedName name="_SPO79" localSheetId="29">#REF!</definedName>
    <definedName name="_SPO79">#REF!</definedName>
    <definedName name="_ss12_32">#REF!</definedName>
    <definedName name="_ss12_33">#REF!</definedName>
    <definedName name="_ss12_34">#REF!</definedName>
    <definedName name="_ss12_43">#REF!</definedName>
    <definedName name="_ss12_56">#REF!</definedName>
    <definedName name="_ss12_59">#REF!</definedName>
    <definedName name="_ss12_61">#REF!</definedName>
    <definedName name="_ss20_32">#REF!</definedName>
    <definedName name="_ss20_33">#REF!</definedName>
    <definedName name="_ss20_34">#REF!</definedName>
    <definedName name="_ss20_43">#REF!</definedName>
    <definedName name="_ss20_56">#REF!</definedName>
    <definedName name="_ss20_59">#REF!</definedName>
    <definedName name="_ss20_61">#REF!</definedName>
    <definedName name="_ss40_32">#REF!</definedName>
    <definedName name="_ss40_33">#REF!</definedName>
    <definedName name="_ss40_34">#REF!</definedName>
    <definedName name="_ss40_43">#REF!</definedName>
    <definedName name="_ss40_56">#REF!</definedName>
    <definedName name="_ss40_59">#REF!</definedName>
    <definedName name="_ss40_61">#REF!</definedName>
    <definedName name="_ST" localSheetId="5">#REF!</definedName>
    <definedName name="_ST" localSheetId="8">#REF!</definedName>
    <definedName name="_ST" localSheetId="10">#REF!</definedName>
    <definedName name="_ST" localSheetId="11">#REF!</definedName>
    <definedName name="_ST" localSheetId="29">#REF!</definedName>
    <definedName name="_ST" localSheetId="31">#REF!</definedName>
    <definedName name="_ST">#REF!</definedName>
    <definedName name="_ST_33">"$#REF!.$#REF!$#REF!"</definedName>
    <definedName name="_sw1">#REF!</definedName>
    <definedName name="_t1" localSheetId="5">#REF!</definedName>
    <definedName name="_t1" localSheetId="8">#REF!</definedName>
    <definedName name="_t1" localSheetId="10">#REF!</definedName>
    <definedName name="_t1" localSheetId="29">#REF!</definedName>
    <definedName name="_t1" localSheetId="31">#REF!</definedName>
    <definedName name="_t1">#REF!</definedName>
    <definedName name="_t2" localSheetId="5">#REF!</definedName>
    <definedName name="_t2" localSheetId="8">#REF!</definedName>
    <definedName name="_t2" localSheetId="10">#REF!</definedName>
    <definedName name="_t2" localSheetId="29">#REF!</definedName>
    <definedName name="_t2" localSheetId="31">#REF!</definedName>
    <definedName name="_t2">#REF!</definedName>
    <definedName name="_tab1" localSheetId="5">#REF!</definedName>
    <definedName name="_tab1" localSheetId="8">#REF!</definedName>
    <definedName name="_tab1" localSheetId="10">#REF!</definedName>
    <definedName name="_tab1" localSheetId="29">#REF!</definedName>
    <definedName name="_tab1" localSheetId="31">#REF!</definedName>
    <definedName name="_tab1">#REF!</definedName>
    <definedName name="_th_week_water_transp_habs">#REF!</definedName>
    <definedName name="_tw2" localSheetId="8">#REF!</definedName>
    <definedName name="_tw2" localSheetId="10">#REF!</definedName>
    <definedName name="_tw2" localSheetId="11">#REF!</definedName>
    <definedName name="_tw2" localSheetId="29">#REF!</definedName>
    <definedName name="_tw2">#REF!</definedName>
    <definedName name="_us1">#REF!</definedName>
    <definedName name="_var04">#REF!</definedName>
    <definedName name="_var1" localSheetId="21">#REF!</definedName>
    <definedName name="_var1" localSheetId="5">#REF!</definedName>
    <definedName name="_var1" localSheetId="8">#REF!</definedName>
    <definedName name="_var1" localSheetId="10">#REF!</definedName>
    <definedName name="_var1" localSheetId="11">#REF!</definedName>
    <definedName name="_var1" localSheetId="29">#REF!</definedName>
    <definedName name="_var1" localSheetId="31">#REF!</definedName>
    <definedName name="_var1" localSheetId="35">#REF!</definedName>
    <definedName name="_var1" localSheetId="36">#REF!</definedName>
    <definedName name="_var1">#REF!</definedName>
    <definedName name="_var1_23">"$#REF!.$#REF!$#REF!"</definedName>
    <definedName name="_var1_32">"$#REF!.$#REF!$#REF!"</definedName>
    <definedName name="_var1_33">"$#REF!.$#REF!$#REF!"</definedName>
    <definedName name="_var1_34">"$#REF!.$#REF!$#REF!"</definedName>
    <definedName name="_var1_38">"$#REF!.$#REF!$#REF!"</definedName>
    <definedName name="_var1_41">"$#REF!.$#REF!$#REF!"</definedName>
    <definedName name="_var1_43">"$#REF!.$#REF!$#REF!"</definedName>
    <definedName name="_var1_48">"$#REF!.$#REF!$#REF!"</definedName>
    <definedName name="_var1_56">"$#REF!.$#REF!$#REF!"</definedName>
    <definedName name="_var1_57">"$#REF!.$#REF!$#REF!"</definedName>
    <definedName name="_var1_59">"$#REF!.$#REF!$#REF!"</definedName>
    <definedName name="_var1_60">"$#REF!.$#REF!$#REF!"</definedName>
    <definedName name="_var1_61">"$#REF!.$#REF!$#REF!"</definedName>
    <definedName name="_var1_62">"$#REF!.$#REF!$#REF!"</definedName>
    <definedName name="_var1_7">"$#REF!.$#REF!$#REF!"</definedName>
    <definedName name="_var1_72">"$#REF!.$#REF!$#REF!"</definedName>
    <definedName name="_var1_73">"$#REF!.$#REF!$#REF!"</definedName>
    <definedName name="_var1_8">"$#REF!.$#REF!$#REF!"</definedName>
    <definedName name="_var2" localSheetId="8">#REF!</definedName>
    <definedName name="_var2" localSheetId="10">#REF!</definedName>
    <definedName name="_var2" localSheetId="29">#REF!</definedName>
    <definedName name="_var2">#REF!</definedName>
    <definedName name="_var4" localSheetId="21">#REF!</definedName>
    <definedName name="_var4" localSheetId="5">#REF!</definedName>
    <definedName name="_var4" localSheetId="8">#REF!</definedName>
    <definedName name="_var4" localSheetId="10">#REF!</definedName>
    <definedName name="_var4" localSheetId="11">#REF!</definedName>
    <definedName name="_var4" localSheetId="29">#REF!</definedName>
    <definedName name="_var4" localSheetId="31">#REF!</definedName>
    <definedName name="_var4" localSheetId="35">#REF!</definedName>
    <definedName name="_var4" localSheetId="36">#REF!</definedName>
    <definedName name="_var4">#REF!</definedName>
    <definedName name="_var4_23">"$#REF!.$#REF!$#REF!"</definedName>
    <definedName name="_var4_32">"$#REF!.$#REF!$#REF!"</definedName>
    <definedName name="_var4_33">"$#REF!.$#REF!$#REF!"</definedName>
    <definedName name="_var4_34">"$#REF!.$#REF!$#REF!"</definedName>
    <definedName name="_var4_38">"$#REF!.$#REF!$#REF!"</definedName>
    <definedName name="_var4_41">"$#REF!.$#REF!$#REF!"</definedName>
    <definedName name="_var4_43">"$#REF!.$#REF!$#REF!"</definedName>
    <definedName name="_var4_48">"$#REF!.$#REF!$#REF!"</definedName>
    <definedName name="_var4_56">"$#REF!.$#REF!$#REF!"</definedName>
    <definedName name="_var4_57">"$#REF!.$#REF!$#REF!"</definedName>
    <definedName name="_var4_59">"$#REF!.$#REF!$#REF!"</definedName>
    <definedName name="_var4_60">"$#REF!.$#REF!$#REF!"</definedName>
    <definedName name="_var4_61">"$#REF!.$#REF!$#REF!"</definedName>
    <definedName name="_var4_62">"$#REF!.$#REF!$#REF!"</definedName>
    <definedName name="_var4_7">"$#REF!.$#REF!$#REF!"</definedName>
    <definedName name="_var4_72">"$#REF!.$#REF!$#REF!"</definedName>
    <definedName name="_var4_73">"$#REF!.$#REF!$#REF!"</definedName>
    <definedName name="_var4_8">"$#REF!.$#REF!$#REF!"</definedName>
    <definedName name="_vat" localSheetId="8">#REF!</definedName>
    <definedName name="_vat" localSheetId="10">#REF!</definedName>
    <definedName name="_vat" localSheetId="11">#REF!</definedName>
    <definedName name="_vat" localSheetId="29">#REF!</definedName>
    <definedName name="_vat">#REF!</definedName>
    <definedName name="_vat1" localSheetId="5">#REF!</definedName>
    <definedName name="_vat1" localSheetId="8">#REF!</definedName>
    <definedName name="_vat1" localSheetId="10">#REF!</definedName>
    <definedName name="_vat1" localSheetId="29">#REF!</definedName>
    <definedName name="_vat1" localSheetId="31">#REF!</definedName>
    <definedName name="_vat1">#REF!</definedName>
    <definedName name="_vat2" localSheetId="5">#REF!</definedName>
    <definedName name="_vat2" localSheetId="8">#REF!</definedName>
    <definedName name="_vat2" localSheetId="10">#REF!</definedName>
    <definedName name="_vat2" localSheetId="29">#REF!</definedName>
    <definedName name="_vat2" localSheetId="31">#REF!</definedName>
    <definedName name="_vat2">#REF!</definedName>
    <definedName name="_vzrzam" localSheetId="5">#REF!</definedName>
    <definedName name="_vzrzam" localSheetId="8">#REF!</definedName>
    <definedName name="_vzrzam" localSheetId="10">#REF!</definedName>
    <definedName name="_vzrzam" localSheetId="11">#REF!</definedName>
    <definedName name="_vzrzam" localSheetId="29">#REF!</definedName>
    <definedName name="_vzrzam" localSheetId="31">#REF!</definedName>
    <definedName name="_vzrzam">#REF!</definedName>
    <definedName name="_woodprimer" localSheetId="8">#REF!</definedName>
    <definedName name="_woodprimer" localSheetId="10">#REF!</definedName>
    <definedName name="_woodprimer" localSheetId="11">#REF!</definedName>
    <definedName name="_woodprimer" localSheetId="29">#REF!</definedName>
    <definedName name="_woodprimer">#REF!</definedName>
    <definedName name="_wp" localSheetId="8">#REF!</definedName>
    <definedName name="_wp" localSheetId="10">#REF!</definedName>
    <definedName name="_wp" localSheetId="11">#REF!</definedName>
    <definedName name="_wp" localSheetId="29">#REF!</definedName>
    <definedName name="_wp">#REF!</definedName>
    <definedName name="_xcc1153" localSheetId="8">#REF!</definedName>
    <definedName name="_xcc1153" localSheetId="10">#REF!</definedName>
    <definedName name="_xcc1153" localSheetId="29">#REF!</definedName>
    <definedName name="_xcc1153" localSheetId="31">#REF!</definedName>
    <definedName name="_xcc1153">#REF!</definedName>
    <definedName name="_xcc124" localSheetId="8">#REF!</definedName>
    <definedName name="_xcc124" localSheetId="10">#REF!</definedName>
    <definedName name="_xcc124" localSheetId="29">#REF!</definedName>
    <definedName name="_xcc124" localSheetId="31">#REF!</definedName>
    <definedName name="_xcc124">#REF!</definedName>
    <definedName name="_xcc136" localSheetId="8">#REF!</definedName>
    <definedName name="_xcc136" localSheetId="10">#REF!</definedName>
    <definedName name="_xcc136" localSheetId="29">#REF!</definedName>
    <definedName name="_xcc136" localSheetId="31">#REF!</definedName>
    <definedName name="_xcc136">#REF!</definedName>
    <definedName name="_xcc148" localSheetId="8">#REF!</definedName>
    <definedName name="_xcc148" localSheetId="10">#REF!</definedName>
    <definedName name="_xcc148" localSheetId="29">#REF!</definedName>
    <definedName name="_xcc148" localSheetId="31">#REF!</definedName>
    <definedName name="_xcc148">#REF!</definedName>
    <definedName name="_xcc1510" localSheetId="8">#REF!</definedName>
    <definedName name="_xcc1510" localSheetId="10">#REF!</definedName>
    <definedName name="_xcc1510" localSheetId="29">#REF!</definedName>
    <definedName name="_xcc1510" localSheetId="31">#REF!</definedName>
    <definedName name="_xcc1510">#REF!</definedName>
    <definedName name="_xcm16" localSheetId="8">#REF!</definedName>
    <definedName name="_xcm16" localSheetId="10">#REF!</definedName>
    <definedName name="_xcm16" localSheetId="29">#REF!</definedName>
    <definedName name="_xcm16" localSheetId="31">#REF!</definedName>
    <definedName name="_xcm16">#REF!</definedName>
    <definedName name="_xh11010" localSheetId="8">#REF!</definedName>
    <definedName name="_xh11010" localSheetId="10">#REF!</definedName>
    <definedName name="_xh11010" localSheetId="11">#REF!</definedName>
    <definedName name="_xh11010" localSheetId="29">#REF!</definedName>
    <definedName name="_xh11010">#REF!</definedName>
    <definedName name="_xh1104" localSheetId="8">#REF!</definedName>
    <definedName name="_xh1104" localSheetId="10">#REF!</definedName>
    <definedName name="_xh1104" localSheetId="11">#REF!</definedName>
    <definedName name="_xh1104" localSheetId="29">#REF!</definedName>
    <definedName name="_xh1104">#REF!</definedName>
    <definedName name="_xh1106" localSheetId="8">#REF!</definedName>
    <definedName name="_xh1106" localSheetId="10">#REF!</definedName>
    <definedName name="_xh1106" localSheetId="11">#REF!</definedName>
    <definedName name="_xh1106" localSheetId="29">#REF!</definedName>
    <definedName name="_xh1106">#REF!</definedName>
    <definedName name="_xh1108" localSheetId="8">#REF!</definedName>
    <definedName name="_xh1108" localSheetId="10">#REF!</definedName>
    <definedName name="_xh1108" localSheetId="11">#REF!</definedName>
    <definedName name="_xh1108" localSheetId="29">#REF!</definedName>
    <definedName name="_xh1108">#REF!</definedName>
    <definedName name="_xh12510" localSheetId="8">#REF!</definedName>
    <definedName name="_xh12510" localSheetId="10">#REF!</definedName>
    <definedName name="_xh12510" localSheetId="11">#REF!</definedName>
    <definedName name="_xh12510" localSheetId="29">#REF!</definedName>
    <definedName name="_xh12510">#REF!</definedName>
    <definedName name="_xh1254" localSheetId="8">#REF!</definedName>
    <definedName name="_xh1254" localSheetId="10">#REF!</definedName>
    <definedName name="_xh1254" localSheetId="11">#REF!</definedName>
    <definedName name="_xh1254" localSheetId="29">#REF!</definedName>
    <definedName name="_xh1254">#REF!</definedName>
    <definedName name="_xh1256" localSheetId="8">#REF!</definedName>
    <definedName name="_xh1256" localSheetId="10">#REF!</definedName>
    <definedName name="_xh1256" localSheetId="11">#REF!</definedName>
    <definedName name="_xh1256" localSheetId="29">#REF!</definedName>
    <definedName name="_xh1256">#REF!</definedName>
    <definedName name="_xh1258" localSheetId="8">#REF!</definedName>
    <definedName name="_xh1258" localSheetId="10">#REF!</definedName>
    <definedName name="_xh1258" localSheetId="11">#REF!</definedName>
    <definedName name="_xh1258" localSheetId="29">#REF!</definedName>
    <definedName name="_xh1258">#REF!</definedName>
    <definedName name="_xh14010" localSheetId="8">#REF!</definedName>
    <definedName name="_xh14010" localSheetId="10">#REF!</definedName>
    <definedName name="_xh14010" localSheetId="11">#REF!</definedName>
    <definedName name="_xh14010" localSheetId="29">#REF!</definedName>
    <definedName name="_xh14010">#REF!</definedName>
    <definedName name="_xh1404" localSheetId="8">#REF!</definedName>
    <definedName name="_xh1404" localSheetId="10">#REF!</definedName>
    <definedName name="_xh1404" localSheetId="11">#REF!</definedName>
    <definedName name="_xh1404" localSheetId="29">#REF!</definedName>
    <definedName name="_xh1404">#REF!</definedName>
    <definedName name="_xh1406" localSheetId="8">#REF!</definedName>
    <definedName name="_xh1406" localSheetId="10">#REF!</definedName>
    <definedName name="_xh1406" localSheetId="11">#REF!</definedName>
    <definedName name="_xh1406" localSheetId="29">#REF!</definedName>
    <definedName name="_xh1406">#REF!</definedName>
    <definedName name="_xh1408" localSheetId="8">#REF!</definedName>
    <definedName name="_xh1408" localSheetId="10">#REF!</definedName>
    <definedName name="_xh1408" localSheetId="11">#REF!</definedName>
    <definedName name="_xh1408" localSheetId="29">#REF!</definedName>
    <definedName name="_xh1408">#REF!</definedName>
    <definedName name="_xh16010" localSheetId="8">#REF!</definedName>
    <definedName name="_xh16010" localSheetId="10">#REF!</definedName>
    <definedName name="_xh16010" localSheetId="11">#REF!</definedName>
    <definedName name="_xh16010" localSheetId="29">#REF!</definedName>
    <definedName name="_xh16010">#REF!</definedName>
    <definedName name="_xh1604" localSheetId="8">#REF!</definedName>
    <definedName name="_xh1604" localSheetId="10">#REF!</definedName>
    <definedName name="_xh1604" localSheetId="11">#REF!</definedName>
    <definedName name="_xh1604" localSheetId="29">#REF!</definedName>
    <definedName name="_xh1604">#REF!</definedName>
    <definedName name="_xh1606" localSheetId="8">#REF!</definedName>
    <definedName name="_xh1606" localSheetId="10">#REF!</definedName>
    <definedName name="_xh1606" localSheetId="11">#REF!</definedName>
    <definedName name="_xh1606" localSheetId="29">#REF!</definedName>
    <definedName name="_xh1606">#REF!</definedName>
    <definedName name="_xh1608" localSheetId="8">#REF!</definedName>
    <definedName name="_xh1608" localSheetId="10">#REF!</definedName>
    <definedName name="_xh1608" localSheetId="11">#REF!</definedName>
    <definedName name="_xh1608" localSheetId="29">#REF!</definedName>
    <definedName name="_xh1608">#REF!</definedName>
    <definedName name="_xh18010" localSheetId="8">#REF!</definedName>
    <definedName name="_xh18010" localSheetId="10">#REF!</definedName>
    <definedName name="_xh18010" localSheetId="11">#REF!</definedName>
    <definedName name="_xh18010" localSheetId="29">#REF!</definedName>
    <definedName name="_xh18010">#REF!</definedName>
    <definedName name="_xh1804" localSheetId="8">#REF!</definedName>
    <definedName name="_xh1804" localSheetId="10">#REF!</definedName>
    <definedName name="_xh1804" localSheetId="11">#REF!</definedName>
    <definedName name="_xh1804" localSheetId="29">#REF!</definedName>
    <definedName name="_xh1804">#REF!</definedName>
    <definedName name="_xh1806" localSheetId="8">#REF!</definedName>
    <definedName name="_xh1806" localSheetId="10">#REF!</definedName>
    <definedName name="_xh1806" localSheetId="11">#REF!</definedName>
    <definedName name="_xh1806" localSheetId="29">#REF!</definedName>
    <definedName name="_xh1806">#REF!</definedName>
    <definedName name="_xh1808" localSheetId="8">#REF!</definedName>
    <definedName name="_xh1808" localSheetId="10">#REF!</definedName>
    <definedName name="_xh1808" localSheetId="11">#REF!</definedName>
    <definedName name="_xh1808" localSheetId="29">#REF!</definedName>
    <definedName name="_xh1808">#REF!</definedName>
    <definedName name="_xh20010" localSheetId="8">#REF!</definedName>
    <definedName name="_xh20010" localSheetId="10">#REF!</definedName>
    <definedName name="_xh20010" localSheetId="11">#REF!</definedName>
    <definedName name="_xh20010" localSheetId="29">#REF!</definedName>
    <definedName name="_xh20010">#REF!</definedName>
    <definedName name="_xh2004" localSheetId="8">#REF!</definedName>
    <definedName name="_xh2004" localSheetId="10">#REF!</definedName>
    <definedName name="_xh2004" localSheetId="11">#REF!</definedName>
    <definedName name="_xh2004" localSheetId="29">#REF!</definedName>
    <definedName name="_xh2004">#REF!</definedName>
    <definedName name="_xh2006" localSheetId="8">#REF!</definedName>
    <definedName name="_xh2006" localSheetId="10">#REF!</definedName>
    <definedName name="_xh2006" localSheetId="11">#REF!</definedName>
    <definedName name="_xh2006" localSheetId="29">#REF!</definedName>
    <definedName name="_xh2006">#REF!</definedName>
    <definedName name="_xh2008" localSheetId="8">#REF!</definedName>
    <definedName name="_xh2008" localSheetId="10">#REF!</definedName>
    <definedName name="_xh2008" localSheetId="11">#REF!</definedName>
    <definedName name="_xh2008" localSheetId="29">#REF!</definedName>
    <definedName name="_xh2008">#REF!</definedName>
    <definedName name="_xh22510" localSheetId="8">#REF!</definedName>
    <definedName name="_xh22510" localSheetId="10">#REF!</definedName>
    <definedName name="_xh22510" localSheetId="11">#REF!</definedName>
    <definedName name="_xh22510" localSheetId="29">#REF!</definedName>
    <definedName name="_xh22510">#REF!</definedName>
    <definedName name="_xh2254" localSheetId="8">#REF!</definedName>
    <definedName name="_xh2254" localSheetId="10">#REF!</definedName>
    <definedName name="_xh2254" localSheetId="11">#REF!</definedName>
    <definedName name="_xh2254" localSheetId="29">#REF!</definedName>
    <definedName name="_xh2254">#REF!</definedName>
    <definedName name="_xh2258" localSheetId="8">#REF!</definedName>
    <definedName name="_xh2258" localSheetId="10">#REF!</definedName>
    <definedName name="_xh2258" localSheetId="11">#REF!</definedName>
    <definedName name="_xh2258" localSheetId="29">#REF!</definedName>
    <definedName name="_xh2258">#REF!</definedName>
    <definedName name="_xh25010" localSheetId="8">#REF!</definedName>
    <definedName name="_xh25010" localSheetId="10">#REF!</definedName>
    <definedName name="_xh25010" localSheetId="11">#REF!</definedName>
    <definedName name="_xh25010" localSheetId="29">#REF!</definedName>
    <definedName name="_xh25010">#REF!</definedName>
    <definedName name="_xh2504" localSheetId="8">#REF!</definedName>
    <definedName name="_xh2504" localSheetId="10">#REF!</definedName>
    <definedName name="_xh2504" localSheetId="11">#REF!</definedName>
    <definedName name="_xh2504" localSheetId="29">#REF!</definedName>
    <definedName name="_xh2504">#REF!</definedName>
    <definedName name="_xh2508" localSheetId="8">#REF!</definedName>
    <definedName name="_xh2508" localSheetId="10">#REF!</definedName>
    <definedName name="_xh2508" localSheetId="11">#REF!</definedName>
    <definedName name="_xh2508" localSheetId="29">#REF!</definedName>
    <definedName name="_xh2508">#REF!</definedName>
    <definedName name="_xh28010" localSheetId="8">#REF!</definedName>
    <definedName name="_xh28010" localSheetId="10">#REF!</definedName>
    <definedName name="_xh28010" localSheetId="11">#REF!</definedName>
    <definedName name="_xh28010" localSheetId="29">#REF!</definedName>
    <definedName name="_xh28010">#REF!</definedName>
    <definedName name="_xh2804" localSheetId="8">#REF!</definedName>
    <definedName name="_xh2804" localSheetId="10">#REF!</definedName>
    <definedName name="_xh2804" localSheetId="11">#REF!</definedName>
    <definedName name="_xh2804" localSheetId="29">#REF!</definedName>
    <definedName name="_xh2804">#REF!</definedName>
    <definedName name="_xh2808" localSheetId="8">#REF!</definedName>
    <definedName name="_xh2808" localSheetId="10">#REF!</definedName>
    <definedName name="_xh2808" localSheetId="11">#REF!</definedName>
    <definedName name="_xh2808" localSheetId="29">#REF!</definedName>
    <definedName name="_xh2808">#REF!</definedName>
    <definedName name="_xh31510" localSheetId="8">#REF!</definedName>
    <definedName name="_xh31510" localSheetId="10">#REF!</definedName>
    <definedName name="_xh31510" localSheetId="11">#REF!</definedName>
    <definedName name="_xh31510" localSheetId="29">#REF!</definedName>
    <definedName name="_xh31510">#REF!</definedName>
    <definedName name="_xh3154" localSheetId="8">#REF!</definedName>
    <definedName name="_xh3154" localSheetId="10">#REF!</definedName>
    <definedName name="_xh3154" localSheetId="11">#REF!</definedName>
    <definedName name="_xh3154" localSheetId="29">#REF!</definedName>
    <definedName name="_xh3154">#REF!</definedName>
    <definedName name="_xh3158" localSheetId="8">#REF!</definedName>
    <definedName name="_xh3158" localSheetId="10">#REF!</definedName>
    <definedName name="_xh3158" localSheetId="11">#REF!</definedName>
    <definedName name="_xh3158" localSheetId="29">#REF!</definedName>
    <definedName name="_xh3158">#REF!</definedName>
    <definedName name="_xh3554" localSheetId="8">#REF!</definedName>
    <definedName name="_xh3554" localSheetId="10">#REF!</definedName>
    <definedName name="_xh3554" localSheetId="11">#REF!</definedName>
    <definedName name="_xh3554" localSheetId="29">#REF!</definedName>
    <definedName name="_xh3554">#REF!</definedName>
    <definedName name="_xh3556" localSheetId="8">#REF!</definedName>
    <definedName name="_xh3556" localSheetId="10">#REF!</definedName>
    <definedName name="_xh3556" localSheetId="11">#REF!</definedName>
    <definedName name="_xh3556" localSheetId="29">#REF!</definedName>
    <definedName name="_xh3556">#REF!</definedName>
    <definedName name="_xh6310" localSheetId="8">#REF!</definedName>
    <definedName name="_xh6310" localSheetId="10">#REF!</definedName>
    <definedName name="_xh6310" localSheetId="11">#REF!</definedName>
    <definedName name="_xh6310" localSheetId="29">#REF!</definedName>
    <definedName name="_xh6310">#REF!</definedName>
    <definedName name="_xh636" localSheetId="8">#REF!</definedName>
    <definedName name="_xh636" localSheetId="10">#REF!</definedName>
    <definedName name="_xh636" localSheetId="11">#REF!</definedName>
    <definedName name="_xh636" localSheetId="29">#REF!</definedName>
    <definedName name="_xh636">#REF!</definedName>
    <definedName name="_xh638" localSheetId="8">#REF!</definedName>
    <definedName name="_xh638" localSheetId="10">#REF!</definedName>
    <definedName name="_xh638" localSheetId="11">#REF!</definedName>
    <definedName name="_xh638" localSheetId="29">#REF!</definedName>
    <definedName name="_xh638">#REF!</definedName>
    <definedName name="_xh7510" localSheetId="8">#REF!</definedName>
    <definedName name="_xh7510" localSheetId="10">#REF!</definedName>
    <definedName name="_xh7510" localSheetId="11">#REF!</definedName>
    <definedName name="_xh7510" localSheetId="29">#REF!</definedName>
    <definedName name="_xh7510">#REF!</definedName>
    <definedName name="_xh754" localSheetId="8">#REF!</definedName>
    <definedName name="_xh754" localSheetId="10">#REF!</definedName>
    <definedName name="_xh754" localSheetId="11">#REF!</definedName>
    <definedName name="_xh754" localSheetId="29">#REF!</definedName>
    <definedName name="_xh754">#REF!</definedName>
    <definedName name="_xh756" localSheetId="8">#REF!</definedName>
    <definedName name="_xh756" localSheetId="10">#REF!</definedName>
    <definedName name="_xh756" localSheetId="11">#REF!</definedName>
    <definedName name="_xh756" localSheetId="29">#REF!</definedName>
    <definedName name="_xh756">#REF!</definedName>
    <definedName name="_xh758" localSheetId="8">#REF!</definedName>
    <definedName name="_xh758" localSheetId="10">#REF!</definedName>
    <definedName name="_xh758" localSheetId="11">#REF!</definedName>
    <definedName name="_xh758" localSheetId="29">#REF!</definedName>
    <definedName name="_xh758">#REF!</definedName>
    <definedName name="_xh9010" localSheetId="8">#REF!</definedName>
    <definedName name="_xh9010" localSheetId="10">#REF!</definedName>
    <definedName name="_xh9010" localSheetId="11">#REF!</definedName>
    <definedName name="_xh9010" localSheetId="29">#REF!</definedName>
    <definedName name="_xh9010">#REF!</definedName>
    <definedName name="_xh904" localSheetId="8">#REF!</definedName>
    <definedName name="_xh904" localSheetId="10">#REF!</definedName>
    <definedName name="_xh904" localSheetId="11">#REF!</definedName>
    <definedName name="_xh904" localSheetId="29">#REF!</definedName>
    <definedName name="_xh904">#REF!</definedName>
    <definedName name="_xh906" localSheetId="8">#REF!</definedName>
    <definedName name="_xh906" localSheetId="10">#REF!</definedName>
    <definedName name="_xh906" localSheetId="11">#REF!</definedName>
    <definedName name="_xh906" localSheetId="29">#REF!</definedName>
    <definedName name="_xh906">#REF!</definedName>
    <definedName name="_xh908" localSheetId="8">#REF!</definedName>
    <definedName name="_xh908" localSheetId="10">#REF!</definedName>
    <definedName name="_xh908" localSheetId="11">#REF!</definedName>
    <definedName name="_xh908" localSheetId="29">#REF!</definedName>
    <definedName name="_xh908">#REF!</definedName>
    <definedName name="_xk7200" localSheetId="8">#REF!</definedName>
    <definedName name="_xk7200" localSheetId="10">#REF!</definedName>
    <definedName name="_xk7200" localSheetId="11">#REF!</definedName>
    <definedName name="_xk7200" localSheetId="29">#REF!</definedName>
    <definedName name="_xk7200">#REF!</definedName>
    <definedName name="_xk7350" localSheetId="8">#REF!</definedName>
    <definedName name="_xk7350" localSheetId="10">#REF!</definedName>
    <definedName name="_xk7350" localSheetId="11">#REF!</definedName>
    <definedName name="_xk7350" localSheetId="29">#REF!</definedName>
    <definedName name="_xk7350">#REF!</definedName>
    <definedName name="_xk7400" localSheetId="8">#REF!</definedName>
    <definedName name="_xk7400" localSheetId="10">#REF!</definedName>
    <definedName name="_xk7400" localSheetId="11">#REF!</definedName>
    <definedName name="_xk7400" localSheetId="29">#REF!</definedName>
    <definedName name="_xk7400">#REF!</definedName>
    <definedName name="_xk7450" localSheetId="8">#REF!</definedName>
    <definedName name="_xk7450" localSheetId="10">#REF!</definedName>
    <definedName name="_xk7450" localSheetId="11">#REF!</definedName>
    <definedName name="_xk7450" localSheetId="29">#REF!</definedName>
    <definedName name="_xk7450">#REF!</definedName>
    <definedName name="_xk7500" localSheetId="8">#REF!</definedName>
    <definedName name="_xk7500" localSheetId="10">#REF!</definedName>
    <definedName name="_xk7500" localSheetId="11">#REF!</definedName>
    <definedName name="_xk7500" localSheetId="29">#REF!</definedName>
    <definedName name="_xk7500">#REF!</definedName>
    <definedName name="_xk7600" localSheetId="8">#REF!</definedName>
    <definedName name="_xk7600" localSheetId="10">#REF!</definedName>
    <definedName name="_xk7600" localSheetId="11">#REF!</definedName>
    <definedName name="_xk7600" localSheetId="29">#REF!</definedName>
    <definedName name="_xk7600">#REF!</definedName>
    <definedName name="_xk9100" localSheetId="8">#REF!</definedName>
    <definedName name="_xk9100" localSheetId="10">#REF!</definedName>
    <definedName name="_xk9100" localSheetId="11">#REF!</definedName>
    <definedName name="_xk9100" localSheetId="29">#REF!</definedName>
    <definedName name="_xk9100">#REF!</definedName>
    <definedName name="_xk91000" localSheetId="8">#REF!</definedName>
    <definedName name="_xk91000" localSheetId="10">#REF!</definedName>
    <definedName name="_xk91000" localSheetId="11">#REF!</definedName>
    <definedName name="_xk91000" localSheetId="29">#REF!</definedName>
    <definedName name="_xk91000">#REF!</definedName>
    <definedName name="_xk9150" localSheetId="8">#REF!</definedName>
    <definedName name="_xk9150" localSheetId="10">#REF!</definedName>
    <definedName name="_xk9150" localSheetId="11">#REF!</definedName>
    <definedName name="_xk9150" localSheetId="29">#REF!</definedName>
    <definedName name="_xk9150">#REF!</definedName>
    <definedName name="_xk9200" localSheetId="8">#REF!</definedName>
    <definedName name="_xk9200" localSheetId="10">#REF!</definedName>
    <definedName name="_xk9200" localSheetId="11">#REF!</definedName>
    <definedName name="_xk9200" localSheetId="29">#REF!</definedName>
    <definedName name="_xk9200">#REF!</definedName>
    <definedName name="_xk9250" localSheetId="8">#REF!</definedName>
    <definedName name="_xk9250" localSheetId="10">#REF!</definedName>
    <definedName name="_xk9250" localSheetId="11">#REF!</definedName>
    <definedName name="_xk9250" localSheetId="29">#REF!</definedName>
    <definedName name="_xk9250">#REF!</definedName>
    <definedName name="_xk9300" localSheetId="8">#REF!</definedName>
    <definedName name="_xk9300" localSheetId="10">#REF!</definedName>
    <definedName name="_xk9300" localSheetId="11">#REF!</definedName>
    <definedName name="_xk9300" localSheetId="29">#REF!</definedName>
    <definedName name="_xk9300">#REF!</definedName>
    <definedName name="_xk9350" localSheetId="8">#REF!</definedName>
    <definedName name="_xk9350" localSheetId="10">#REF!</definedName>
    <definedName name="_xk9350" localSheetId="11">#REF!</definedName>
    <definedName name="_xk9350" localSheetId="29">#REF!</definedName>
    <definedName name="_xk9350">#REF!</definedName>
    <definedName name="_xk9400" localSheetId="8">#REF!</definedName>
    <definedName name="_xk9400" localSheetId="10">#REF!</definedName>
    <definedName name="_xk9400" localSheetId="11">#REF!</definedName>
    <definedName name="_xk9400" localSheetId="29">#REF!</definedName>
    <definedName name="_xk9400">#REF!</definedName>
    <definedName name="_xk9450" localSheetId="8">#REF!</definedName>
    <definedName name="_xk9450" localSheetId="10">#REF!</definedName>
    <definedName name="_xk9450" localSheetId="11">#REF!</definedName>
    <definedName name="_xk9450" localSheetId="29">#REF!</definedName>
    <definedName name="_xk9450">#REF!</definedName>
    <definedName name="_xk9500" localSheetId="8">#REF!</definedName>
    <definedName name="_xk9500" localSheetId="10">#REF!</definedName>
    <definedName name="_xk9500" localSheetId="11">#REF!</definedName>
    <definedName name="_xk9500" localSheetId="29">#REF!</definedName>
    <definedName name="_xk9500">#REF!</definedName>
    <definedName name="_xk9600" localSheetId="8">#REF!</definedName>
    <definedName name="_xk9600" localSheetId="10">#REF!</definedName>
    <definedName name="_xk9600" localSheetId="11">#REF!</definedName>
    <definedName name="_xk9600" localSheetId="29">#REF!</definedName>
    <definedName name="_xk9600">#REF!</definedName>
    <definedName name="_xk9700" localSheetId="8">#REF!</definedName>
    <definedName name="_xk9700" localSheetId="10">#REF!</definedName>
    <definedName name="_xk9700" localSheetId="11">#REF!</definedName>
    <definedName name="_xk9700" localSheetId="29">#REF!</definedName>
    <definedName name="_xk9700">#REF!</definedName>
    <definedName name="_xk9750" localSheetId="8">#REF!</definedName>
    <definedName name="_xk9750" localSheetId="10">#REF!</definedName>
    <definedName name="_xk9750" localSheetId="11">#REF!</definedName>
    <definedName name="_xk9750" localSheetId="29">#REF!</definedName>
    <definedName name="_xk9750">#REF!</definedName>
    <definedName name="_xk9800" localSheetId="8">#REF!</definedName>
    <definedName name="_xk9800" localSheetId="10">#REF!</definedName>
    <definedName name="_xk9800" localSheetId="11">#REF!</definedName>
    <definedName name="_xk9800" localSheetId="29">#REF!</definedName>
    <definedName name="_xk9800">#REF!</definedName>
    <definedName name="_xk9900" localSheetId="8">#REF!</definedName>
    <definedName name="_xk9900" localSheetId="10">#REF!</definedName>
    <definedName name="_xk9900" localSheetId="11">#REF!</definedName>
    <definedName name="_xk9900" localSheetId="29">#REF!</definedName>
    <definedName name="_xk9900">#REF!</definedName>
    <definedName name="_xp12510" localSheetId="8">#REF!</definedName>
    <definedName name="_xp12510" localSheetId="10">#REF!</definedName>
    <definedName name="_xp12510" localSheetId="11">#REF!</definedName>
    <definedName name="_xp12510" localSheetId="29">#REF!</definedName>
    <definedName name="_xp12510">#REF!</definedName>
    <definedName name="_xp16010" localSheetId="8">#REF!</definedName>
    <definedName name="_xp16010" localSheetId="10">#REF!</definedName>
    <definedName name="_xp16010" localSheetId="11">#REF!</definedName>
    <definedName name="_xp16010" localSheetId="29">#REF!</definedName>
    <definedName name="_xp16010">#REF!</definedName>
    <definedName name="_xp18010" localSheetId="8">#REF!</definedName>
    <definedName name="_xp18010" localSheetId="10">#REF!</definedName>
    <definedName name="_xp18010" localSheetId="11">#REF!</definedName>
    <definedName name="_xp18010" localSheetId="29">#REF!</definedName>
    <definedName name="_xp18010">#REF!</definedName>
    <definedName name="_xp20010" localSheetId="8">#REF!</definedName>
    <definedName name="_xp20010" localSheetId="10">#REF!</definedName>
    <definedName name="_xp20010" localSheetId="11">#REF!</definedName>
    <definedName name="_xp20010" localSheetId="29">#REF!</definedName>
    <definedName name="_xp20010">#REF!</definedName>
    <definedName name="_xp2004" localSheetId="8">#REF!</definedName>
    <definedName name="_xp2004" localSheetId="10">#REF!</definedName>
    <definedName name="_xp2004" localSheetId="11">#REF!</definedName>
    <definedName name="_xp2004" localSheetId="29">#REF!</definedName>
    <definedName name="_xp2004">#REF!</definedName>
    <definedName name="_xp22510" localSheetId="8">#REF!</definedName>
    <definedName name="_xp22510" localSheetId="10">#REF!</definedName>
    <definedName name="_xp22510" localSheetId="11">#REF!</definedName>
    <definedName name="_xp22510" localSheetId="29">#REF!</definedName>
    <definedName name="_xp22510">#REF!</definedName>
    <definedName name="_xp2254" localSheetId="8">#REF!</definedName>
    <definedName name="_xp2254" localSheetId="10">#REF!</definedName>
    <definedName name="_xp2254" localSheetId="11">#REF!</definedName>
    <definedName name="_xp2254" localSheetId="29">#REF!</definedName>
    <definedName name="_xp2254">#REF!</definedName>
    <definedName name="_xp2256" localSheetId="8">#REF!</definedName>
    <definedName name="_xp2256" localSheetId="10">#REF!</definedName>
    <definedName name="_xp2256" localSheetId="11">#REF!</definedName>
    <definedName name="_xp2256" localSheetId="29">#REF!</definedName>
    <definedName name="_xp2256">#REF!</definedName>
    <definedName name="_xp25010" localSheetId="8">#REF!</definedName>
    <definedName name="_xp25010" localSheetId="10">#REF!</definedName>
    <definedName name="_xp25010" localSheetId="11">#REF!</definedName>
    <definedName name="_xp25010" localSheetId="29">#REF!</definedName>
    <definedName name="_xp25010">#REF!</definedName>
    <definedName name="_xp2504" localSheetId="8">#REF!</definedName>
    <definedName name="_xp2504" localSheetId="10">#REF!</definedName>
    <definedName name="_xp2504" localSheetId="11">#REF!</definedName>
    <definedName name="_xp2504" localSheetId="29">#REF!</definedName>
    <definedName name="_xp2504">#REF!</definedName>
    <definedName name="_xp2506" localSheetId="8">#REF!</definedName>
    <definedName name="_xp2506" localSheetId="10">#REF!</definedName>
    <definedName name="_xp2506" localSheetId="11">#REF!</definedName>
    <definedName name="_xp2506" localSheetId="29">#REF!</definedName>
    <definedName name="_xp2506">#REF!</definedName>
    <definedName name="_xp28010" localSheetId="8">#REF!</definedName>
    <definedName name="_xp28010" localSheetId="10">#REF!</definedName>
    <definedName name="_xp28010" localSheetId="11">#REF!</definedName>
    <definedName name="_xp28010" localSheetId="29">#REF!</definedName>
    <definedName name="_xp28010">#REF!</definedName>
    <definedName name="_xp2804" localSheetId="8">#REF!</definedName>
    <definedName name="_xp2804" localSheetId="10">#REF!</definedName>
    <definedName name="_xp2804" localSheetId="11">#REF!</definedName>
    <definedName name="_xp2804" localSheetId="29">#REF!</definedName>
    <definedName name="_xp2804">#REF!</definedName>
    <definedName name="_xp2806" localSheetId="8">#REF!</definedName>
    <definedName name="_xp2806" localSheetId="10">#REF!</definedName>
    <definedName name="_xp2806" localSheetId="11">#REF!</definedName>
    <definedName name="_xp2806" localSheetId="29">#REF!</definedName>
    <definedName name="_xp2806">#REF!</definedName>
    <definedName name="_xp31510" localSheetId="8">#REF!</definedName>
    <definedName name="_xp31510" localSheetId="10">#REF!</definedName>
    <definedName name="_xp31510" localSheetId="11">#REF!</definedName>
    <definedName name="_xp31510" localSheetId="29">#REF!</definedName>
    <definedName name="_xp31510">#REF!</definedName>
    <definedName name="_xp3154" localSheetId="8">#REF!</definedName>
    <definedName name="_xp3154" localSheetId="10">#REF!</definedName>
    <definedName name="_xp3154" localSheetId="11">#REF!</definedName>
    <definedName name="_xp3154" localSheetId="29">#REF!</definedName>
    <definedName name="_xp3154">#REF!</definedName>
    <definedName name="_xp3156" localSheetId="8">#REF!</definedName>
    <definedName name="_xp3156" localSheetId="10">#REF!</definedName>
    <definedName name="_xp3156" localSheetId="11">#REF!</definedName>
    <definedName name="_xp3156" localSheetId="29">#REF!</definedName>
    <definedName name="_xp3156">#REF!</definedName>
    <definedName name="_xp634" localSheetId="8">#REF!</definedName>
    <definedName name="_xp634" localSheetId="10">#REF!</definedName>
    <definedName name="_xp634" localSheetId="11">#REF!</definedName>
    <definedName name="_xp634" localSheetId="29">#REF!</definedName>
    <definedName name="_xp634">#REF!</definedName>
    <definedName name="a" localSheetId="21">#REF!</definedName>
    <definedName name="a" localSheetId="5">#REF!</definedName>
    <definedName name="a" localSheetId="8">#REF!</definedName>
    <definedName name="a" localSheetId="10">#REF!</definedName>
    <definedName name="a" localSheetId="11">#REF!</definedName>
    <definedName name="a" localSheetId="29">#REF!</definedName>
    <definedName name="a" localSheetId="31">#REF!</definedName>
    <definedName name="a" localSheetId="35">#REF!</definedName>
    <definedName name="a" localSheetId="36">#REF!</definedName>
    <definedName name="a">#REF!</definedName>
    <definedName name="a_33">"$#REF!.$#REF!$#REF!"</definedName>
    <definedName name="a_34">"$#REF!.$#REF!$#REF!"</definedName>
    <definedName name="aaa" localSheetId="5">#REF!</definedName>
    <definedName name="aaa" localSheetId="8">#REF!</definedName>
    <definedName name="aaa" localSheetId="10">#REF!</definedName>
    <definedName name="aaa" localSheetId="11">#REF!</definedName>
    <definedName name="aaa" localSheetId="29">#REF!</definedName>
    <definedName name="aaa" localSheetId="31">#REF!</definedName>
    <definedName name="aaa">#REF!</definedName>
    <definedName name="aaaa" localSheetId="29" hidden="1">{"'ridftotal'!$A$4:$S$27"}</definedName>
    <definedName name="aaaaaaa" localSheetId="21" hidden="1">{"'ridftotal'!$A$4:$S$27"}</definedName>
    <definedName name="aaaaaaa" localSheetId="14" hidden="1">{"'ridftotal'!$A$4:$S$27"}</definedName>
    <definedName name="aaaaaaa" localSheetId="29" hidden="1">{"'ridftotal'!$A$4:$S$27"}</definedName>
    <definedName name="aaaaaaa" localSheetId="31" hidden="1">{"'ridftotal'!$A$4:$S$27"}</definedName>
    <definedName name="aaaaaaa" hidden="1">{"'ridftotal'!$A$4:$S$27"}</definedName>
    <definedName name="aaaaaaaaaaaaaa" localSheetId="21" hidden="1">{"'ridftotal'!$A$4:$S$27"}</definedName>
    <definedName name="aaaaaaaaaaaaaa" localSheetId="14" hidden="1">{"'ridftotal'!$A$4:$S$27"}</definedName>
    <definedName name="aaaaaaaaaaaaaa" localSheetId="29" hidden="1">{"'ridftotal'!$A$4:$S$27"}</definedName>
    <definedName name="aaaaaaaaaaaaaa" localSheetId="31" hidden="1">{"'ridftotal'!$A$4:$S$27"}</definedName>
    <definedName name="aaaaaaaaaaaaaa" hidden="1">{"'ridftotal'!$A$4:$S$27"}</definedName>
    <definedName name="aaaaaaaaaaaaaaaaaaaaa">#REF!</definedName>
    <definedName name="AAF" localSheetId="8">#REF!</definedName>
    <definedName name="AAF" localSheetId="10">#REF!</definedName>
    <definedName name="AAF" localSheetId="29">#REF!</definedName>
    <definedName name="AAF">#REF!</definedName>
    <definedName name="aastrb" localSheetId="8">#REF!</definedName>
    <definedName name="aastrb" localSheetId="10">#REF!</definedName>
    <definedName name="aastrb" localSheetId="11">#REF!</definedName>
    <definedName name="aastrb" localSheetId="29">#REF!</definedName>
    <definedName name="aastrb">#REF!</definedName>
    <definedName name="aat" localSheetId="5">#REF!</definedName>
    <definedName name="aat" localSheetId="8">#REF!</definedName>
    <definedName name="aat" localSheetId="10">#REF!</definedName>
    <definedName name="aat" localSheetId="29">#REF!</definedName>
    <definedName name="aat" localSheetId="31">#REF!</definedName>
    <definedName name="aat">#REF!</definedName>
    <definedName name="aawa">#REF!</definedName>
    <definedName name="ab" localSheetId="29" hidden="1">{"'ridftotal'!$A$4:$S$27"}</definedName>
    <definedName name="Abbbbb" localSheetId="21">#REF!</definedName>
    <definedName name="Abbbbb" localSheetId="5">#REF!</definedName>
    <definedName name="Abbbbb" localSheetId="8">#REF!</definedName>
    <definedName name="Abbbbb" localSheetId="10">#REF!</definedName>
    <definedName name="Abbbbb" localSheetId="11">#REF!</definedName>
    <definedName name="Abbbbb" localSheetId="29">#REF!</definedName>
    <definedName name="Abbbbb" localSheetId="31">#REF!</definedName>
    <definedName name="Abbbbb" localSheetId="35">#REF!</definedName>
    <definedName name="Abbbbb" localSheetId="36">#REF!</definedName>
    <definedName name="Abbbbb">#REF!</definedName>
    <definedName name="ABC" localSheetId="5">#REF!</definedName>
    <definedName name="ABC" localSheetId="8">#REF!</definedName>
    <definedName name="ABC" localSheetId="10">#REF!</definedName>
    <definedName name="ABC" localSheetId="29">#REF!</definedName>
    <definedName name="ABC" localSheetId="31">#REF!</definedName>
    <definedName name="ABC">#REF!</definedName>
    <definedName name="abcd" localSheetId="8">#REF!</definedName>
    <definedName name="abcd" localSheetId="10">#REF!</definedName>
    <definedName name="abcd" localSheetId="29">#REF!</definedName>
    <definedName name="abcd">#REF!</definedName>
    <definedName name="abcdefgh">#REF!</definedName>
    <definedName name="abs">#REF!</definedName>
    <definedName name="AC" localSheetId="21">#REF!</definedName>
    <definedName name="AC" localSheetId="5">#REF!</definedName>
    <definedName name="AC" localSheetId="8">#REF!</definedName>
    <definedName name="AC" localSheetId="10">#REF!</definedName>
    <definedName name="AC" localSheetId="11">#REF!</definedName>
    <definedName name="AC" localSheetId="29">#REF!</definedName>
    <definedName name="AC" localSheetId="31">#REF!</definedName>
    <definedName name="AC" localSheetId="35">#REF!</definedName>
    <definedName name="AC" localSheetId="36">#REF!</definedName>
    <definedName name="AC">#REF!</definedName>
    <definedName name="ac_sheet" localSheetId="8">#REF!</definedName>
    <definedName name="ac_sheet" localSheetId="10">#REF!</definedName>
    <definedName name="ac_sheet" localSheetId="11">#REF!</definedName>
    <definedName name="ac_sheet" localSheetId="29">#REF!</definedName>
    <definedName name="ac_sheet">#REF!</definedName>
    <definedName name="AccessDatabase" hidden="1">"C:\RWS_Reports\ww\Spillww0203.mdb"</definedName>
    <definedName name="acl" localSheetId="29">#REF!</definedName>
    <definedName name="ACMFL" localSheetId="14">#REF!</definedName>
    <definedName name="ACMFL" localSheetId="8">#REF!</definedName>
    <definedName name="ACMFL" localSheetId="10">#REF!</definedName>
    <definedName name="ACMFL" localSheetId="29">#REF!</definedName>
    <definedName name="ACMFL">#REF!</definedName>
    <definedName name="acs">#REF!</definedName>
    <definedName name="acsheet">#REF!</definedName>
    <definedName name="actual" localSheetId="8">#REF!</definedName>
    <definedName name="actual" localSheetId="10">#REF!</definedName>
    <definedName name="actual" localSheetId="11">#REF!</definedName>
    <definedName name="actual" localSheetId="29">#REF!</definedName>
    <definedName name="actual">#REF!</definedName>
    <definedName name="AD" localSheetId="14">#REF!</definedName>
    <definedName name="AD" localSheetId="8">#REF!</definedName>
    <definedName name="AD" localSheetId="10">#REF!</definedName>
    <definedName name="AD" localSheetId="29">#REF!</definedName>
    <definedName name="AD">#REF!</definedName>
    <definedName name="Address" localSheetId="21">#REF!</definedName>
    <definedName name="Address" localSheetId="5">#REF!</definedName>
    <definedName name="Address" localSheetId="8">#REF!</definedName>
    <definedName name="Address" localSheetId="10">#REF!</definedName>
    <definedName name="ADDRESS" localSheetId="11">#REF!</definedName>
    <definedName name="Address" localSheetId="29">#REF!</definedName>
    <definedName name="Address" localSheetId="31">#REF!</definedName>
    <definedName name="Address" localSheetId="35">#REF!</definedName>
    <definedName name="Address" localSheetId="36">#REF!</definedName>
    <definedName name="Address">#REF!</definedName>
    <definedName name="ADFI" localSheetId="8">#REF!</definedName>
    <definedName name="ADFI" localSheetId="10">#REF!</definedName>
    <definedName name="ADFI" localSheetId="29">#REF!</definedName>
    <definedName name="ADFI">#REF!</definedName>
    <definedName name="ADFII" localSheetId="8">#REF!</definedName>
    <definedName name="ADFII" localSheetId="10">#REF!</definedName>
    <definedName name="ADFII" localSheetId="29">#REF!</definedName>
    <definedName name="ADFII">#REF!</definedName>
    <definedName name="ADFIII" localSheetId="8">#REF!</definedName>
    <definedName name="ADFIII" localSheetId="10">#REF!</definedName>
    <definedName name="ADFIII" localSheetId="29">#REF!</definedName>
    <definedName name="ADFIII">#REF!</definedName>
    <definedName name="Admin__Building" localSheetId="8">#REF!</definedName>
    <definedName name="Admin__Building" localSheetId="10">#REF!</definedName>
    <definedName name="Admin__Building" localSheetId="11">#REF!</definedName>
    <definedName name="Admin__Building" localSheetId="29">#REF!</definedName>
    <definedName name="Admin__Building">#REF!</definedName>
    <definedName name="adsa" localSheetId="8">#REF!</definedName>
    <definedName name="adsa" localSheetId="10">#REF!</definedName>
    <definedName name="adsa" localSheetId="29">#REF!</definedName>
    <definedName name="adsa" localSheetId="31">#REF!</definedName>
    <definedName name="adsa">#REF!</definedName>
    <definedName name="ae">#REF!</definedName>
    <definedName name="ae_33">#N/A</definedName>
    <definedName name="ae_34">#N/A</definedName>
    <definedName name="AEE" localSheetId="21">#REF!</definedName>
    <definedName name="AEF" localSheetId="14">#REF!</definedName>
    <definedName name="AEF" localSheetId="8">#REF!</definedName>
    <definedName name="AEF" localSheetId="10">#REF!</definedName>
    <definedName name="AEF" localSheetId="29">#REF!</definedName>
    <definedName name="AEF">#REF!</definedName>
    <definedName name="AF" localSheetId="14">#REF!</definedName>
    <definedName name="AF" localSheetId="8">#REF!</definedName>
    <definedName name="AF" localSheetId="10">#REF!</definedName>
    <definedName name="AF" localSheetId="29">#REF!</definedName>
    <definedName name="AF">#REF!</definedName>
    <definedName name="AGRA_SHOULDERS" localSheetId="21">#REF!</definedName>
    <definedName name="AGRA_SHOULDERS" localSheetId="5">#REF!</definedName>
    <definedName name="AGRA_SHOULDERS" localSheetId="8">#REF!</definedName>
    <definedName name="AGRA_SHOULDERS" localSheetId="10">#REF!</definedName>
    <definedName name="AGRA_SHOULDERS" localSheetId="11">#REF!</definedName>
    <definedName name="AGRA_SHOULDERS" localSheetId="29">#REF!</definedName>
    <definedName name="AGRA_SHOULDERS" localSheetId="31">#REF!</definedName>
    <definedName name="AGRA_SHOULDERS" localSheetId="35">#REF!</definedName>
    <definedName name="AGRA_SHOULDERS" localSheetId="36">#REF!</definedName>
    <definedName name="AGRA_SHOULDERS">#REF!</definedName>
    <definedName name="ai" localSheetId="8">#REF!</definedName>
    <definedName name="ai" localSheetId="10">#REF!</definedName>
    <definedName name="ai" localSheetId="11">#REF!</definedName>
    <definedName name="ai" localSheetId="29">#REF!</definedName>
    <definedName name="ai">#REF!</definedName>
    <definedName name="aii" localSheetId="8">#REF!</definedName>
    <definedName name="aii" localSheetId="10">#REF!</definedName>
    <definedName name="aii" localSheetId="11">#REF!</definedName>
    <definedName name="aii" localSheetId="29">#REF!</definedName>
    <definedName name="aii">#REF!</definedName>
    <definedName name="airvalve" localSheetId="5">#REF!</definedName>
    <definedName name="airvalve" localSheetId="8">#REF!</definedName>
    <definedName name="airvalve" localSheetId="10">#REF!</definedName>
    <definedName name="airvalve" localSheetId="29">#REF!</definedName>
    <definedName name="airvalve" localSheetId="31">#REF!</definedName>
    <definedName name="airvalve">#REF!</definedName>
    <definedName name="AIRVALVES" localSheetId="5">#REF!</definedName>
    <definedName name="AIRVALVES" localSheetId="8">#REF!</definedName>
    <definedName name="AIRVALVES" localSheetId="10">#REF!</definedName>
    <definedName name="AIRVALVES" localSheetId="29">#REF!</definedName>
    <definedName name="AIRVALVES" localSheetId="31">#REF!</definedName>
    <definedName name="AIRVALVES">#REF!</definedName>
    <definedName name="akash">#REF!</definedName>
    <definedName name="al" localSheetId="21" hidden="1">{"'ridftotal'!$A$4:$S$27"}</definedName>
    <definedName name="al" localSheetId="14" hidden="1">{"'ridftotal'!$A$4:$S$27"}</definedName>
    <definedName name="al" localSheetId="29" hidden="1">{"'ridftotal'!$A$4:$S$27"}</definedName>
    <definedName name="al" localSheetId="31" hidden="1">{"'ridftotal'!$A$4:$S$27"}</definedName>
    <definedName name="al" hidden="1">{"'ridftotal'!$A$4:$S$27"}</definedName>
    <definedName name="ald" localSheetId="8">#REF!</definedName>
    <definedName name="ald" localSheetId="10">#REF!</definedName>
    <definedName name="ald" localSheetId="11">#REF!</definedName>
    <definedName name="ald" localSheetId="29">#REF!</definedName>
    <definedName name="ald">#REF!</definedName>
    <definedName name="AMOUNT" localSheetId="8">#REF!</definedName>
    <definedName name="AMOUNT" localSheetId="10">#REF!</definedName>
    <definedName name="AMOUNT" localSheetId="11">#REF!</definedName>
    <definedName name="AMOUNT" localSheetId="29">#REF!</definedName>
    <definedName name="AMOUNT">#REF!</definedName>
    <definedName name="Aname" localSheetId="21">#REF!</definedName>
    <definedName name="Aname" localSheetId="5">#REF!</definedName>
    <definedName name="Aname" localSheetId="8">#REF!</definedName>
    <definedName name="Aname" localSheetId="10">#REF!</definedName>
    <definedName name="Aname" localSheetId="11">#REF!</definedName>
    <definedName name="Aname" localSheetId="29">#REF!</definedName>
    <definedName name="Aname" localSheetId="31">#REF!</definedName>
    <definedName name="Aname" localSheetId="35">#REF!</definedName>
    <definedName name="Aname" localSheetId="36">#REF!</definedName>
    <definedName name="Aname">#REF!</definedName>
    <definedName name="angan">#REF!</definedName>
    <definedName name="anganwadi">#REF!</definedName>
    <definedName name="ANIL" localSheetId="29">#REF!</definedName>
    <definedName name="anscount" hidden="1">1</definedName>
    <definedName name="antitermite" localSheetId="8">#REF!</definedName>
    <definedName name="antitermite" localSheetId="10">#REF!</definedName>
    <definedName name="antitermite" localSheetId="11">#REF!</definedName>
    <definedName name="antitermite" localSheetId="29">#REF!</definedName>
    <definedName name="antitermite">#REF!</definedName>
    <definedName name="ap">#REF!</definedName>
    <definedName name="APJI" localSheetId="14">#REF!</definedName>
    <definedName name="APJI" localSheetId="8">#REF!</definedName>
    <definedName name="APJI" localSheetId="10">#REF!</definedName>
    <definedName name="APJI" localSheetId="29">#REF!</definedName>
    <definedName name="APJI">#REF!</definedName>
    <definedName name="APJII" localSheetId="14">#REF!</definedName>
    <definedName name="APJII" localSheetId="8">#REF!</definedName>
    <definedName name="APJII" localSheetId="10">#REF!</definedName>
    <definedName name="APJII" localSheetId="29">#REF!</definedName>
    <definedName name="APJII">#REF!</definedName>
    <definedName name="APJIII" localSheetId="8">#REF!</definedName>
    <definedName name="APJIII" localSheetId="10">#REF!</definedName>
    <definedName name="APJIII" localSheetId="29">#REF!</definedName>
    <definedName name="APJIII">#REF!</definedName>
    <definedName name="Arb" localSheetId="8">#REF!</definedName>
    <definedName name="Arb" localSheetId="10">#REF!</definedName>
    <definedName name="Arb" localSheetId="11">#REF!</definedName>
    <definedName name="Arb" localSheetId="29">#REF!</definedName>
    <definedName name="Arb">#REF!</definedName>
    <definedName name="arc">#REF!</definedName>
    <definedName name="as" localSheetId="11">#REF!</definedName>
    <definedName name="as10.1.12" localSheetId="29">#REF!</definedName>
    <definedName name="asc" localSheetId="8">#REF!</definedName>
    <definedName name="asc" localSheetId="10">#REF!</definedName>
    <definedName name="asc" localSheetId="11">#REF!</definedName>
    <definedName name="asc" localSheetId="29">#REF!</definedName>
    <definedName name="asc">#REF!</definedName>
    <definedName name="ASCSD" localSheetId="21">#REF!</definedName>
    <definedName name="ASCSD" localSheetId="5">#REF!</definedName>
    <definedName name="ASCSD" localSheetId="8">#REF!</definedName>
    <definedName name="ASCSD" localSheetId="10">#REF!</definedName>
    <definedName name="ASCSD" localSheetId="11">#REF!</definedName>
    <definedName name="ASCSD" localSheetId="29">#REF!</definedName>
    <definedName name="ASCSD" localSheetId="31">#REF!</definedName>
    <definedName name="ASCSD" localSheetId="35">#REF!</definedName>
    <definedName name="ASCSD" localSheetId="36">#REF!</definedName>
    <definedName name="ASCSD">#REF!</definedName>
    <definedName name="asd" localSheetId="29">#REF!</definedName>
    <definedName name="asd" localSheetId="31" hidden="1">{"'ridftotal'!$A$4:$S$27"}</definedName>
    <definedName name="ASDF" localSheetId="21" hidden="1">{"'ridftotal'!$A$4:$S$27"}</definedName>
    <definedName name="ASDF" localSheetId="14" hidden="1">{"'ridftotal'!$A$4:$S$27"}</definedName>
    <definedName name="ASDF" localSheetId="11" hidden="1">{"'ridftotal'!$A$4:$S$27"}</definedName>
    <definedName name="ASDF" localSheetId="44" hidden="1">{"'ridftotal'!$A$4:$S$27"}</definedName>
    <definedName name="ASDF" localSheetId="29" hidden="1">{"'ridftotal'!$A$4:$S$27"}</definedName>
    <definedName name="ASDF" localSheetId="19" hidden="1">{"'ridftotal'!$A$4:$S$27"}</definedName>
    <definedName name="ASDF" localSheetId="31" hidden="1">{"'ridftotal'!$A$4:$S$27"}</definedName>
    <definedName name="ASDF" localSheetId="9" hidden="1">{"'ridftotal'!$A$4:$S$27"}</definedName>
    <definedName name="ASDF" localSheetId="3" hidden="1">{"'ridftotal'!$A$4:$S$27"}</definedName>
    <definedName name="ASDF" hidden="1">{"'ridftotal'!$A$4:$S$27"}</definedName>
    <definedName name="asds" localSheetId="8">#REF!</definedName>
    <definedName name="asds" localSheetId="10">#REF!</definedName>
    <definedName name="asds" localSheetId="11">#REF!</definedName>
    <definedName name="asds" localSheetId="29">#REF!</definedName>
    <definedName name="asds">#REF!</definedName>
    <definedName name="asf" localSheetId="21">#REF!</definedName>
    <definedName name="asf" localSheetId="5">#REF!</definedName>
    <definedName name="asf" localSheetId="8">#REF!</definedName>
    <definedName name="asf" localSheetId="10">#REF!</definedName>
    <definedName name="asf" localSheetId="11">#REF!</definedName>
    <definedName name="asf" localSheetId="29">#REF!</definedName>
    <definedName name="asf" localSheetId="31">#REF!</definedName>
    <definedName name="asf" localSheetId="35">#REF!</definedName>
    <definedName name="asf" localSheetId="36">#REF!</definedName>
    <definedName name="asf">#REF!</definedName>
    <definedName name="asf_33">"$#REF!.$#REF!$#REF!"</definedName>
    <definedName name="asf_34">"$#REF!.$#REF!$#REF!"</definedName>
    <definedName name="ASFDA" localSheetId="21" hidden="1">{"'ridftotal'!$A$4:$S$27"}</definedName>
    <definedName name="ASFDA" localSheetId="14" hidden="1">{"'ridftotal'!$A$4:$S$27"}</definedName>
    <definedName name="ASFDA" localSheetId="11" hidden="1">{"'ridftotal'!$A$4:$S$27"}</definedName>
    <definedName name="ASFDA" localSheetId="44" hidden="1">{"'ridftotal'!$A$4:$S$27"}</definedName>
    <definedName name="ASFDA" localSheetId="29" hidden="1">{"'ridftotal'!$A$4:$S$27"}</definedName>
    <definedName name="ASFDA" localSheetId="19" hidden="1">{"'ridftotal'!$A$4:$S$27"}</definedName>
    <definedName name="ASFDA" localSheetId="31" hidden="1">{"'ridftotal'!$A$4:$S$27"}</definedName>
    <definedName name="ASFDA" localSheetId="9" hidden="1">{"'ridftotal'!$A$4:$S$27"}</definedName>
    <definedName name="ASFDA" localSheetId="3" hidden="1">{"'ridftotal'!$A$4:$S$27"}</definedName>
    <definedName name="ASFDA" hidden="1">{"'ridftotal'!$A$4:$S$27"}</definedName>
    <definedName name="asfsdf" localSheetId="29">#REF!</definedName>
    <definedName name="ash" localSheetId="8">#REF!</definedName>
    <definedName name="ash" localSheetId="10">#REF!</definedName>
    <definedName name="ash" localSheetId="11">#REF!</definedName>
    <definedName name="ash" localSheetId="29">#REF!</definedName>
    <definedName name="ash">#REF!</definedName>
    <definedName name="asmin" localSheetId="8">#REF!</definedName>
    <definedName name="asmin" localSheetId="10">#REF!</definedName>
    <definedName name="asmin" localSheetId="11">#REF!</definedName>
    <definedName name="asmin" localSheetId="29">#REF!</definedName>
    <definedName name="asmin">#REF!</definedName>
    <definedName name="asr" localSheetId="8">#REF!</definedName>
    <definedName name="asr" localSheetId="10">#REF!</definedName>
    <definedName name="asr" localSheetId="29">#REF!</definedName>
    <definedName name="asr">#REF!</definedName>
    <definedName name="astas" localSheetId="8">#REF!</definedName>
    <definedName name="astas" localSheetId="10">#REF!</definedName>
    <definedName name="astas" localSheetId="11">#REF!</definedName>
    <definedName name="astas" localSheetId="29">#REF!</definedName>
    <definedName name="astas">#REF!</definedName>
    <definedName name="astb" localSheetId="8">#REF!</definedName>
    <definedName name="astb" localSheetId="10">#REF!</definedName>
    <definedName name="astb" localSheetId="11">#REF!</definedName>
    <definedName name="astb" localSheetId="29">#REF!</definedName>
    <definedName name="astb">#REF!</definedName>
    <definedName name="astdm" localSheetId="8">#REF!</definedName>
    <definedName name="astdm" localSheetId="10">#REF!</definedName>
    <definedName name="astdm" localSheetId="11">#REF!</definedName>
    <definedName name="astdm" localSheetId="29">#REF!</definedName>
    <definedName name="astdm">#REF!</definedName>
    <definedName name="Asth" localSheetId="8">#REF!</definedName>
    <definedName name="Asth" localSheetId="10">#REF!</definedName>
    <definedName name="Asth" localSheetId="11">#REF!</definedName>
    <definedName name="Asth" localSheetId="29">#REF!</definedName>
    <definedName name="Asth">#REF!</definedName>
    <definedName name="asti" localSheetId="8">#REF!</definedName>
    <definedName name="asti" localSheetId="10">#REF!</definedName>
    <definedName name="asti" localSheetId="11">#REF!</definedName>
    <definedName name="asti" localSheetId="29">#REF!</definedName>
    <definedName name="asti">#REF!</definedName>
    <definedName name="astm" localSheetId="8">#REF!</definedName>
    <definedName name="astm" localSheetId="10">#REF!</definedName>
    <definedName name="astm" localSheetId="11">#REF!</definedName>
    <definedName name="astm" localSheetId="29">#REF!</definedName>
    <definedName name="astm">#REF!</definedName>
    <definedName name="astmid" localSheetId="8">#REF!</definedName>
    <definedName name="astmid" localSheetId="10">#REF!</definedName>
    <definedName name="astmid" localSheetId="11">#REF!</definedName>
    <definedName name="astmid" localSheetId="29">#REF!</definedName>
    <definedName name="astmid">#REF!</definedName>
    <definedName name="astmin" localSheetId="8">#REF!</definedName>
    <definedName name="astmin" localSheetId="10">#REF!</definedName>
    <definedName name="astmin" localSheetId="11">#REF!</definedName>
    <definedName name="astmin" localSheetId="29">#REF!</definedName>
    <definedName name="astmin">#REF!</definedName>
    <definedName name="asto" localSheetId="8">#REF!</definedName>
    <definedName name="asto" localSheetId="10">#REF!</definedName>
    <definedName name="asto" localSheetId="11">#REF!</definedName>
    <definedName name="asto" localSheetId="29">#REF!</definedName>
    <definedName name="asto">#REF!</definedName>
    <definedName name="astr" localSheetId="8">#REF!</definedName>
    <definedName name="astr" localSheetId="10">#REF!</definedName>
    <definedName name="astr" localSheetId="11">#REF!</definedName>
    <definedName name="astr" localSheetId="29">#REF!</definedName>
    <definedName name="astr">#REF!</definedName>
    <definedName name="astsup" localSheetId="8">#REF!</definedName>
    <definedName name="astsup" localSheetId="10">#REF!</definedName>
    <definedName name="astsup" localSheetId="11">#REF!</definedName>
    <definedName name="astsup" localSheetId="29">#REF!</definedName>
    <definedName name="astsup">#REF!</definedName>
    <definedName name="asttp" localSheetId="8">#REF!</definedName>
    <definedName name="asttp" localSheetId="10">#REF!</definedName>
    <definedName name="asttp" localSheetId="11">#REF!</definedName>
    <definedName name="asttp" localSheetId="29">#REF!</definedName>
    <definedName name="asttp">#REF!</definedName>
    <definedName name="asttrb" localSheetId="8">#REF!</definedName>
    <definedName name="asttrb" localSheetId="10">#REF!</definedName>
    <definedName name="asttrb" localSheetId="11">#REF!</definedName>
    <definedName name="asttrb" localSheetId="29">#REF!</definedName>
    <definedName name="asttrb">#REF!</definedName>
    <definedName name="ASWE" localSheetId="8">#REF!</definedName>
    <definedName name="ASWE" localSheetId="10">#REF!</definedName>
    <definedName name="ASWE" localSheetId="29">#REF!</definedName>
    <definedName name="ASWE">#REF!</definedName>
    <definedName name="ASWR" localSheetId="8">#REF!</definedName>
    <definedName name="ASWR" localSheetId="10">#REF!</definedName>
    <definedName name="ASWR" localSheetId="29">#REF!</definedName>
    <definedName name="ASWR">#REF!</definedName>
    <definedName name="aswsws">#REF!</definedName>
    <definedName name="at">#REF!</definedName>
    <definedName name="ATACK" localSheetId="21">#REF!</definedName>
    <definedName name="ATACK" localSheetId="5">#REF!</definedName>
    <definedName name="ATACK" localSheetId="8">#REF!</definedName>
    <definedName name="ATACK" localSheetId="10">#REF!</definedName>
    <definedName name="ATACK" localSheetId="11">#REF!</definedName>
    <definedName name="ATACK" localSheetId="29">#REF!</definedName>
    <definedName name="ATACK" localSheetId="31">#REF!</definedName>
    <definedName name="ATACK" localSheetId="35">#REF!</definedName>
    <definedName name="ATACK" localSheetId="36">#REF!</definedName>
    <definedName name="ATACK">#REF!</definedName>
    <definedName name="att" localSheetId="8">#REF!</definedName>
    <definedName name="att" localSheetId="10">#REF!</definedName>
    <definedName name="att" localSheetId="11">#REF!</definedName>
    <definedName name="att" localSheetId="29">#REF!</definedName>
    <definedName name="att">#REF!</definedName>
    <definedName name="AU" localSheetId="8">#REF!</definedName>
    <definedName name="AU" localSheetId="10">#REF!</definedName>
    <definedName name="AU" localSheetId="29">#REF!</definedName>
    <definedName name="AU">#REF!</definedName>
    <definedName name="AUX">#REF!</definedName>
    <definedName name="AWBM2" localSheetId="21">#REF!</definedName>
    <definedName name="AWBM2" localSheetId="5">#REF!</definedName>
    <definedName name="AWBM2" localSheetId="8">#REF!</definedName>
    <definedName name="AWBM2" localSheetId="10">#REF!</definedName>
    <definedName name="AWBM2" localSheetId="11">#REF!</definedName>
    <definedName name="AWBM2" localSheetId="29">#REF!</definedName>
    <definedName name="AWBM2" localSheetId="31">#REF!</definedName>
    <definedName name="AWBM2" localSheetId="35">#REF!</definedName>
    <definedName name="AWBM2" localSheetId="36">#REF!</definedName>
    <definedName name="AWBM2">#REF!</definedName>
    <definedName name="AWBM3" localSheetId="21">#REF!</definedName>
    <definedName name="AWBM3" localSheetId="5">#REF!</definedName>
    <definedName name="AWBM3" localSheetId="8">#REF!</definedName>
    <definedName name="AWBM3" localSheetId="10">#REF!</definedName>
    <definedName name="AWBM3" localSheetId="11">#REF!</definedName>
    <definedName name="AWBM3" localSheetId="29">#REF!</definedName>
    <definedName name="AWBM3" localSheetId="31">#REF!</definedName>
    <definedName name="AWBM3" localSheetId="35">#REF!</definedName>
    <definedName name="AWBM3" localSheetId="36">#REF!</definedName>
    <definedName name="AWBM3">#REF!</definedName>
    <definedName name="b" localSheetId="21">#REF!</definedName>
    <definedName name="b" localSheetId="5">#REF!</definedName>
    <definedName name="b" localSheetId="8">#REF!</definedName>
    <definedName name="b" localSheetId="10">#REF!</definedName>
    <definedName name="b" localSheetId="11">#REF!</definedName>
    <definedName name="b" localSheetId="29">#REF!</definedName>
    <definedName name="b" localSheetId="31">#REF!</definedName>
    <definedName name="b" localSheetId="35">#REF!</definedName>
    <definedName name="b" localSheetId="36">#REF!</definedName>
    <definedName name="b">#REF!</definedName>
    <definedName name="b_43">"$#REF!.$H$3:$J$6"</definedName>
    <definedName name="b_59">"$#REF!.$H$3:$J$6"</definedName>
    <definedName name="b_61">"$#REF!.$H$3:$J$6"</definedName>
    <definedName name="BA" localSheetId="8">#REF!</definedName>
    <definedName name="BA" localSheetId="10">#REF!</definedName>
    <definedName name="BA" localSheetId="29">#REF!</definedName>
    <definedName name="BA">#REF!</definedName>
    <definedName name="BackFilling_Gravel">#REF!</definedName>
    <definedName name="bar_bender" localSheetId="8">#REF!</definedName>
    <definedName name="bar_bender" localSheetId="10">#REF!</definedName>
    <definedName name="bar_bender" localSheetId="11">#REF!</definedName>
    <definedName name="bar_bender" localSheetId="29">#REF!</definedName>
    <definedName name="bar_bender">#REF!</definedName>
    <definedName name="bbbbb" localSheetId="21">#REF!</definedName>
    <definedName name="bbbbb" localSheetId="5">#REF!</definedName>
    <definedName name="bbbbb" localSheetId="8">#REF!</definedName>
    <definedName name="bbbbb" localSheetId="10">#REF!</definedName>
    <definedName name="bbbbb" localSheetId="11">#REF!</definedName>
    <definedName name="bbbbb" localSheetId="29">#REF!</definedName>
    <definedName name="bbbbb" localSheetId="31">#REF!</definedName>
    <definedName name="bbbbb" localSheetId="35">#REF!</definedName>
    <definedName name="bbbbb" localSheetId="36">#REF!</definedName>
    <definedName name="bbbbb">#REF!</definedName>
    <definedName name="BBD" localSheetId="8">#REF!</definedName>
    <definedName name="BBD" localSheetId="10">#REF!</definedName>
    <definedName name="BBD" localSheetId="29">#REF!</definedName>
    <definedName name="BBD">#REF!</definedName>
    <definedName name="BBW" localSheetId="8">#REF!</definedName>
    <definedName name="BBW" localSheetId="10">#REF!</definedName>
    <definedName name="BBW" localSheetId="29">#REF!</definedName>
    <definedName name="BBW">#REF!</definedName>
    <definedName name="bdfdh" localSheetId="29">#REF!</definedName>
    <definedName name="BDK" localSheetId="8">#REF!</definedName>
    <definedName name="BDK" localSheetId="10">#REF!</definedName>
    <definedName name="BDK" localSheetId="29">#REF!</definedName>
    <definedName name="BDK">#REF!</definedName>
    <definedName name="BE" localSheetId="8">#REF!</definedName>
    <definedName name="BE" localSheetId="10">#REF!</definedName>
    <definedName name="BE" localSheetId="29">#REF!</definedName>
    <definedName name="BE">#REF!</definedName>
    <definedName name="Beam_Length" localSheetId="8">#REF!</definedName>
    <definedName name="Beam_Length" localSheetId="10">#REF!</definedName>
    <definedName name="Beam_Length" localSheetId="11">#REF!</definedName>
    <definedName name="Beam_Length" localSheetId="29">#REF!</definedName>
    <definedName name="Beam_Length">#REF!</definedName>
    <definedName name="bfh" localSheetId="8">#REF!</definedName>
    <definedName name="bfh" localSheetId="10">#REF!</definedName>
    <definedName name="bfh" localSheetId="11">#REF!</definedName>
    <definedName name="bfh" localSheetId="29">#REF!</definedName>
    <definedName name="bfh">#REF!</definedName>
    <definedName name="bh" localSheetId="8">#REF!</definedName>
    <definedName name="bh" localSheetId="10">#REF!</definedName>
    <definedName name="bh" localSheetId="11">#REF!</definedName>
    <definedName name="bh" localSheetId="29">#REF!</definedName>
    <definedName name="bh">#REF!</definedName>
    <definedName name="Bi" localSheetId="29">#REF!</definedName>
    <definedName name="BINDING" localSheetId="5">#REF!</definedName>
    <definedName name="BINDING" localSheetId="8">#REF!</definedName>
    <definedName name="BINDING" localSheetId="10">#REF!</definedName>
    <definedName name="BINDING" localSheetId="11">#REF!</definedName>
    <definedName name="BINDING" localSheetId="29">#REF!</definedName>
    <definedName name="BINDING" localSheetId="31">#REF!</definedName>
    <definedName name="BINDING">#REF!</definedName>
    <definedName name="bindingwire" localSheetId="8">#REF!</definedName>
    <definedName name="bindingwire" localSheetId="10">#REF!</definedName>
    <definedName name="bindingwire" localSheetId="11">#REF!</definedName>
    <definedName name="bindingwire" localSheetId="29">#REF!</definedName>
    <definedName name="bindingwire">#REF!</definedName>
    <definedName name="bl" localSheetId="5">#REF!</definedName>
    <definedName name="BL" localSheetId="8">#REF!</definedName>
    <definedName name="BL" localSheetId="10">#REF!</definedName>
    <definedName name="bl" localSheetId="11">#REF!</definedName>
    <definedName name="BL" localSheetId="29">#REF!</definedName>
    <definedName name="BL">#REF!</definedName>
    <definedName name="BLA">#REF!</definedName>
    <definedName name="bla1_33">#REF!</definedName>
    <definedName name="bla1_34">#REF!</definedName>
    <definedName name="blast_21" localSheetId="29">#REF!</definedName>
    <definedName name="blast_33">#REF!</definedName>
    <definedName name="blast_34">#REF!</definedName>
    <definedName name="blasting" localSheetId="29">#REF!</definedName>
    <definedName name="BLF" localSheetId="14">#REF!</definedName>
    <definedName name="BLF" localSheetId="8">#REF!</definedName>
    <definedName name="BLF" localSheetId="10">#REF!</definedName>
    <definedName name="BLF" localSheetId="29">#REF!</definedName>
    <definedName name="BLF">#REF!</definedName>
    <definedName name="bmas" localSheetId="8">#REF!</definedName>
    <definedName name="bmas" localSheetId="10">#REF!</definedName>
    <definedName name="bmas" localSheetId="11">#REF!</definedName>
    <definedName name="bmas" localSheetId="29">#REF!</definedName>
    <definedName name="bmas">#REF!</definedName>
    <definedName name="bmcf" localSheetId="8">#REF!</definedName>
    <definedName name="bmcf" localSheetId="10">#REF!</definedName>
    <definedName name="bmcf" localSheetId="11">#REF!</definedName>
    <definedName name="bmcf" localSheetId="29">#REF!</definedName>
    <definedName name="bmcf">#REF!</definedName>
    <definedName name="bmcfo" localSheetId="8">#REF!</definedName>
    <definedName name="bmcfo" localSheetId="10">#REF!</definedName>
    <definedName name="bmcfo" localSheetId="11">#REF!</definedName>
    <definedName name="bmcfo" localSheetId="29">#REF!</definedName>
    <definedName name="bmcfo">#REF!</definedName>
    <definedName name="bmm" localSheetId="8">#REF!</definedName>
    <definedName name="bmm" localSheetId="10">#REF!</definedName>
    <definedName name="bmm" localSheetId="11">#REF!</definedName>
    <definedName name="bmm" localSheetId="29">#REF!</definedName>
    <definedName name="bmm">#REF!</definedName>
    <definedName name="bmo" localSheetId="8">#REF!</definedName>
    <definedName name="bmo" localSheetId="10">#REF!</definedName>
    <definedName name="bmo" localSheetId="11">#REF!</definedName>
    <definedName name="bmo" localSheetId="29">#REF!</definedName>
    <definedName name="bmo">#REF!</definedName>
    <definedName name="bmpcf" localSheetId="8">#REF!</definedName>
    <definedName name="bmpcf" localSheetId="10">#REF!</definedName>
    <definedName name="bmpcf" localSheetId="11">#REF!</definedName>
    <definedName name="bmpcf" localSheetId="29">#REF!</definedName>
    <definedName name="bmpcf">#REF!</definedName>
    <definedName name="bmpcfo" localSheetId="8">#REF!</definedName>
    <definedName name="bmpcfo" localSheetId="10">#REF!</definedName>
    <definedName name="bmpcfo" localSheetId="11">#REF!</definedName>
    <definedName name="bmpcfo" localSheetId="29">#REF!</definedName>
    <definedName name="bmpcfo">#REF!</definedName>
    <definedName name="bo" localSheetId="21">#REF!</definedName>
    <definedName name="bo" localSheetId="5">#REF!</definedName>
    <definedName name="bo" localSheetId="8">#REF!</definedName>
    <definedName name="bo" localSheetId="10">#REF!</definedName>
    <definedName name="bo" localSheetId="11">#REF!</definedName>
    <definedName name="bo" localSheetId="29">#REF!</definedName>
    <definedName name="bo" localSheetId="31">#REF!</definedName>
    <definedName name="bo" localSheetId="35">#REF!</definedName>
    <definedName name="bo" localSheetId="36">#REF!</definedName>
    <definedName name="bo">#REF!</definedName>
    <definedName name="boo" localSheetId="21">#REF!</definedName>
    <definedName name="boo" localSheetId="5">#REF!</definedName>
    <definedName name="boo" localSheetId="8">#REF!</definedName>
    <definedName name="boo" localSheetId="10">#REF!</definedName>
    <definedName name="boo" localSheetId="11">#REF!</definedName>
    <definedName name="boo" localSheetId="29">#REF!</definedName>
    <definedName name="boo" localSheetId="31">#REF!</definedName>
    <definedName name="boo" localSheetId="35">#REF!</definedName>
    <definedName name="boo" localSheetId="36">#REF!</definedName>
    <definedName name="boo">#REF!</definedName>
    <definedName name="Bore_wells" localSheetId="21">#REF!</definedName>
    <definedName name="Bore_wells" localSheetId="5">#REF!</definedName>
    <definedName name="Bore_wells" localSheetId="8">#REF!</definedName>
    <definedName name="Bore_wells" localSheetId="10">#REF!</definedName>
    <definedName name="Bore_wells" localSheetId="11">#REF!</definedName>
    <definedName name="Bore_wells" localSheetId="29">#REF!</definedName>
    <definedName name="Bore_wells" localSheetId="31">#REF!</definedName>
    <definedName name="Bore_wells" localSheetId="35">#REF!</definedName>
    <definedName name="Bore_wells" localSheetId="36">#REF!</definedName>
    <definedName name="Bore_wells">#REF!</definedName>
    <definedName name="boreWell" localSheetId="5">#REF!</definedName>
    <definedName name="boreWell" localSheetId="8">#REF!</definedName>
    <definedName name="boreWell" localSheetId="10">#REF!</definedName>
    <definedName name="boreWell" localSheetId="29">#REF!</definedName>
    <definedName name="boreWell" localSheetId="31">#REF!</definedName>
    <definedName name="boreWell">#REF!</definedName>
    <definedName name="borewells" localSheetId="5">#REF!</definedName>
    <definedName name="borewells" localSheetId="8">#REF!</definedName>
    <definedName name="borewells" localSheetId="10">#REF!</definedName>
    <definedName name="borewells" localSheetId="29">#REF!</definedName>
    <definedName name="borewells" localSheetId="31">#REF!</definedName>
    <definedName name="borewells">#REF!</definedName>
    <definedName name="BOTTOMDOMEONETOSIX" localSheetId="5">#REF!</definedName>
    <definedName name="BOTTOMDOMEONETOSIX" localSheetId="8">#REF!</definedName>
    <definedName name="BOTTOMDOMEONETOSIX" localSheetId="10">#REF!</definedName>
    <definedName name="BOTTOMDOMEONETOSIX" localSheetId="29">#REF!</definedName>
    <definedName name="BOTTOMDOMEONETOSIX" localSheetId="31">#REF!</definedName>
    <definedName name="BOTTOMDOMEONETOSIX">#REF!</definedName>
    <definedName name="BOTTOMDOMESIXTOTHIRTEEN" localSheetId="5">#REF!</definedName>
    <definedName name="BOTTOMDOMESIXTOTHIRTEEN" localSheetId="8">#REF!</definedName>
    <definedName name="BOTTOMDOMESIXTOTHIRTEEN" localSheetId="10">#REF!</definedName>
    <definedName name="BOTTOMDOMESIXTOTHIRTEEN" localSheetId="29">#REF!</definedName>
    <definedName name="BOTTOMDOMESIXTOTHIRTEEN" localSheetId="31">#REF!</definedName>
    <definedName name="BOTTOMDOMESIXTOTHIRTEEN">#REF!</definedName>
    <definedName name="BOTTOMRINGGIRDERONETOSIX" localSheetId="5">#REF!</definedName>
    <definedName name="BOTTOMRINGGIRDERONETOSIX" localSheetId="8">#REF!</definedName>
    <definedName name="BOTTOMRINGGIRDERONETOSIX" localSheetId="10">#REF!</definedName>
    <definedName name="BOTTOMRINGGIRDERONETOSIX" localSheetId="29">#REF!</definedName>
    <definedName name="BOTTOMRINGGIRDERONETOSIX" localSheetId="31">#REF!</definedName>
    <definedName name="BOTTOMRINGGIRDERONETOSIX">#REF!</definedName>
    <definedName name="BOTTOMRINGGIRDERSEVENTOTHIRTEEN" localSheetId="5">#REF!</definedName>
    <definedName name="BOTTOMRINGGIRDERSEVENTOTHIRTEEN" localSheetId="8">#REF!</definedName>
    <definedName name="BOTTOMRINGGIRDERSEVENTOTHIRTEEN" localSheetId="10">#REF!</definedName>
    <definedName name="BOTTOMRINGGIRDERSEVENTOTHIRTEEN" localSheetId="29">#REF!</definedName>
    <definedName name="BOTTOMRINGGIRDERSEVENTOTHIRTEEN" localSheetId="31">#REF!</definedName>
    <definedName name="BOTTOMRINGGIRDERSEVENTOTHIRTEEN">#REF!</definedName>
    <definedName name="BoulderApron">#REF!</definedName>
    <definedName name="bp" localSheetId="8">#REF!</definedName>
    <definedName name="bp" localSheetId="10">#REF!</definedName>
    <definedName name="bp" localSheetId="11">#REF!</definedName>
    <definedName name="bp" localSheetId="29">#REF!</definedName>
    <definedName name="bp">#REF!</definedName>
    <definedName name="bpd" localSheetId="8">#REF!</definedName>
    <definedName name="bpd" localSheetId="10">#REF!</definedName>
    <definedName name="bpd" localSheetId="29">#REF!</definedName>
    <definedName name="bpd">#REF!</definedName>
    <definedName name="br" localSheetId="29" hidden="1">{"'ridftotal'!$A$4:$S$27"}</definedName>
    <definedName name="br_230" localSheetId="8">#REF!</definedName>
    <definedName name="br_230" localSheetId="10">#REF!</definedName>
    <definedName name="br_230" localSheetId="11">#REF!</definedName>
    <definedName name="br_230" localSheetId="29">#REF!</definedName>
    <definedName name="br_230">#REF!</definedName>
    <definedName name="brgf">#REF!</definedName>
    <definedName name="brick" localSheetId="21">#REF!</definedName>
    <definedName name="brick" localSheetId="5">#REF!</definedName>
    <definedName name="brick" localSheetId="8">#REF!</definedName>
    <definedName name="brick" localSheetId="10">#REF!</definedName>
    <definedName name="brick" localSheetId="11">#REF!</definedName>
    <definedName name="brick" localSheetId="29">#REF!</definedName>
    <definedName name="brick" localSheetId="31">#REF!</definedName>
    <definedName name="brick" localSheetId="35">#REF!</definedName>
    <definedName name="brick" localSheetId="36">#REF!</definedName>
    <definedName name="brick">#REF!</definedName>
    <definedName name="brick_23">"$#REF!.$#REF!$#REF!"</definedName>
    <definedName name="brick_32">"$#REF!.$#REF!$#REF!"</definedName>
    <definedName name="brick_33">"$#REF!.$#REF!$#REF!"</definedName>
    <definedName name="brick_34">"$#REF!.$#REF!$#REF!"</definedName>
    <definedName name="brick_38">"$#REF!.$#REF!$#REF!"</definedName>
    <definedName name="brick_41">"$#REF!.$#REF!$#REF!"</definedName>
    <definedName name="brick_43">"$#REF!.$#REF!$#REF!"</definedName>
    <definedName name="brick_48">"$#REF!.$#REF!$#REF!"</definedName>
    <definedName name="brick_56">"$#REF!.$#REF!$#REF!"</definedName>
    <definedName name="brick_57">"$#REF!.$#REF!$#REF!"</definedName>
    <definedName name="brick_59">"$#REF!.$#REF!$#REF!"</definedName>
    <definedName name="brick_60">"$#REF!.$#REF!$#REF!"</definedName>
    <definedName name="brick_61">"$#REF!.$#REF!$#REF!"</definedName>
    <definedName name="brick_62">"$#REF!.$#REF!$#REF!"</definedName>
    <definedName name="brick_7">"$#REF!.$#REF!$#REF!"</definedName>
    <definedName name="brick_72">"$#REF!.$#REF!$#REF!"</definedName>
    <definedName name="brick_73">"$#REF!.$#REF!$#REF!"</definedName>
    <definedName name="brick_8">"$#REF!.$#REF!$#REF!"</definedName>
    <definedName name="brick_four" localSheetId="8">#REF!</definedName>
    <definedName name="brick_four" localSheetId="10">#REF!</definedName>
    <definedName name="brick_four" localSheetId="11">#REF!</definedName>
    <definedName name="brick_four" localSheetId="29">#REF!</definedName>
    <definedName name="brick_four">#REF!</definedName>
    <definedName name="brick_nine" localSheetId="8">#REF!</definedName>
    <definedName name="brick_nine" localSheetId="10">#REF!</definedName>
    <definedName name="brick_nine" localSheetId="11">#REF!</definedName>
    <definedName name="brick_nine" localSheetId="29">#REF!</definedName>
    <definedName name="brick_nine">#REF!</definedName>
    <definedName name="Bricks" localSheetId="21">#REF!</definedName>
    <definedName name="Bricks" localSheetId="5">#REF!</definedName>
    <definedName name="Bricks" localSheetId="8">#REF!</definedName>
    <definedName name="Bricks" localSheetId="10">#REF!</definedName>
    <definedName name="Bricks" localSheetId="11">#REF!</definedName>
    <definedName name="Bricks" localSheetId="29">#REF!</definedName>
    <definedName name="Bricks" localSheetId="31">#REF!</definedName>
    <definedName name="Bricks" localSheetId="35">#REF!</definedName>
    <definedName name="Bricks" localSheetId="36">#REF!</definedName>
    <definedName name="Bricks">#REF!</definedName>
    <definedName name="Bricks_23">"$#REF!.$#REF!$#REF!"</definedName>
    <definedName name="Bricks_32">"$#REF!.$#REF!$#REF!"</definedName>
    <definedName name="Bricks_33">"$#REF!.$#REF!$#REF!"</definedName>
    <definedName name="Bricks_34">"$#REF!.$#REF!$#REF!"</definedName>
    <definedName name="Bricks_38">"$#REF!.$#REF!$#REF!"</definedName>
    <definedName name="Bricks_41">"$#REF!.$#REF!$#REF!"</definedName>
    <definedName name="Bricks_43">"$#REF!.$#REF!$#REF!"</definedName>
    <definedName name="Bricks_48">"$#REF!.$#REF!$#REF!"</definedName>
    <definedName name="Bricks_56">"$#REF!.$#REF!$#REF!"</definedName>
    <definedName name="Bricks_57">"$#REF!.$#REF!$#REF!"</definedName>
    <definedName name="Bricks_59">"$#REF!.$#REF!$#REF!"</definedName>
    <definedName name="Bricks_60">"$#REF!.$#REF!$#REF!"</definedName>
    <definedName name="Bricks_61">"$#REF!.$#REF!$#REF!"</definedName>
    <definedName name="Bricks_62">"$#REF!.$#REF!$#REF!"</definedName>
    <definedName name="Bricks_7">"$#REF!.$#REF!$#REF!"</definedName>
    <definedName name="Bricks_72">"$#REF!.$#REF!$#REF!"</definedName>
    <definedName name="Bricks_73">"$#REF!.$#REF!$#REF!"</definedName>
    <definedName name="Bricks_8">"$#REF!.$#REF!$#REF!"</definedName>
    <definedName name="Bridge" localSheetId="5">#REF!</definedName>
    <definedName name="Bridge" localSheetId="8">#REF!</definedName>
    <definedName name="Bridge" localSheetId="10">#REF!</definedName>
    <definedName name="Bridge" localSheetId="11">#REF!</definedName>
    <definedName name="Bridge" localSheetId="29">#REF!</definedName>
    <definedName name="Bridge" localSheetId="31">#REF!</definedName>
    <definedName name="Bridge">#REF!</definedName>
    <definedName name="Bridge_33">"$#REF!.$#REF!$#REF!:$#REF!$#REF!"</definedName>
    <definedName name="Bridge_38">"$#REF!.$#REF!$#REF!:$#REF!$#REF!"</definedName>
    <definedName name="Bridge_41">"$#REF!.$#REF!$#REF!:$#REF!$#REF!"</definedName>
    <definedName name="Bridge_7">"$#REF!.$#REF!$#REF!:$#REF!$#REF!"</definedName>
    <definedName name="Bridge_8">"$#REF!.$#REF!$#REF!:$#REF!$#REF!"</definedName>
    <definedName name="brk" localSheetId="8">#REF!</definedName>
    <definedName name="brk" localSheetId="10">#REF!</definedName>
    <definedName name="brk" localSheetId="29">#REF!</definedName>
    <definedName name="brk" localSheetId="31">#REF!</definedName>
    <definedName name="brk">#REF!</definedName>
    <definedName name="BSG" localSheetId="5">#REF!</definedName>
    <definedName name="BSG" localSheetId="8">#REF!</definedName>
    <definedName name="BSG" localSheetId="10">#REF!</definedName>
    <definedName name="BSG" localSheetId="11">#REF!</definedName>
    <definedName name="BSG" localSheetId="29">#REF!</definedName>
    <definedName name="BSG" localSheetId="31">#REF!</definedName>
    <definedName name="BSG">#REF!</definedName>
    <definedName name="bsth" localSheetId="8">#REF!</definedName>
    <definedName name="bsth" localSheetId="10">#REF!</definedName>
    <definedName name="bsth" localSheetId="11">#REF!</definedName>
    <definedName name="bsth" localSheetId="29">#REF!</definedName>
    <definedName name="bsth">#REF!</definedName>
    <definedName name="bsthi" localSheetId="8">#REF!</definedName>
    <definedName name="bsthi" localSheetId="10">#REF!</definedName>
    <definedName name="bsthi" localSheetId="11">#REF!</definedName>
    <definedName name="bsthi" localSheetId="29">#REF!</definedName>
    <definedName name="bsthi">#REF!</definedName>
    <definedName name="bt" localSheetId="5">#REF!</definedName>
    <definedName name="BT" localSheetId="8">#REF!</definedName>
    <definedName name="BT" localSheetId="10">#REF!</definedName>
    <definedName name="BT" localSheetId="11">#REF!</definedName>
    <definedName name="BT" localSheetId="29">#REF!</definedName>
    <definedName name="BT" localSheetId="31">#REF!</definedName>
    <definedName name="BT">#REF!</definedName>
    <definedName name="bt_boil">#REF!</definedName>
    <definedName name="bt_lead">#REF!</definedName>
    <definedName name="BT_MIX_SEAL" localSheetId="5">#REF!</definedName>
    <definedName name="BT_MIX_SEAL" localSheetId="8">#REF!</definedName>
    <definedName name="BT_MIX_SEAL" localSheetId="10">#REF!</definedName>
    <definedName name="BT_MIX_SEAL" localSheetId="11">#REF!</definedName>
    <definedName name="BT_MIX_SEAL" localSheetId="29">#REF!</definedName>
    <definedName name="BT_MIX_SEAL" localSheetId="31">#REF!</definedName>
    <definedName name="BT_MIX_SEAL">#REF!</definedName>
    <definedName name="bt_rate">#REF!</definedName>
    <definedName name="BT_Rate_60_70" localSheetId="14">lead!$J$40</definedName>
    <definedName name="BT_Rate_60_70" localSheetId="29">[1]Lead!$J$41</definedName>
    <definedName name="BT_Rate_60_70">lead!$J$40</definedName>
    <definedName name="BT_SEAL_COAT" localSheetId="5">#REF!</definedName>
    <definedName name="BT_SEAL_COAT" localSheetId="8">#REF!</definedName>
    <definedName name="BT_SEAL_COAT" localSheetId="10">#REF!</definedName>
    <definedName name="BT_SEAL_COAT" localSheetId="11">#REF!</definedName>
    <definedName name="BT_SEAL_COAT" localSheetId="29">#REF!</definedName>
    <definedName name="BT_SEAL_COAT" localSheetId="31">#REF!</definedName>
    <definedName name="BT_SEAL_COAT">#REF!</definedName>
    <definedName name="BT_SEAL_ON_BTSD" localSheetId="5">#REF!</definedName>
    <definedName name="BT_SEAL_ON_BTSD" localSheetId="8">#REF!</definedName>
    <definedName name="BT_SEAL_ON_BTSD" localSheetId="10">#REF!</definedName>
    <definedName name="BT_SEAL_ON_BTSD" localSheetId="11">#REF!</definedName>
    <definedName name="BT_SEAL_ON_BTSD" localSheetId="29">#REF!</definedName>
    <definedName name="BT_SEAL_ON_BTSD" localSheetId="31">#REF!</definedName>
    <definedName name="BT_SEAL_ON_BTSD">#REF!</definedName>
    <definedName name="BT_SINGLE_30.45" localSheetId="5">#REF!</definedName>
    <definedName name="BT_SINGLE_30.45" localSheetId="8">#REF!</definedName>
    <definedName name="BT_SINGLE_30.45" localSheetId="10">#REF!</definedName>
    <definedName name="BT_SINGLE_30.45" localSheetId="11">#REF!</definedName>
    <definedName name="BT_SINGLE_30.45" localSheetId="29">#REF!</definedName>
    <definedName name="BT_SINGLE_30.45" localSheetId="31">#REF!</definedName>
    <definedName name="BT_SINGLE_30.45">#REF!</definedName>
    <definedName name="BT_TypeA_SealCoat">#REF!</definedName>
    <definedName name="BT_TypeA_SealCoat_HMP">#REF!</definedName>
    <definedName name="BT_TypeB_SealCoat">#REF!</definedName>
    <definedName name="BT_TypeB_SealCoat_HMP">#REF!</definedName>
    <definedName name="BT_TypeC_SealCoat">#REF!</definedName>
    <definedName name="BT_WEARING_COAT" localSheetId="5">#REF!</definedName>
    <definedName name="BT_WEARING_COAT" localSheetId="8">#REF!</definedName>
    <definedName name="BT_WEARING_COAT" localSheetId="10">#REF!</definedName>
    <definedName name="BT_WEARING_COAT" localSheetId="11">#REF!</definedName>
    <definedName name="BT_WEARING_COAT" localSheetId="29">#REF!</definedName>
    <definedName name="BT_WEARING_COAT" localSheetId="31">#REF!</definedName>
    <definedName name="BT_WEARING_COAT">#REF!</definedName>
    <definedName name="BTC" localSheetId="8">#REF!</definedName>
    <definedName name="BTC" localSheetId="10">#REF!</definedName>
    <definedName name="BTC" localSheetId="29">#REF!</definedName>
    <definedName name="BTC">#REF!</definedName>
    <definedName name="BTEMULTIONSS1" localSheetId="5">#REF!</definedName>
    <definedName name="BTEMULTIONSS1" localSheetId="8">#REF!</definedName>
    <definedName name="BTEMULTIONSS1" localSheetId="10">#REF!</definedName>
    <definedName name="BTEMULTIONSS1" localSheetId="29">#REF!</definedName>
    <definedName name="BTEMULTIONSS1" localSheetId="31">#REF!</definedName>
    <definedName name="BTEMULTIONSS1">#REF!</definedName>
    <definedName name="BTL" localSheetId="21">#REF!</definedName>
    <definedName name="BTL" localSheetId="31">#REF!</definedName>
    <definedName name="BTSD_23" localSheetId="5">#REF!</definedName>
    <definedName name="BTSD_23" localSheetId="8">#REF!</definedName>
    <definedName name="BTSD_23" localSheetId="10">#REF!</definedName>
    <definedName name="BTSD_23" localSheetId="11">#REF!</definedName>
    <definedName name="BTSD_23" localSheetId="29">#REF!</definedName>
    <definedName name="BTSD_23" localSheetId="31">#REF!</definedName>
    <definedName name="BTSD_23">#REF!</definedName>
    <definedName name="BTSD_DRY" localSheetId="5">#REF!</definedName>
    <definedName name="BTSD_DRY" localSheetId="8">#REF!</definedName>
    <definedName name="BTSD_DRY" localSheetId="10">#REF!</definedName>
    <definedName name="BTSD_DRY" localSheetId="11">#REF!</definedName>
    <definedName name="BTSD_DRY" localSheetId="29">#REF!</definedName>
    <definedName name="BTSD_DRY" localSheetId="31">#REF!</definedName>
    <definedName name="BTSD_DRY">#REF!</definedName>
    <definedName name="BTSD_SEAL" localSheetId="5">#REF!</definedName>
    <definedName name="BTSD_SEAL" localSheetId="8">#REF!</definedName>
    <definedName name="BTSD_SEAL" localSheetId="10">#REF!</definedName>
    <definedName name="BTSD_SEAL" localSheetId="11">#REF!</definedName>
    <definedName name="BTSD_SEAL" localSheetId="29">#REF!</definedName>
    <definedName name="BTSD_SEAL" localSheetId="31">#REF!</definedName>
    <definedName name="BTSD_SEAL">#REF!</definedName>
    <definedName name="BTSD_SingleCoat">#REF!</definedName>
    <definedName name="buildings" localSheetId="8">#REF!</definedName>
    <definedName name="buildings" localSheetId="10">#REF!</definedName>
    <definedName name="buildings" localSheetId="11">#REF!</definedName>
    <definedName name="buildings" localSheetId="29">#REF!</definedName>
    <definedName name="buildings">#REF!</definedName>
    <definedName name="Button_1">"tlbww_details"</definedName>
    <definedName name="BV">#REF!</definedName>
    <definedName name="bvghght">#REF!</definedName>
    <definedName name="bw" localSheetId="5">#REF!</definedName>
    <definedName name="bw" localSheetId="8">#REF!</definedName>
    <definedName name="bw" localSheetId="10">#REF!</definedName>
    <definedName name="bw" localSheetId="29">#REF!</definedName>
    <definedName name="bw" localSheetId="31">#REF!</definedName>
    <definedName name="bw">#REF!</definedName>
    <definedName name="BWB" localSheetId="14">#REF!</definedName>
    <definedName name="BWB" localSheetId="8">#REF!</definedName>
    <definedName name="BWB" localSheetId="10">#REF!</definedName>
    <definedName name="BWB" localSheetId="29">#REF!</definedName>
    <definedName name="BWB">#REF!</definedName>
    <definedName name="BWP" localSheetId="14">#REF!</definedName>
    <definedName name="BWP" localSheetId="8">#REF!</definedName>
    <definedName name="BWP" localSheetId="10">#REF!</definedName>
    <definedName name="BWP" localSheetId="29">#REF!</definedName>
    <definedName name="BWP">#REF!</definedName>
    <definedName name="bx" localSheetId="21">#REF!</definedName>
    <definedName name="bx" localSheetId="5">#REF!</definedName>
    <definedName name="bx" localSheetId="8">#REF!</definedName>
    <definedName name="bx" localSheetId="10">#REF!</definedName>
    <definedName name="bx" localSheetId="11">#REF!</definedName>
    <definedName name="bx" localSheetId="29">#REF!</definedName>
    <definedName name="bx" localSheetId="31">#REF!</definedName>
    <definedName name="bx" localSheetId="35">#REF!</definedName>
    <definedName name="bx" localSheetId="36">#REF!</definedName>
    <definedName name="bx">#REF!</definedName>
    <definedName name="C.M_1isto5" localSheetId="29">#REF!</definedName>
    <definedName name="C_" localSheetId="14">#REF!</definedName>
    <definedName name="C_" localSheetId="8">#REF!</definedName>
    <definedName name="C_" localSheetId="10">#REF!</definedName>
    <definedName name="C_" localSheetId="29">#REF!</definedName>
    <definedName name="C_">#REF!</definedName>
    <definedName name="c_c136">#REF!</definedName>
    <definedName name="C824." localSheetId="8">#REF!</definedName>
    <definedName name="C824." localSheetId="10">#REF!</definedName>
    <definedName name="C824." localSheetId="29">#REF!</definedName>
    <definedName name="C824." localSheetId="31">#REF!</definedName>
    <definedName name="C824.">#REF!</definedName>
    <definedName name="calculations">#REF!</definedName>
    <definedName name="CANTILEVERONETOSIX" localSheetId="5">#REF!</definedName>
    <definedName name="CANTILEVERONETOSIX" localSheetId="8">#REF!</definedName>
    <definedName name="CANTILEVERONETOSIX" localSheetId="10">#REF!</definedName>
    <definedName name="CANTILEVERONETOSIX" localSheetId="29">#REF!</definedName>
    <definedName name="CANTILEVERONETOSIX" localSheetId="31">#REF!</definedName>
    <definedName name="CANTILEVERONETOSIX">#REF!</definedName>
    <definedName name="CANTILEVERSEVENTOTHIRTEEN" localSheetId="5">#REF!</definedName>
    <definedName name="CANTILEVERSEVENTOTHIRTEEN" localSheetId="8">#REF!</definedName>
    <definedName name="CANTILEVERSEVENTOTHIRTEEN" localSheetId="10">#REF!</definedName>
    <definedName name="CANTILEVERSEVENTOTHIRTEEN" localSheetId="29">#REF!</definedName>
    <definedName name="CANTILEVERSEVENTOTHIRTEEN" localSheetId="31">#REF!</definedName>
    <definedName name="CANTILEVERSEVENTOTHIRTEEN">#REF!</definedName>
    <definedName name="CAS">#REF!</definedName>
    <definedName name="CAUSEWAY" localSheetId="21">#REF!</definedName>
    <definedName name="CAUSEWAY" localSheetId="5">#REF!</definedName>
    <definedName name="CAUSEWAY" localSheetId="8">#REF!</definedName>
    <definedName name="CAUSEWAY" localSheetId="10">#REF!</definedName>
    <definedName name="CAUSEWAY" localSheetId="11">#REF!</definedName>
    <definedName name="CAUSEWAY" localSheetId="29">#REF!</definedName>
    <definedName name="CAUSEWAY" localSheetId="31">#REF!</definedName>
    <definedName name="CAUSEWAY" localSheetId="35">#REF!</definedName>
    <definedName name="CAUSEWAY" localSheetId="36">#REF!</definedName>
    <definedName name="CAUSEWAY">#REF!</definedName>
    <definedName name="cb" localSheetId="8">#REF!</definedName>
    <definedName name="cb" localSheetId="10">#REF!</definedName>
    <definedName name="cb" localSheetId="11">#REF!</definedName>
    <definedName name="cb" localSheetId="29">#REF!</definedName>
    <definedName name="cb">#REF!</definedName>
    <definedName name="cbeams" localSheetId="29">#REF!</definedName>
    <definedName name="cbr">#REF!</definedName>
    <definedName name="cc" localSheetId="5">#REF!</definedName>
    <definedName name="CC" localSheetId="8">#REF!</definedName>
    <definedName name="CC" localSheetId="10">#REF!</definedName>
    <definedName name="cc" localSheetId="11">#REF!</definedName>
    <definedName name="CC" localSheetId="29">#REF!</definedName>
    <definedName name="cc" localSheetId="31">#REF!</definedName>
    <definedName name="CC">#REF!</definedName>
    <definedName name="CC_M15_HWs_SCs" localSheetId="29">#REF!</definedName>
    <definedName name="CC1.2.4" localSheetId="29">#REF!</definedName>
    <definedName name="cc1.5.10">#REF!</definedName>
    <definedName name="cci" localSheetId="8">#REF!</definedName>
    <definedName name="cci" localSheetId="10">#REF!</definedName>
    <definedName name="cci" localSheetId="11">#REF!</definedName>
    <definedName name="cci" localSheetId="29">#REF!</definedName>
    <definedName name="cci">#REF!</definedName>
    <definedName name="ccir" localSheetId="21">#REF!</definedName>
    <definedName name="ccir" localSheetId="5">#REF!</definedName>
    <definedName name="ccir" localSheetId="8">#REF!</definedName>
    <definedName name="ccir" localSheetId="10">#REF!</definedName>
    <definedName name="ccir" localSheetId="11">#REF!</definedName>
    <definedName name="ccir" localSheetId="29">#REF!</definedName>
    <definedName name="ccir" localSheetId="31">#REF!</definedName>
    <definedName name="ccir" localSheetId="35">#REF!</definedName>
    <definedName name="ccir" localSheetId="36">#REF!</definedName>
    <definedName name="ccir">#REF!</definedName>
    <definedName name="CCL" localSheetId="21">#REF!</definedName>
    <definedName name="CCL" localSheetId="31">#REF!</definedName>
    <definedName name="ccp" localSheetId="29">#REF!</definedName>
    <definedName name="CCP_M30">#REF!</definedName>
    <definedName name="ccwc1" localSheetId="29">#REF!</definedName>
    <definedName name="ccwc2">#REF!</definedName>
    <definedName name="cd" localSheetId="21">#REF!</definedName>
    <definedName name="cd" localSheetId="5">#REF!</definedName>
    <definedName name="cd" localSheetId="8">#REF!</definedName>
    <definedName name="cd" localSheetId="10">#REF!</definedName>
    <definedName name="cd" localSheetId="11">#REF!</definedName>
    <definedName name="cd" localSheetId="29">#REF!</definedName>
    <definedName name="cd" localSheetId="31">#REF!</definedName>
    <definedName name="cd" localSheetId="35">#REF!</definedName>
    <definedName name="cd" localSheetId="36">#REF!</definedName>
    <definedName name="cd">#REF!</definedName>
    <definedName name="cd_33">"$#REF!.$#REF!$#REF!"</definedName>
    <definedName name="cd_34">"$#REF!.$#REF!$#REF!"</definedName>
    <definedName name="cd10mm" localSheetId="29">#REF!</definedName>
    <definedName name="cd12mm">#REF!</definedName>
    <definedName name="cd20mm">#REF!</definedName>
    <definedName name="cd25mm">#REF!</definedName>
    <definedName name="cd2m" localSheetId="8">#REF!</definedName>
    <definedName name="cd2m" localSheetId="10">#REF!</definedName>
    <definedName name="cd2m" localSheetId="29">#REF!</definedName>
    <definedName name="cd2m">#REF!</definedName>
    <definedName name="cd40mm">#REF!</definedName>
    <definedName name="cd40mm08">#REF!</definedName>
    <definedName name="cd6mm">#REF!</definedName>
    <definedName name="CDABSTRACT">#REF!</definedName>
    <definedName name="cddata" localSheetId="21">#REF!</definedName>
    <definedName name="cddata" localSheetId="5">#REF!</definedName>
    <definedName name="cddata" localSheetId="8">#REF!</definedName>
    <definedName name="cddata" localSheetId="10">#REF!</definedName>
    <definedName name="cddata" localSheetId="11">#REF!</definedName>
    <definedName name="cddata" localSheetId="29">#REF!</definedName>
    <definedName name="cddata" localSheetId="31">#REF!</definedName>
    <definedName name="cddata" localSheetId="35">#REF!</definedName>
    <definedName name="cddata" localSheetId="36">#REF!</definedName>
    <definedName name="cddata">#REF!</definedName>
    <definedName name="CDECV" localSheetId="21">#REF!</definedName>
    <definedName name="CDECV" localSheetId="5">#REF!</definedName>
    <definedName name="CDECV" localSheetId="8">#REF!</definedName>
    <definedName name="CDECV" localSheetId="10">#REF!</definedName>
    <definedName name="CDECV" localSheetId="11">#REF!</definedName>
    <definedName name="CDECV" localSheetId="29">#REF!</definedName>
    <definedName name="CDECV" localSheetId="31">#REF!</definedName>
    <definedName name="CDECV" localSheetId="35">#REF!</definedName>
    <definedName name="CDECV" localSheetId="36">#REF!</definedName>
    <definedName name="CDECV">#REF!</definedName>
    <definedName name="CDN" localSheetId="21">#REF!</definedName>
    <definedName name="CDN" localSheetId="31">#REF!</definedName>
    <definedName name="CDNO" localSheetId="21">#REF!</definedName>
    <definedName name="CDNO" localSheetId="5">#REF!</definedName>
    <definedName name="CDNO" localSheetId="8">#REF!</definedName>
    <definedName name="CDNO" localSheetId="10">#REF!</definedName>
    <definedName name="CDNO" localSheetId="11">#REF!</definedName>
    <definedName name="CDNO" localSheetId="29">#REF!</definedName>
    <definedName name="CDNO" localSheetId="31">#REF!</definedName>
    <definedName name="CDNO" localSheetId="35">#REF!</definedName>
    <definedName name="CDNO" localSheetId="36">#REF!</definedName>
    <definedName name="CDNO">#REF!</definedName>
    <definedName name="cdno_600" localSheetId="21">#REF!</definedName>
    <definedName name="cdno_600" localSheetId="5">#REF!</definedName>
    <definedName name="cdno_600" localSheetId="8">#REF!</definedName>
    <definedName name="cdno_600" localSheetId="10">#REF!</definedName>
    <definedName name="cdno_600" localSheetId="11">#REF!</definedName>
    <definedName name="cdno_600" localSheetId="29">#REF!</definedName>
    <definedName name="cdno_600" localSheetId="31">#REF!</definedName>
    <definedName name="cdno_600" localSheetId="35">#REF!</definedName>
    <definedName name="cdno_600" localSheetId="36">#REF!</definedName>
    <definedName name="cdno_600">#REF!</definedName>
    <definedName name="CDSC" localSheetId="21">#REF!</definedName>
    <definedName name="CDSC" localSheetId="31">#REF!</definedName>
    <definedName name="ce" localSheetId="29">#REF!</definedName>
    <definedName name="CEMENT" localSheetId="5">#REF!</definedName>
    <definedName name="CEMENT" localSheetId="8">#REF!</definedName>
    <definedName name="CEMENT" localSheetId="10">#REF!</definedName>
    <definedName name="cement" localSheetId="11">#REF!</definedName>
    <definedName name="CEMENT" localSheetId="29">#REF!</definedName>
    <definedName name="CEMENT" localSheetId="31">#REF!</definedName>
    <definedName name="CEMENT">#REF!</definedName>
    <definedName name="cementpaint" localSheetId="29">#REF!</definedName>
    <definedName name="cenchrcol" localSheetId="8">#REF!</definedName>
    <definedName name="cenchrcol" localSheetId="10">#REF!</definedName>
    <definedName name="cenchrcol" localSheetId="11">#REF!</definedName>
    <definedName name="cenchrcol" localSheetId="29">#REF!</definedName>
    <definedName name="cenchrcol">#REF!</definedName>
    <definedName name="cenchrfoot" localSheetId="8">#REF!</definedName>
    <definedName name="cenchrfoot" localSheetId="10">#REF!</definedName>
    <definedName name="cenchrfoot" localSheetId="11">#REF!</definedName>
    <definedName name="cenchrfoot" localSheetId="29">#REF!</definedName>
    <definedName name="cenchrfoot">#REF!</definedName>
    <definedName name="cenchrpb" localSheetId="8">#REF!</definedName>
    <definedName name="cenchrpb" localSheetId="10">#REF!</definedName>
    <definedName name="cenchrpb" localSheetId="11">#REF!</definedName>
    <definedName name="cenchrpb" localSheetId="29">#REF!</definedName>
    <definedName name="cenchrpb">#REF!</definedName>
    <definedName name="cenchrped" localSheetId="8">#REF!</definedName>
    <definedName name="cenchrped" localSheetId="10">#REF!</definedName>
    <definedName name="cenchrped" localSheetId="11">#REF!</definedName>
    <definedName name="cenchrped" localSheetId="29">#REF!</definedName>
    <definedName name="cenchrped">#REF!</definedName>
    <definedName name="ceramic" localSheetId="8">#REF!</definedName>
    <definedName name="ceramic" localSheetId="10">#REF!</definedName>
    <definedName name="ceramic" localSheetId="11">#REF!</definedName>
    <definedName name="ceramic" localSheetId="29">#REF!</definedName>
    <definedName name="ceramic">#REF!</definedName>
    <definedName name="CEW">#REF!</definedName>
    <definedName name="cfb">#REF!</definedName>
    <definedName name="cg" localSheetId="8">#REF!</definedName>
    <definedName name="cg" localSheetId="10">#REF!</definedName>
    <definedName name="cg" localSheetId="11">#REF!</definedName>
    <definedName name="cg" localSheetId="29">#REF!</definedName>
    <definedName name="cg">#REF!</definedName>
    <definedName name="CGEI" localSheetId="8">#REF!</definedName>
    <definedName name="CGEI" localSheetId="10">#REF!</definedName>
    <definedName name="CGEI" localSheetId="29">#REF!</definedName>
    <definedName name="CGEI">#REF!</definedName>
    <definedName name="CGEII" localSheetId="8">#REF!</definedName>
    <definedName name="CGEII" localSheetId="10">#REF!</definedName>
    <definedName name="CGEII" localSheetId="29">#REF!</definedName>
    <definedName name="CGEII">#REF!</definedName>
    <definedName name="CGEIII" localSheetId="8">#REF!</definedName>
    <definedName name="CGEIII" localSheetId="10">#REF!</definedName>
    <definedName name="CGEIII" localSheetId="29">#REF!</definedName>
    <definedName name="CGEIII">#REF!</definedName>
    <definedName name="CGEIV" localSheetId="8">#REF!</definedName>
    <definedName name="CGEIV" localSheetId="10">#REF!</definedName>
    <definedName name="CGEIV" localSheetId="29">#REF!</definedName>
    <definedName name="CGEIV">#REF!</definedName>
    <definedName name="CGI" localSheetId="8">#REF!</definedName>
    <definedName name="CGI" localSheetId="10">#REF!</definedName>
    <definedName name="CGI" localSheetId="29">#REF!</definedName>
    <definedName name="CGI">#REF!</definedName>
    <definedName name="CGII" localSheetId="8">#REF!</definedName>
    <definedName name="CGII" localSheetId="10">#REF!</definedName>
    <definedName name="CGII" localSheetId="29">#REF!</definedName>
    <definedName name="CGII">#REF!</definedName>
    <definedName name="CGIII" localSheetId="8">#REF!</definedName>
    <definedName name="CGIII" localSheetId="10">#REF!</definedName>
    <definedName name="CGIII" localSheetId="29">#REF!</definedName>
    <definedName name="CGIII">#REF!</definedName>
    <definedName name="CGIV" localSheetId="8">#REF!</definedName>
    <definedName name="CGIV" localSheetId="10">#REF!</definedName>
    <definedName name="CGIV" localSheetId="29">#REF!</definedName>
    <definedName name="CGIV">#REF!</definedName>
    <definedName name="chdyrrr_23">#N/A</definedName>
    <definedName name="chdyrrr_33">#N/A</definedName>
    <definedName name="chdyrrr_38">#N/A</definedName>
    <definedName name="chdyrrr_41">#N/A</definedName>
    <definedName name="chdyrrr_43">#N/A</definedName>
    <definedName name="chdyrrr_48">#N/A</definedName>
    <definedName name="chdyrrr_57">#N/A</definedName>
    <definedName name="chdyrrr_59">#N/A</definedName>
    <definedName name="chdyrrr_60">#N/A</definedName>
    <definedName name="chdyrrr_61">#N/A</definedName>
    <definedName name="chdyrrr_62">#N/A</definedName>
    <definedName name="chdyrrr_7">#N/A</definedName>
    <definedName name="chdyrrr_72">#N/A</definedName>
    <definedName name="chdyrrr_73">#N/A</definedName>
    <definedName name="chdyrrr_8">#N/A</definedName>
    <definedName name="chips_10" localSheetId="29">#REF!</definedName>
    <definedName name="chips_12">#REF!</definedName>
    <definedName name="chips_5">#REF!</definedName>
    <definedName name="CI" localSheetId="5">#REF!</definedName>
    <definedName name="CI" localSheetId="8">#REF!</definedName>
    <definedName name="CI" localSheetId="10">#REF!</definedName>
    <definedName name="CI" localSheetId="11">#REF!</definedName>
    <definedName name="CI" localSheetId="29">#REF!</definedName>
    <definedName name="CI">#REF!</definedName>
    <definedName name="CIcheckValve" localSheetId="5">#REF!</definedName>
    <definedName name="CIcheckValve" localSheetId="8">#REF!</definedName>
    <definedName name="CIcheckValve" localSheetId="10">#REF!</definedName>
    <definedName name="CIcheckValve" localSheetId="29">#REF!</definedName>
    <definedName name="CIcheckValve" localSheetId="31">#REF!</definedName>
    <definedName name="CIcheckValve">#REF!</definedName>
    <definedName name="cidjoint" localSheetId="5">#REF!</definedName>
    <definedName name="cidjoint" localSheetId="29">#REF!</definedName>
    <definedName name="CIdummy" localSheetId="5">#REF!</definedName>
    <definedName name="CIdummy" localSheetId="8">#REF!</definedName>
    <definedName name="CIdummy" localSheetId="10">#REF!</definedName>
    <definedName name="CIdummy" localSheetId="29">#REF!</definedName>
    <definedName name="CIdummy" localSheetId="31">#REF!</definedName>
    <definedName name="CIdummy">#REF!</definedName>
    <definedName name="CIfootValve" localSheetId="5">#REF!</definedName>
    <definedName name="CIfootValve" localSheetId="8">#REF!</definedName>
    <definedName name="CIfootValve" localSheetId="10">#REF!</definedName>
    <definedName name="CIfootValve" localSheetId="29">#REF!</definedName>
    <definedName name="CIfootValve" localSheetId="31">#REF!</definedName>
    <definedName name="CIfootValve">#REF!</definedName>
    <definedName name="cii" localSheetId="5">#REF!</definedName>
    <definedName name="CII" localSheetId="8">#REF!</definedName>
    <definedName name="CII" localSheetId="10">#REF!</definedName>
    <definedName name="cii" localSheetId="11">#REF!</definedName>
    <definedName name="CII" localSheetId="29">#REF!</definedName>
    <definedName name="CII">#REF!</definedName>
    <definedName name="ciii" localSheetId="8">#REF!</definedName>
    <definedName name="ciii" localSheetId="10">#REF!</definedName>
    <definedName name="ciii" localSheetId="11">#REF!</definedName>
    <definedName name="ciii" localSheetId="29">#REF!</definedName>
    <definedName name="ciii">#REF!</definedName>
    <definedName name="cila100" localSheetId="8">#REF!</definedName>
    <definedName name="cila100" localSheetId="10">#REF!</definedName>
    <definedName name="cila100" localSheetId="11">#REF!</definedName>
    <definedName name="cila100" localSheetId="29">#REF!</definedName>
    <definedName name="cila100">#REF!</definedName>
    <definedName name="cila1000" localSheetId="8">#REF!</definedName>
    <definedName name="cila1000" localSheetId="10">#REF!</definedName>
    <definedName name="cila1000" localSheetId="11">#REF!</definedName>
    <definedName name="cila1000" localSheetId="29">#REF!</definedName>
    <definedName name="cila1000">#REF!</definedName>
    <definedName name="cila125" localSheetId="8">#REF!</definedName>
    <definedName name="cila125" localSheetId="10">#REF!</definedName>
    <definedName name="cila125" localSheetId="11">#REF!</definedName>
    <definedName name="cila125" localSheetId="29">#REF!</definedName>
    <definedName name="cila125">#REF!</definedName>
    <definedName name="cila150" localSheetId="8">#REF!</definedName>
    <definedName name="cila150" localSheetId="10">#REF!</definedName>
    <definedName name="cila150" localSheetId="11">#REF!</definedName>
    <definedName name="cila150" localSheetId="29">#REF!</definedName>
    <definedName name="cila150">#REF!</definedName>
    <definedName name="cila200" localSheetId="8">#REF!</definedName>
    <definedName name="cila200" localSheetId="10">#REF!</definedName>
    <definedName name="cila200" localSheetId="11">#REF!</definedName>
    <definedName name="cila200" localSheetId="29">#REF!</definedName>
    <definedName name="cila200">#REF!</definedName>
    <definedName name="cila250" localSheetId="8">#REF!</definedName>
    <definedName name="cila250" localSheetId="10">#REF!</definedName>
    <definedName name="cila250" localSheetId="11">#REF!</definedName>
    <definedName name="cila250" localSheetId="29">#REF!</definedName>
    <definedName name="cila250">#REF!</definedName>
    <definedName name="cila300" localSheetId="8">#REF!</definedName>
    <definedName name="cila300" localSheetId="10">#REF!</definedName>
    <definedName name="cila300" localSheetId="11">#REF!</definedName>
    <definedName name="cila300" localSheetId="29">#REF!</definedName>
    <definedName name="cila300">#REF!</definedName>
    <definedName name="cila350" localSheetId="8">#REF!</definedName>
    <definedName name="cila350" localSheetId="10">#REF!</definedName>
    <definedName name="cila350" localSheetId="11">#REF!</definedName>
    <definedName name="cila350" localSheetId="29">#REF!</definedName>
    <definedName name="cila350">#REF!</definedName>
    <definedName name="cila400" localSheetId="8">#REF!</definedName>
    <definedName name="cila400" localSheetId="10">#REF!</definedName>
    <definedName name="cila400" localSheetId="11">#REF!</definedName>
    <definedName name="cila400" localSheetId="29">#REF!</definedName>
    <definedName name="cila400">#REF!</definedName>
    <definedName name="cila450" localSheetId="8">#REF!</definedName>
    <definedName name="cila450" localSheetId="10">#REF!</definedName>
    <definedName name="cila450" localSheetId="11">#REF!</definedName>
    <definedName name="cila450" localSheetId="29">#REF!</definedName>
    <definedName name="cila450">#REF!</definedName>
    <definedName name="cila500" localSheetId="8">#REF!</definedName>
    <definedName name="cila500" localSheetId="10">#REF!</definedName>
    <definedName name="cila500" localSheetId="11">#REF!</definedName>
    <definedName name="cila500" localSheetId="29">#REF!</definedName>
    <definedName name="cila500">#REF!</definedName>
    <definedName name="cila600" localSheetId="8">#REF!</definedName>
    <definedName name="cila600" localSheetId="10">#REF!</definedName>
    <definedName name="cila600" localSheetId="11">#REF!</definedName>
    <definedName name="cila600" localSheetId="29">#REF!</definedName>
    <definedName name="cila600">#REF!</definedName>
    <definedName name="cila700" localSheetId="8">#REF!</definedName>
    <definedName name="cila700" localSheetId="10">#REF!</definedName>
    <definedName name="cila700" localSheetId="11">#REF!</definedName>
    <definedName name="cila700" localSheetId="29">#REF!</definedName>
    <definedName name="cila700">#REF!</definedName>
    <definedName name="cila750" localSheetId="8">#REF!</definedName>
    <definedName name="cila750" localSheetId="10">#REF!</definedName>
    <definedName name="cila750" localSheetId="11">#REF!</definedName>
    <definedName name="cila750" localSheetId="29">#REF!</definedName>
    <definedName name="cila750">#REF!</definedName>
    <definedName name="cila80" localSheetId="8">#REF!</definedName>
    <definedName name="cila80" localSheetId="10">#REF!</definedName>
    <definedName name="cila80" localSheetId="11">#REF!</definedName>
    <definedName name="cila80" localSheetId="29">#REF!</definedName>
    <definedName name="cila80">#REF!</definedName>
    <definedName name="cila800" localSheetId="8">#REF!</definedName>
    <definedName name="cila800" localSheetId="10">#REF!</definedName>
    <definedName name="cila800" localSheetId="11">#REF!</definedName>
    <definedName name="cila800" localSheetId="29">#REF!</definedName>
    <definedName name="cila800">#REF!</definedName>
    <definedName name="cila900" localSheetId="8">#REF!</definedName>
    <definedName name="cila900" localSheetId="10">#REF!</definedName>
    <definedName name="cila900" localSheetId="11">#REF!</definedName>
    <definedName name="cila900" localSheetId="29">#REF!</definedName>
    <definedName name="cila900">#REF!</definedName>
    <definedName name="City" localSheetId="21">#REF!</definedName>
    <definedName name="City" localSheetId="5">#REF!</definedName>
    <definedName name="City" localSheetId="8">#REF!</definedName>
    <definedName name="City" localSheetId="10">#REF!</definedName>
    <definedName name="City" localSheetId="11">#REF!</definedName>
    <definedName name="City" localSheetId="29">#REF!</definedName>
    <definedName name="City" localSheetId="31">#REF!</definedName>
    <definedName name="City" localSheetId="35">#REF!</definedName>
    <definedName name="City" localSheetId="36">#REF!</definedName>
    <definedName name="City">#REF!</definedName>
    <definedName name="cjv" localSheetId="8">#REF!</definedName>
    <definedName name="cjv" localSheetId="10">#REF!</definedName>
    <definedName name="cjv" localSheetId="11">#REF!</definedName>
    <definedName name="cjv" localSheetId="29">#REF!</definedName>
    <definedName name="cjv">#REF!</definedName>
    <definedName name="CLASSS" localSheetId="8">#REF!</definedName>
    <definedName name="CLASSS" localSheetId="10">#REF!</definedName>
    <definedName name="CLASSS" localSheetId="11">#REF!</definedName>
    <definedName name="CLASSS" localSheetId="29">#REF!</definedName>
    <definedName name="CLASSS">#REF!</definedName>
    <definedName name="Clearing_and_grubbing_road_land_including_uprooting_wild_vegetation__grass">#REF!</definedName>
    <definedName name="clp">#REF!</definedName>
    <definedName name="cm" localSheetId="5">#REF!</definedName>
    <definedName name="cm" localSheetId="8">#REF!</definedName>
    <definedName name="cm" localSheetId="10">#REF!</definedName>
    <definedName name="cm" localSheetId="29">#REF!</definedName>
    <definedName name="cm" localSheetId="31">#REF!</definedName>
    <definedName name="cm">#REF!</definedName>
    <definedName name="CO" localSheetId="8">#REF!</definedName>
    <definedName name="CO" localSheetId="10">#REF!</definedName>
    <definedName name="CO" localSheetId="29">#REF!</definedName>
    <definedName name="CO">#REF!</definedName>
    <definedName name="Code" localSheetId="21" hidden="1">#REF!</definedName>
    <definedName name="Code" localSheetId="5" hidden="1">#REF!</definedName>
    <definedName name="Code" localSheetId="30" hidden="1">#REF!</definedName>
    <definedName name="Code" localSheetId="8" hidden="1">#REF!</definedName>
    <definedName name="Code" localSheetId="10" hidden="1">#REF!</definedName>
    <definedName name="Code" localSheetId="37" hidden="1">#REF!</definedName>
    <definedName name="Code" localSheetId="38" hidden="1">#REF!</definedName>
    <definedName name="Code" localSheetId="44" hidden="1">#REF!</definedName>
    <definedName name="Code" localSheetId="29" hidden="1">#REF!</definedName>
    <definedName name="Code" localSheetId="19" hidden="1">#REF!</definedName>
    <definedName name="Code" localSheetId="31" hidden="1">#REF!</definedName>
    <definedName name="Code" localSheetId="39" hidden="1">#REF!</definedName>
    <definedName name="Code" localSheetId="35" hidden="1">#REF!</definedName>
    <definedName name="Code" localSheetId="36" hidden="1">#REF!</definedName>
    <definedName name="Code" localSheetId="9" hidden="1">#REF!</definedName>
    <definedName name="Code" localSheetId="3" hidden="1">#REF!</definedName>
    <definedName name="Code" hidden="1">#REF!</definedName>
    <definedName name="COLLAR">"Rectangle 67"</definedName>
    <definedName name="Company" localSheetId="21">#REF!</definedName>
    <definedName name="Company" localSheetId="5">#REF!</definedName>
    <definedName name="Company" localSheetId="8">#REF!</definedName>
    <definedName name="Company" localSheetId="10">#REF!</definedName>
    <definedName name="Company" localSheetId="11">#REF!</definedName>
    <definedName name="Company" localSheetId="29">#REF!</definedName>
    <definedName name="Company" localSheetId="31">#REF!</definedName>
    <definedName name="Company" localSheetId="35">#REF!</definedName>
    <definedName name="Company" localSheetId="36">#REF!</definedName>
    <definedName name="Company">#REF!</definedName>
    <definedName name="con_mixer" localSheetId="8">#REF!</definedName>
    <definedName name="con_mixer" localSheetId="10">#REF!</definedName>
    <definedName name="con_mixer" localSheetId="11">#REF!</definedName>
    <definedName name="con_mixer" localSheetId="29">#REF!</definedName>
    <definedName name="con_mixer">#REF!</definedName>
    <definedName name="con_pro" localSheetId="8">#REF!</definedName>
    <definedName name="con_pro" localSheetId="10">#REF!</definedName>
    <definedName name="con_pro" localSheetId="11">#REF!</definedName>
    <definedName name="con_pro" localSheetId="29">#REF!</definedName>
    <definedName name="con_pro">#REF!</definedName>
    <definedName name="conns." localSheetId="29">#REF!</definedName>
    <definedName name="CONVEYANCE" localSheetId="8">#REF!</definedName>
    <definedName name="CONVEYANCE" localSheetId="10">#REF!</definedName>
    <definedName name="CONVEYANCE" localSheetId="11">#REF!</definedName>
    <definedName name="CONVEYANCE" localSheetId="29">#REF!</definedName>
    <definedName name="CONVEYANCE">#REF!</definedName>
    <definedName name="convy" localSheetId="8">#REF!</definedName>
    <definedName name="convy" localSheetId="10">#REF!</definedName>
    <definedName name="convy" localSheetId="29">#REF!</definedName>
    <definedName name="convy">#REF!</definedName>
    <definedName name="copy3m">#REF!</definedName>
    <definedName name="cost">#REF!</definedName>
    <definedName name="Country" localSheetId="21">#REF!</definedName>
    <definedName name="Country" localSheetId="5">#REF!</definedName>
    <definedName name="Country" localSheetId="8">#REF!</definedName>
    <definedName name="Country" localSheetId="10">#REF!</definedName>
    <definedName name="Country" localSheetId="11">#REF!</definedName>
    <definedName name="Country" localSheetId="29">#REF!</definedName>
    <definedName name="Country" localSheetId="31">#REF!</definedName>
    <definedName name="Country" localSheetId="35">#REF!</definedName>
    <definedName name="Country" localSheetId="36">#REF!</definedName>
    <definedName name="Country">#REF!</definedName>
    <definedName name="cover2" localSheetId="8">#REF!</definedName>
    <definedName name="cover2" localSheetId="10">#REF!</definedName>
    <definedName name="cover2" localSheetId="29">#REF!</definedName>
    <definedName name="cover2">#REF!</definedName>
    <definedName name="cp_33" localSheetId="29">#REF!</definedName>
    <definedName name="cp_34">#REF!</definedName>
    <definedName name="cr_mpl_divn_corenet_cn_mpl" localSheetId="21">#REF!</definedName>
    <definedName name="cr_mpl_divn_corenet_cn_mpl" localSheetId="5">#REF!</definedName>
    <definedName name="cr_mpl_divn_corenet_cn_mpl" localSheetId="8">#REF!</definedName>
    <definedName name="cr_mpl_divn_corenet_cn_mpl" localSheetId="10">#REF!</definedName>
    <definedName name="cr_mpl_divn_corenet_cn_mpl" localSheetId="11">#REF!</definedName>
    <definedName name="cr_mpl_divn_corenet_cn_mpl" localSheetId="29">#REF!</definedName>
    <definedName name="cr_mpl_divn_corenet_cn_mpl" localSheetId="31">#REF!</definedName>
    <definedName name="cr_mpl_divn_corenet_cn_mpl" localSheetId="35">#REF!</definedName>
    <definedName name="cr_mpl_divn_corenet_cn_mpl" localSheetId="36">#REF!</definedName>
    <definedName name="cr_mpl_divn_corenet_cn_mpl">#REF!</definedName>
    <definedName name="crccslab">#REF!</definedName>
    <definedName name="crccslab150">#REF!</definedName>
    <definedName name="CRS" localSheetId="11">#REF!</definedName>
    <definedName name="crsg" localSheetId="8">#REF!</definedName>
    <definedName name="crsg" localSheetId="10">#REF!</definedName>
    <definedName name="crsg" localSheetId="29">#REF!</definedName>
    <definedName name="crsg" localSheetId="31">#REF!</definedName>
    <definedName name="crsg">#REF!</definedName>
    <definedName name="crust_23">#N/A</definedName>
    <definedName name="crust_33">#N/A</definedName>
    <definedName name="crust_34">#N/A</definedName>
    <definedName name="crust_38">#N/A</definedName>
    <definedName name="crust_41">#N/A</definedName>
    <definedName name="crust_43">#N/A</definedName>
    <definedName name="crust_48">#N/A</definedName>
    <definedName name="crust_57">#N/A</definedName>
    <definedName name="crust_59">#N/A</definedName>
    <definedName name="crust_60">#N/A</definedName>
    <definedName name="crust_61">#N/A</definedName>
    <definedName name="crust_62">#N/A</definedName>
    <definedName name="crust_7">#N/A</definedName>
    <definedName name="crust_72">#N/A</definedName>
    <definedName name="crust_73">#N/A</definedName>
    <definedName name="crust_8">#N/A</definedName>
    <definedName name="cshewcen" localSheetId="8">#REF!</definedName>
    <definedName name="cshewcen" localSheetId="10">#REF!</definedName>
    <definedName name="cshewcen" localSheetId="11">#REF!</definedName>
    <definedName name="cshewcen" localSheetId="29">#REF!</definedName>
    <definedName name="cshewcen">#REF!</definedName>
    <definedName name="cshewcenchrfoot" localSheetId="8">#REF!</definedName>
    <definedName name="cshewcenchrfoot" localSheetId="10">#REF!</definedName>
    <definedName name="cshewcenchrfoot" localSheetId="11">#REF!</definedName>
    <definedName name="cshewcenchrfoot" localSheetId="29">#REF!</definedName>
    <definedName name="cshewcenchrfoot">#REF!</definedName>
    <definedName name="cshewcenchrpb" localSheetId="8">#REF!</definedName>
    <definedName name="cshewcenchrpb" localSheetId="10">#REF!</definedName>
    <definedName name="cshewcenchrpb" localSheetId="11">#REF!</definedName>
    <definedName name="cshewcenchrpb" localSheetId="29">#REF!</definedName>
    <definedName name="cshewcenchrpb">#REF!</definedName>
    <definedName name="cshewcenchrped" localSheetId="8">#REF!</definedName>
    <definedName name="cshewcenchrped" localSheetId="10">#REF!</definedName>
    <definedName name="cshewcenchrped" localSheetId="11">#REF!</definedName>
    <definedName name="cshewcenchrped" localSheetId="29">#REF!</definedName>
    <definedName name="cshewcenchrped">#REF!</definedName>
    <definedName name="ctrhabstat" localSheetId="21">#REF!</definedName>
    <definedName name="ctrhabstat" localSheetId="5">#REF!</definedName>
    <definedName name="ctrhabstat" localSheetId="8">#REF!</definedName>
    <definedName name="ctrhabstat" localSheetId="10">#REF!</definedName>
    <definedName name="ctrhabstat" localSheetId="11">#REF!</definedName>
    <definedName name="ctrhabstat" localSheetId="29">#REF!</definedName>
    <definedName name="ctrhabstat" localSheetId="31">#REF!</definedName>
    <definedName name="ctrhabstat" localSheetId="35">#REF!</definedName>
    <definedName name="ctrhabstat" localSheetId="36">#REF!</definedName>
    <definedName name="ctrhabstat">#REF!</definedName>
    <definedName name="cu" localSheetId="8">#REF!</definedName>
    <definedName name="cu" localSheetId="10">#REF!</definedName>
    <definedName name="cu" localSheetId="29">#REF!</definedName>
    <definedName name="cu">#REF!</definedName>
    <definedName name="cul">#REF!</definedName>
    <definedName name="cut_holes_bw" localSheetId="8">#REF!</definedName>
    <definedName name="cut_holes_bw" localSheetId="10">#REF!</definedName>
    <definedName name="cut_holes_bw" localSheetId="11">#REF!</definedName>
    <definedName name="cut_holes_bw" localSheetId="29">#REF!</definedName>
    <definedName name="cut_holes_bw">#REF!</definedName>
    <definedName name="cut_holes_rcc" localSheetId="8">#REF!</definedName>
    <definedName name="cut_holes_rcc" localSheetId="10">#REF!</definedName>
    <definedName name="cut_holes_rcc" localSheetId="11">#REF!</definedName>
    <definedName name="cut_holes_rcc" localSheetId="29">#REF!</definedName>
    <definedName name="cut_holes_rcc">#REF!</definedName>
    <definedName name="CWL" localSheetId="21">#REF!</definedName>
    <definedName name="CWL" localSheetId="31">#REF!</definedName>
    <definedName name="czczxczc" localSheetId="29">#REF!</definedName>
    <definedName name="D.t_23">#N/A</definedName>
    <definedName name="D.t_33">#N/A</definedName>
    <definedName name="D.t_34">#N/A</definedName>
    <definedName name="D.t_38">#N/A</definedName>
    <definedName name="D.t_41">#N/A</definedName>
    <definedName name="D.t_43">#N/A</definedName>
    <definedName name="D.t_48">#N/A</definedName>
    <definedName name="D.t_57">#N/A</definedName>
    <definedName name="D.t_59">#N/A</definedName>
    <definedName name="D.t_60">#N/A</definedName>
    <definedName name="D.t_61">#N/A</definedName>
    <definedName name="D.t_62">#N/A</definedName>
    <definedName name="D.t_7">#N/A</definedName>
    <definedName name="D.t_72">#N/A</definedName>
    <definedName name="D.t_73">#N/A</definedName>
    <definedName name="D.t_8">#N/A</definedName>
    <definedName name="d_23">#N/A</definedName>
    <definedName name="d_32">#N/A</definedName>
    <definedName name="d_33">#N/A</definedName>
    <definedName name="d_34">#N/A</definedName>
    <definedName name="d_38">#N/A</definedName>
    <definedName name="d_41">#N/A</definedName>
    <definedName name="d_43">#N/A</definedName>
    <definedName name="d_48">#N/A</definedName>
    <definedName name="d_56">#N/A</definedName>
    <definedName name="d_57">#N/A</definedName>
    <definedName name="d_59">#N/A</definedName>
    <definedName name="d_60">#N/A</definedName>
    <definedName name="d_61">#N/A</definedName>
    <definedName name="d_62">#N/A</definedName>
    <definedName name="d_7">#N/A</definedName>
    <definedName name="d_72">#N/A</definedName>
    <definedName name="d_73">#N/A</definedName>
    <definedName name="d_8">#N/A</definedName>
    <definedName name="D_t">#REF!</definedName>
    <definedName name="da" localSheetId="21">#REF!</definedName>
    <definedName name="da" localSheetId="5">#REF!</definedName>
    <definedName name="da" localSheetId="8">#REF!</definedName>
    <definedName name="da" localSheetId="10">#REF!</definedName>
    <definedName name="da" localSheetId="11">#REF!</definedName>
    <definedName name="da" localSheetId="29">#REF!</definedName>
    <definedName name="da" localSheetId="31">#REF!</definedName>
    <definedName name="da" localSheetId="35">#REF!</definedName>
    <definedName name="da" localSheetId="36">#REF!</definedName>
    <definedName name="da">#REF!</definedName>
    <definedName name="da_23">"$#REF!.$#REF!$#REF!:$#REF!$#REF!"</definedName>
    <definedName name="da_33">"$#REF!.$#REF!$#REF!"</definedName>
    <definedName name="da_34">"$#REF!.$#REF!$#REF!"</definedName>
    <definedName name="da_38">"$#REF!.$#REF!$#REF!:$#REF!$#REF!"</definedName>
    <definedName name="da_41">"$#REF!.$#REF!$#REF!:$#REF!$#REF!"</definedName>
    <definedName name="da_43">"$#REF!.$#REF!$#REF!:$#REF!$#REF!"</definedName>
    <definedName name="da_48">"$#REF!.$#REF!$#REF!:$#REF!$#REF!"</definedName>
    <definedName name="da_57">"$#REF!.$#REF!$#REF!:$#REF!$#REF!"</definedName>
    <definedName name="da_59">"$#REF!.$#REF!$#REF!:$#REF!$#REF!"</definedName>
    <definedName name="da_60">"$#REF!.$#REF!$#REF!:$#REF!$#REF!"</definedName>
    <definedName name="da_61">"$#REF!.$#REF!$#REF!:$#REF!$#REF!"</definedName>
    <definedName name="da_62">"$#REF!.$#REF!$#REF!:$#REF!$#REF!"</definedName>
    <definedName name="da_7">"$#REF!.$#REF!$#REF!:$#REF!$#REF!"</definedName>
    <definedName name="da_72">"$#REF!.$#REF!$#REF!:$#REF!$#REF!"</definedName>
    <definedName name="da_73">"$#REF!.$#REF!$#REF!:$#REF!$#REF!"</definedName>
    <definedName name="da_8">"$#REF!.$#REF!$#REF!:$#REF!$#REF!"</definedName>
    <definedName name="dadoing" localSheetId="8">#REF!</definedName>
    <definedName name="dadoing" localSheetId="10">#REF!</definedName>
    <definedName name="dadoing" localSheetId="11">#REF!</definedName>
    <definedName name="dadoing" localSheetId="29">#REF!</definedName>
    <definedName name="dadoing">#REF!</definedName>
    <definedName name="dat" localSheetId="8">#REF!</definedName>
    <definedName name="dat" localSheetId="10">#REF!</definedName>
    <definedName name="dat" localSheetId="29">#REF!</definedName>
    <definedName name="dat">#REF!</definedName>
    <definedName name="data_23">#N/A</definedName>
    <definedName name="data_33">#N/A</definedName>
    <definedName name="data_34">#N/A</definedName>
    <definedName name="data_38">#N/A</definedName>
    <definedName name="data_41">#N/A</definedName>
    <definedName name="data_43">#N/A</definedName>
    <definedName name="data_48">#N/A</definedName>
    <definedName name="data_57">#N/A</definedName>
    <definedName name="data_59">#N/A</definedName>
    <definedName name="data_60">#N/A</definedName>
    <definedName name="data_61">#N/A</definedName>
    <definedName name="data_62">#N/A</definedName>
    <definedName name="data_7">#N/A</definedName>
    <definedName name="data_72">#N/A</definedName>
    <definedName name="data_73">#N/A</definedName>
    <definedName name="data_8">#N/A</definedName>
    <definedName name="Data012" localSheetId="29">#REF!</definedName>
    <definedName name="data1" localSheetId="21" hidden="1">#REF!</definedName>
    <definedName name="data1" localSheetId="5" hidden="1">#REF!</definedName>
    <definedName name="data1" localSheetId="30" hidden="1">#REF!</definedName>
    <definedName name="data1" localSheetId="8" hidden="1">#REF!</definedName>
    <definedName name="data1" localSheetId="10" hidden="1">#REF!</definedName>
    <definedName name="data1" localSheetId="37" hidden="1">#REF!</definedName>
    <definedName name="data1" localSheetId="38" hidden="1">#REF!</definedName>
    <definedName name="data1" localSheetId="44" hidden="1">#REF!</definedName>
    <definedName name="data1" localSheetId="29" hidden="1">#REF!</definedName>
    <definedName name="data1" localSheetId="19" hidden="1">#REF!</definedName>
    <definedName name="data1" localSheetId="31" hidden="1">#REF!</definedName>
    <definedName name="data1" localSheetId="39" hidden="1">#REF!</definedName>
    <definedName name="data1" localSheetId="35" hidden="1">#REF!</definedName>
    <definedName name="data1" localSheetId="36" hidden="1">#REF!</definedName>
    <definedName name="data1" localSheetId="9" hidden="1">#REF!</definedName>
    <definedName name="data1" localSheetId="3" hidden="1">#REF!</definedName>
    <definedName name="data1" hidden="1">#REF!</definedName>
    <definedName name="data10">#REF!</definedName>
    <definedName name="data11">#REF!</definedName>
    <definedName name="data12">#REF!</definedName>
    <definedName name="data13">#REF!</definedName>
    <definedName name="data14">#REF!</definedName>
    <definedName name="data15">#REF!</definedName>
    <definedName name="data16">#REF!</definedName>
    <definedName name="data17">#REF!</definedName>
    <definedName name="data18">#REF!</definedName>
    <definedName name="data19">#REF!</definedName>
    <definedName name="data2" localSheetId="21" hidden="1">#REF!</definedName>
    <definedName name="data2" localSheetId="5" hidden="1">#REF!</definedName>
    <definedName name="data2" localSheetId="30" hidden="1">#REF!</definedName>
    <definedName name="data2" localSheetId="8" hidden="1">#REF!</definedName>
    <definedName name="data2" localSheetId="10" hidden="1">#REF!</definedName>
    <definedName name="data2" localSheetId="11" hidden="1">#REF!</definedName>
    <definedName name="data2" localSheetId="37" hidden="1">#REF!</definedName>
    <definedName name="data2" localSheetId="38" hidden="1">#REF!</definedName>
    <definedName name="data2" localSheetId="44" hidden="1">#REF!</definedName>
    <definedName name="data2" localSheetId="29" hidden="1">#REF!</definedName>
    <definedName name="data2" localSheetId="19" hidden="1">#REF!</definedName>
    <definedName name="data2" localSheetId="31" hidden="1">#REF!</definedName>
    <definedName name="data2" localSheetId="39" hidden="1">#REF!</definedName>
    <definedName name="data2" localSheetId="35" hidden="1">#REF!</definedName>
    <definedName name="data2" localSheetId="36" hidden="1">#REF!</definedName>
    <definedName name="data2" localSheetId="9" hidden="1">#REF!</definedName>
    <definedName name="data2" localSheetId="3" hidden="1">#REF!</definedName>
    <definedName name="data2" hidden="1">#REF!</definedName>
    <definedName name="data20">#REF!</definedName>
    <definedName name="data21">#REF!</definedName>
    <definedName name="data22">#REF!</definedName>
    <definedName name="data23">#REF!</definedName>
    <definedName name="data23b">#REF!</definedName>
    <definedName name="data23c">#REF!</definedName>
    <definedName name="data24">#REF!</definedName>
    <definedName name="data25">#REF!</definedName>
    <definedName name="data26">#REF!</definedName>
    <definedName name="data27">#REF!</definedName>
    <definedName name="data28">#REF!</definedName>
    <definedName name="data29">#REF!</definedName>
    <definedName name="data3" localSheetId="21" hidden="1">#REF!</definedName>
    <definedName name="data3" localSheetId="5" hidden="1">#REF!</definedName>
    <definedName name="data3" localSheetId="30" hidden="1">#REF!</definedName>
    <definedName name="data3" localSheetId="8" hidden="1">#REF!</definedName>
    <definedName name="data3" localSheetId="10" hidden="1">#REF!</definedName>
    <definedName name="data3" localSheetId="11" hidden="1">#REF!</definedName>
    <definedName name="data3" localSheetId="37" hidden="1">#REF!</definedName>
    <definedName name="data3" localSheetId="38" hidden="1">#REF!</definedName>
    <definedName name="data3" localSheetId="44" hidden="1">#REF!</definedName>
    <definedName name="data3" localSheetId="29" hidden="1">#REF!</definedName>
    <definedName name="data3" localSheetId="19" hidden="1">#REF!</definedName>
    <definedName name="data3" localSheetId="31" hidden="1">#REF!</definedName>
    <definedName name="data3" localSheetId="39" hidden="1">#REF!</definedName>
    <definedName name="data3" localSheetId="35" hidden="1">#REF!</definedName>
    <definedName name="data3" localSheetId="36" hidden="1">#REF!</definedName>
    <definedName name="data3" localSheetId="9" hidden="1">#REF!</definedName>
    <definedName name="data3" localSheetId="3" hidden="1">#REF!</definedName>
    <definedName name="data3" hidden="1">#REF!</definedName>
    <definedName name="data30">#REF!</definedName>
    <definedName name="data31">#REF!</definedName>
    <definedName name="data32">#REF!</definedName>
    <definedName name="data33">#REF!</definedName>
    <definedName name="data4">#REF!</definedName>
    <definedName name="data452">#REF!</definedName>
    <definedName name="data5">#REF!</definedName>
    <definedName name="DATA6" localSheetId="21">#REF!</definedName>
    <definedName name="DATA6" localSheetId="5">#REF!</definedName>
    <definedName name="DATA6" localSheetId="8">#REF!</definedName>
    <definedName name="DATA6" localSheetId="10">#REF!</definedName>
    <definedName name="DATA6" localSheetId="11">#REF!</definedName>
    <definedName name="DATA6" localSheetId="29">#REF!</definedName>
    <definedName name="DATA6" localSheetId="31">#REF!</definedName>
    <definedName name="DATA6" localSheetId="35">#REF!</definedName>
    <definedName name="DATA6" localSheetId="36">#REF!</definedName>
    <definedName name="DATA6">#REF!</definedName>
    <definedName name="DATA6_33">"$#REF!.$#REF!$#REF!"</definedName>
    <definedName name="DATA6_34">"$#REF!.$#REF!$#REF!"</definedName>
    <definedName name="Data7" localSheetId="21">#REF!</definedName>
    <definedName name="Data7" localSheetId="5">#REF!</definedName>
    <definedName name="Data7" localSheetId="8">#REF!</definedName>
    <definedName name="Data7" localSheetId="10">#REF!</definedName>
    <definedName name="Data7" localSheetId="11">#REF!</definedName>
    <definedName name="Data7" localSheetId="29">#REF!</definedName>
    <definedName name="Data7" localSheetId="31">#REF!</definedName>
    <definedName name="Data7" localSheetId="35">#REF!</definedName>
    <definedName name="Data7" localSheetId="36">#REF!</definedName>
    <definedName name="Data7">#REF!</definedName>
    <definedName name="Data7_33">"$#REF!.$#REF!$#REF!"</definedName>
    <definedName name="data8">#REF!</definedName>
    <definedName name="data9">#REF!</definedName>
    <definedName name="Dataa" localSheetId="21">#REF!</definedName>
    <definedName name="Dataa" localSheetId="5">#REF!</definedName>
    <definedName name="Dataa" localSheetId="8">#REF!</definedName>
    <definedName name="Dataa" localSheetId="10">#REF!</definedName>
    <definedName name="Dataa" localSheetId="11">#REF!</definedName>
    <definedName name="Dataa" localSheetId="29">#REF!</definedName>
    <definedName name="Dataa" localSheetId="31">#REF!</definedName>
    <definedName name="Dataa" localSheetId="35">#REF!</definedName>
    <definedName name="Dataa" localSheetId="36">#REF!</definedName>
    <definedName name="Dataa">#REF!</definedName>
    <definedName name="Dataa_33">"$#REF!.$#REF!$#REF!"</definedName>
    <definedName name="_xlnm.Database" localSheetId="21">#REF!</definedName>
    <definedName name="_xlnm.Database" localSheetId="5">#REF!</definedName>
    <definedName name="_xlnm.Database" localSheetId="8">#REF!</definedName>
    <definedName name="_xlnm.Database" localSheetId="10">#REF!</definedName>
    <definedName name="_xlnm.Database" localSheetId="11">#REF!</definedName>
    <definedName name="_xlnm.Database" localSheetId="29">#REF!</definedName>
    <definedName name="_xlnm.Database" localSheetId="31">#REF!</definedName>
    <definedName name="_xlnm.Database" localSheetId="35">#REF!</definedName>
    <definedName name="_xlnm.Database" localSheetId="36">#REF!</definedName>
    <definedName name="_xlnm.Database">#REF!</definedName>
    <definedName name="database1" localSheetId="5">#REF!</definedName>
    <definedName name="database1" localSheetId="8">#REF!</definedName>
    <definedName name="database1" localSheetId="10">#REF!</definedName>
    <definedName name="database1" localSheetId="29">#REF!</definedName>
    <definedName name="database1" localSheetId="31">#REF!</definedName>
    <definedName name="database1">#REF!</definedName>
    <definedName name="db" localSheetId="5">#REF!</definedName>
    <definedName name="db" localSheetId="8">#REF!</definedName>
    <definedName name="db" localSheetId="10">#REF!</definedName>
    <definedName name="db" localSheetId="11">#REF!</definedName>
    <definedName name="db" localSheetId="29">#REF!</definedName>
    <definedName name="db" localSheetId="31">#REF!</definedName>
    <definedName name="db">#REF!</definedName>
    <definedName name="dbas" localSheetId="8">#REF!</definedName>
    <definedName name="dbas" localSheetId="10">#REF!</definedName>
    <definedName name="dbas" localSheetId="11">#REF!</definedName>
    <definedName name="dbas" localSheetId="29">#REF!</definedName>
    <definedName name="dbas">#REF!</definedName>
    <definedName name="dbbs" localSheetId="8">#REF!</definedName>
    <definedName name="dbbs" localSheetId="10">#REF!</definedName>
    <definedName name="dbbs" localSheetId="11">#REF!</definedName>
    <definedName name="dbbs" localSheetId="29">#REF!</definedName>
    <definedName name="dbbs">#REF!</definedName>
    <definedName name="dbbsb" localSheetId="8">#REF!</definedName>
    <definedName name="dbbsb" localSheetId="10">#REF!</definedName>
    <definedName name="dbbsb" localSheetId="11">#REF!</definedName>
    <definedName name="dbbsb" localSheetId="29">#REF!</definedName>
    <definedName name="dbbsb">#REF!</definedName>
    <definedName name="dbc" localSheetId="8">#REF!</definedName>
    <definedName name="dbc" localSheetId="10">#REF!</definedName>
    <definedName name="dbc" localSheetId="11">#REF!</definedName>
    <definedName name="dbc" localSheetId="29">#REF!</definedName>
    <definedName name="dbc">#REF!</definedName>
    <definedName name="dbd" localSheetId="8">#REF!</definedName>
    <definedName name="dbd" localSheetId="10">#REF!</definedName>
    <definedName name="dbd" localSheetId="11">#REF!</definedName>
    <definedName name="dbd" localSheetId="29">#REF!</definedName>
    <definedName name="dbd">#REF!</definedName>
    <definedName name="dbh" localSheetId="8">#REF!</definedName>
    <definedName name="dbh" localSheetId="10">#REF!</definedName>
    <definedName name="dbh" localSheetId="11">#REF!</definedName>
    <definedName name="dbh" localSheetId="29">#REF!</definedName>
    <definedName name="dbh">#REF!</definedName>
    <definedName name="dbi" localSheetId="8">#REF!</definedName>
    <definedName name="dbi" localSheetId="10">#REF!</definedName>
    <definedName name="dbi" localSheetId="11">#REF!</definedName>
    <definedName name="dbi" localSheetId="29">#REF!</definedName>
    <definedName name="dbi">#REF!</definedName>
    <definedName name="DBM" localSheetId="5">#REF!</definedName>
    <definedName name="DBM" localSheetId="8">#REF!</definedName>
    <definedName name="DBM" localSheetId="10">#REF!</definedName>
    <definedName name="DBM" localSheetId="11">#REF!</definedName>
    <definedName name="DBM" localSheetId="29">#REF!</definedName>
    <definedName name="DBM" localSheetId="31">#REF!</definedName>
    <definedName name="DBM">#REF!</definedName>
    <definedName name="dbo" localSheetId="8">#REF!</definedName>
    <definedName name="dbo" localSheetId="10">#REF!</definedName>
    <definedName name="dbo" localSheetId="11">#REF!</definedName>
    <definedName name="dbo" localSheetId="29">#REF!</definedName>
    <definedName name="dbo">#REF!</definedName>
    <definedName name="dbrb" localSheetId="8">#REF!</definedName>
    <definedName name="dbrb" localSheetId="10">#REF!</definedName>
    <definedName name="dbrb" localSheetId="11">#REF!</definedName>
    <definedName name="dbrb" localSheetId="29">#REF!</definedName>
    <definedName name="dbrb">#REF!</definedName>
    <definedName name="dbs" localSheetId="8">#REF!</definedName>
    <definedName name="dbs" localSheetId="10">#REF!</definedName>
    <definedName name="dbs" localSheetId="11">#REF!</definedName>
    <definedName name="dbs" localSheetId="29">#REF!</definedName>
    <definedName name="dbs">#REF!</definedName>
    <definedName name="dbsi" localSheetId="8">#REF!</definedName>
    <definedName name="dbsi" localSheetId="10">#REF!</definedName>
    <definedName name="dbsi" localSheetId="11">#REF!</definedName>
    <definedName name="dbsi" localSheetId="29">#REF!</definedName>
    <definedName name="dbsi">#REF!</definedName>
    <definedName name="dbst" localSheetId="8">#REF!</definedName>
    <definedName name="dbst" localSheetId="10">#REF!</definedName>
    <definedName name="dbst" localSheetId="11">#REF!</definedName>
    <definedName name="dbst" localSheetId="29">#REF!</definedName>
    <definedName name="dbst">#REF!</definedName>
    <definedName name="dbt" localSheetId="8">#REF!</definedName>
    <definedName name="dbt" localSheetId="10">#REF!</definedName>
    <definedName name="dbt" localSheetId="11">#REF!</definedName>
    <definedName name="dbt" localSheetId="29">#REF!</definedName>
    <definedName name="dbt">#REF!</definedName>
    <definedName name="DC" localSheetId="21">#REF!</definedName>
    <definedName name="dc" localSheetId="5">#REF!</definedName>
    <definedName name="DC" localSheetId="8">#REF!</definedName>
    <definedName name="DC" localSheetId="10">#REF!</definedName>
    <definedName name="dc" localSheetId="11">#REF!</definedName>
    <definedName name="DC" localSheetId="29">#REF!</definedName>
    <definedName name="DC" localSheetId="31">#REF!</definedName>
    <definedName name="DC" localSheetId="35">#REF!</definedName>
    <definedName name="DC" localSheetId="36">#REF!</definedName>
    <definedName name="DC">#REF!</definedName>
    <definedName name="dcd" localSheetId="8">#REF!</definedName>
    <definedName name="dcd" localSheetId="10">#REF!</definedName>
    <definedName name="dcd" localSheetId="11">#REF!</definedName>
    <definedName name="dcd" localSheetId="29">#REF!</definedName>
    <definedName name="dcd">#REF!</definedName>
    <definedName name="DD" localSheetId="21">#REF!</definedName>
    <definedName name="DD" localSheetId="5">#REF!</definedName>
    <definedName name="DD" localSheetId="8">#REF!</definedName>
    <definedName name="DD" localSheetId="10">#REF!</definedName>
    <definedName name="DD" localSheetId="11">#REF!</definedName>
    <definedName name="DD" localSheetId="29">#REF!</definedName>
    <definedName name="DD" localSheetId="31">#REF!</definedName>
    <definedName name="DD" localSheetId="35">#REF!</definedName>
    <definedName name="DD" localSheetId="36">#REF!</definedName>
    <definedName name="DD">#REF!</definedName>
    <definedName name="DD_33">"$#REF!.$#REF!$#REF!"</definedName>
    <definedName name="DD_34">"$#REF!.$#REF!$#REF!"</definedName>
    <definedName name="ddad" localSheetId="29">#REF!</definedName>
    <definedName name="ddd" localSheetId="5">#REF!</definedName>
    <definedName name="ddd" localSheetId="8">#REF!</definedName>
    <definedName name="ddd" localSheetId="10">#REF!</definedName>
    <definedName name="ddd" localSheetId="11">#REF!</definedName>
    <definedName name="ddd" localSheetId="29">#REF!</definedName>
    <definedName name="ddd" localSheetId="31">#REF!</definedName>
    <definedName name="ddd">#REF!</definedName>
    <definedName name="ddd_33">"$#REF!.$#REF!$#REF!"</definedName>
    <definedName name="ddddd" localSheetId="21" hidden="1">{"'ridftotal'!$A$4:$S$27"}</definedName>
    <definedName name="ddddd" localSheetId="14" hidden="1">{"'ridftotal'!$A$4:$S$27"}</definedName>
    <definedName name="ddddd" localSheetId="29" hidden="1">{"'ridftotal'!$A$4:$S$27"}</definedName>
    <definedName name="ddddd" localSheetId="31" hidden="1">{"'ridftotal'!$A$4:$S$27"}</definedName>
    <definedName name="ddddd" hidden="1">{"'ridftotal'!$A$4:$S$27"}</definedName>
    <definedName name="de">#REF!</definedName>
    <definedName name="de_33">#N/A</definedName>
    <definedName name="de_34">#N/A</definedName>
    <definedName name="deaf" localSheetId="8">#REF!</definedName>
    <definedName name="deaf" localSheetId="10">#REF!</definedName>
    <definedName name="deaf" localSheetId="29">#REF!</definedName>
    <definedName name="deaf" localSheetId="31">#REF!</definedName>
    <definedName name="deaf">#REF!</definedName>
    <definedName name="DEE" localSheetId="21">#REF!</definedName>
    <definedName name="defew">#REF!</definedName>
    <definedName name="deff" localSheetId="8">#REF!</definedName>
    <definedName name="deff" localSheetId="10">#REF!</definedName>
    <definedName name="deff" localSheetId="11">#REF!</definedName>
    <definedName name="deff" localSheetId="29">#REF!</definedName>
    <definedName name="deff">#REF!</definedName>
    <definedName name="derse_23">#N/A</definedName>
    <definedName name="derse_33">#N/A</definedName>
    <definedName name="derse_38">#N/A</definedName>
    <definedName name="derse_41">#N/A</definedName>
    <definedName name="derse_43">#N/A</definedName>
    <definedName name="derse_48">#N/A</definedName>
    <definedName name="derse_57">#N/A</definedName>
    <definedName name="derse_59">#N/A</definedName>
    <definedName name="derse_60">#N/A</definedName>
    <definedName name="derse_61">#N/A</definedName>
    <definedName name="derse_62">#N/A</definedName>
    <definedName name="derse_7">#N/A</definedName>
    <definedName name="derse_72">#N/A</definedName>
    <definedName name="derse_73">#N/A</definedName>
    <definedName name="derse_8">#N/A</definedName>
    <definedName name="df" localSheetId="11">#REF!</definedName>
    <definedName name="df_33">#N/A</definedName>
    <definedName name="df_38">#N/A</definedName>
    <definedName name="df_41">#N/A</definedName>
    <definedName name="df_7">#N/A</definedName>
    <definedName name="df_8">#N/A</definedName>
    <definedName name="dfdddd" localSheetId="5">#REF!</definedName>
    <definedName name="dfdddd" localSheetId="8">#REF!</definedName>
    <definedName name="dfdddd" localSheetId="10">#REF!</definedName>
    <definedName name="dfdddd" localSheetId="11">#REF!</definedName>
    <definedName name="dfdddd" localSheetId="29">#REF!</definedName>
    <definedName name="dfdddd" localSheetId="31">#REF!</definedName>
    <definedName name="dfdddd">#REF!</definedName>
    <definedName name="dfddfdr">#REF!</definedName>
    <definedName name="dfddyu">#REF!</definedName>
    <definedName name="DFDFDE">#REF!</definedName>
    <definedName name="dfdfdf" localSheetId="21" hidden="1">{"'ridftotal'!$A$4:$S$27"}</definedName>
    <definedName name="dfdfdf" localSheetId="14" hidden="1">{"'ridftotal'!$A$4:$S$27"}</definedName>
    <definedName name="dfdfdf" localSheetId="29" hidden="1">{"'ridftotal'!$A$4:$S$27"}</definedName>
    <definedName name="dfdfdf" localSheetId="31" hidden="1">{"'ridftotal'!$A$4:$S$27"}</definedName>
    <definedName name="dfdfdf" hidden="1">{"'ridftotal'!$A$4:$S$27"}</definedName>
    <definedName name="dfds" localSheetId="8">#REF!</definedName>
    <definedName name="dfds" localSheetId="10">#REF!</definedName>
    <definedName name="dfds" localSheetId="11">#REF!</definedName>
    <definedName name="dfds" localSheetId="29">#REF!</definedName>
    <definedName name="dfds">#REF!</definedName>
    <definedName name="dffg" localSheetId="8">#REF!</definedName>
    <definedName name="dffg" localSheetId="10">#REF!</definedName>
    <definedName name="dffg" localSheetId="29">#REF!</definedName>
    <definedName name="dffg" localSheetId="31">#REF!</definedName>
    <definedName name="dffg">#REF!</definedName>
    <definedName name="dfgh" localSheetId="8">#REF!</definedName>
    <definedName name="dfgh" localSheetId="10">#REF!</definedName>
    <definedName name="dfgh" localSheetId="29">#REF!</definedName>
    <definedName name="dfgh">#REF!</definedName>
    <definedName name="DFI" localSheetId="14">#REF!</definedName>
    <definedName name="DFI" localSheetId="8">#REF!</definedName>
    <definedName name="DFI" localSheetId="10">#REF!</definedName>
    <definedName name="DFI" localSheetId="29">#REF!</definedName>
    <definedName name="DFI">#REF!</definedName>
    <definedName name="dfih">#REF!</definedName>
    <definedName name="DFII" localSheetId="14">#REF!</definedName>
    <definedName name="DFII" localSheetId="8">#REF!</definedName>
    <definedName name="DFII" localSheetId="10">#REF!</definedName>
    <definedName name="DFII" localSheetId="29">#REF!</definedName>
    <definedName name="DFII">#REF!</definedName>
    <definedName name="DFIII" localSheetId="8">#REF!</definedName>
    <definedName name="DFIII" localSheetId="10">#REF!</definedName>
    <definedName name="DFIII" localSheetId="29">#REF!</definedName>
    <definedName name="DFIII">#REF!</definedName>
    <definedName name="dftyg">#REF!</definedName>
    <definedName name="dg" localSheetId="8">#REF!</definedName>
    <definedName name="dg" localSheetId="10">#REF!</definedName>
    <definedName name="dg" localSheetId="29">#REF!</definedName>
    <definedName name="dg">#REF!</definedName>
    <definedName name="dgdfg" localSheetId="8">#REF!</definedName>
    <definedName name="dgdfg" localSheetId="10">#REF!</definedName>
    <definedName name="dgdfg" localSheetId="11">#REF!</definedName>
    <definedName name="dgdfg" localSheetId="29">#REF!</definedName>
    <definedName name="dgdfg">#REF!</definedName>
    <definedName name="dgl" localSheetId="8">#REF!</definedName>
    <definedName name="dgl" localSheetId="10">#REF!</definedName>
    <definedName name="dgl" localSheetId="11">#REF!</definedName>
    <definedName name="dgl" localSheetId="29">#REF!</definedName>
    <definedName name="dgl">#REF!</definedName>
    <definedName name="DI" localSheetId="5">#REF!</definedName>
    <definedName name="DI" localSheetId="8">#REF!</definedName>
    <definedName name="DI" localSheetId="10">#REF!</definedName>
    <definedName name="DI" localSheetId="11">#REF!</definedName>
    <definedName name="DI" localSheetId="29">#REF!</definedName>
    <definedName name="DI">#REF!</definedName>
    <definedName name="DIA.SSF" localSheetId="8">#REF!</definedName>
    <definedName name="DIA.SSF" localSheetId="10">#REF!</definedName>
    <definedName name="DIA.SSF" localSheetId="11">#REF!</definedName>
    <definedName name="DIA.SSF" localSheetId="29">#REF!</definedName>
    <definedName name="DIA.SSF">#REF!</definedName>
    <definedName name="DIAA" localSheetId="8">#REF!</definedName>
    <definedName name="DIAA" localSheetId="10">#REF!</definedName>
    <definedName name="DIAA" localSheetId="11">#REF!</definedName>
    <definedName name="DIAA" localSheetId="29">#REF!</definedName>
    <definedName name="DIAA">#REF!</definedName>
    <definedName name="diff_20ab">#REF!</definedName>
    <definedName name="DII" localSheetId="14">#REF!</definedName>
    <definedName name="DII" localSheetId="8">#REF!</definedName>
    <definedName name="DII" localSheetId="10">#REF!</definedName>
    <definedName name="DII" localSheetId="29">#REF!</definedName>
    <definedName name="DII">#REF!</definedName>
    <definedName name="dipu" localSheetId="5">#REF!</definedName>
    <definedName name="dipu" localSheetId="8">#REF!</definedName>
    <definedName name="dipu" localSheetId="10">#REF!</definedName>
    <definedName name="dipu" localSheetId="11">#REF!</definedName>
    <definedName name="dipu" localSheetId="29">#REF!</definedName>
    <definedName name="dipu" localSheetId="31">#REF!</definedName>
    <definedName name="dipu">#REF!</definedName>
    <definedName name="dipu_33">"$#REF!.$#REF!$#REF!:$#REF!$#REF!"</definedName>
    <definedName name="dipu_38">"$#REF!.$#REF!$#REF!:$#REF!$#REF!"</definedName>
    <definedName name="dipu_41">"$#REF!.$#REF!$#REF!:$#REF!$#REF!"</definedName>
    <definedName name="dipu_7">"$#REF!.$#REF!$#REF!:$#REF!$#REF!"</definedName>
    <definedName name="dipu_8">"$#REF!.$#REF!$#REF!:$#REF!$#REF!"</definedName>
    <definedName name="dis">0.5</definedName>
    <definedName name="discharge">#REF!</definedName>
    <definedName name="Discount" localSheetId="21" hidden="1">#REF!</definedName>
    <definedName name="Discount" localSheetId="5" hidden="1">#REF!</definedName>
    <definedName name="Discount" localSheetId="30" hidden="1">#REF!</definedName>
    <definedName name="Discount" localSheetId="8" hidden="1">#REF!</definedName>
    <definedName name="Discount" localSheetId="10" hidden="1">#REF!</definedName>
    <definedName name="Discount" localSheetId="11" hidden="1">#REF!</definedName>
    <definedName name="Discount" localSheetId="37" hidden="1">#REF!</definedName>
    <definedName name="Discount" localSheetId="38" hidden="1">#REF!</definedName>
    <definedName name="Discount" localSheetId="29" hidden="1">#REF!</definedName>
    <definedName name="Discount" localSheetId="19" hidden="1">#REF!</definedName>
    <definedName name="Discount" localSheetId="31" hidden="1">#REF!</definedName>
    <definedName name="Discount" localSheetId="39" hidden="1">#REF!</definedName>
    <definedName name="Discount" localSheetId="35" hidden="1">#REF!</definedName>
    <definedName name="Discount" localSheetId="36" hidden="1">#REF!</definedName>
    <definedName name="Discount" localSheetId="9" hidden="1">#REF!</definedName>
    <definedName name="Discount" localSheetId="3" hidden="1">#REF!</definedName>
    <definedName name="Discount" hidden="1">#REF!</definedName>
    <definedName name="display_area_2" localSheetId="21" hidden="1">#REF!</definedName>
    <definedName name="display_area_2" localSheetId="5" hidden="1">#REF!</definedName>
    <definedName name="display_area_2" localSheetId="30" hidden="1">#REF!</definedName>
    <definedName name="display_area_2" localSheetId="8" hidden="1">#REF!</definedName>
    <definedName name="display_area_2" localSheetId="10" hidden="1">#REF!</definedName>
    <definedName name="display_area_2" localSheetId="11" hidden="1">#REF!</definedName>
    <definedName name="display_area_2" localSheetId="37" hidden="1">#REF!</definedName>
    <definedName name="display_area_2" localSheetId="38" hidden="1">#REF!</definedName>
    <definedName name="display_area_2" localSheetId="29" hidden="1">#REF!</definedName>
    <definedName name="display_area_2" localSheetId="19" hidden="1">#REF!</definedName>
    <definedName name="display_area_2" localSheetId="31" hidden="1">#REF!</definedName>
    <definedName name="display_area_2" localSheetId="39" hidden="1">#REF!</definedName>
    <definedName name="display_area_2" localSheetId="35" hidden="1">#REF!</definedName>
    <definedName name="display_area_2" localSheetId="36" hidden="1">#REF!</definedName>
    <definedName name="display_area_2" localSheetId="9" hidden="1">#REF!</definedName>
    <definedName name="display_area_2" localSheetId="3" hidden="1">#REF!</definedName>
    <definedName name="display_area_2" hidden="1">#REF!</definedName>
    <definedName name="dist">#REF!</definedName>
    <definedName name="Dist_Abstract">#REF!</definedName>
    <definedName name="Distbut">#REF!</definedName>
    <definedName name="div" localSheetId="5">#REF!</definedName>
    <definedName name="DJD" localSheetId="21">#REF!</definedName>
    <definedName name="DJD" localSheetId="5">#REF!</definedName>
    <definedName name="DJD" localSheetId="8">#REF!</definedName>
    <definedName name="DJD" localSheetId="10">#REF!</definedName>
    <definedName name="DJD" localSheetId="11">#REF!</definedName>
    <definedName name="DJD" localSheetId="29">#REF!</definedName>
    <definedName name="DJD" localSheetId="31">#REF!</definedName>
    <definedName name="DJD" localSheetId="35">#REF!</definedName>
    <definedName name="DJD" localSheetId="36">#REF!</definedName>
    <definedName name="DJD">#REF!</definedName>
    <definedName name="DJD_23">"$#REF!.$#REF!$#REF!:$#REF!$#REF!"</definedName>
    <definedName name="DJD_33">"$#REF!.$#REF!$#REF!"</definedName>
    <definedName name="DJD_34">"$#REF!.$#REF!$#REF!"</definedName>
    <definedName name="DJD_38">"$#REF!.$#REF!$#REF!:$#REF!$#REF!"</definedName>
    <definedName name="DJD_41">"$#REF!.$#REF!$#REF!:$#REF!$#REF!"</definedName>
    <definedName name="DJD_43">"$#REF!.$#REF!$#REF!:$#REF!$#REF!"</definedName>
    <definedName name="DJD_48">"$#REF!.$#REF!$#REF!:$#REF!$#REF!"</definedName>
    <definedName name="DJD_57">"$#REF!.$#REF!$#REF!:$#REF!$#REF!"</definedName>
    <definedName name="DJD_59">"$#REF!.$#REF!$#REF!:$#REF!$#REF!"</definedName>
    <definedName name="DJD_60">"$#REF!.$#REF!$#REF!:$#REF!$#REF!"</definedName>
    <definedName name="DJD_61">"$#REF!.$#REF!$#REF!:$#REF!$#REF!"</definedName>
    <definedName name="DJD_62">"$#REF!.$#REF!$#REF!:$#REF!$#REF!"</definedName>
    <definedName name="DJD_7">"$#REF!.$#REF!$#REF!:$#REF!$#REF!"</definedName>
    <definedName name="DJD_72">"$#REF!.$#REF!$#REF!:$#REF!$#REF!"</definedName>
    <definedName name="DJD_73">"$#REF!.$#REF!$#REF!:$#REF!$#REF!"</definedName>
    <definedName name="DJD_8">"$#REF!.$#REF!$#REF!:$#REF!$#REF!"</definedName>
    <definedName name="DL" localSheetId="21">#REF!</definedName>
    <definedName name="DLBL" localSheetId="14">#REF!</definedName>
    <definedName name="DLBL" localSheetId="8">#REF!</definedName>
    <definedName name="DLBL" localSheetId="10">#REF!</definedName>
    <definedName name="DLBL" localSheetId="29">#REF!</definedName>
    <definedName name="DLBL">#REF!</definedName>
    <definedName name="DMAX" localSheetId="14">#REF!</definedName>
    <definedName name="DMAX" localSheetId="8">#REF!</definedName>
    <definedName name="DMAX" localSheetId="10">#REF!</definedName>
    <definedName name="DMAX" localSheetId="29">#REF!</definedName>
    <definedName name="DMAX">#REF!</definedName>
    <definedName name="Dname" localSheetId="21">#REF!</definedName>
    <definedName name="Dname" localSheetId="5">#REF!</definedName>
    <definedName name="Dname" localSheetId="8">#REF!</definedName>
    <definedName name="Dname" localSheetId="10">#REF!</definedName>
    <definedName name="Dname" localSheetId="11">#REF!</definedName>
    <definedName name="Dname" localSheetId="29">#REF!</definedName>
    <definedName name="Dname" localSheetId="31">#REF!</definedName>
    <definedName name="Dname" localSheetId="35">#REF!</definedName>
    <definedName name="Dname" localSheetId="36">#REF!</definedName>
    <definedName name="Dname">#REF!</definedName>
    <definedName name="don" localSheetId="8">#REF!</definedName>
    <definedName name="don" localSheetId="10">#REF!</definedName>
    <definedName name="don" localSheetId="29">#REF!</definedName>
    <definedName name="don">#REF!</definedName>
    <definedName name="done" localSheetId="8">#REF!</definedName>
    <definedName name="done" localSheetId="10">#REF!</definedName>
    <definedName name="done" localSheetId="29">#REF!</definedName>
    <definedName name="done">#REF!</definedName>
    <definedName name="door_one_m" localSheetId="8">#REF!</definedName>
    <definedName name="door_one_m" localSheetId="10">#REF!</definedName>
    <definedName name="door_one_m" localSheetId="11">#REF!</definedName>
    <definedName name="door_one_m" localSheetId="29">#REF!</definedName>
    <definedName name="door_one_m">#REF!</definedName>
    <definedName name="door_toilet" localSheetId="8">#REF!</definedName>
    <definedName name="door_toilet" localSheetId="10">#REF!</definedName>
    <definedName name="door_toilet" localSheetId="11">#REF!</definedName>
    <definedName name="door_toilet" localSheetId="29">#REF!</definedName>
    <definedName name="door_toilet">#REF!</definedName>
    <definedName name="DPP" localSheetId="5">#REF!</definedName>
    <definedName name="DPP" localSheetId="8">#REF!</definedName>
    <definedName name="DPP" localSheetId="10">#REF!</definedName>
    <definedName name="DPP" localSheetId="29">#REF!</definedName>
    <definedName name="DPP" localSheetId="31">#REF!</definedName>
    <definedName name="DPP">#REF!</definedName>
    <definedName name="DR" localSheetId="14">#REF!</definedName>
    <definedName name="DR" localSheetId="8">#REF!</definedName>
    <definedName name="DR" localSheetId="10">#REF!</definedName>
    <definedName name="DR" localSheetId="29">#REF!</definedName>
    <definedName name="DR">#REF!</definedName>
    <definedName name="drain" localSheetId="21">#REF!</definedName>
    <definedName name="drain" localSheetId="5">#REF!</definedName>
    <definedName name="drain" localSheetId="8">#REF!</definedName>
    <definedName name="drain" localSheetId="10">#REF!</definedName>
    <definedName name="drain" localSheetId="11">#REF!</definedName>
    <definedName name="drain" localSheetId="29">#REF!</definedName>
    <definedName name="drain" localSheetId="31">#REF!</definedName>
    <definedName name="drain" localSheetId="35">#REF!</definedName>
    <definedName name="drain" localSheetId="36">#REF!</definedName>
    <definedName name="drain">#REF!</definedName>
    <definedName name="dreq" localSheetId="8">#REF!</definedName>
    <definedName name="dreq" localSheetId="10">#REF!</definedName>
    <definedName name="dreq" localSheetId="11">#REF!</definedName>
    <definedName name="dreq" localSheetId="29">#REF!</definedName>
    <definedName name="dreq">#REF!</definedName>
    <definedName name="drgfuj" localSheetId="8">#REF!</definedName>
    <definedName name="drgfuj" localSheetId="10">#REF!</definedName>
    <definedName name="drgfuj" localSheetId="29">#REF!</definedName>
    <definedName name="drgfuj" localSheetId="31">#REF!</definedName>
    <definedName name="drgfuj">#REF!</definedName>
    <definedName name="DRL" localSheetId="8">#REF!</definedName>
    <definedName name="DRL" localSheetId="10">#REF!</definedName>
    <definedName name="DRL" localSheetId="29">#REF!</definedName>
    <definedName name="DRL">#REF!</definedName>
    <definedName name="DRR" localSheetId="8">#REF!</definedName>
    <definedName name="DRR" localSheetId="10">#REF!</definedName>
    <definedName name="DRR" localSheetId="29">#REF!</definedName>
    <definedName name="DRR">#REF!</definedName>
    <definedName name="drr_hire">#REF!</definedName>
    <definedName name="DRY_ROLLING" localSheetId="5">#REF!</definedName>
    <definedName name="DRY_ROLLING" localSheetId="8">#REF!</definedName>
    <definedName name="DRY_ROLLING" localSheetId="10">#REF!</definedName>
    <definedName name="DRY_ROLLING" localSheetId="11">#REF!</definedName>
    <definedName name="DRY_ROLLING" localSheetId="29">#REF!</definedName>
    <definedName name="DRY_ROLLING" localSheetId="31">#REF!</definedName>
    <definedName name="DRY_ROLLING">#REF!</definedName>
    <definedName name="dryrolling">#REF!</definedName>
    <definedName name="ds" localSheetId="5">#REF!</definedName>
    <definedName name="ds" localSheetId="8">#REF!</definedName>
    <definedName name="ds" localSheetId="10">#REF!</definedName>
    <definedName name="ds" localSheetId="11">#REF!</definedName>
    <definedName name="ds" localSheetId="29">#REF!</definedName>
    <definedName name="ds" localSheetId="31">#REF!</definedName>
    <definedName name="ds">#REF!</definedName>
    <definedName name="dsd" localSheetId="8">#REF!</definedName>
    <definedName name="dsd" localSheetId="10">#REF!</definedName>
    <definedName name="dsd" localSheetId="11">#REF!</definedName>
    <definedName name="dsd" localSheetId="29">#REF!</definedName>
    <definedName name="dsd">#REF!</definedName>
    <definedName name="dsdsww">#REF!</definedName>
    <definedName name="dsg" localSheetId="29">#REF!</definedName>
    <definedName name="DSM" localSheetId="14">#REF!</definedName>
    <definedName name="DSM" localSheetId="8">#REF!</definedName>
    <definedName name="DSM" localSheetId="10">#REF!</definedName>
    <definedName name="DSM" localSheetId="29">#REF!</definedName>
    <definedName name="DSM">#REF!</definedName>
    <definedName name="dt" localSheetId="21">#REF!</definedName>
    <definedName name="dt" localSheetId="5">#REF!</definedName>
    <definedName name="dt" localSheetId="8">#REF!</definedName>
    <definedName name="dt" localSheetId="10">#REF!</definedName>
    <definedName name="dt" localSheetId="11">#REF!</definedName>
    <definedName name="dt" localSheetId="29">#REF!</definedName>
    <definedName name="dt" localSheetId="31">#REF!</definedName>
    <definedName name="dt" localSheetId="35">#REF!</definedName>
    <definedName name="dt" localSheetId="36">#REF!</definedName>
    <definedName name="dt">#REF!</definedName>
    <definedName name="dt_23">"$#REF!.$#REF!$#REF!:$#REF!$#REF!"</definedName>
    <definedName name="dt_33">"$#REF!.$#REF!$#REF!"</definedName>
    <definedName name="dt_34">"$#REF!.$#REF!$#REF!"</definedName>
    <definedName name="dt_38">"$#REF!.$#REF!$#REF!:$#REF!$#REF!"</definedName>
    <definedName name="dt_41">"$#REF!.$#REF!$#REF!:$#REF!$#REF!"</definedName>
    <definedName name="dt_43">"$#REF!.$#REF!$#REF!:$#REF!$#REF!"</definedName>
    <definedName name="dt_48">"$#REF!.$#REF!$#REF!:$#REF!$#REF!"</definedName>
    <definedName name="dt_55">"$#REF!.$#REF!$#REF!:$#REF!$#REF!"</definedName>
    <definedName name="dt_57">"$#REF!.$#REF!$#REF!:$#REF!$#REF!"</definedName>
    <definedName name="dt_59">"$#REF!.$#REF!$#REF!:$#REF!$#REF!"</definedName>
    <definedName name="dt_60">"$#REF!.$#REF!$#REF!:$#REF!$#REF!"</definedName>
    <definedName name="dt_61">"$#REF!.$#REF!$#REF!:$#REF!$#REF!"</definedName>
    <definedName name="dt_62">"$#REF!.$#REF!$#REF!:$#REF!$#REF!"</definedName>
    <definedName name="dt_7">"$#REF!.$#REF!$#REF!:$#REF!$#REF!"</definedName>
    <definedName name="dt_72">"$#REF!.$#REF!$#REF!:$#REF!$#REF!"</definedName>
    <definedName name="dt_73">"$#REF!.$#REF!$#REF!:$#REF!$#REF!"</definedName>
    <definedName name="dt_8">"$#REF!.$#REF!$#REF!:$#REF!$#REF!"</definedName>
    <definedName name="dtrb" localSheetId="8">#REF!</definedName>
    <definedName name="dtrb" localSheetId="10">#REF!</definedName>
    <definedName name="dtrb" localSheetId="11">#REF!</definedName>
    <definedName name="dtrb" localSheetId="29">#REF!</definedName>
    <definedName name="dtrb">#REF!</definedName>
    <definedName name="dtt">#REF!</definedName>
    <definedName name="dust" localSheetId="5">#REF!</definedName>
    <definedName name="dust" localSheetId="8">#REF!</definedName>
    <definedName name="dust" localSheetId="10">#REF!</definedName>
    <definedName name="dust" localSheetId="11">#REF!</definedName>
    <definedName name="dust" localSheetId="29">#REF!</definedName>
    <definedName name="dust" localSheetId="31">#REF!</definedName>
    <definedName name="dust">#REF!</definedName>
    <definedName name="dust_33">"$#REF!.$#REF!$#REF!"</definedName>
    <definedName name="dw" localSheetId="8">#REF!</definedName>
    <definedName name="dw" localSheetId="10">#REF!</definedName>
    <definedName name="dw" localSheetId="11">#REF!</definedName>
    <definedName name="dw" localSheetId="29">#REF!</definedName>
    <definedName name="dw">#REF!</definedName>
    <definedName name="dx" localSheetId="8">#REF!</definedName>
    <definedName name="dx" localSheetId="10">#REF!</definedName>
    <definedName name="dx" localSheetId="11">#REF!</definedName>
    <definedName name="dx" localSheetId="29">#REF!</definedName>
    <definedName name="dx">#REF!</definedName>
    <definedName name="dxc">#REF!</definedName>
    <definedName name="E" localSheetId="21" hidden="1">{"'ridftotal'!$A$4:$S$27"}</definedName>
    <definedName name="E" localSheetId="14" hidden="1">{"'ridftotal'!$A$4:$S$27"}</definedName>
    <definedName name="E" localSheetId="11" hidden="1">{"'ridftotal'!$A$4:$S$27"}</definedName>
    <definedName name="E" localSheetId="44" hidden="1">{"'ridftotal'!$A$4:$S$27"}</definedName>
    <definedName name="E" localSheetId="29" hidden="1">{"'ridftotal'!$A$4:$S$27"}</definedName>
    <definedName name="E" localSheetId="19" hidden="1">{"'ridftotal'!$A$4:$S$27"}</definedName>
    <definedName name="E" localSheetId="31" hidden="1">{"'ridftotal'!$A$4:$S$27"}</definedName>
    <definedName name="E" localSheetId="9" hidden="1">{"'ridftotal'!$A$4:$S$27"}</definedName>
    <definedName name="E" localSheetId="3" hidden="1">{"'ridftotal'!$A$4:$S$27"}</definedName>
    <definedName name="E" hidden="1">{"'ridftotal'!$A$4:$S$27"}</definedName>
    <definedName name="E_W_CARTED_FMC" localSheetId="5">#REF!</definedName>
    <definedName name="E_W_CARTED_FMC" localSheetId="8">#REF!</definedName>
    <definedName name="E_W_CARTED_FMC" localSheetId="10">#REF!</definedName>
    <definedName name="E_W_CARTED_FMC" localSheetId="11">#REF!</definedName>
    <definedName name="E_W_CARTED_FMC" localSheetId="29">#REF!</definedName>
    <definedName name="E_W_CARTED_FMC" localSheetId="31">#REF!</definedName>
    <definedName name="E_W_CARTED_FMC">#REF!</definedName>
    <definedName name="E_W_SIDE">#N/A</definedName>
    <definedName name="E_W_SIDE_FMC_NO" localSheetId="5">#REF!</definedName>
    <definedName name="E_W_SIDE_FMC_NO" localSheetId="8">#REF!</definedName>
    <definedName name="E_W_SIDE_FMC_NO" localSheetId="10">#REF!</definedName>
    <definedName name="E_W_SIDE_FMC_NO" localSheetId="11">#REF!</definedName>
    <definedName name="E_W_SIDE_FMC_NO" localSheetId="29">#REF!</definedName>
    <definedName name="E_W_SIDE_FMC_NO" localSheetId="31">#REF!</definedName>
    <definedName name="E_W_SIDE_FMC_NO">#REF!</definedName>
    <definedName name="E_W_SIDE_FMC_PR" localSheetId="5">#REF!</definedName>
    <definedName name="E_W_SIDE_FMC_PR" localSheetId="8">#REF!</definedName>
    <definedName name="E_W_SIDE_FMC_PR" localSheetId="10">#REF!</definedName>
    <definedName name="E_W_SIDE_FMC_PR" localSheetId="11">#REF!</definedName>
    <definedName name="E_W_SIDE_FMC_PR" localSheetId="29">#REF!</definedName>
    <definedName name="E_W_SIDE_FMC_PR" localSheetId="31">#REF!</definedName>
    <definedName name="E_W_SIDE_FMC_PR">#REF!</definedName>
    <definedName name="E_W_SIDE_OMC" localSheetId="5">#REF!</definedName>
    <definedName name="E_W_SIDE_OMC" localSheetId="8">#REF!</definedName>
    <definedName name="E_W_SIDE_OMC" localSheetId="10">#REF!</definedName>
    <definedName name="E_W_SIDE_OMC" localSheetId="11">#REF!</definedName>
    <definedName name="E_W_SIDE_OMC" localSheetId="29">#REF!</definedName>
    <definedName name="E_W_SIDE_OMC" localSheetId="31">#REF!</definedName>
    <definedName name="E_W_SIDE_OMC">#REF!</definedName>
    <definedName name="EAI" localSheetId="8">#REF!</definedName>
    <definedName name="EAI" localSheetId="10">#REF!</definedName>
    <definedName name="EAI" localSheetId="29">#REF!</definedName>
    <definedName name="EAI">#REF!</definedName>
    <definedName name="earth_lead" localSheetId="29">#REF!</definedName>
    <definedName name="earth_omc" localSheetId="29">#REF!</definedName>
    <definedName name="earth_rate">#REF!</definedName>
    <definedName name="EarthShoulders" localSheetId="29">#REF!</definedName>
    <definedName name="ed" localSheetId="8">#REF!</definedName>
    <definedName name="ed" localSheetId="10">#REF!</definedName>
    <definedName name="ed" localSheetId="11">#REF!</definedName>
    <definedName name="ed" localSheetId="29">#REF!</definedName>
    <definedName name="ed">#REF!</definedName>
    <definedName name="edswi" localSheetId="8">#REF!</definedName>
    <definedName name="edswi" localSheetId="10">#REF!</definedName>
    <definedName name="edswi" localSheetId="11">#REF!</definedName>
    <definedName name="edswi" localSheetId="29">#REF!</definedName>
    <definedName name="edswi">#REF!</definedName>
    <definedName name="EE" localSheetId="21">#REF!</definedName>
    <definedName name="ee_33">#N/A</definedName>
    <definedName name="ee_34">#N/A</definedName>
    <definedName name="eee" localSheetId="5">#REF!</definedName>
    <definedName name="eee" localSheetId="8">#REF!</definedName>
    <definedName name="eee" localSheetId="10">#REF!</definedName>
    <definedName name="eee" localSheetId="11">#REF!</definedName>
    <definedName name="eee" localSheetId="29">#REF!</definedName>
    <definedName name="eee" localSheetId="31">#REF!</definedName>
    <definedName name="eee">#REF!</definedName>
    <definedName name="eee_33">"$#REF!.$#REF!$#REF!:$#REF!$#REF!"</definedName>
    <definedName name="eeee" localSheetId="8">#REF!</definedName>
    <definedName name="eeee" localSheetId="10">#REF!</definedName>
    <definedName name="eeee" localSheetId="29">#REF!</definedName>
    <definedName name="eeee">#REF!</definedName>
    <definedName name="eerws" localSheetId="21">#REF!</definedName>
    <definedName name="eerws" localSheetId="5">#REF!</definedName>
    <definedName name="eerws" localSheetId="8">#REF!</definedName>
    <definedName name="eerws" localSheetId="10">#REF!</definedName>
    <definedName name="eerws" localSheetId="11">#REF!</definedName>
    <definedName name="eerws" localSheetId="29">#REF!</definedName>
    <definedName name="eerws" localSheetId="31">#REF!</definedName>
    <definedName name="eerws" localSheetId="35">#REF!</definedName>
    <definedName name="eerws" localSheetId="36">#REF!</definedName>
    <definedName name="eerws">#REF!</definedName>
    <definedName name="ei" localSheetId="29">#REF!</definedName>
    <definedName name="EII" localSheetId="14">#REF!</definedName>
    <definedName name="EII" localSheetId="8">#REF!</definedName>
    <definedName name="EII" localSheetId="10">#REF!</definedName>
    <definedName name="EII" localSheetId="29">#REF!</definedName>
    <definedName name="EII">#REF!</definedName>
    <definedName name="EIII" localSheetId="14">#REF!</definedName>
    <definedName name="EIII" localSheetId="8">#REF!</definedName>
    <definedName name="EIII" localSheetId="10">#REF!</definedName>
    <definedName name="EIII" localSheetId="29">#REF!</definedName>
    <definedName name="EIII">#REF!</definedName>
    <definedName name="EIV" localSheetId="14">#REF!</definedName>
    <definedName name="EIV" localSheetId="8">#REF!</definedName>
    <definedName name="EIV" localSheetId="10">#REF!</definedName>
    <definedName name="EIV" localSheetId="29">#REF!</definedName>
    <definedName name="EIV">#REF!</definedName>
    <definedName name="elg" localSheetId="29">#REF!</definedName>
    <definedName name="Email" localSheetId="21">#REF!</definedName>
    <definedName name="Email" localSheetId="5">#REF!</definedName>
    <definedName name="Email" localSheetId="8">#REF!</definedName>
    <definedName name="Email" localSheetId="10">#REF!</definedName>
    <definedName name="Email" localSheetId="11">#REF!</definedName>
    <definedName name="Email" localSheetId="29">#REF!</definedName>
    <definedName name="Email" localSheetId="31">#REF!</definedName>
    <definedName name="Email" localSheetId="35">#REF!</definedName>
    <definedName name="Email" localSheetId="36">#REF!</definedName>
    <definedName name="Email">#REF!</definedName>
    <definedName name="Emulsion_RS1" localSheetId="29">#REF!</definedName>
    <definedName name="Emulsion_SS1">#REF!</definedName>
    <definedName name="Emultion_SS" localSheetId="14">lead!$J$41</definedName>
    <definedName name="Emultion_SS" localSheetId="29">[1]Lead!$J$42</definedName>
    <definedName name="Emultion_SS">lead!$J$41</definedName>
    <definedName name="Emution_RS" localSheetId="14">lead!$J$42</definedName>
    <definedName name="Emution_RS" localSheetId="29">[1]Lead!$J$43</definedName>
    <definedName name="Emution_RS">lead!$J$42</definedName>
    <definedName name="enamel_door_paint" localSheetId="8">#REF!</definedName>
    <definedName name="enamel_door_paint" localSheetId="10">#REF!</definedName>
    <definedName name="enamel_door_paint" localSheetId="11">#REF!</definedName>
    <definedName name="enamel_door_paint" localSheetId="29">#REF!</definedName>
    <definedName name="enamel_door_paint">#REF!</definedName>
    <definedName name="enamel_grill_paint" localSheetId="8">#REF!</definedName>
    <definedName name="enamel_grill_paint" localSheetId="10">#REF!</definedName>
    <definedName name="enamel_grill_paint" localSheetId="11">#REF!</definedName>
    <definedName name="enamel_grill_paint" localSheetId="29">#REF!</definedName>
    <definedName name="enamel_grill_paint">#REF!</definedName>
    <definedName name="er" localSheetId="29">#REF!</definedName>
    <definedName name="ERERE">#REF!</definedName>
    <definedName name="EREREJJJ">#REF!</definedName>
    <definedName name="ertsret">#REF!</definedName>
    <definedName name="es" localSheetId="29">#REF!</definedName>
    <definedName name="ESP" localSheetId="14">#REF!</definedName>
    <definedName name="ESP" localSheetId="8">#REF!</definedName>
    <definedName name="ESP" localSheetId="10">#REF!</definedName>
    <definedName name="ESP" localSheetId="29">#REF!</definedName>
    <definedName name="ESP">#REF!</definedName>
    <definedName name="EST">#REF!</definedName>
    <definedName name="ESTT" localSheetId="8">#REF!</definedName>
    <definedName name="ESTT" localSheetId="10">#REF!</definedName>
    <definedName name="ESTT" localSheetId="29">#REF!</definedName>
    <definedName name="ESTT">#REF!</definedName>
    <definedName name="EW_Carting1Km." localSheetId="29">#REF!</definedName>
    <definedName name="EW_SideEarth" localSheetId="29">#REF!</definedName>
    <definedName name="EW_SP">#REF!</definedName>
    <definedName name="EWC" localSheetId="8">#REF!</definedName>
    <definedName name="EWC" localSheetId="10">#REF!</definedName>
    <definedName name="EWC" localSheetId="29">#REF!</definedName>
    <definedName name="EWC">#REF!</definedName>
    <definedName name="EWCONVEYANCE" localSheetId="8">#REF!</definedName>
    <definedName name="EWCONVEYANCE" localSheetId="10">#REF!</definedName>
    <definedName name="EWCONVEYANCE" localSheetId="11">#REF!</definedName>
    <definedName name="EWCONVEYANCE" localSheetId="29">#REF!</definedName>
    <definedName name="EWCONVEYANCE">#REF!</definedName>
    <definedName name="ewe" localSheetId="5">#REF!</definedName>
    <definedName name="ewe" localSheetId="8">#REF!</definedName>
    <definedName name="ewe" localSheetId="10">#REF!</definedName>
    <definedName name="ewe" localSheetId="11">#REF!</definedName>
    <definedName name="ewe" localSheetId="29">#REF!</definedName>
    <definedName name="ewe" localSheetId="31">#REF!</definedName>
    <definedName name="ewe">#REF!</definedName>
    <definedName name="EWW" localSheetId="8">#REF!</definedName>
    <definedName name="EWW" localSheetId="10">#REF!</definedName>
    <definedName name="EWW" localSheetId="29">#REF!</definedName>
    <definedName name="EWW">#REF!</definedName>
    <definedName name="excavation" localSheetId="8">#REF!</definedName>
    <definedName name="excavation" localSheetId="10">#REF!</definedName>
    <definedName name="excavation" localSheetId="11">#REF!</definedName>
    <definedName name="excavation" localSheetId="29">#REF!</definedName>
    <definedName name="excavation">#REF!</definedName>
    <definedName name="Excel_BuiltIn__FilterDatabase_5" localSheetId="21">#REF!</definedName>
    <definedName name="Excel_BuiltIn__FilterDatabase_5" localSheetId="5">#REF!</definedName>
    <definedName name="Excel_BuiltIn__FilterDatabase_5" localSheetId="8">#REF!</definedName>
    <definedName name="Excel_BuiltIn__FilterDatabase_5" localSheetId="10">#REF!</definedName>
    <definedName name="Excel_BuiltIn__FilterDatabase_5" localSheetId="11">#REF!</definedName>
    <definedName name="Excel_BuiltIn__FilterDatabase_5" localSheetId="29">#REF!</definedName>
    <definedName name="Excel_BuiltIn__FilterDatabase_5" localSheetId="31">#REF!</definedName>
    <definedName name="Excel_BuiltIn__FilterDatabase_5" localSheetId="35">#REF!</definedName>
    <definedName name="Excel_BuiltIn__FilterDatabase_5" localSheetId="36">#REF!</definedName>
    <definedName name="Excel_BuiltIn__FilterDatabase_5">#REF!</definedName>
    <definedName name="Excel_BuiltIn__FilterDatabase_6" localSheetId="21">#REF!</definedName>
    <definedName name="Excel_BuiltIn__FilterDatabase_6" localSheetId="5">#REF!</definedName>
    <definedName name="Excel_BuiltIn__FilterDatabase_6" localSheetId="8">#REF!</definedName>
    <definedName name="Excel_BuiltIn__FilterDatabase_6" localSheetId="10">#REF!</definedName>
    <definedName name="Excel_BuiltIn__FilterDatabase_6" localSheetId="11">#REF!</definedName>
    <definedName name="Excel_BuiltIn__FilterDatabase_6" localSheetId="29">#REF!</definedName>
    <definedName name="Excel_BuiltIn__FilterDatabase_6" localSheetId="31">#REF!</definedName>
    <definedName name="Excel_BuiltIn__FilterDatabase_6" localSheetId="35">#REF!</definedName>
    <definedName name="Excel_BuiltIn__FilterDatabase_6" localSheetId="36">#REF!</definedName>
    <definedName name="Excel_BuiltIn__FilterDatabase_6">#REF!</definedName>
    <definedName name="Excel_BuiltIn_Database">#N/A</definedName>
    <definedName name="Excel_BuiltIn_Database_23">"$#REF!.$#REF!$#REF!"</definedName>
    <definedName name="Excel_BuiltIn_Database_32">"$#REF!.$#REF!$#REF!"</definedName>
    <definedName name="Excel_BuiltIn_Database_33">"$#REF!.$#REF!$#REF!"</definedName>
    <definedName name="Excel_BuiltIn_Database_34">"$#REF!.$#REF!$#REF!"</definedName>
    <definedName name="Excel_BuiltIn_Database_38">"$#REF!.$#REF!$#REF!"</definedName>
    <definedName name="Excel_BuiltIn_Database_41">"$#REF!.$#REF!$#REF!"</definedName>
    <definedName name="Excel_BuiltIn_Database_43">"$#REF!.$#REF!$#REF!"</definedName>
    <definedName name="Excel_BuiltIn_Database_48">"$#REF!.$#REF!$#REF!"</definedName>
    <definedName name="Excel_BuiltIn_Database_56">"$#REF!.$#REF!$#REF!"</definedName>
    <definedName name="Excel_BuiltIn_Database_57">"$#REF!.$#REF!$#REF!"</definedName>
    <definedName name="Excel_BuiltIn_Database_59">"$#REF!.$#REF!$#REF!"</definedName>
    <definedName name="Excel_BuiltIn_Database_60">"$#REF!.$#REF!$#REF!"</definedName>
    <definedName name="Excel_BuiltIn_Database_61">"$#REF!.$#REF!$#REF!"</definedName>
    <definedName name="Excel_BuiltIn_Database_62">"$#REF!.$#REF!$#REF!"</definedName>
    <definedName name="Excel_BuiltIn_Database_7">"$#REF!.$#REF!$#REF!"</definedName>
    <definedName name="Excel_BuiltIn_Database_72">"$#REF!.$#REF!$#REF!"</definedName>
    <definedName name="Excel_BuiltIn_Database_73">"$#REF!.$#REF!$#REF!"</definedName>
    <definedName name="Excel_BuiltIn_Database_8">"$#REF!.$#REF!$#REF!"</definedName>
    <definedName name="Excel_BuiltIn_Print_Area">#REF!</definedName>
    <definedName name="Excel_BuiltIn_Print_Area_33">"$#REF!.$#REF!$#REF!"</definedName>
    <definedName name="Excel_BuiltIn_Print_Titles">NA()</definedName>
    <definedName name="Excel_BuiltIn_Print_Titles_35">#REF!</definedName>
    <definedName name="Excel_BuiltIn_Print_Titles_40">#REF!</definedName>
    <definedName name="Excel_BuiltIn_Print_Titles_58">#REF!</definedName>
    <definedName name="Excel_BuiltIn_Print_Titles_59">#REF!</definedName>
    <definedName name="f" localSheetId="21">#REF!</definedName>
    <definedName name="f" localSheetId="5">#REF!</definedName>
    <definedName name="f" localSheetId="8">#REF!</definedName>
    <definedName name="f" localSheetId="10">#REF!</definedName>
    <definedName name="f" localSheetId="11">#REF!</definedName>
    <definedName name="f" localSheetId="29">#REF!</definedName>
    <definedName name="f" localSheetId="31">#REF!</definedName>
    <definedName name="f" localSheetId="35">#REF!</definedName>
    <definedName name="f" localSheetId="36">#REF!</definedName>
    <definedName name="f">#REF!</definedName>
    <definedName name="f_33">"$#REF!.$#REF!$#REF!"</definedName>
    <definedName name="f_34">"$#REF!.$#REF!$#REF!"</definedName>
    <definedName name="f_55">"$#REF!.$D$545"</definedName>
    <definedName name="F2a" localSheetId="8">#REF!</definedName>
    <definedName name="F2a" localSheetId="10">#REF!</definedName>
    <definedName name="F2a" localSheetId="29">#REF!</definedName>
    <definedName name="F2a">#REF!</definedName>
    <definedName name="fabchr" localSheetId="8">#REF!</definedName>
    <definedName name="fabchr" localSheetId="10">#REF!</definedName>
    <definedName name="fabchr" localSheetId="11">#REF!</definedName>
    <definedName name="fabchr" localSheetId="29">#REF!</definedName>
    <definedName name="fabchr">#REF!</definedName>
    <definedName name="fabrication">#REF!</definedName>
    <definedName name="Fax" localSheetId="21">#REF!</definedName>
    <definedName name="Fax" localSheetId="5">#REF!</definedName>
    <definedName name="Fax" localSheetId="8">#REF!</definedName>
    <definedName name="Fax" localSheetId="10">#REF!</definedName>
    <definedName name="Fax" localSheetId="11">#REF!</definedName>
    <definedName name="Fax" localSheetId="29">#REF!</definedName>
    <definedName name="Fax" localSheetId="31">#REF!</definedName>
    <definedName name="Fax" localSheetId="35">#REF!</definedName>
    <definedName name="Fax" localSheetId="36">#REF!</definedName>
    <definedName name="Fax">#REF!</definedName>
    <definedName name="fb" localSheetId="8">#REF!</definedName>
    <definedName name="fb" localSheetId="10">#REF!</definedName>
    <definedName name="fb" localSheetId="11">#REF!</definedName>
    <definedName name="fb" localSheetId="29">#REF!</definedName>
    <definedName name="fb">#REF!</definedName>
    <definedName name="fbl">#REF!</definedName>
    <definedName name="FC" localSheetId="8">#REF!</definedName>
    <definedName name="FC" localSheetId="10">#REF!</definedName>
    <definedName name="FC" localSheetId="29">#REF!</definedName>
    <definedName name="FC">#REF!</definedName>
    <definedName name="fck">#REF!</definedName>
    <definedName name="FCode" localSheetId="21" hidden="1">#REF!</definedName>
    <definedName name="FCode" localSheetId="5" hidden="1">#REF!</definedName>
    <definedName name="FCode" localSheetId="30" hidden="1">#REF!</definedName>
    <definedName name="FCode" localSheetId="8" hidden="1">#REF!</definedName>
    <definedName name="FCode" localSheetId="10" hidden="1">#REF!</definedName>
    <definedName name="FCode" localSheetId="11" hidden="1">#REF!</definedName>
    <definedName name="FCode" localSheetId="37" hidden="1">#REF!</definedName>
    <definedName name="FCode" localSheetId="38" hidden="1">#REF!</definedName>
    <definedName name="FCode" localSheetId="29" hidden="1">#REF!</definedName>
    <definedName name="FCode" localSheetId="19" hidden="1">#REF!</definedName>
    <definedName name="FCode" localSheetId="31" hidden="1">#REF!</definedName>
    <definedName name="FCode" localSheetId="39" hidden="1">#REF!</definedName>
    <definedName name="FCode" localSheetId="35" hidden="1">#REF!</definedName>
    <definedName name="FCode" localSheetId="36" hidden="1">#REF!</definedName>
    <definedName name="FCode" localSheetId="9" hidden="1">#REF!</definedName>
    <definedName name="FCode" localSheetId="3" hidden="1">#REF!</definedName>
    <definedName name="FCode" hidden="1">#REF!</definedName>
    <definedName name="fdh" localSheetId="29">#REF!</definedName>
    <definedName name="ff" localSheetId="8">#REF!</definedName>
    <definedName name="ff" localSheetId="10">#REF!</definedName>
    <definedName name="ff" localSheetId="29">#REF!</definedName>
    <definedName name="ff">#REF!</definedName>
    <definedName name="fff" localSheetId="8">#REF!</definedName>
    <definedName name="fff" localSheetId="10">#REF!</definedName>
    <definedName name="fff" localSheetId="29">#REF!</definedName>
    <definedName name="fff">#REF!</definedName>
    <definedName name="ffff" localSheetId="8">#REF!</definedName>
    <definedName name="ffff" localSheetId="10">#REF!</definedName>
    <definedName name="ffff" localSheetId="29">#REF!</definedName>
    <definedName name="ffff">#REF!</definedName>
    <definedName name="fffff" localSheetId="29">#REF!</definedName>
    <definedName name="ffffffff" localSheetId="8">#REF!</definedName>
    <definedName name="ffffffff" localSheetId="10">#REF!</definedName>
    <definedName name="ffffffff" localSheetId="29">#REF!</definedName>
    <definedName name="ffffffff">#REF!</definedName>
    <definedName name="ffffffffffffffffffffff" localSheetId="8">#REF!</definedName>
    <definedName name="ffffffffffffffffffffff" localSheetId="10">#REF!</definedName>
    <definedName name="ffffffffffffffffffffff" localSheetId="29">#REF!</definedName>
    <definedName name="ffffffffffffffffffffff">#REF!</definedName>
    <definedName name="fffffffffffffffffffffff" localSheetId="14" hidden="1">{"'ridftotal'!$A$4:$S$27"}</definedName>
    <definedName name="fffffffffffffffffffffff" localSheetId="29" hidden="1">{"'ridftotal'!$A$4:$S$27"}</definedName>
    <definedName name="fffffffffffffffffffffff" hidden="1">{"'ridftotal'!$A$4:$S$27"}</definedName>
    <definedName name="fffffffffffffffffffffffffffffffff" localSheetId="8" hidden="1">#REF!</definedName>
    <definedName name="fffffffffffffffffffffffffffffffff" localSheetId="10" hidden="1">#REF!</definedName>
    <definedName name="fffffffffffffffffffffffffffffffff" localSheetId="29" hidden="1">#REF!</definedName>
    <definedName name="fffffffffffffffffffffffffffffffff" hidden="1">#REF!</definedName>
    <definedName name="ffffsafsafsf">#REF!</definedName>
    <definedName name="ffghf">#REF!</definedName>
    <definedName name="FGD" localSheetId="21" hidden="1">{"'ridftotal'!$A$4:$S$27"}</definedName>
    <definedName name="FGD" localSheetId="14" hidden="1">{"'ridftotal'!$A$4:$S$27"}</definedName>
    <definedName name="FGD" localSheetId="11" hidden="1">{"'ridftotal'!$A$4:$S$27"}</definedName>
    <definedName name="FGD" localSheetId="44" hidden="1">{"'ridftotal'!$A$4:$S$27"}</definedName>
    <definedName name="FGD" localSheetId="29" hidden="1">{"'ridftotal'!$A$4:$S$27"}</definedName>
    <definedName name="FGD" localSheetId="19" hidden="1">{"'ridftotal'!$A$4:$S$27"}</definedName>
    <definedName name="FGD" localSheetId="31" hidden="1">{"'ridftotal'!$A$4:$S$27"}</definedName>
    <definedName name="FGD" localSheetId="9" hidden="1">{"'ridftotal'!$A$4:$S$27"}</definedName>
    <definedName name="FGD" localSheetId="3" hidden="1">{"'ridftotal'!$A$4:$S$27"}</definedName>
    <definedName name="FGD" hidden="1">{"'ridftotal'!$A$4:$S$27"}</definedName>
    <definedName name="FGHH" localSheetId="21" hidden="1">{"'ridftotal'!$A$4:$S$27"}</definedName>
    <definedName name="FGHH" localSheetId="14" hidden="1">{"'ridftotal'!$A$4:$S$27"}</definedName>
    <definedName name="FGHH" localSheetId="11" hidden="1">{"'ridftotal'!$A$4:$S$27"}</definedName>
    <definedName name="FGHH" localSheetId="44" hidden="1">{"'ridftotal'!$A$4:$S$27"}</definedName>
    <definedName name="FGHH" localSheetId="29" hidden="1">{"'ridftotal'!$A$4:$S$27"}</definedName>
    <definedName name="FGHH" localSheetId="19" hidden="1">{"'ridftotal'!$A$4:$S$27"}</definedName>
    <definedName name="FGHH" localSheetId="31" hidden="1">{"'ridftotal'!$A$4:$S$27"}</definedName>
    <definedName name="FGHH" localSheetId="9" hidden="1">{"'ridftotal'!$A$4:$S$27"}</definedName>
    <definedName name="FGHH" localSheetId="3" hidden="1">{"'ridftotal'!$A$4:$S$27"}</definedName>
    <definedName name="FGHH" hidden="1">{"'ridftotal'!$A$4:$S$27"}</definedName>
    <definedName name="fgkhj">#REF!</definedName>
    <definedName name="fglhkohpiyohpy">#REF!</definedName>
    <definedName name="FI" localSheetId="14">#REF!</definedName>
    <definedName name="FI" localSheetId="8">#REF!</definedName>
    <definedName name="FI" localSheetId="10">#REF!</definedName>
    <definedName name="FI" localSheetId="29">#REF!</definedName>
    <definedName name="FI">#REF!</definedName>
    <definedName name="FII" localSheetId="14">#REF!</definedName>
    <definedName name="FII" localSheetId="8">#REF!</definedName>
    <definedName name="FII" localSheetId="10">#REF!</definedName>
    <definedName name="FII" localSheetId="29">#REF!</definedName>
    <definedName name="FII">#REF!</definedName>
    <definedName name="FIII" localSheetId="14">#REF!</definedName>
    <definedName name="FIII" localSheetId="8">#REF!</definedName>
    <definedName name="FIII" localSheetId="10">#REF!</definedName>
    <definedName name="FIII" localSheetId="29">#REF!</definedName>
    <definedName name="FIII">#REF!</definedName>
    <definedName name="filling_earth" localSheetId="8">#REF!</definedName>
    <definedName name="filling_earth" localSheetId="10">#REF!</definedName>
    <definedName name="filling_earth" localSheetId="11">#REF!</definedName>
    <definedName name="filling_earth" localSheetId="29">#REF!</definedName>
    <definedName name="filling_earth">#REF!</definedName>
    <definedName name="filling_gravel" localSheetId="8">#REF!</definedName>
    <definedName name="filling_gravel" localSheetId="10">#REF!</definedName>
    <definedName name="filling_gravel" localSheetId="11">#REF!</definedName>
    <definedName name="filling_gravel" localSheetId="29">#REF!</definedName>
    <definedName name="filling_gravel">#REF!</definedName>
    <definedName name="fillingsand">#REF!</definedName>
    <definedName name="FilterMedia" localSheetId="29">#REF!</definedName>
    <definedName name="fineaggregate" localSheetId="8">#REF!</definedName>
    <definedName name="fineaggregate" localSheetId="10">#REF!</definedName>
    <definedName name="fineaggregate" localSheetId="11">#REF!</definedName>
    <definedName name="fineaggregate" localSheetId="29">#REF!</definedName>
    <definedName name="fineaggregate">#REF!</definedName>
    <definedName name="finished" localSheetId="21">#REF!</definedName>
    <definedName name="finished" localSheetId="5">#REF!</definedName>
    <definedName name="finished" localSheetId="8">#REF!</definedName>
    <definedName name="finished" localSheetId="10">#REF!</definedName>
    <definedName name="finished" localSheetId="11">#REF!</definedName>
    <definedName name="finished" localSheetId="29">#REF!</definedName>
    <definedName name="finished" localSheetId="31">#REF!</definedName>
    <definedName name="finished" localSheetId="35">#REF!</definedName>
    <definedName name="finished" localSheetId="36">#REF!</definedName>
    <definedName name="finished">#REF!</definedName>
    <definedName name="finished_33">"$#REF!.$#REF!$#REF!"</definedName>
    <definedName name="finished_34">"$#REF!.$#REF!$#REF!"</definedName>
    <definedName name="FIV" localSheetId="8">#REF!</definedName>
    <definedName name="FIV" localSheetId="10">#REF!</definedName>
    <definedName name="FIV" localSheetId="29">#REF!</definedName>
    <definedName name="FIV">#REF!</definedName>
    <definedName name="fiw" localSheetId="21">#REF!</definedName>
    <definedName name="fiw" localSheetId="5">#REF!</definedName>
    <definedName name="fiw" localSheetId="8">#REF!</definedName>
    <definedName name="fiw" localSheetId="10">#REF!</definedName>
    <definedName name="fiw" localSheetId="11">#REF!</definedName>
    <definedName name="fiw" localSheetId="29">#REF!</definedName>
    <definedName name="fiw" localSheetId="31">#REF!</definedName>
    <definedName name="fiw" localSheetId="35">#REF!</definedName>
    <definedName name="fiw" localSheetId="36">#REF!</definedName>
    <definedName name="fiw">#REF!</definedName>
    <definedName name="floor_ceramic" localSheetId="8">#REF!</definedName>
    <definedName name="floor_ceramic" localSheetId="10">#REF!</definedName>
    <definedName name="floor_ceramic" localSheetId="11">#REF!</definedName>
    <definedName name="floor_ceramic" localSheetId="29">#REF!</definedName>
    <definedName name="floor_ceramic">#REF!</definedName>
    <definedName name="floor_chequered" localSheetId="8">#REF!</definedName>
    <definedName name="floor_chequered" localSheetId="10">#REF!</definedName>
    <definedName name="floor_chequered" localSheetId="11">#REF!</definedName>
    <definedName name="floor_chequered" localSheetId="29">#REF!</definedName>
    <definedName name="floor_chequered">#REF!</definedName>
    <definedName name="floor_kadapa" localSheetId="8">#REF!</definedName>
    <definedName name="floor_kadapa" localSheetId="10">#REF!</definedName>
    <definedName name="floor_kadapa" localSheetId="11">#REF!</definedName>
    <definedName name="floor_kadapa" localSheetId="29">#REF!</definedName>
    <definedName name="floor_kadapa">#REF!</definedName>
    <definedName name="floor_shahbad" localSheetId="8">#REF!</definedName>
    <definedName name="floor_shahbad" localSheetId="10">#REF!</definedName>
    <definedName name="floor_shahbad" localSheetId="11">#REF!</definedName>
    <definedName name="floor_shahbad" localSheetId="29">#REF!</definedName>
    <definedName name="floor_shahbad">#REF!</definedName>
    <definedName name="flushpointing" localSheetId="29">#REF!</definedName>
    <definedName name="fma" localSheetId="29">#REF!</definedName>
    <definedName name="fp">#REF!</definedName>
    <definedName name="fpaint" localSheetId="29">#REF!</definedName>
    <definedName name="fresh_33" localSheetId="29">#REF!</definedName>
    <definedName name="fresh_34">#REF!</definedName>
    <definedName name="fryasa">#REF!</definedName>
    <definedName name="fsc" localSheetId="29">#REF!</definedName>
    <definedName name="fsfff">#REF!</definedName>
    <definedName name="fsfsf">#REF!</definedName>
    <definedName name="fsgh" localSheetId="29">#REF!</definedName>
    <definedName name="FV" localSheetId="14">#REF!</definedName>
    <definedName name="FV" localSheetId="8">#REF!</definedName>
    <definedName name="FV" localSheetId="10">#REF!</definedName>
    <definedName name="FV" localSheetId="29">#REF!</definedName>
    <definedName name="FV">#REF!</definedName>
    <definedName name="FW" localSheetId="21">#REF!</definedName>
    <definedName name="FW" localSheetId="5">#REF!</definedName>
    <definedName name="FW" localSheetId="8">#REF!</definedName>
    <definedName name="FW" localSheetId="10">#REF!</definedName>
    <definedName name="FW" localSheetId="11">#REF!</definedName>
    <definedName name="FW" localSheetId="29">#REF!</definedName>
    <definedName name="FW" localSheetId="31">#REF!</definedName>
    <definedName name="FW" localSheetId="35">#REF!</definedName>
    <definedName name="FW" localSheetId="36">#REF!</definedName>
    <definedName name="FW">#REF!</definedName>
    <definedName name="fytfdss">#REF!</definedName>
    <definedName name="g" localSheetId="21">#REF!</definedName>
    <definedName name="g" localSheetId="5">#REF!</definedName>
    <definedName name="g" localSheetId="8">#REF!</definedName>
    <definedName name="g" localSheetId="10">#REF!</definedName>
    <definedName name="g" localSheetId="11">#REF!</definedName>
    <definedName name="g" localSheetId="29">#REF!</definedName>
    <definedName name="g" localSheetId="31">#REF!</definedName>
    <definedName name="g" localSheetId="35">#REF!</definedName>
    <definedName name="g" localSheetId="36">#REF!</definedName>
    <definedName name="g">#REF!</definedName>
    <definedName name="g_33">"$#REF!.$#REF!$#REF!"</definedName>
    <definedName name="g_34">"$#REF!.$#REF!$#REF!"</definedName>
    <definedName name="g_56">"$#REF!.$D$545"</definedName>
    <definedName name="g_lead" localSheetId="5">#REF!</definedName>
    <definedName name="g_lead" localSheetId="8">#REF!</definedName>
    <definedName name="g_lead" localSheetId="10">#REF!</definedName>
    <definedName name="g_lead" localSheetId="29">#REF!</definedName>
    <definedName name="g_lead" localSheetId="31">#REF!</definedName>
    <definedName name="g_lead">#REF!</definedName>
    <definedName name="gdgdhdhdfhdhdhdh" localSheetId="8">#REF!</definedName>
    <definedName name="gdgdhdhdfhdhdhdh" localSheetId="10">#REF!</definedName>
    <definedName name="gdgdhdhdfhdhdhdh" localSheetId="29">#REF!</definedName>
    <definedName name="gdgdhdhdfhdhdhdh">#REF!</definedName>
    <definedName name="gggg" localSheetId="8">#REF!</definedName>
    <definedName name="gggg" localSheetId="10">#REF!</definedName>
    <definedName name="gggg" localSheetId="29">#REF!</definedName>
    <definedName name="gggg">#REF!</definedName>
    <definedName name="ghggh">#REF!</definedName>
    <definedName name="ghghghgrt">#REF!</definedName>
    <definedName name="GHJK" localSheetId="21" hidden="1">{"'ridftotal'!$A$4:$S$27"}</definedName>
    <definedName name="GHJK" localSheetId="14" hidden="1">{"'ridftotal'!$A$4:$S$27"}</definedName>
    <definedName name="GHJK" localSheetId="11" hidden="1">{"'ridftotal'!$A$4:$S$27"}</definedName>
    <definedName name="GHJK" localSheetId="44" hidden="1">{"'ridftotal'!$A$4:$S$27"}</definedName>
    <definedName name="GHJK" localSheetId="29" hidden="1">{"'ridftotal'!$A$4:$S$27"}</definedName>
    <definedName name="GHJK" localSheetId="19" hidden="1">{"'ridftotal'!$A$4:$S$27"}</definedName>
    <definedName name="GHJK" localSheetId="31" hidden="1">{"'ridftotal'!$A$4:$S$27"}</definedName>
    <definedName name="GHJK" localSheetId="9" hidden="1">{"'ridftotal'!$A$4:$S$27"}</definedName>
    <definedName name="GHJK" localSheetId="3" hidden="1">{"'ridftotal'!$A$4:$S$27"}</definedName>
    <definedName name="GHJK" hidden="1">{"'ridftotal'!$A$4:$S$27"}</definedName>
    <definedName name="GHJKJK" localSheetId="21" hidden="1">{"'ridftotal'!$A$4:$S$27"}</definedName>
    <definedName name="GHJKJK" localSheetId="14" hidden="1">{"'ridftotal'!$A$4:$S$27"}</definedName>
    <definedName name="GHJKJK" localSheetId="11" hidden="1">{"'ridftotal'!$A$4:$S$27"}</definedName>
    <definedName name="GHJKJK" localSheetId="44" hidden="1">{"'ridftotal'!$A$4:$S$27"}</definedName>
    <definedName name="GHJKJK" localSheetId="29" hidden="1">{"'ridftotal'!$A$4:$S$27"}</definedName>
    <definedName name="GHJKJK" localSheetId="19" hidden="1">{"'ridftotal'!$A$4:$S$27"}</definedName>
    <definedName name="GHJKJK" localSheetId="31" hidden="1">{"'ridftotal'!$A$4:$S$27"}</definedName>
    <definedName name="GHJKJK" localSheetId="9" hidden="1">{"'ridftotal'!$A$4:$S$27"}</definedName>
    <definedName name="GHJKJK" localSheetId="3" hidden="1">{"'ridftotal'!$A$4:$S$27"}</definedName>
    <definedName name="GHJKJK" hidden="1">{"'ridftotal'!$A$4:$S$27"}</definedName>
    <definedName name="GI" localSheetId="8">#REF!</definedName>
    <definedName name="GI" localSheetId="10">#REF!</definedName>
    <definedName name="GI" localSheetId="11">#REF!</definedName>
    <definedName name="GI" localSheetId="29">#REF!</definedName>
    <definedName name="GI">#REF!</definedName>
    <definedName name="gib" localSheetId="8">#REF!</definedName>
    <definedName name="gib" localSheetId="10">#REF!</definedName>
    <definedName name="gib" localSheetId="11">#REF!</definedName>
    <definedName name="gib" localSheetId="29">#REF!</definedName>
    <definedName name="gib">#REF!</definedName>
    <definedName name="GIbend" localSheetId="5">#REF!</definedName>
    <definedName name="GIbend" localSheetId="8">#REF!</definedName>
    <definedName name="GIbend" localSheetId="10">#REF!</definedName>
    <definedName name="GIbend" localSheetId="29">#REF!</definedName>
    <definedName name="GIbend" localSheetId="31">#REF!</definedName>
    <definedName name="GIbend">#REF!</definedName>
    <definedName name="GIcoupling" localSheetId="5">#REF!</definedName>
    <definedName name="GIcoupling" localSheetId="8">#REF!</definedName>
    <definedName name="GIcoupling" localSheetId="10">#REF!</definedName>
    <definedName name="GIcoupling" localSheetId="29">#REF!</definedName>
    <definedName name="GIcoupling" localSheetId="31">#REF!</definedName>
    <definedName name="GIcoupling">#REF!</definedName>
    <definedName name="GIelbow" localSheetId="5">#REF!</definedName>
    <definedName name="GIelbow" localSheetId="8">#REF!</definedName>
    <definedName name="GIelbow" localSheetId="10">#REF!</definedName>
    <definedName name="GIelbow" localSheetId="29">#REF!</definedName>
    <definedName name="GIelbow" localSheetId="31">#REF!</definedName>
    <definedName name="GIelbow">#REF!</definedName>
    <definedName name="GInipple" localSheetId="5">#REF!</definedName>
    <definedName name="GInipple" localSheetId="8">#REF!</definedName>
    <definedName name="GInipple" localSheetId="10">#REF!</definedName>
    <definedName name="GInipple" localSheetId="29">#REF!</definedName>
    <definedName name="GInipple" localSheetId="31">#REF!</definedName>
    <definedName name="GInipple">#REF!</definedName>
    <definedName name="GIreducedTee" localSheetId="5">#REF!</definedName>
    <definedName name="GIreducedTee" localSheetId="8">#REF!</definedName>
    <definedName name="GIreducedTee" localSheetId="10">#REF!</definedName>
    <definedName name="GIreducedTee" localSheetId="29">#REF!</definedName>
    <definedName name="GIreducedTee" localSheetId="31">#REF!</definedName>
    <definedName name="GIreducedTee">#REF!</definedName>
    <definedName name="GIreducer" localSheetId="5">#REF!</definedName>
    <definedName name="GIreducer" localSheetId="8">#REF!</definedName>
    <definedName name="GIreducer" localSheetId="10">#REF!</definedName>
    <definedName name="GIreducer" localSheetId="29">#REF!</definedName>
    <definedName name="GIreducer" localSheetId="31">#REF!</definedName>
    <definedName name="GIreducer">#REF!</definedName>
    <definedName name="GIspecial" localSheetId="5">#REF!</definedName>
    <definedName name="GIspecial" localSheetId="8">#REF!</definedName>
    <definedName name="GIspecial" localSheetId="10">#REF!</definedName>
    <definedName name="GIspecial" localSheetId="29">#REF!</definedName>
    <definedName name="GIspecial" localSheetId="31">#REF!</definedName>
    <definedName name="GIspecial">#REF!</definedName>
    <definedName name="GIunion" localSheetId="5">#REF!</definedName>
    <definedName name="GIunion" localSheetId="8">#REF!</definedName>
    <definedName name="GIunion" localSheetId="10">#REF!</definedName>
    <definedName name="GIunion" localSheetId="29">#REF!</definedName>
    <definedName name="GIunion" localSheetId="31">#REF!</definedName>
    <definedName name="GIunion">#REF!</definedName>
    <definedName name="gj" localSheetId="8">#REF!</definedName>
    <definedName name="gj" localSheetId="10">#REF!</definedName>
    <definedName name="gj" localSheetId="29">#REF!</definedName>
    <definedName name="gj">#REF!</definedName>
    <definedName name="GL" localSheetId="8">#REF!</definedName>
    <definedName name="GL" localSheetId="10">#REF!</definedName>
    <definedName name="GL" localSheetId="29">#REF!</definedName>
    <definedName name="GL">#REF!</definedName>
    <definedName name="Glazed_coloured_tiles_for_Dadooing" localSheetId="8">#REF!</definedName>
    <definedName name="Glazed_coloured_tiles_for_Dadooing" localSheetId="10">#REF!</definedName>
    <definedName name="Glazed_coloured_tiles_for_Dadooing" localSheetId="11">#REF!</definedName>
    <definedName name="Glazed_coloured_tiles_for_Dadooing" localSheetId="29">#REF!</definedName>
    <definedName name="Glazed_coloured_tiles_for_Dadooing">#REF!</definedName>
    <definedName name="GLOADING" localSheetId="5">#REF!</definedName>
    <definedName name="GLOADING" localSheetId="8">#REF!</definedName>
    <definedName name="GLOADING" localSheetId="10">#REF!</definedName>
    <definedName name="GLOADING" localSheetId="29">#REF!</definedName>
    <definedName name="GLOADING" localSheetId="31">#REF!</definedName>
    <definedName name="GLOADING">#REF!</definedName>
    <definedName name="GMgateValve" localSheetId="5">#REF!</definedName>
    <definedName name="GMgateValve" localSheetId="8">#REF!</definedName>
    <definedName name="GMgateValve" localSheetId="10">#REF!</definedName>
    <definedName name="GMgateValve" localSheetId="29">#REF!</definedName>
    <definedName name="GMgateValve" localSheetId="31">#REF!</definedName>
    <definedName name="GMgateValve">#REF!</definedName>
    <definedName name="GN" localSheetId="21" hidden="1">{"'ridftotal'!$A$4:$S$27"}</definedName>
    <definedName name="GN" localSheetId="14" hidden="1">{"'ridftotal'!$A$4:$S$27"}</definedName>
    <definedName name="GN" localSheetId="11" hidden="1">{"'ridftotal'!$A$4:$S$27"}</definedName>
    <definedName name="GN" localSheetId="44" hidden="1">{"'ridftotal'!$A$4:$S$27"}</definedName>
    <definedName name="GN" localSheetId="29" hidden="1">{"'ridftotal'!$A$4:$S$27"}</definedName>
    <definedName name="GN" localSheetId="19" hidden="1">{"'ridftotal'!$A$4:$S$27"}</definedName>
    <definedName name="GN" localSheetId="31" hidden="1">{"'ridftotal'!$A$4:$S$27"}</definedName>
    <definedName name="GN" localSheetId="9" hidden="1">{"'ridftotal'!$A$4:$S$27"}</definedName>
    <definedName name="GN" localSheetId="3" hidden="1">{"'ridftotal'!$A$4:$S$27"}</definedName>
    <definedName name="GN" hidden="1">{"'ridftotal'!$A$4:$S$27"}</definedName>
    <definedName name="goo" localSheetId="21">#REF!</definedName>
    <definedName name="goo" localSheetId="5">#REF!</definedName>
    <definedName name="goo" localSheetId="8">#REF!</definedName>
    <definedName name="goo" localSheetId="10">#REF!</definedName>
    <definedName name="goo" localSheetId="11">#REF!</definedName>
    <definedName name="goo" localSheetId="29">#REF!</definedName>
    <definedName name="goo" localSheetId="31">#REF!</definedName>
    <definedName name="goo" localSheetId="35">#REF!</definedName>
    <definedName name="goo" localSheetId="36">#REF!</definedName>
    <definedName name="goo">#REF!</definedName>
    <definedName name="GOPA">#REF!</definedName>
    <definedName name="gp">#REF!</definedName>
    <definedName name="GPC" localSheetId="21">#REF!</definedName>
    <definedName name="GPC" localSheetId="5">#REF!</definedName>
    <definedName name="GPC" localSheetId="8">#REF!</definedName>
    <definedName name="GPC" localSheetId="10">#REF!</definedName>
    <definedName name="GPC" localSheetId="11">#REF!</definedName>
    <definedName name="GPC" localSheetId="29">#REF!</definedName>
    <definedName name="GPC" localSheetId="31">#REF!</definedName>
    <definedName name="GPC" localSheetId="35">#REF!</definedName>
    <definedName name="GPC" localSheetId="36">#REF!</definedName>
    <definedName name="GPC">#REF!</definedName>
    <definedName name="GPname" localSheetId="21">#REF!</definedName>
    <definedName name="GPname" localSheetId="5">#REF!</definedName>
    <definedName name="GPname" localSheetId="8">#REF!</definedName>
    <definedName name="GPname" localSheetId="10">#REF!</definedName>
    <definedName name="GPname" localSheetId="11">#REF!</definedName>
    <definedName name="GPname" localSheetId="29">#REF!</definedName>
    <definedName name="GPname" localSheetId="31">#REF!</definedName>
    <definedName name="GPname" localSheetId="35">#REF!</definedName>
    <definedName name="GPname" localSheetId="36">#REF!</definedName>
    <definedName name="GPname">#REF!</definedName>
    <definedName name="grade1" localSheetId="5">#REF!</definedName>
    <definedName name="grade1" localSheetId="8">#REF!</definedName>
    <definedName name="grade1" localSheetId="10">#REF!</definedName>
    <definedName name="grade1" localSheetId="29">#REF!</definedName>
    <definedName name="grade1" localSheetId="31">#REF!</definedName>
    <definedName name="grade1">#REF!</definedName>
    <definedName name="grade2" localSheetId="5">#REF!</definedName>
    <definedName name="grade2" localSheetId="8">#REF!</definedName>
    <definedName name="grade2" localSheetId="10">#REF!</definedName>
    <definedName name="grade2" localSheetId="29">#REF!</definedName>
    <definedName name="grade2" localSheetId="31">#REF!</definedName>
    <definedName name="grade2">#REF!</definedName>
    <definedName name="grade3" localSheetId="5">#REF!</definedName>
    <definedName name="grade3" localSheetId="8">#REF!</definedName>
    <definedName name="grade3" localSheetId="10">#REF!</definedName>
    <definedName name="grade3" localSheetId="29">#REF!</definedName>
    <definedName name="grade3" localSheetId="31">#REF!</definedName>
    <definedName name="grade3">#REF!</definedName>
    <definedName name="granolithic_floor" localSheetId="8">#REF!</definedName>
    <definedName name="granolithic_floor" localSheetId="10">#REF!</definedName>
    <definedName name="granolithic_floor" localSheetId="11">#REF!</definedName>
    <definedName name="granolithic_floor" localSheetId="29">#REF!</definedName>
    <definedName name="granolithic_floor">#REF!</definedName>
    <definedName name="grant" localSheetId="8">#REF!</definedName>
    <definedName name="grant" localSheetId="10">#REF!</definedName>
    <definedName name="grant" localSheetId="11">#REF!</definedName>
    <definedName name="grant" localSheetId="29">#REF!</definedName>
    <definedName name="grant" localSheetId="35">#REF!</definedName>
    <definedName name="grant" localSheetId="36">#REF!</definedName>
    <definedName name="grant">#REF!</definedName>
    <definedName name="gravel" localSheetId="11">#REF!</definedName>
    <definedName name="GRAVEL">#REF!</definedName>
    <definedName name="gravel_hc100">#REF!</definedName>
    <definedName name="gravel_hc150">#REF!</definedName>
    <definedName name="gravel_pick">#REF!</definedName>
    <definedName name="gravel_spr100">#REF!</definedName>
    <definedName name="gravel_spr150">#REF!</definedName>
    <definedName name="gravel_stack">#REF!</definedName>
    <definedName name="GravelBacking">#REF!</definedName>
    <definedName name="Grstone" localSheetId="8">#REF!</definedName>
    <definedName name="Grstone" localSheetId="10">#REF!</definedName>
    <definedName name="Grstone" localSheetId="11">#REF!</definedName>
    <definedName name="Grstone" localSheetId="29">#REF!</definedName>
    <definedName name="Grstone">#REF!</definedName>
    <definedName name="gs" localSheetId="8">#REF!</definedName>
    <definedName name="gs" localSheetId="10">#REF!</definedName>
    <definedName name="gs" localSheetId="11">#REF!</definedName>
    <definedName name="gs" localSheetId="29">#REF!</definedName>
    <definedName name="gs">#REF!</definedName>
    <definedName name="gsb" localSheetId="21">#REF!</definedName>
    <definedName name="gsb" localSheetId="5">#REF!</definedName>
    <definedName name="gsb" localSheetId="8">#REF!</definedName>
    <definedName name="gsb" localSheetId="10">#REF!</definedName>
    <definedName name="gsb" localSheetId="11">#REF!</definedName>
    <definedName name="gsb" localSheetId="29">#REF!</definedName>
    <definedName name="gsb" localSheetId="31">#REF!</definedName>
    <definedName name="gsb" localSheetId="35">#REF!</definedName>
    <definedName name="gsb" localSheetId="36">#REF!</definedName>
    <definedName name="gsb">#REF!</definedName>
    <definedName name="gsb_23">"$#REF!.$#REF!$#REF!"</definedName>
    <definedName name="gsb_33">"$#REF!.$#REF!$#REF!"</definedName>
    <definedName name="gsb_34">"$#REF!.$#REF!$#REF!"</definedName>
    <definedName name="gsb_38">"$#REF!.$#REF!$#REF!"</definedName>
    <definedName name="gsb_41">"$#REF!.$#REF!$#REF!"</definedName>
    <definedName name="gsb_43">"$#REF!.$#REF!$#REF!"</definedName>
    <definedName name="gsb_48">"$#REF!.$#REF!$#REF!"</definedName>
    <definedName name="gsb_57">"$#REF!.$#REF!$#REF!"</definedName>
    <definedName name="gsb_59">"$#REF!.$#REF!$#REF!"</definedName>
    <definedName name="gsb_60">"$#REF!.$#REF!$#REF!"</definedName>
    <definedName name="gsb_61">"$#REF!.$#REF!$#REF!"</definedName>
    <definedName name="gsb_62">"$#REF!.$#REF!$#REF!"</definedName>
    <definedName name="gsb_7">"$#REF!.$#REF!$#REF!"</definedName>
    <definedName name="gsb_72">"$#REF!.$#REF!$#REF!"</definedName>
    <definedName name="gsb_73">"$#REF!.$#REF!$#REF!"</definedName>
    <definedName name="gsb_8">"$#REF!.$#REF!$#REF!"</definedName>
    <definedName name="GSB_Grading3">#REF!</definedName>
    <definedName name="GSB_Grading3_1">#REF!</definedName>
    <definedName name="GSB_GRAVELnSAND">#REF!</definedName>
    <definedName name="GSB_GRAVELnSTONEDUST">#REF!</definedName>
    <definedName name="GSN" localSheetId="21">#REF!</definedName>
    <definedName name="GSN" localSheetId="31">#REF!</definedName>
    <definedName name="gtrothpfinal" localSheetId="29">#REF!</definedName>
    <definedName name="GULOADING" localSheetId="5">#REF!</definedName>
    <definedName name="GULOADING" localSheetId="8">#REF!</definedName>
    <definedName name="GULOADING" localSheetId="10">#REF!</definedName>
    <definedName name="GULOADING" localSheetId="11">#REF!</definedName>
    <definedName name="GULOADING" localSheetId="29">#REF!</definedName>
    <definedName name="GULOADING" localSheetId="31">#REF!</definedName>
    <definedName name="GULOADING">#REF!</definedName>
    <definedName name="Gunduvarigudem" localSheetId="5">#REF!</definedName>
    <definedName name="Gunduvarigudem" localSheetId="8">#REF!</definedName>
    <definedName name="Gunduvarigudem" localSheetId="10">#REF!</definedName>
    <definedName name="Gunduvarigudem" localSheetId="29">#REF!</definedName>
    <definedName name="Gunduvarigudem" localSheetId="31">#REF!</definedName>
    <definedName name="Gunduvarigudem">#REF!</definedName>
    <definedName name="Gunduvarigudem_33">"$#REF!.$#REF!$#REF!"</definedName>
    <definedName name="Gunduvarigudem_38">"$#REF!.$#REF!$#REF!"</definedName>
    <definedName name="Gunduvarigudem_41">"$#REF!.$#REF!$#REF!"</definedName>
    <definedName name="Gunduvarigudem_7">"$#REF!.$#REF!$#REF!"</definedName>
    <definedName name="Gunduvarigudem_8">"$#REF!.$#REF!$#REF!"</definedName>
    <definedName name="GUS">#REF!</definedName>
    <definedName name="GUSUSD" localSheetId="29">#REF!</definedName>
    <definedName name="gyfc" localSheetId="8">#REF!</definedName>
    <definedName name="gyfc" localSheetId="10">#REF!</definedName>
    <definedName name="gyfc" localSheetId="11">#REF!</definedName>
    <definedName name="gyfc" localSheetId="29">#REF!</definedName>
    <definedName name="gyfc">#REF!</definedName>
    <definedName name="gyohj">#REF!</definedName>
    <definedName name="H" localSheetId="21" hidden="1">{"'ridftotal'!$A$4:$S$27"}</definedName>
    <definedName name="H" localSheetId="14" hidden="1">{"'ridftotal'!$A$4:$S$27"}</definedName>
    <definedName name="h" localSheetId="11">#REF!</definedName>
    <definedName name="H" localSheetId="44" hidden="1">{"'ridftotal'!$A$4:$S$27"}</definedName>
    <definedName name="H" localSheetId="29" hidden="1">{"'ridftotal'!$A$4:$S$27"}</definedName>
    <definedName name="H" localSheetId="19" hidden="1">{"'ridftotal'!$A$4:$S$27"}</definedName>
    <definedName name="H" localSheetId="31" hidden="1">{"'ridftotal'!$A$4:$S$27"}</definedName>
    <definedName name="H" localSheetId="9" hidden="1">{"'ridftotal'!$A$4:$S$27"}</definedName>
    <definedName name="H" localSheetId="3" hidden="1">{"'ridftotal'!$A$4:$S$27"}</definedName>
    <definedName name="H" hidden="1">{"'ridftotal'!$A$4:$S$27"}</definedName>
    <definedName name="hab_information" localSheetId="21">#REF!</definedName>
    <definedName name="hab_information" localSheetId="5">#REF!</definedName>
    <definedName name="hab_information" localSheetId="8">#REF!</definedName>
    <definedName name="hab_information" localSheetId="10">#REF!</definedName>
    <definedName name="hab_information" localSheetId="11">#REF!</definedName>
    <definedName name="hab_information" localSheetId="29">#REF!</definedName>
    <definedName name="hab_information" localSheetId="31">#REF!</definedName>
    <definedName name="hab_information" localSheetId="35">#REF!</definedName>
    <definedName name="hab_information" localSheetId="36">#REF!</definedName>
    <definedName name="hab_information">#REF!</definedName>
    <definedName name="Hab_Survey_All_Sources" localSheetId="21">#REF!</definedName>
    <definedName name="Hab_Survey_All_Sources" localSheetId="5">#REF!</definedName>
    <definedName name="Hab_Survey_All_Sources" localSheetId="8">#REF!</definedName>
    <definedName name="Hab_Survey_All_Sources" localSheetId="10">#REF!</definedName>
    <definedName name="Hab_Survey_All_Sources" localSheetId="11">#REF!</definedName>
    <definedName name="Hab_Survey_All_Sources" localSheetId="29">#REF!</definedName>
    <definedName name="Hab_Survey_All_Sources" localSheetId="31">#REF!</definedName>
    <definedName name="Hab_Survey_All_Sources" localSheetId="35">#REF!</definedName>
    <definedName name="Hab_Survey_All_Sources" localSheetId="36">#REF!</definedName>
    <definedName name="Hab_Survey_All_Sources">#REF!</definedName>
    <definedName name="Habitaions_Final" localSheetId="21">#REF!</definedName>
    <definedName name="Habitaions_Final" localSheetId="5">#REF!</definedName>
    <definedName name="Habitaions_Final" localSheetId="8">#REF!</definedName>
    <definedName name="Habitaions_Final" localSheetId="10">#REF!</definedName>
    <definedName name="Habitaions_Final" localSheetId="11">#REF!</definedName>
    <definedName name="Habitaions_Final" localSheetId="29">#REF!</definedName>
    <definedName name="Habitaions_Final" localSheetId="31">#REF!</definedName>
    <definedName name="Habitaions_Final" localSheetId="35">#REF!</definedName>
    <definedName name="Habitaions_Final" localSheetId="36">#REF!</definedName>
    <definedName name="Habitaions_Final">#REF!</definedName>
    <definedName name="habs" localSheetId="21">#REF!</definedName>
    <definedName name="habs" localSheetId="5">#REF!</definedName>
    <definedName name="habs" localSheetId="8">#REF!</definedName>
    <definedName name="habs" localSheetId="10">#REF!</definedName>
    <definedName name="habs" localSheetId="29">#REF!</definedName>
    <definedName name="habs" localSheetId="31">#REF!</definedName>
    <definedName name="habs" localSheetId="35">#REF!</definedName>
    <definedName name="habs" localSheetId="36">#REF!</definedName>
    <definedName name="habs">#REF!</definedName>
    <definedName name="hai" localSheetId="8">#REF!</definedName>
    <definedName name="hai" localSheetId="10">#REF!</definedName>
    <definedName name="hai" localSheetId="11">#REF!</definedName>
    <definedName name="hai" localSheetId="29">#REF!</definedName>
    <definedName name="hai">#REF!</definedName>
    <definedName name="hbgl" localSheetId="8">#REF!</definedName>
    <definedName name="hbgl" localSheetId="10">#REF!</definedName>
    <definedName name="hbgl" localSheetId="11">#REF!</definedName>
    <definedName name="hbgl" localSheetId="29">#REF!</definedName>
    <definedName name="hbgl">#REF!</definedName>
    <definedName name="HC" localSheetId="21">#REF!</definedName>
    <definedName name="HC" localSheetId="5">#REF!</definedName>
    <definedName name="HC" localSheetId="8">#REF!</definedName>
    <definedName name="HC" localSheetId="10">#REF!</definedName>
    <definedName name="HC" localSheetId="11">#REF!</definedName>
    <definedName name="HC" localSheetId="29">#REF!</definedName>
    <definedName name="HC" localSheetId="31">#REF!</definedName>
    <definedName name="HC" localSheetId="35">#REF!</definedName>
    <definedName name="HC" localSheetId="36">#REF!</definedName>
    <definedName name="HC">#REF!</definedName>
    <definedName name="hd" localSheetId="8">#REF!</definedName>
    <definedName name="hd" localSheetId="10">#REF!</definedName>
    <definedName name="hd" localSheetId="11">#REF!</definedName>
    <definedName name="hd" localSheetId="29">#REF!</definedName>
    <definedName name="hd">#REF!</definedName>
    <definedName name="HDFGF" localSheetId="5">#REF!</definedName>
    <definedName name="HDFGF" localSheetId="8">#REF!</definedName>
    <definedName name="HDFGF" localSheetId="10">#REF!</definedName>
    <definedName name="HDFGF" localSheetId="29">#REF!</definedName>
    <definedName name="HDFGF" localSheetId="31">#REF!</definedName>
    <definedName name="HDFGF">#REF!</definedName>
    <definedName name="hf" localSheetId="8">#REF!</definedName>
    <definedName name="hf" localSheetId="10">#REF!</definedName>
    <definedName name="hf" localSheetId="11">#REF!</definedName>
    <definedName name="hf" localSheetId="29">#REF!</definedName>
    <definedName name="hf">#REF!</definedName>
    <definedName name="hfhf">#REF!</definedName>
    <definedName name="hgle" localSheetId="8">#REF!</definedName>
    <definedName name="hgle" localSheetId="10">#REF!</definedName>
    <definedName name="hgle" localSheetId="11">#REF!</definedName>
    <definedName name="hgle" localSheetId="29">#REF!</definedName>
    <definedName name="hgle">#REF!</definedName>
    <definedName name="hgle1" localSheetId="8">#REF!</definedName>
    <definedName name="hgle1" localSheetId="10">#REF!</definedName>
    <definedName name="hgle1" localSheetId="11">#REF!</definedName>
    <definedName name="hgle1" localSheetId="29">#REF!</definedName>
    <definedName name="hgle1">#REF!</definedName>
    <definedName name="hgtjhcxt">#REF!</definedName>
    <definedName name="HH" localSheetId="8">#REF!</definedName>
    <definedName name="HH" localSheetId="10">#REF!</definedName>
    <definedName name="hh" localSheetId="11">#REF!</definedName>
    <definedName name="HH" localSheetId="29">#REF!</definedName>
    <definedName name="HH">#REF!</definedName>
    <definedName name="hhh" localSheetId="29">#REF!</definedName>
    <definedName name="hhhhhh">#REF!</definedName>
    <definedName name="HI" localSheetId="8">#REF!</definedName>
    <definedName name="HI" localSheetId="10">#REF!</definedName>
    <definedName name="HI" localSheetId="29">#REF!</definedName>
    <definedName name="HI" localSheetId="31">#REF!</definedName>
    <definedName name="HI">#REF!</definedName>
    <definedName name="HiddenRows" localSheetId="21" hidden="1">#REF!</definedName>
    <definedName name="HiddenRows" localSheetId="5" hidden="1">#REF!</definedName>
    <definedName name="HiddenRows" localSheetId="30" hidden="1">#REF!</definedName>
    <definedName name="HiddenRows" localSheetId="8" hidden="1">#REF!</definedName>
    <definedName name="HiddenRows" localSheetId="10" hidden="1">#REF!</definedName>
    <definedName name="HiddenRows" localSheetId="11" hidden="1">#REF!</definedName>
    <definedName name="HiddenRows" localSheetId="37" hidden="1">#REF!</definedName>
    <definedName name="HiddenRows" localSheetId="38" hidden="1">#REF!</definedName>
    <definedName name="HiddenRows" localSheetId="44" hidden="1">#REF!</definedName>
    <definedName name="HiddenRows" localSheetId="29" hidden="1">#REF!</definedName>
    <definedName name="HiddenRows" localSheetId="19" hidden="1">#REF!</definedName>
    <definedName name="HiddenRows" localSheetId="31" hidden="1">#REF!</definedName>
    <definedName name="HiddenRows" localSheetId="39" hidden="1">#REF!</definedName>
    <definedName name="HiddenRows" localSheetId="35" hidden="1">#REF!</definedName>
    <definedName name="HiddenRows" localSheetId="36" hidden="1">#REF!</definedName>
    <definedName name="HiddenRows" localSheetId="9" hidden="1">#REF!</definedName>
    <definedName name="HiddenRows" localSheetId="3" hidden="1">#REF!</definedName>
    <definedName name="HiddenRows" hidden="1">#REF!</definedName>
    <definedName name="HIFINI" localSheetId="8">#REF!</definedName>
    <definedName name="HIFINI" localSheetId="10">#REF!</definedName>
    <definedName name="HIFINI" localSheetId="29">#REF!</definedName>
    <definedName name="HIFINI" localSheetId="31">#REF!</definedName>
    <definedName name="HIFINI">#REF!</definedName>
    <definedName name="HII" localSheetId="8">#REF!</definedName>
    <definedName name="HII" localSheetId="10">#REF!</definedName>
    <definedName name="HII" localSheetId="29">#REF!</definedName>
    <definedName name="HII">#REF!</definedName>
    <definedName name="HIII" localSheetId="8">#REF!</definedName>
    <definedName name="HIII" localSheetId="10">#REF!</definedName>
    <definedName name="HIII" localSheetId="29">#REF!</definedName>
    <definedName name="HIII">#REF!</definedName>
    <definedName name="his" localSheetId="8">#REF!</definedName>
    <definedName name="his" localSheetId="10">#REF!</definedName>
    <definedName name="his" localSheetId="11">#REF!</definedName>
    <definedName name="his" localSheetId="29">#REF!</definedName>
    <definedName name="his">#REF!</definedName>
    <definedName name="HJ" localSheetId="21" hidden="1">{"'ridftotal'!$A$4:$S$27"}</definedName>
    <definedName name="HJ" localSheetId="14" hidden="1">{"'ridftotal'!$A$4:$S$27"}</definedName>
    <definedName name="HJ" localSheetId="11" hidden="1">{"'ridftotal'!$A$4:$S$27"}</definedName>
    <definedName name="HJ" localSheetId="44" hidden="1">{"'ridftotal'!$A$4:$S$27"}</definedName>
    <definedName name="HJ" localSheetId="29" hidden="1">{"'ridftotal'!$A$4:$S$27"}</definedName>
    <definedName name="HJ" localSheetId="19" hidden="1">{"'ridftotal'!$A$4:$S$27"}</definedName>
    <definedName name="HJ" localSheetId="31" hidden="1">{"'ridftotal'!$A$4:$S$27"}</definedName>
    <definedName name="HJ" localSheetId="9" hidden="1">{"'ridftotal'!$A$4:$S$27"}</definedName>
    <definedName name="HJ" localSheetId="3" hidden="1">{"'ridftotal'!$A$4:$S$27"}</definedName>
    <definedName name="HJ" hidden="1">{"'ridftotal'!$A$4:$S$27"}</definedName>
    <definedName name="hjht">#REF!</definedName>
    <definedName name="HL" localSheetId="8">#REF!</definedName>
    <definedName name="HL" localSheetId="10">#REF!</definedName>
    <definedName name="HL" localSheetId="29">#REF!</definedName>
    <definedName name="HL">#REF!</definedName>
    <definedName name="hmc">#REF!</definedName>
    <definedName name="Hname" localSheetId="21">#REF!</definedName>
    <definedName name="Hname" localSheetId="5">#REF!</definedName>
    <definedName name="Hname" localSheetId="8">#REF!</definedName>
    <definedName name="Hname" localSheetId="10">#REF!</definedName>
    <definedName name="Hname" localSheetId="11">#REF!</definedName>
    <definedName name="Hname" localSheetId="29">#REF!</definedName>
    <definedName name="Hname" localSheetId="31">#REF!</definedName>
    <definedName name="Hname" localSheetId="35">#REF!</definedName>
    <definedName name="Hname" localSheetId="36">#REF!</definedName>
    <definedName name="Hname">#REF!</definedName>
    <definedName name="hot_maz">#REF!</definedName>
    <definedName name="HP" localSheetId="14">#REF!</definedName>
    <definedName name="HP" localSheetId="8">#REF!</definedName>
    <definedName name="HP" localSheetId="10">#REF!</definedName>
    <definedName name="HP" localSheetId="29">#REF!</definedName>
    <definedName name="HP">#REF!</definedName>
    <definedName name="HPC" localSheetId="29">#REF!</definedName>
    <definedName name="HPC1V1000mm" localSheetId="14">#REF!</definedName>
    <definedName name="HPC1V1000mm" localSheetId="8">#REF!</definedName>
    <definedName name="HPC1V1000mm" localSheetId="10">#REF!</definedName>
    <definedName name="HPC1V1000mm" localSheetId="29">#REF!</definedName>
    <definedName name="HPC1V1000mm">#REF!</definedName>
    <definedName name="Hs" localSheetId="8">#REF!</definedName>
    <definedName name="Hs" localSheetId="10">#REF!</definedName>
    <definedName name="Hs" localSheetId="11">#REF!</definedName>
    <definedName name="Hs" localSheetId="29">#REF!</definedName>
    <definedName name="Hs">#REF!</definedName>
    <definedName name="hso" localSheetId="8">#REF!</definedName>
    <definedName name="hso" localSheetId="10">#REF!</definedName>
    <definedName name="hso" localSheetId="11">#REF!</definedName>
    <definedName name="hso" localSheetId="29">#REF!</definedName>
    <definedName name="hso">#REF!</definedName>
    <definedName name="hsp" localSheetId="8">#REF!</definedName>
    <definedName name="hsp" localSheetId="10">#REF!</definedName>
    <definedName name="hsp" localSheetId="11">#REF!</definedName>
    <definedName name="hsp" localSheetId="29">#REF!</definedName>
    <definedName name="hsp">#REF!</definedName>
    <definedName name="Ht" localSheetId="8">#REF!</definedName>
    <definedName name="Ht" localSheetId="10">#REF!</definedName>
    <definedName name="Ht" localSheetId="11">#REF!</definedName>
    <definedName name="Ht" localSheetId="29">#REF!</definedName>
    <definedName name="Ht">#REF!</definedName>
    <definedName name="HTHRI">#REF!</definedName>
    <definedName name="HTML_CodePage" hidden="1">1252</definedName>
    <definedName name="HTML_Control" localSheetId="21" hidden="1">{"'ridftotal'!$A$4:$S$27"}</definedName>
    <definedName name="HTML_Control" localSheetId="14" hidden="1">{"'ridftotal'!$A$4:$S$27"}</definedName>
    <definedName name="HTML_Control" localSheetId="11" hidden="1">{"'ridftotal'!$A$4:$S$27"}</definedName>
    <definedName name="HTML_Control" localSheetId="44" hidden="1">{"'ridftotal'!$A$4:$S$27"}</definedName>
    <definedName name="HTML_Control" localSheetId="29" hidden="1">{"'ridftotal'!$A$4:$S$27"}</definedName>
    <definedName name="HTML_Control" localSheetId="19" hidden="1">{"'ridftotal'!$A$4:$S$27"}</definedName>
    <definedName name="HTML_Control" localSheetId="31" hidden="1">{"'ridftotal'!$A$4:$S$27"}</definedName>
    <definedName name="HTML_Control" localSheetId="9" hidden="1">{"'ridftotal'!$A$4:$S$27"}</definedName>
    <definedName name="HTML_Control" localSheetId="3" hidden="1">{"'ridftotal'!$A$4:$S$27"}</definedName>
    <definedName name="HTML_Control" hidden="1">{"'ridftotal'!$A$4:$S$27"}</definedName>
    <definedName name="HTML_Description" hidden="1">""</definedName>
    <definedName name="HTML_Email" hidden="1">""</definedName>
    <definedName name="HTML_Header" hidden="1">"ridftotal"</definedName>
    <definedName name="HTML_LastUpdate" hidden="1">"3/31/00"</definedName>
    <definedName name="HTML_LineAfter" hidden="1">FALSE</definedName>
    <definedName name="HTML_LineBefore" hidden="1">FALSE</definedName>
    <definedName name="HTML_Name" hidden="1">"PVKUTUMBA RAO"</definedName>
    <definedName name="HTML_OBDlg2" hidden="1">TRUE</definedName>
    <definedName name="HTML_OBDlg4" hidden="1">TRUE</definedName>
    <definedName name="HTML_OS" hidden="1">0</definedName>
    <definedName name="HTML_PathFile" hidden="1">"C:\MNMGEN\ridf5\MyHTML.htm"</definedName>
    <definedName name="HTML_Title" hidden="1">"absjanfeb2k"</definedName>
    <definedName name="Hudco">#REF!</definedName>
    <definedName name="Hudco.">#REF!</definedName>
    <definedName name="Hudco..">#REF!</definedName>
    <definedName name="HVA" localSheetId="14">#REF!</definedName>
    <definedName name="HVA" localSheetId="8">#REF!</definedName>
    <definedName name="HVA" localSheetId="10">#REF!</definedName>
    <definedName name="HVA" localSheetId="29">#REF!</definedName>
    <definedName name="HVA">#REF!</definedName>
    <definedName name="HYD_EXCAVATOR" localSheetId="8">#REF!</definedName>
    <definedName name="HYD_EXCAVATOR" localSheetId="10">#REF!</definedName>
    <definedName name="HYD_EXCAVATOR" localSheetId="11">#REF!</definedName>
    <definedName name="HYD_EXCAVATOR" localSheetId="29">#REF!</definedName>
    <definedName name="HYD_EXCAVATOR">#REF!</definedName>
    <definedName name="hyhygytg">#REF!</definedName>
    <definedName name="HYSD" localSheetId="8">#REF!</definedName>
    <definedName name="HYSD" localSheetId="10">#REF!</definedName>
    <definedName name="HYSD" localSheetId="11">#REF!</definedName>
    <definedName name="HYSD" localSheetId="29">#REF!</definedName>
    <definedName name="HYSD">#REF!</definedName>
    <definedName name="HYSD_Foundations" localSheetId="29">#REF!</definedName>
    <definedName name="HYSD_SubStructure">#REF!</definedName>
    <definedName name="HYSD_SuperStructure">#REF!</definedName>
    <definedName name="i_23">#N/A</definedName>
    <definedName name="i_33">#N/A</definedName>
    <definedName name="i_34">#N/A</definedName>
    <definedName name="i_38">#N/A</definedName>
    <definedName name="i_41">#N/A</definedName>
    <definedName name="i_43">#N/A</definedName>
    <definedName name="i_48">#N/A</definedName>
    <definedName name="i_57">#N/A</definedName>
    <definedName name="i_59">#N/A</definedName>
    <definedName name="i_60" localSheetId="29">#N/A</definedName>
    <definedName name="i_61">#N/A</definedName>
    <definedName name="i_62">#N/A</definedName>
    <definedName name="i_7">#N/A</definedName>
    <definedName name="i_72">#N/A</definedName>
    <definedName name="i_73">#N/A</definedName>
    <definedName name="i_8">#N/A</definedName>
    <definedName name="id" localSheetId="29">#REF!</definedName>
    <definedName name="id10.0" localSheetId="29">#REF!</definedName>
    <definedName name="id2.5" localSheetId="29">#REF!</definedName>
    <definedName name="id4.0" localSheetId="29">#REF!</definedName>
    <definedName name="id6.0" localSheetId="29">#REF!</definedName>
    <definedName name="ii" localSheetId="29">#REF!</definedName>
    <definedName name="IK" localSheetId="21" hidden="1">{"'ridftotal'!$A$4:$S$27"}</definedName>
    <definedName name="IK" localSheetId="14" hidden="1">{"'ridftotal'!$A$4:$S$27"}</definedName>
    <definedName name="IK" localSheetId="11" hidden="1">{"'ridftotal'!$A$4:$S$27"}</definedName>
    <definedName name="IK" localSheetId="44" hidden="1">{"'ridftotal'!$A$4:$S$27"}</definedName>
    <definedName name="IK" localSheetId="29" hidden="1">{"'ridftotal'!$A$4:$S$27"}</definedName>
    <definedName name="IK" localSheetId="19" hidden="1">{"'ridftotal'!$A$4:$S$27"}</definedName>
    <definedName name="IK" localSheetId="31" hidden="1">{"'ridftotal'!$A$4:$S$27"}</definedName>
    <definedName name="IK" localSheetId="9" hidden="1">{"'ridftotal'!$A$4:$S$27"}</definedName>
    <definedName name="IK" localSheetId="3" hidden="1">{"'ridftotal'!$A$4:$S$27"}</definedName>
    <definedName name="IK" hidden="1">{"'ridftotal'!$A$4:$S$27"}</definedName>
    <definedName name="impervious_coat" localSheetId="8">#REF!</definedName>
    <definedName name="impervious_coat" localSheetId="10">#REF!</definedName>
    <definedName name="impervious_coat" localSheetId="11">#REF!</definedName>
    <definedName name="impervious_coat" localSheetId="29">#REF!</definedName>
    <definedName name="impervious_coat">#REF!</definedName>
    <definedName name="Index" localSheetId="21" hidden="1">{"'ridftotal'!$A$4:$S$27"}</definedName>
    <definedName name="Index" localSheetId="14" hidden="1">{"'ridftotal'!$A$4:$S$27"}</definedName>
    <definedName name="Index" localSheetId="11" hidden="1">{"'ridftotal'!$A$4:$S$27"}</definedName>
    <definedName name="Index" localSheetId="44" hidden="1">{"'ridftotal'!$A$4:$S$27"}</definedName>
    <definedName name="Index" localSheetId="29" hidden="1">{"'ridftotal'!$A$4:$S$27"}</definedName>
    <definedName name="Index" localSheetId="19" hidden="1">{"'ridftotal'!$A$4:$S$27"}</definedName>
    <definedName name="Index" localSheetId="31" hidden="1">{"'ridftotal'!$A$4:$S$27"}</definedName>
    <definedName name="Index" localSheetId="9" hidden="1">{"'ridftotal'!$A$4:$S$27"}</definedName>
    <definedName name="Index" localSheetId="3" hidden="1">{"'ridftotal'!$A$4:$S$27"}</definedName>
    <definedName name="Index" hidden="1">{"'ridftotal'!$A$4:$S$27"}</definedName>
    <definedName name="interlocking" localSheetId="8">#REF!</definedName>
    <definedName name="interlocking" localSheetId="10">#REF!</definedName>
    <definedName name="interlocking" localSheetId="11">#REF!</definedName>
    <definedName name="interlocking" localSheetId="29">#REF!</definedName>
    <definedName name="interlocking">#REF!</definedName>
    <definedName name="Ipartb">#REF!</definedName>
    <definedName name="isolatedworks" localSheetId="5">#REF!</definedName>
    <definedName name="isolatedworks" localSheetId="8">#REF!</definedName>
    <definedName name="isolatedworks" localSheetId="10">#REF!</definedName>
    <definedName name="isolatedworks" localSheetId="29">#REF!</definedName>
    <definedName name="isolatedworks" localSheetId="31">#REF!</definedName>
    <definedName name="isolatedworks">#REF!</definedName>
    <definedName name="j_43" localSheetId="29">#REF!</definedName>
    <definedName name="j_59">#REF!</definedName>
    <definedName name="j_61">#REF!</definedName>
    <definedName name="Javeed" localSheetId="21">#REF!</definedName>
    <definedName name="Javeed" localSheetId="5">#REF!</definedName>
    <definedName name="Javeed" localSheetId="8">#REF!</definedName>
    <definedName name="Javeed" localSheetId="10">#REF!</definedName>
    <definedName name="Javeed" localSheetId="11">#REF!</definedName>
    <definedName name="Javeed" localSheetId="29">#REF!</definedName>
    <definedName name="Javeed" localSheetId="31">#REF!</definedName>
    <definedName name="Javeed" localSheetId="35">#REF!</definedName>
    <definedName name="Javeed" localSheetId="36">#REF!</definedName>
    <definedName name="Javeed">#REF!</definedName>
    <definedName name="JBcode_14dig" localSheetId="21">#REF!</definedName>
    <definedName name="JBcode_14dig" localSheetId="5">#REF!</definedName>
    <definedName name="JBcode_14dig" localSheetId="8">#REF!</definedName>
    <definedName name="JBcode_14dig" localSheetId="10">#REF!</definedName>
    <definedName name="JBcode_14dig" localSheetId="11">#REF!</definedName>
    <definedName name="JBcode_14dig" localSheetId="29">#REF!</definedName>
    <definedName name="JBcode_14dig" localSheetId="31">#REF!</definedName>
    <definedName name="JBcode_14dig" localSheetId="35">#REF!</definedName>
    <definedName name="JBcode_14dig" localSheetId="36">#REF!</definedName>
    <definedName name="JBcode_14dig">#REF!</definedName>
    <definedName name="jd" localSheetId="8">#REF!</definedName>
    <definedName name="jd" localSheetId="10">#REF!</definedName>
    <definedName name="jd" localSheetId="29">#REF!</definedName>
    <definedName name="jd" localSheetId="31">#REF!</definedName>
    <definedName name="jd">#REF!</definedName>
    <definedName name="JeddyStone_DryPacking">#REF!</definedName>
    <definedName name="JI" localSheetId="14">#REF!</definedName>
    <definedName name="JI" localSheetId="8">#REF!</definedName>
    <definedName name="JI" localSheetId="10">#REF!</definedName>
    <definedName name="JI" localSheetId="29">#REF!</definedName>
    <definedName name="JI">#REF!</definedName>
    <definedName name="jk" localSheetId="21" hidden="1">{"'ridftotal'!$A$4:$S$27"}</definedName>
    <definedName name="jk" localSheetId="14" hidden="1">{"'ridftotal'!$A$4:$S$27"}</definedName>
    <definedName name="jk" localSheetId="11" hidden="1">{"'ridftotal'!$A$4:$S$27"}</definedName>
    <definedName name="jk" localSheetId="44" hidden="1">{"'ridftotal'!$A$4:$S$27"}</definedName>
    <definedName name="jk" localSheetId="29" hidden="1">{"'ridftotal'!$A$4:$S$27"}</definedName>
    <definedName name="jk" localSheetId="19" hidden="1">{"'ridftotal'!$A$4:$S$27"}</definedName>
    <definedName name="jk" localSheetId="31" hidden="1">{"'ridftotal'!$A$4:$S$27"}</definedName>
    <definedName name="jk" localSheetId="9" hidden="1">{"'ridftotal'!$A$4:$S$27"}</definedName>
    <definedName name="jk" localSheetId="3" hidden="1">{"'ridftotal'!$A$4:$S$27"}</definedName>
    <definedName name="jk" hidden="1">{"'ridftotal'!$A$4:$S$27"}</definedName>
    <definedName name="jlkjlklklk" localSheetId="29">#REF!</definedName>
    <definedName name="Juliflora">#REF!</definedName>
    <definedName name="JUNGLE" localSheetId="5">#REF!</definedName>
    <definedName name="JUNGLE" localSheetId="8">#REF!</definedName>
    <definedName name="JUNGLE" localSheetId="10">#REF!</definedName>
    <definedName name="JUNGLE" localSheetId="11">#REF!</definedName>
    <definedName name="JUNGLE" localSheetId="29">#REF!</definedName>
    <definedName name="JUNGLE" localSheetId="31">#REF!</definedName>
    <definedName name="JUNGLE">#REF!</definedName>
    <definedName name="JUngleClearance">#REF!</definedName>
    <definedName name="k_21" localSheetId="29">#REF!</definedName>
    <definedName name="k_33">#REF!</definedName>
    <definedName name="k_34">#REF!</definedName>
    <definedName name="ka" localSheetId="8">#REF!</definedName>
    <definedName name="ka" localSheetId="10">#REF!</definedName>
    <definedName name="ka" localSheetId="11">#REF!</definedName>
    <definedName name="ka" localSheetId="29">#REF!</definedName>
    <definedName name="ka">#REF!</definedName>
    <definedName name="KADA" localSheetId="21" hidden="1">{"'ridftotal'!$A$4:$S$27"}</definedName>
    <definedName name="KADA" localSheetId="14" hidden="1">{"'ridftotal'!$A$4:$S$27"}</definedName>
    <definedName name="KADA" localSheetId="29" hidden="1">{"'ridftotal'!$A$4:$S$27"}</definedName>
    <definedName name="KADA" localSheetId="31" hidden="1">{"'ridftotal'!$A$4:$S$27"}</definedName>
    <definedName name="KADA" hidden="1">{"'ridftotal'!$A$4:$S$27"}</definedName>
    <definedName name="kADAPA" localSheetId="21" hidden="1">{"'ridftotal'!$A$4:$S$27"}</definedName>
    <definedName name="kADAPA" localSheetId="14" hidden="1">{"'ridftotal'!$A$4:$S$27"}</definedName>
    <definedName name="kADAPA" localSheetId="29" hidden="1">{"'ridftotal'!$A$4:$S$27"}</definedName>
    <definedName name="kADAPA" localSheetId="31" hidden="1">{"'ridftotal'!$A$4:$S$27"}</definedName>
    <definedName name="kADAPA" hidden="1">{"'ridftotal'!$A$4:$S$27"}</definedName>
    <definedName name="Key" localSheetId="8">#REF!</definedName>
    <definedName name="Key" localSheetId="10">#REF!</definedName>
    <definedName name="Key" localSheetId="29">#REF!</definedName>
    <definedName name="Key">#REF!</definedName>
    <definedName name="kfsdkagsdkfaksdlf" localSheetId="5">#REF!</definedName>
    <definedName name="kfsdkagsdkfaksdlf" localSheetId="8">#REF!</definedName>
    <definedName name="kfsdkagsdkfaksdlf" localSheetId="10">#REF!</definedName>
    <definedName name="kfsdkagsdkfaksdlf" localSheetId="29">#REF!</definedName>
    <definedName name="kfsdkagsdkfaksdlf">#REF!</definedName>
    <definedName name="khhgf">#REF!</definedName>
    <definedName name="KJ" localSheetId="21" hidden="1">{"'ridftotal'!$A$4:$S$27"}</definedName>
    <definedName name="KJ" localSheetId="14" hidden="1">{"'ridftotal'!$A$4:$S$27"}</definedName>
    <definedName name="KJ" localSheetId="11" hidden="1">{"'ridftotal'!$A$4:$S$27"}</definedName>
    <definedName name="KJ" localSheetId="29" hidden="1">{"'ridftotal'!$A$4:$S$27"}</definedName>
    <definedName name="KJ" localSheetId="19" hidden="1">{"'ridftotal'!$A$4:$S$27"}</definedName>
    <definedName name="KJ" localSheetId="31" hidden="1">{"'ridftotal'!$A$4:$S$27"}</definedName>
    <definedName name="KJ" localSheetId="9" hidden="1">{"'ridftotal'!$A$4:$S$27"}</definedName>
    <definedName name="KJ" localSheetId="3" hidden="1">{"'ridftotal'!$A$4:$S$27"}</definedName>
    <definedName name="KJ" hidden="1">{"'ridftotal'!$A$4:$S$27"}</definedName>
    <definedName name="kj_32">#REF!</definedName>
    <definedName name="kj_33">#REF!</definedName>
    <definedName name="kj_34">#REF!</definedName>
    <definedName name="kj_43">#REF!</definedName>
    <definedName name="kj_58">#REF!</definedName>
    <definedName name="kj_59">#REF!</definedName>
    <definedName name="kj_61">#REF!</definedName>
    <definedName name="kju">#REF!</definedName>
    <definedName name="kk" localSheetId="21">#REF!</definedName>
    <definedName name="kk" localSheetId="5">#REF!</definedName>
    <definedName name="kk" localSheetId="8">#REF!</definedName>
    <definedName name="kk" localSheetId="10">#REF!</definedName>
    <definedName name="kk" localSheetId="11">#REF!</definedName>
    <definedName name="kk" localSheetId="29">#REF!</definedName>
    <definedName name="kk" localSheetId="31">#REF!</definedName>
    <definedName name="kk" localSheetId="35">#REF!</definedName>
    <definedName name="kk" localSheetId="36">#REF!</definedName>
    <definedName name="kk">#REF!</definedName>
    <definedName name="klklk">#REF!</definedName>
    <definedName name="Km" localSheetId="8">#REF!</definedName>
    <definedName name="Km" localSheetId="10">#REF!</definedName>
    <definedName name="Km" localSheetId="29">#REF!</definedName>
    <definedName name="km" localSheetId="31">#REF!</definedName>
    <definedName name="Km">#REF!</definedName>
    <definedName name="km10th" localSheetId="21">#REF!</definedName>
    <definedName name="km10th" localSheetId="5">#REF!</definedName>
    <definedName name="km10th" localSheetId="8">#REF!</definedName>
    <definedName name="km10th" localSheetId="10">#REF!</definedName>
    <definedName name="km10th" localSheetId="11">#REF!</definedName>
    <definedName name="km10th" localSheetId="29">#REF!</definedName>
    <definedName name="km10th" localSheetId="31">#REF!</definedName>
    <definedName name="km10th" localSheetId="35">#REF!</definedName>
    <definedName name="km10th" localSheetId="36">#REF!</definedName>
    <definedName name="km10th">#REF!</definedName>
    <definedName name="km10th_23">"$#REF!.$#REF!$#REF!"</definedName>
    <definedName name="km10th_32">"$#REF!.$#REF!$#REF!"</definedName>
    <definedName name="km10th_33">"$#REF!.$#REF!$#REF!"</definedName>
    <definedName name="km10th_34">"$#REF!.$#REF!$#REF!"</definedName>
    <definedName name="km10th_38">"$#REF!.$#REF!$#REF!"</definedName>
    <definedName name="km10th_41">"$#REF!.$#REF!$#REF!"</definedName>
    <definedName name="km10th_43">"$#REF!.$#REF!$#REF!"</definedName>
    <definedName name="km10th_48">"$#REF!.$#REF!$#REF!"</definedName>
    <definedName name="km10th_56">"$#REF!.$#REF!$#REF!"</definedName>
    <definedName name="km10th_57">"$#REF!.$#REF!$#REF!"</definedName>
    <definedName name="km10th_59">"$#REF!.$#REF!$#REF!"</definedName>
    <definedName name="km10th_60">"$#REF!.$#REF!$#REF!"</definedName>
    <definedName name="km10th_61">"$#REF!.$#REF!$#REF!"</definedName>
    <definedName name="km10th_62">"$#REF!.$#REF!$#REF!"</definedName>
    <definedName name="km10th_7">"$#REF!.$#REF!$#REF!"</definedName>
    <definedName name="km10th_72">"$#REF!.$#REF!$#REF!"</definedName>
    <definedName name="km10th_73">"$#REF!.$#REF!$#REF!"</definedName>
    <definedName name="km10th_8">"$#REF!.$#REF!$#REF!"</definedName>
    <definedName name="km11th" localSheetId="21">#REF!</definedName>
    <definedName name="km11th" localSheetId="5">#REF!</definedName>
    <definedName name="km11th" localSheetId="8">#REF!</definedName>
    <definedName name="km11th" localSheetId="10">#REF!</definedName>
    <definedName name="km11th" localSheetId="11">#REF!</definedName>
    <definedName name="km11th" localSheetId="29">#REF!</definedName>
    <definedName name="km11th" localSheetId="31">#REF!</definedName>
    <definedName name="km11th" localSheetId="35">#REF!</definedName>
    <definedName name="km11th" localSheetId="36">#REF!</definedName>
    <definedName name="km11th">#REF!</definedName>
    <definedName name="km11th_23">"$#REF!.$#REF!$#REF!"</definedName>
    <definedName name="km11th_32">"$#REF!.$#REF!$#REF!"</definedName>
    <definedName name="km11th_33">"$#REF!.$#REF!$#REF!"</definedName>
    <definedName name="km11th_34">"$#REF!.$#REF!$#REF!"</definedName>
    <definedName name="km11th_38">"$#REF!.$#REF!$#REF!"</definedName>
    <definedName name="km11th_41">"$#REF!.$#REF!$#REF!"</definedName>
    <definedName name="km11th_43">"$#REF!.$#REF!$#REF!"</definedName>
    <definedName name="km11th_48">"$#REF!.$#REF!$#REF!"</definedName>
    <definedName name="km11th_56">"$#REF!.$#REF!$#REF!"</definedName>
    <definedName name="km11th_57">"$#REF!.$#REF!$#REF!"</definedName>
    <definedName name="km11th_59">"$#REF!.$#REF!$#REF!"</definedName>
    <definedName name="km11th_60">"$#REF!.$#REF!$#REF!"</definedName>
    <definedName name="km11th_61">"$#REF!.$#REF!$#REF!"</definedName>
    <definedName name="km11th_62">"$#REF!.$#REF!$#REF!"</definedName>
    <definedName name="km11th_7">"$#REF!.$#REF!$#REF!"</definedName>
    <definedName name="km11th_72">"$#REF!.$#REF!$#REF!"</definedName>
    <definedName name="km11th_73">"$#REF!.$#REF!$#REF!"</definedName>
    <definedName name="km11th_8">"$#REF!.$#REF!$#REF!"</definedName>
    <definedName name="km12th" localSheetId="21">#REF!</definedName>
    <definedName name="km12th" localSheetId="5">#REF!</definedName>
    <definedName name="km12th" localSheetId="8">#REF!</definedName>
    <definedName name="km12th" localSheetId="10">#REF!</definedName>
    <definedName name="km12th" localSheetId="11">#REF!</definedName>
    <definedName name="km12th" localSheetId="29">#REF!</definedName>
    <definedName name="km12th" localSheetId="31">#REF!</definedName>
    <definedName name="km12th" localSheetId="35">#REF!</definedName>
    <definedName name="km12th" localSheetId="36">#REF!</definedName>
    <definedName name="km12th">#REF!</definedName>
    <definedName name="km12th_23">"$#REF!.$#REF!$#REF!"</definedName>
    <definedName name="km12th_32">"$#REF!.$#REF!$#REF!"</definedName>
    <definedName name="km12th_33">"$#REF!.$#REF!$#REF!"</definedName>
    <definedName name="km12th_34">"$#REF!.$#REF!$#REF!"</definedName>
    <definedName name="km12th_38">"$#REF!.$#REF!$#REF!"</definedName>
    <definedName name="km12th_41">"$#REF!.$#REF!$#REF!"</definedName>
    <definedName name="km12th_43">"$#REF!.$#REF!$#REF!"</definedName>
    <definedName name="km12th_48">"$#REF!.$#REF!$#REF!"</definedName>
    <definedName name="km12th_56">"$#REF!.$#REF!$#REF!"</definedName>
    <definedName name="km12th_57">"$#REF!.$#REF!$#REF!"</definedName>
    <definedName name="km12th_59">"$#REF!.$#REF!$#REF!"</definedName>
    <definedName name="km12th_60">"$#REF!.$#REF!$#REF!"</definedName>
    <definedName name="km12th_61">"$#REF!.$#REF!$#REF!"</definedName>
    <definedName name="km12th_62">"$#REF!.$#REF!$#REF!"</definedName>
    <definedName name="km12th_7">"$#REF!.$#REF!$#REF!"</definedName>
    <definedName name="km12th_72">"$#REF!.$#REF!$#REF!"</definedName>
    <definedName name="km12th_73">"$#REF!.$#REF!$#REF!"</definedName>
    <definedName name="km12th_8">"$#REF!.$#REF!$#REF!"</definedName>
    <definedName name="km13th" localSheetId="21">#REF!</definedName>
    <definedName name="km13th" localSheetId="5">#REF!</definedName>
    <definedName name="km13th" localSheetId="8">#REF!</definedName>
    <definedName name="km13th" localSheetId="10">#REF!</definedName>
    <definedName name="km13th" localSheetId="11">#REF!</definedName>
    <definedName name="km13th" localSheetId="29">#REF!</definedName>
    <definedName name="km13th" localSheetId="31">#REF!</definedName>
    <definedName name="km13th" localSheetId="35">#REF!</definedName>
    <definedName name="km13th" localSheetId="36">#REF!</definedName>
    <definedName name="km13th">#REF!</definedName>
    <definedName name="km13th_23">"$#REF!.$#REF!$#REF!"</definedName>
    <definedName name="km13th_32">"$#REF!.$#REF!$#REF!"</definedName>
    <definedName name="km13th_33">"$#REF!.$#REF!$#REF!"</definedName>
    <definedName name="km13th_34">"$#REF!.$#REF!$#REF!"</definedName>
    <definedName name="km13th_38">"$#REF!.$#REF!$#REF!"</definedName>
    <definedName name="km13th_41">"$#REF!.$#REF!$#REF!"</definedName>
    <definedName name="km13th_43">"$#REF!.$#REF!$#REF!"</definedName>
    <definedName name="km13th_48">"$#REF!.$#REF!$#REF!"</definedName>
    <definedName name="km13th_56">"$#REF!.$#REF!$#REF!"</definedName>
    <definedName name="km13th_57">"$#REF!.$#REF!$#REF!"</definedName>
    <definedName name="km13th_59">"$#REF!.$#REF!$#REF!"</definedName>
    <definedName name="km13th_60">"$#REF!.$#REF!$#REF!"</definedName>
    <definedName name="km13th_61">"$#REF!.$#REF!$#REF!"</definedName>
    <definedName name="km13th_62">"$#REF!.$#REF!$#REF!"</definedName>
    <definedName name="km13th_7">"$#REF!.$#REF!$#REF!"</definedName>
    <definedName name="km13th_72">"$#REF!.$#REF!$#REF!"</definedName>
    <definedName name="km13th_73">"$#REF!.$#REF!$#REF!"</definedName>
    <definedName name="km13th_8">"$#REF!.$#REF!$#REF!"</definedName>
    <definedName name="km14th" localSheetId="21">#REF!</definedName>
    <definedName name="km14th" localSheetId="5">#REF!</definedName>
    <definedName name="km14th" localSheetId="8">#REF!</definedName>
    <definedName name="km14th" localSheetId="10">#REF!</definedName>
    <definedName name="km14th" localSheetId="11">#REF!</definedName>
    <definedName name="km14th" localSheetId="29">#REF!</definedName>
    <definedName name="km14th" localSheetId="31">#REF!</definedName>
    <definedName name="km14th" localSheetId="35">#REF!</definedName>
    <definedName name="km14th" localSheetId="36">#REF!</definedName>
    <definedName name="km14th">#REF!</definedName>
    <definedName name="km14th_23">"$#REF!.$#REF!$#REF!"</definedName>
    <definedName name="km14th_32">"$#REF!.$#REF!$#REF!"</definedName>
    <definedName name="km14th_33">"$#REF!.$#REF!$#REF!"</definedName>
    <definedName name="km14th_34">"$#REF!.$#REF!$#REF!"</definedName>
    <definedName name="km14th_38">"$#REF!.$#REF!$#REF!"</definedName>
    <definedName name="km14th_41">"$#REF!.$#REF!$#REF!"</definedName>
    <definedName name="km14th_43">"$#REF!.$#REF!$#REF!"</definedName>
    <definedName name="km14th_48">"$#REF!.$#REF!$#REF!"</definedName>
    <definedName name="km14th_56">"$#REF!.$#REF!$#REF!"</definedName>
    <definedName name="km14th_57">"$#REF!.$#REF!$#REF!"</definedName>
    <definedName name="km14th_59">"$#REF!.$#REF!$#REF!"</definedName>
    <definedName name="km14th_60">"$#REF!.$#REF!$#REF!"</definedName>
    <definedName name="km14th_61">"$#REF!.$#REF!$#REF!"</definedName>
    <definedName name="km14th_62">"$#REF!.$#REF!$#REF!"</definedName>
    <definedName name="km14th_7">"$#REF!.$#REF!$#REF!"</definedName>
    <definedName name="km14th_72">"$#REF!.$#REF!$#REF!"</definedName>
    <definedName name="km14th_73">"$#REF!.$#REF!$#REF!"</definedName>
    <definedName name="km14th_8">"$#REF!.$#REF!$#REF!"</definedName>
    <definedName name="km16th" localSheetId="21">#REF!</definedName>
    <definedName name="km16th" localSheetId="5">#REF!</definedName>
    <definedName name="km16th" localSheetId="8">#REF!</definedName>
    <definedName name="km16th" localSheetId="10">#REF!</definedName>
    <definedName name="km16th" localSheetId="11">#REF!</definedName>
    <definedName name="km16th" localSheetId="29">#REF!</definedName>
    <definedName name="km16th" localSheetId="31">#REF!</definedName>
    <definedName name="km16th" localSheetId="35">#REF!</definedName>
    <definedName name="km16th" localSheetId="36">#REF!</definedName>
    <definedName name="km16th">#REF!</definedName>
    <definedName name="km16th_23">"$#REF!.$#REF!$#REF!"</definedName>
    <definedName name="km16th_32">"$#REF!.$#REF!$#REF!"</definedName>
    <definedName name="km16th_33">"$#REF!.$#REF!$#REF!"</definedName>
    <definedName name="km16th_34">"$#REF!.$#REF!$#REF!"</definedName>
    <definedName name="km16th_38">"$#REF!.$#REF!$#REF!"</definedName>
    <definedName name="km16th_41">"$#REF!.$#REF!$#REF!"</definedName>
    <definedName name="km16th_43">"$#REF!.$#REF!$#REF!"</definedName>
    <definedName name="km16th_48">"$#REF!.$#REF!$#REF!"</definedName>
    <definedName name="km16th_56">"$#REF!.$#REF!$#REF!"</definedName>
    <definedName name="km16th_57">"$#REF!.$#REF!$#REF!"</definedName>
    <definedName name="km16th_59">"$#REF!.$#REF!$#REF!"</definedName>
    <definedName name="km16th_60">"$#REF!.$#REF!$#REF!"</definedName>
    <definedName name="km16th_61">"$#REF!.$#REF!$#REF!"</definedName>
    <definedName name="km16th_62">"$#REF!.$#REF!$#REF!"</definedName>
    <definedName name="km16th_7">"$#REF!.$#REF!$#REF!"</definedName>
    <definedName name="km16th_72">"$#REF!.$#REF!$#REF!"</definedName>
    <definedName name="km16th_73">"$#REF!.$#REF!$#REF!"</definedName>
    <definedName name="km16th_8">"$#REF!.$#REF!$#REF!"</definedName>
    <definedName name="km17th" localSheetId="21">#REF!</definedName>
    <definedName name="km17th" localSheetId="5">#REF!</definedName>
    <definedName name="km17th" localSheetId="8">#REF!</definedName>
    <definedName name="km17th" localSheetId="10">#REF!</definedName>
    <definedName name="km17th" localSheetId="11">#REF!</definedName>
    <definedName name="km17th" localSheetId="29">#REF!</definedName>
    <definedName name="km17th" localSheetId="31">#REF!</definedName>
    <definedName name="km17th" localSheetId="35">#REF!</definedName>
    <definedName name="km17th" localSheetId="36">#REF!</definedName>
    <definedName name="km17th">#REF!</definedName>
    <definedName name="km17th_23">"$#REF!.$#REF!$#REF!"</definedName>
    <definedName name="km17th_32">"$#REF!.$#REF!$#REF!"</definedName>
    <definedName name="km17th_33">"$#REF!.$#REF!$#REF!"</definedName>
    <definedName name="km17th_34">"$#REF!.$#REF!$#REF!"</definedName>
    <definedName name="km17th_38">"$#REF!.$#REF!$#REF!"</definedName>
    <definedName name="km17th_41">"$#REF!.$#REF!$#REF!"</definedName>
    <definedName name="km17th_43">"$#REF!.$#REF!$#REF!"</definedName>
    <definedName name="km17th_48">"$#REF!.$#REF!$#REF!"</definedName>
    <definedName name="km17th_56">"$#REF!.$#REF!$#REF!"</definedName>
    <definedName name="km17th_57">"$#REF!.$#REF!$#REF!"</definedName>
    <definedName name="km17th_59">"$#REF!.$#REF!$#REF!"</definedName>
    <definedName name="km17th_60">"$#REF!.$#REF!$#REF!"</definedName>
    <definedName name="km17th_61">"$#REF!.$#REF!$#REF!"</definedName>
    <definedName name="km17th_62">"$#REF!.$#REF!$#REF!"</definedName>
    <definedName name="km17th_7">"$#REF!.$#REF!$#REF!"</definedName>
    <definedName name="km17th_72">"$#REF!.$#REF!$#REF!"</definedName>
    <definedName name="km17th_73">"$#REF!.$#REF!$#REF!"</definedName>
    <definedName name="km17th_8">"$#REF!.$#REF!$#REF!"</definedName>
    <definedName name="km18th" localSheetId="21">#REF!</definedName>
    <definedName name="km18th" localSheetId="5">#REF!</definedName>
    <definedName name="km18th" localSheetId="8">#REF!</definedName>
    <definedName name="km18th" localSheetId="10">#REF!</definedName>
    <definedName name="km18th" localSheetId="11">#REF!</definedName>
    <definedName name="km18th" localSheetId="29">#REF!</definedName>
    <definedName name="km18th" localSheetId="31">#REF!</definedName>
    <definedName name="km18th" localSheetId="35">#REF!</definedName>
    <definedName name="km18th" localSheetId="36">#REF!</definedName>
    <definedName name="km18th">#REF!</definedName>
    <definedName name="km18th_23">"$#REF!.$#REF!$#REF!"</definedName>
    <definedName name="km18th_32">"$#REF!.$#REF!$#REF!"</definedName>
    <definedName name="km18th_33">"$#REF!.$#REF!$#REF!"</definedName>
    <definedName name="km18th_34">"$#REF!.$#REF!$#REF!"</definedName>
    <definedName name="km18th_38">"$#REF!.$#REF!$#REF!"</definedName>
    <definedName name="km18th_41">"$#REF!.$#REF!$#REF!"</definedName>
    <definedName name="km18th_43">"$#REF!.$#REF!$#REF!"</definedName>
    <definedName name="km18th_48">"$#REF!.$#REF!$#REF!"</definedName>
    <definedName name="km18th_56">"$#REF!.$#REF!$#REF!"</definedName>
    <definedName name="km18th_57">"$#REF!.$#REF!$#REF!"</definedName>
    <definedName name="km18th_59">"$#REF!.$#REF!$#REF!"</definedName>
    <definedName name="km18th_60">"$#REF!.$#REF!$#REF!"</definedName>
    <definedName name="km18th_61">"$#REF!.$#REF!$#REF!"</definedName>
    <definedName name="km18th_62">"$#REF!.$#REF!$#REF!"</definedName>
    <definedName name="km18th_7">"$#REF!.$#REF!$#REF!"</definedName>
    <definedName name="km18th_72">"$#REF!.$#REF!$#REF!"</definedName>
    <definedName name="km18th_73">"$#REF!.$#REF!$#REF!"</definedName>
    <definedName name="km18th_8">"$#REF!.$#REF!$#REF!"</definedName>
    <definedName name="km19th" localSheetId="21">#REF!</definedName>
    <definedName name="km19th" localSheetId="5">#REF!</definedName>
    <definedName name="km19th" localSheetId="8">#REF!</definedName>
    <definedName name="km19th" localSheetId="10">#REF!</definedName>
    <definedName name="km19th" localSheetId="11">#REF!</definedName>
    <definedName name="km19th" localSheetId="29">#REF!</definedName>
    <definedName name="km19th" localSheetId="31">#REF!</definedName>
    <definedName name="km19th" localSheetId="35">#REF!</definedName>
    <definedName name="km19th" localSheetId="36">#REF!</definedName>
    <definedName name="km19th">#REF!</definedName>
    <definedName name="km19th_23">"$#REF!.$#REF!$#REF!"</definedName>
    <definedName name="km19th_32">"$#REF!.$#REF!$#REF!"</definedName>
    <definedName name="km19th_33">"$#REF!.$#REF!$#REF!"</definedName>
    <definedName name="km19th_34">"$#REF!.$#REF!$#REF!"</definedName>
    <definedName name="km19th_38">"$#REF!.$#REF!$#REF!"</definedName>
    <definedName name="km19th_41">"$#REF!.$#REF!$#REF!"</definedName>
    <definedName name="km19th_43">"$#REF!.$#REF!$#REF!"</definedName>
    <definedName name="km19th_48">"$#REF!.$#REF!$#REF!"</definedName>
    <definedName name="km19th_56">"$#REF!.$#REF!$#REF!"</definedName>
    <definedName name="km19th_57">"$#REF!.$#REF!$#REF!"</definedName>
    <definedName name="km19th_59">"$#REF!.$#REF!$#REF!"</definedName>
    <definedName name="km19th_60">"$#REF!.$#REF!$#REF!"</definedName>
    <definedName name="km19th_61">"$#REF!.$#REF!$#REF!"</definedName>
    <definedName name="km19th_62">"$#REF!.$#REF!$#REF!"</definedName>
    <definedName name="km19th_7">"$#REF!.$#REF!$#REF!"</definedName>
    <definedName name="km19th_72">"$#REF!.$#REF!$#REF!"</definedName>
    <definedName name="km19th_73">"$#REF!.$#REF!$#REF!"</definedName>
    <definedName name="km19th_8">"$#REF!.$#REF!$#REF!"</definedName>
    <definedName name="km20th" localSheetId="21">#REF!</definedName>
    <definedName name="km20th" localSheetId="5">#REF!</definedName>
    <definedName name="km20th" localSheetId="8">#REF!</definedName>
    <definedName name="km20th" localSheetId="10">#REF!</definedName>
    <definedName name="km20th" localSheetId="11">#REF!</definedName>
    <definedName name="km20th" localSheetId="29">#REF!</definedName>
    <definedName name="km20th" localSheetId="31">#REF!</definedName>
    <definedName name="km20th" localSheetId="35">#REF!</definedName>
    <definedName name="km20th" localSheetId="36">#REF!</definedName>
    <definedName name="km20th">#REF!</definedName>
    <definedName name="km20th_23">"$#REF!.$#REF!$#REF!"</definedName>
    <definedName name="km20th_32">"$#REF!.$#REF!$#REF!"</definedName>
    <definedName name="km20th_33">"$#REF!.$#REF!$#REF!"</definedName>
    <definedName name="km20th_34">"$#REF!.$#REF!$#REF!"</definedName>
    <definedName name="km20th_38">"$#REF!.$#REF!$#REF!"</definedName>
    <definedName name="km20th_41">"$#REF!.$#REF!$#REF!"</definedName>
    <definedName name="km20th_43">"$#REF!.$#REF!$#REF!"</definedName>
    <definedName name="km20th_48">"$#REF!.$#REF!$#REF!"</definedName>
    <definedName name="km20th_56">"$#REF!.$#REF!$#REF!"</definedName>
    <definedName name="km20th_57">"$#REF!.$#REF!$#REF!"</definedName>
    <definedName name="km20th_59">"$#REF!.$#REF!$#REF!"</definedName>
    <definedName name="km20th_60">"$#REF!.$#REF!$#REF!"</definedName>
    <definedName name="km20th_61">"$#REF!.$#REF!$#REF!"</definedName>
    <definedName name="km20th_62">"$#REF!.$#REF!$#REF!"</definedName>
    <definedName name="km20th_7">"$#REF!.$#REF!$#REF!"</definedName>
    <definedName name="km20th_72">"$#REF!.$#REF!$#REF!"</definedName>
    <definedName name="km20th_73">"$#REF!.$#REF!$#REF!"</definedName>
    <definedName name="km20th_8">"$#REF!.$#REF!$#REF!"</definedName>
    <definedName name="km2nd" localSheetId="21">#REF!</definedName>
    <definedName name="km2nd" localSheetId="5">#REF!</definedName>
    <definedName name="km2nd" localSheetId="8">#REF!</definedName>
    <definedName name="km2nd" localSheetId="10">#REF!</definedName>
    <definedName name="km2nd" localSheetId="11">#REF!</definedName>
    <definedName name="km2nd" localSheetId="29">#REF!</definedName>
    <definedName name="km2nd" localSheetId="31">#REF!</definedName>
    <definedName name="km2nd" localSheetId="35">#REF!</definedName>
    <definedName name="km2nd" localSheetId="36">#REF!</definedName>
    <definedName name="km2nd">#REF!</definedName>
    <definedName name="km2nd_23">"$#REF!.$#REF!$#REF!"</definedName>
    <definedName name="km2nd_32">"$#REF!.$#REF!$#REF!"</definedName>
    <definedName name="km2nd_33">"$#REF!.$#REF!$#REF!"</definedName>
    <definedName name="km2nd_34">"$#REF!.$#REF!$#REF!"</definedName>
    <definedName name="km2nd_38">"$#REF!.$#REF!$#REF!"</definedName>
    <definedName name="km2nd_41">"$#REF!.$#REF!$#REF!"</definedName>
    <definedName name="km2nd_43">"$#REF!.$#REF!$#REF!"</definedName>
    <definedName name="km2nd_48">"$#REF!.$#REF!$#REF!"</definedName>
    <definedName name="km2nd_56">"$#REF!.$#REF!$#REF!"</definedName>
    <definedName name="km2nd_57">"$#REF!.$#REF!$#REF!"</definedName>
    <definedName name="km2nd_59">"$#REF!.$#REF!$#REF!"</definedName>
    <definedName name="km2nd_60">"$#REF!.$#REF!$#REF!"</definedName>
    <definedName name="km2nd_61">"$#REF!.$#REF!$#REF!"</definedName>
    <definedName name="km2nd_62">"$#REF!.$#REF!$#REF!"</definedName>
    <definedName name="km2nd_7">"$#REF!.$#REF!$#REF!"</definedName>
    <definedName name="km2nd_72">"$#REF!.$#REF!$#REF!"</definedName>
    <definedName name="km2nd_73">"$#REF!.$#REF!$#REF!"</definedName>
    <definedName name="km2nd_8">"$#REF!.$#REF!$#REF!"</definedName>
    <definedName name="km3rd" localSheetId="21">#REF!</definedName>
    <definedName name="km3rd" localSheetId="5">#REF!</definedName>
    <definedName name="km3rd" localSheetId="8">#REF!</definedName>
    <definedName name="km3rd" localSheetId="10">#REF!</definedName>
    <definedName name="km3rd" localSheetId="11">#REF!</definedName>
    <definedName name="km3rd" localSheetId="29">#REF!</definedName>
    <definedName name="km3rd" localSheetId="31">#REF!</definedName>
    <definedName name="km3rd" localSheetId="35">#REF!</definedName>
    <definedName name="km3rd" localSheetId="36">#REF!</definedName>
    <definedName name="km3rd">#REF!</definedName>
    <definedName name="km3rd_23">"$#REF!.$#REF!$#REF!"</definedName>
    <definedName name="km3rd_32">"$#REF!.$#REF!$#REF!"</definedName>
    <definedName name="km3rd_33">"$#REF!.$#REF!$#REF!"</definedName>
    <definedName name="km3rd_34">"$#REF!.$#REF!$#REF!"</definedName>
    <definedName name="km3rd_38">"$#REF!.$#REF!$#REF!"</definedName>
    <definedName name="km3rd_41">"$#REF!.$#REF!$#REF!"</definedName>
    <definedName name="km3rd_43">"$#REF!.$#REF!$#REF!"</definedName>
    <definedName name="km3rd_48">"$#REF!.$#REF!$#REF!"</definedName>
    <definedName name="km3rd_56">"$#REF!.$#REF!$#REF!"</definedName>
    <definedName name="km3rd_57">"$#REF!.$#REF!$#REF!"</definedName>
    <definedName name="km3rd_59">"$#REF!.$#REF!$#REF!"</definedName>
    <definedName name="km3rd_60">"$#REF!.$#REF!$#REF!"</definedName>
    <definedName name="km3rd_61">"$#REF!.$#REF!$#REF!"</definedName>
    <definedName name="km3rd_62">"$#REF!.$#REF!$#REF!"</definedName>
    <definedName name="km3rd_7">"$#REF!.$#REF!$#REF!"</definedName>
    <definedName name="km3rd_72">"$#REF!.$#REF!$#REF!"</definedName>
    <definedName name="km3rd_73">"$#REF!.$#REF!$#REF!"</definedName>
    <definedName name="km3rd_8">"$#REF!.$#REF!$#REF!"</definedName>
    <definedName name="km4th" localSheetId="21">#REF!</definedName>
    <definedName name="km4th" localSheetId="5">#REF!</definedName>
    <definedName name="km4th" localSheetId="8">#REF!</definedName>
    <definedName name="km4th" localSheetId="10">#REF!</definedName>
    <definedName name="km4th" localSheetId="11">#REF!</definedName>
    <definedName name="km4th" localSheetId="29">#REF!</definedName>
    <definedName name="km4th" localSheetId="31">#REF!</definedName>
    <definedName name="km4th" localSheetId="35">#REF!</definedName>
    <definedName name="km4th" localSheetId="36">#REF!</definedName>
    <definedName name="km4th">#REF!</definedName>
    <definedName name="km4th_23">"$#REF!.$#REF!$#REF!"</definedName>
    <definedName name="km4th_32">"$#REF!.$#REF!$#REF!"</definedName>
    <definedName name="km4th_33">"$#REF!.$#REF!$#REF!"</definedName>
    <definedName name="km4th_34">"$#REF!.$#REF!$#REF!"</definedName>
    <definedName name="km4th_38">"$#REF!.$#REF!$#REF!"</definedName>
    <definedName name="km4th_41">"$#REF!.$#REF!$#REF!"</definedName>
    <definedName name="km4th_43">"$#REF!.$#REF!$#REF!"</definedName>
    <definedName name="km4th_48">"$#REF!.$#REF!$#REF!"</definedName>
    <definedName name="km4th_56">"$#REF!.$#REF!$#REF!"</definedName>
    <definedName name="km4th_57">"$#REF!.$#REF!$#REF!"</definedName>
    <definedName name="km4th_59">"$#REF!.$#REF!$#REF!"</definedName>
    <definedName name="km4th_60">"$#REF!.$#REF!$#REF!"</definedName>
    <definedName name="km4th_61">"$#REF!.$#REF!$#REF!"</definedName>
    <definedName name="km4th_62">"$#REF!.$#REF!$#REF!"</definedName>
    <definedName name="km4th_7">"$#REF!.$#REF!$#REF!"</definedName>
    <definedName name="km4th_72">"$#REF!.$#REF!$#REF!"</definedName>
    <definedName name="km4th_73">"$#REF!.$#REF!$#REF!"</definedName>
    <definedName name="km4th_8">"$#REF!.$#REF!$#REF!"</definedName>
    <definedName name="km5th" localSheetId="21">#REF!</definedName>
    <definedName name="km5th" localSheetId="5">#REF!</definedName>
    <definedName name="km5th" localSheetId="8">#REF!</definedName>
    <definedName name="km5th" localSheetId="10">#REF!</definedName>
    <definedName name="km5th" localSheetId="11">#REF!</definedName>
    <definedName name="km5th" localSheetId="29">#REF!</definedName>
    <definedName name="km5th" localSheetId="31">#REF!</definedName>
    <definedName name="km5th" localSheetId="35">#REF!</definedName>
    <definedName name="km5th" localSheetId="36">#REF!</definedName>
    <definedName name="km5th">#REF!</definedName>
    <definedName name="km5th_23">"$#REF!.$#REF!$#REF!"</definedName>
    <definedName name="km5th_32">"$#REF!.$#REF!$#REF!"</definedName>
    <definedName name="km5th_33">"$#REF!.$#REF!$#REF!"</definedName>
    <definedName name="km5th_34">"$#REF!.$#REF!$#REF!"</definedName>
    <definedName name="km5th_38">"$#REF!.$#REF!$#REF!"</definedName>
    <definedName name="km5th_41">"$#REF!.$#REF!$#REF!"</definedName>
    <definedName name="km5th_43">"$#REF!.$#REF!$#REF!"</definedName>
    <definedName name="km5th_48">"$#REF!.$#REF!$#REF!"</definedName>
    <definedName name="km5th_56">"$#REF!.$#REF!$#REF!"</definedName>
    <definedName name="km5th_57">"$#REF!.$#REF!$#REF!"</definedName>
    <definedName name="km5th_59">"$#REF!.$#REF!$#REF!"</definedName>
    <definedName name="km5th_60">"$#REF!.$#REF!$#REF!"</definedName>
    <definedName name="km5th_61">"$#REF!.$#REF!$#REF!"</definedName>
    <definedName name="km5th_62">"$#REF!.$#REF!$#REF!"</definedName>
    <definedName name="km5th_7">"$#REF!.$#REF!$#REF!"</definedName>
    <definedName name="km5th_72">"$#REF!.$#REF!$#REF!"</definedName>
    <definedName name="km5th_73">"$#REF!.$#REF!$#REF!"</definedName>
    <definedName name="km5th_8">"$#REF!.$#REF!$#REF!"</definedName>
    <definedName name="km6th" localSheetId="21">#REF!</definedName>
    <definedName name="km6th" localSheetId="5">#REF!</definedName>
    <definedName name="km6th" localSheetId="8">#REF!</definedName>
    <definedName name="km6th" localSheetId="10">#REF!</definedName>
    <definedName name="km6th" localSheetId="11">#REF!</definedName>
    <definedName name="km6th" localSheetId="29">#REF!</definedName>
    <definedName name="km6th" localSheetId="31">#REF!</definedName>
    <definedName name="km6th" localSheetId="35">#REF!</definedName>
    <definedName name="km6th" localSheetId="36">#REF!</definedName>
    <definedName name="km6th">#REF!</definedName>
    <definedName name="km6th_23">"$#REF!.$#REF!$#REF!"</definedName>
    <definedName name="km6th_32">"$#REF!.$#REF!$#REF!"</definedName>
    <definedName name="km6th_33">"$#REF!.$#REF!$#REF!"</definedName>
    <definedName name="km6th_34">"$#REF!.$#REF!$#REF!"</definedName>
    <definedName name="km6th_38">"$#REF!.$#REF!$#REF!"</definedName>
    <definedName name="km6th_41">"$#REF!.$#REF!$#REF!"</definedName>
    <definedName name="km6th_43">"$#REF!.$#REF!$#REF!"</definedName>
    <definedName name="km6th_48">"$#REF!.$#REF!$#REF!"</definedName>
    <definedName name="km6th_56">"$#REF!.$#REF!$#REF!"</definedName>
    <definedName name="km6th_57">"$#REF!.$#REF!$#REF!"</definedName>
    <definedName name="km6th_59">"$#REF!.$#REF!$#REF!"</definedName>
    <definedName name="km6th_60">"$#REF!.$#REF!$#REF!"</definedName>
    <definedName name="km6th_61">"$#REF!.$#REF!$#REF!"</definedName>
    <definedName name="km6th_62">"$#REF!.$#REF!$#REF!"</definedName>
    <definedName name="km6th_7">"$#REF!.$#REF!$#REF!"</definedName>
    <definedName name="km6th_72">"$#REF!.$#REF!$#REF!"</definedName>
    <definedName name="km6th_73">"$#REF!.$#REF!$#REF!"</definedName>
    <definedName name="km6th_8">"$#REF!.$#REF!$#REF!"</definedName>
    <definedName name="km7th" localSheetId="21">#REF!</definedName>
    <definedName name="km7th" localSheetId="5">#REF!</definedName>
    <definedName name="km7th" localSheetId="8">#REF!</definedName>
    <definedName name="km7th" localSheetId="10">#REF!</definedName>
    <definedName name="km7th" localSheetId="11">#REF!</definedName>
    <definedName name="km7th" localSheetId="29">#REF!</definedName>
    <definedName name="km7th" localSheetId="31">#REF!</definedName>
    <definedName name="km7th" localSheetId="35">#REF!</definedName>
    <definedName name="km7th" localSheetId="36">#REF!</definedName>
    <definedName name="km7th">#REF!</definedName>
    <definedName name="km7th_23">"$#REF!.$#REF!$#REF!"</definedName>
    <definedName name="km7th_32">"$#REF!.$#REF!$#REF!"</definedName>
    <definedName name="km7th_33">"$#REF!.$#REF!$#REF!"</definedName>
    <definedName name="km7th_34">"$#REF!.$#REF!$#REF!"</definedName>
    <definedName name="km7th_38">"$#REF!.$#REF!$#REF!"</definedName>
    <definedName name="km7th_41">"$#REF!.$#REF!$#REF!"</definedName>
    <definedName name="km7th_43">"$#REF!.$#REF!$#REF!"</definedName>
    <definedName name="km7th_48">"$#REF!.$#REF!$#REF!"</definedName>
    <definedName name="km7th_56">"$#REF!.$#REF!$#REF!"</definedName>
    <definedName name="km7th_57">"$#REF!.$#REF!$#REF!"</definedName>
    <definedName name="km7th_59">"$#REF!.$#REF!$#REF!"</definedName>
    <definedName name="km7th_60">"$#REF!.$#REF!$#REF!"</definedName>
    <definedName name="km7th_61">"$#REF!.$#REF!$#REF!"</definedName>
    <definedName name="km7th_62">"$#REF!.$#REF!$#REF!"</definedName>
    <definedName name="km7th_7">"$#REF!.$#REF!$#REF!"</definedName>
    <definedName name="km7th_72">"$#REF!.$#REF!$#REF!"</definedName>
    <definedName name="km7th_73">"$#REF!.$#REF!$#REF!"</definedName>
    <definedName name="km7th_8">"$#REF!.$#REF!$#REF!"</definedName>
    <definedName name="km8th" localSheetId="21">#REF!</definedName>
    <definedName name="km8th" localSheetId="5">#REF!</definedName>
    <definedName name="km8th" localSheetId="8">#REF!</definedName>
    <definedName name="km8th" localSheetId="10">#REF!</definedName>
    <definedName name="km8th" localSheetId="11">#REF!</definedName>
    <definedName name="km8th" localSheetId="29">#REF!</definedName>
    <definedName name="km8th" localSheetId="31">#REF!</definedName>
    <definedName name="km8th" localSheetId="35">#REF!</definedName>
    <definedName name="km8th" localSheetId="36">#REF!</definedName>
    <definedName name="km8th">#REF!</definedName>
    <definedName name="km8th_23">"$#REF!.$#REF!$#REF!"</definedName>
    <definedName name="km8th_32">"$#REF!.$#REF!$#REF!"</definedName>
    <definedName name="km8th_33">"$#REF!.$#REF!$#REF!"</definedName>
    <definedName name="km8th_34">"$#REF!.$#REF!$#REF!"</definedName>
    <definedName name="km8th_38">"$#REF!.$#REF!$#REF!"</definedName>
    <definedName name="km8th_41">"$#REF!.$#REF!$#REF!"</definedName>
    <definedName name="km8th_43">"$#REF!.$#REF!$#REF!"</definedName>
    <definedName name="km8th_48">"$#REF!.$#REF!$#REF!"</definedName>
    <definedName name="km8th_56">"$#REF!.$#REF!$#REF!"</definedName>
    <definedName name="km8th_57">"$#REF!.$#REF!$#REF!"</definedName>
    <definedName name="km8th_59">"$#REF!.$#REF!$#REF!"</definedName>
    <definedName name="km8th_60">"$#REF!.$#REF!$#REF!"</definedName>
    <definedName name="km8th_61">"$#REF!.$#REF!$#REF!"</definedName>
    <definedName name="km8th_62">"$#REF!.$#REF!$#REF!"</definedName>
    <definedName name="km8th_7">"$#REF!.$#REF!$#REF!"</definedName>
    <definedName name="km8th_72">"$#REF!.$#REF!$#REF!"</definedName>
    <definedName name="km8th_73">"$#REF!.$#REF!$#REF!"</definedName>
    <definedName name="km8th_8">"$#REF!.$#REF!$#REF!"</definedName>
    <definedName name="km9th" localSheetId="21">#REF!</definedName>
    <definedName name="km9th" localSheetId="5">#REF!</definedName>
    <definedName name="km9th" localSheetId="8">#REF!</definedName>
    <definedName name="km9th" localSheetId="10">#REF!</definedName>
    <definedName name="km9th" localSheetId="11">#REF!</definedName>
    <definedName name="km9th" localSheetId="29">#REF!</definedName>
    <definedName name="km9th" localSheetId="31">#REF!</definedName>
    <definedName name="km9th" localSheetId="35">#REF!</definedName>
    <definedName name="km9th" localSheetId="36">#REF!</definedName>
    <definedName name="km9th">#REF!</definedName>
    <definedName name="km9th_23">"$#REF!.$#REF!$#REF!"</definedName>
    <definedName name="km9th_32">"$#REF!.$#REF!$#REF!"</definedName>
    <definedName name="km9th_33">"$#REF!.$#REF!$#REF!"</definedName>
    <definedName name="km9th_34">"$#REF!.$#REF!$#REF!"</definedName>
    <definedName name="km9th_38">"$#REF!.$#REF!$#REF!"</definedName>
    <definedName name="km9th_41">"$#REF!.$#REF!$#REF!"</definedName>
    <definedName name="km9th_43">"$#REF!.$#REF!$#REF!"</definedName>
    <definedName name="km9th_48">"$#REF!.$#REF!$#REF!"</definedName>
    <definedName name="km9th_56">"$#REF!.$#REF!$#REF!"</definedName>
    <definedName name="km9th_57">"$#REF!.$#REF!$#REF!"</definedName>
    <definedName name="km9th_59">"$#REF!.$#REF!$#REF!"</definedName>
    <definedName name="km9th_60">"$#REF!.$#REF!$#REF!"</definedName>
    <definedName name="km9th_61">"$#REF!.$#REF!$#REF!"</definedName>
    <definedName name="km9th_62">"$#REF!.$#REF!$#REF!"</definedName>
    <definedName name="km9th_7">"$#REF!.$#REF!$#REF!"</definedName>
    <definedName name="km9th_72">"$#REF!.$#REF!$#REF!"</definedName>
    <definedName name="km9th_73">"$#REF!.$#REF!$#REF!"</definedName>
    <definedName name="km9th_8">"$#REF!.$#REF!$#REF!"</definedName>
    <definedName name="Knr" localSheetId="5">#REF!</definedName>
    <definedName name="Knr" localSheetId="8">#REF!</definedName>
    <definedName name="Knr" localSheetId="10">#REF!</definedName>
    <definedName name="Knr" localSheetId="11">#REF!</definedName>
    <definedName name="Knr" localSheetId="29">#REF!</definedName>
    <definedName name="Knr" localSheetId="31">#REF!</definedName>
    <definedName name="Knr">#REF!</definedName>
    <definedName name="ko" localSheetId="8">#REF!</definedName>
    <definedName name="ko" localSheetId="10">#REF!</definedName>
    <definedName name="ko" localSheetId="29">#REF!</definedName>
    <definedName name="ko">#REF!</definedName>
    <definedName name="KSF" localSheetId="8">#REF!</definedName>
    <definedName name="KSF" localSheetId="10">#REF!</definedName>
    <definedName name="KSF" localSheetId="29">#REF!</definedName>
    <definedName name="KSF">#REF!</definedName>
    <definedName name="L_Bhisti_32" localSheetId="29">#REF!</definedName>
    <definedName name="L_Bhisti_33">#REF!</definedName>
    <definedName name="L_Bhisti_34">#REF!</definedName>
    <definedName name="L_Bhisti_43">#REF!</definedName>
    <definedName name="L_Bhisti_55">#REF!</definedName>
    <definedName name="L_Bhisti_56">#REF!</definedName>
    <definedName name="L_Bhisti_59">#REF!</definedName>
    <definedName name="L_Bhisti_61">#REF!</definedName>
    <definedName name="L_BISTI" localSheetId="5">#REF!</definedName>
    <definedName name="L_BISTI" localSheetId="8">#REF!</definedName>
    <definedName name="L_BISTI" localSheetId="10">#REF!</definedName>
    <definedName name="L_BISTI" localSheetId="11">#REF!</definedName>
    <definedName name="L_BISTI" localSheetId="29">#REF!</definedName>
    <definedName name="L_BISTI" localSheetId="31">#REF!</definedName>
    <definedName name="L_BISTI">#REF!</definedName>
    <definedName name="L_BitumenSprayer_55" localSheetId="29">#REF!</definedName>
    <definedName name="L_Blacksmith_32" localSheetId="29">#REF!</definedName>
    <definedName name="L_Blacksmith_33">#REF!</definedName>
    <definedName name="L_Blacksmith_34">#REF!</definedName>
    <definedName name="L_Blacksmith_43">#REF!</definedName>
    <definedName name="L_Blacksmith_55">#REF!</definedName>
    <definedName name="L_Blacksmith_56">#REF!</definedName>
    <definedName name="L_Blacksmith_59">#REF!</definedName>
    <definedName name="L_Blacksmith_61">#REF!</definedName>
    <definedName name="L_BSMIT" localSheetId="5">#REF!</definedName>
    <definedName name="L_BSMIT" localSheetId="8">#REF!</definedName>
    <definedName name="L_BSMIT" localSheetId="10">#REF!</definedName>
    <definedName name="L_BSMIT" localSheetId="11">#REF!</definedName>
    <definedName name="L_BSMIT" localSheetId="29">#REF!</definedName>
    <definedName name="L_BSMIT" localSheetId="31">#REF!</definedName>
    <definedName name="L_BSMIT">#REF!</definedName>
    <definedName name="L_Carpenter_1stClass_32" localSheetId="29">#REF!</definedName>
    <definedName name="L_Carpenter_1stClass_33">#REF!</definedName>
    <definedName name="L_Carpenter_1stClass_34">#REF!</definedName>
    <definedName name="L_Carpenter_1stClass_43">#REF!</definedName>
    <definedName name="L_Carpenter_1stClass_56">#REF!</definedName>
    <definedName name="L_Carpenter_1stClass_59">#REF!</definedName>
    <definedName name="L_Carpenter_1stClass_61">#REF!</definedName>
    <definedName name="L_ChipsSpreader_55" localSheetId="29">#REF!</definedName>
    <definedName name="L_Chiseller_32" localSheetId="29">#REF!</definedName>
    <definedName name="L_Chiseller_33">#REF!</definedName>
    <definedName name="L_Chiseller_34">#REF!</definedName>
    <definedName name="L_Chiseller_43">#REF!</definedName>
    <definedName name="L_Chiseller_56">#REF!</definedName>
    <definedName name="L_Chiseller_59">#REF!</definedName>
    <definedName name="L_Chiseller_61">#REF!</definedName>
    <definedName name="L_CPENTER" localSheetId="5">#REF!</definedName>
    <definedName name="L_CPENTER" localSheetId="8">#REF!</definedName>
    <definedName name="L_CPENTER" localSheetId="10">#REF!</definedName>
    <definedName name="L_CPENTER" localSheetId="11">#REF!</definedName>
    <definedName name="L_CPENTER" localSheetId="29">#REF!</definedName>
    <definedName name="L_CPENTER" localSheetId="31">#REF!</definedName>
    <definedName name="L_CPENTER">#REF!</definedName>
    <definedName name="L_Dresser_Skilled_32" localSheetId="29">#REF!</definedName>
    <definedName name="L_Dresser_Skilled_33">#REF!</definedName>
    <definedName name="L_Dresser_Skilled_34">#REF!</definedName>
    <definedName name="L_Dresser_Skilled_43">#REF!</definedName>
    <definedName name="L_Dresser_Skilled_56">#REF!</definedName>
    <definedName name="L_Dresser_Skilled_59">#REF!</definedName>
    <definedName name="L_Dresser_Skilled_61">#REF!</definedName>
    <definedName name="L_ELECRICIAN" localSheetId="5">#REF!</definedName>
    <definedName name="L_ELECRICIAN" localSheetId="8">#REF!</definedName>
    <definedName name="L_ELECRICIAN" localSheetId="10">#REF!</definedName>
    <definedName name="L_ELECRICIAN" localSheetId="11">#REF!</definedName>
    <definedName name="L_ELECRICIAN" localSheetId="29">#REF!</definedName>
    <definedName name="L_ELECRICIAN" localSheetId="31">#REF!</definedName>
    <definedName name="L_ELECRICIAN">#REF!</definedName>
    <definedName name="L_Fitter_32" localSheetId="29">#REF!</definedName>
    <definedName name="L_Fitter_33">#REF!</definedName>
    <definedName name="L_Fitter_34">#REF!</definedName>
    <definedName name="L_Fitter_43">#REF!</definedName>
    <definedName name="L_Fitter_56">#REF!</definedName>
    <definedName name="L_Fitter_59">#REF!</definedName>
    <definedName name="L_Fitter_61">#REF!</definedName>
    <definedName name="L_Mason_1stClass_32" localSheetId="29">#REF!</definedName>
    <definedName name="L_Mason_1stClass_33">#REF!</definedName>
    <definedName name="L_Mason_1stClass_34">#REF!</definedName>
    <definedName name="L_Mason_1stClass_43">#REF!</definedName>
    <definedName name="L_Mason_1stClass_55">#REF!</definedName>
    <definedName name="L_Mason_1stClass_56">#REF!</definedName>
    <definedName name="L_Mason_1stClass_59">#REF!</definedName>
    <definedName name="L_Mason_1stClass_61">#REF!</definedName>
    <definedName name="L_Mason_2ndClass_32" localSheetId="29">#REF!</definedName>
    <definedName name="L_Mason_2ndClass_33">#REF!</definedName>
    <definedName name="L_Mason_2ndClass_34">#REF!</definedName>
    <definedName name="L_Mason_2ndClass_43">#REF!</definedName>
    <definedName name="L_Mason_2ndClass_55">#REF!</definedName>
    <definedName name="L_Mason_2ndClass_56">#REF!</definedName>
    <definedName name="L_Mason_2ndClass_59">#REF!</definedName>
    <definedName name="L_Mason_2ndClass_61">#REF!</definedName>
    <definedName name="L_MASON1" localSheetId="5">#REF!</definedName>
    <definedName name="L_MASON1" localSheetId="8">#REF!</definedName>
    <definedName name="L_MASON1" localSheetId="10">#REF!</definedName>
    <definedName name="L_MASON1" localSheetId="11">#REF!</definedName>
    <definedName name="L_MASON1" localSheetId="29">#REF!</definedName>
    <definedName name="L_MASON1" localSheetId="31">#REF!</definedName>
    <definedName name="L_MASON1">#REF!</definedName>
    <definedName name="L_MASON2" localSheetId="5">#REF!</definedName>
    <definedName name="L_MASON2" localSheetId="8">#REF!</definedName>
    <definedName name="L_MASON2" localSheetId="10">#REF!</definedName>
    <definedName name="L_MASON2" localSheetId="11">#REF!</definedName>
    <definedName name="L_MASON2" localSheetId="29">#REF!</definedName>
    <definedName name="L_MASON2" localSheetId="31">#REF!</definedName>
    <definedName name="L_MASON2">#REF!</definedName>
    <definedName name="L_Mate_32" localSheetId="29">#REF!</definedName>
    <definedName name="L_Mate_33">#REF!</definedName>
    <definedName name="L_Mate_34">#REF!</definedName>
    <definedName name="L_Mate_43">#REF!</definedName>
    <definedName name="L_Mate_55">#REF!</definedName>
    <definedName name="L_Mate_56">#REF!</definedName>
    <definedName name="L_Mate_59">#REF!</definedName>
    <definedName name="L_Mate_61">#REF!</definedName>
    <definedName name="L_MAZDOOES" localSheetId="5">#REF!</definedName>
    <definedName name="L_MAZDOOES" localSheetId="8">#REF!</definedName>
    <definedName name="L_MAZDOOES" localSheetId="10">#REF!</definedName>
    <definedName name="L_MAZDOOES" localSheetId="11">#REF!</definedName>
    <definedName name="L_MAZDOOES" localSheetId="29">#REF!</definedName>
    <definedName name="L_MAZDOOES" localSheetId="31">#REF!</definedName>
    <definedName name="L_MAZDOOES">#REF!</definedName>
    <definedName name="L_Mazdoor_32" localSheetId="29">#REF!</definedName>
    <definedName name="L_Mazdoor_33">#REF!</definedName>
    <definedName name="L_Mazdoor_34">#REF!</definedName>
    <definedName name="L_Mazdoor_43">#REF!</definedName>
    <definedName name="L_Mazdoor_55">#REF!</definedName>
    <definedName name="L_Mazdoor_56">#REF!</definedName>
    <definedName name="L_Mazdoor_59">#REF!</definedName>
    <definedName name="L_Mazdoor_61">#REF!</definedName>
    <definedName name="L_Mazdoor_Semi_32" localSheetId="29">#REF!</definedName>
    <definedName name="L_Mazdoor_Semi_33">#REF!</definedName>
    <definedName name="L_Mazdoor_Semi_34">#REF!</definedName>
    <definedName name="L_Mazdoor_Semi_43">#REF!</definedName>
    <definedName name="L_Mazdoor_Semi_55">#REF!</definedName>
    <definedName name="L_Mazdoor_Semi_56">#REF!</definedName>
    <definedName name="L_Mazdoor_Semi_59">#REF!</definedName>
    <definedName name="L_Mazdoor_Semi_61">#REF!</definedName>
    <definedName name="L_Mazdoor_Skilled_32" localSheetId="29">#REF!</definedName>
    <definedName name="L_Mazdoor_Skilled_33">#REF!</definedName>
    <definedName name="L_Mazdoor_Skilled_34">#REF!</definedName>
    <definedName name="L_Mazdoor_Skilled_43">#REF!</definedName>
    <definedName name="L_Mazdoor_Skilled_55">#REF!</definedName>
    <definedName name="L_Mazdoor_Skilled_56">#REF!</definedName>
    <definedName name="L_Mazdoor_Skilled_59">#REF!</definedName>
    <definedName name="L_Mazdoor_Skilled_61">#REF!</definedName>
    <definedName name="L_MAZDOORSK" localSheetId="5">#REF!</definedName>
    <definedName name="L_MAZDOORSK" localSheetId="8">#REF!</definedName>
    <definedName name="L_MAZDOORSK" localSheetId="10">#REF!</definedName>
    <definedName name="L_MAZDOORSK" localSheetId="11">#REF!</definedName>
    <definedName name="L_MAZDOORSK" localSheetId="29">#REF!</definedName>
    <definedName name="L_MAZDOORSK" localSheetId="31">#REF!</definedName>
    <definedName name="L_MAZDOORSK">#REF!</definedName>
    <definedName name="L_MAZDOORUS" localSheetId="5">#REF!</definedName>
    <definedName name="L_MAZDOORUS" localSheetId="8">#REF!</definedName>
    <definedName name="L_MAZDOORUS" localSheetId="10">#REF!</definedName>
    <definedName name="L_MAZDOORUS" localSheetId="11">#REF!</definedName>
    <definedName name="L_MAZDOORUS" localSheetId="29">#REF!</definedName>
    <definedName name="L_MAZDOORUS" localSheetId="31">#REF!</definedName>
    <definedName name="L_MAZDOORUS">#REF!</definedName>
    <definedName name="L_Painter_1stClass_32" localSheetId="29">#REF!</definedName>
    <definedName name="L_Painter_1stClass_33">#REF!</definedName>
    <definedName name="L_Painter_1stClass_34">#REF!</definedName>
    <definedName name="L_Painter_1stClass_43">#REF!</definedName>
    <definedName name="L_Painter_1stClass_56">#REF!</definedName>
    <definedName name="L_Painter_1stClass_59">#REF!</definedName>
    <definedName name="L_Painter_1stClass_61">#REF!</definedName>
    <definedName name="L_Plumber_32" localSheetId="29">#REF!</definedName>
    <definedName name="L_Plumber_33">#REF!</definedName>
    <definedName name="L_Plumber_34">#REF!</definedName>
    <definedName name="L_Plumber_43">#REF!</definedName>
    <definedName name="L_Plumber_56">#REF!</definedName>
    <definedName name="L_Plumber_59">#REF!</definedName>
    <definedName name="L_Plumber_61">#REF!</definedName>
    <definedName name="L_SURVEYER" localSheetId="5">#REF!</definedName>
    <definedName name="L_SURVEYER" localSheetId="8">#REF!</definedName>
    <definedName name="L_SURVEYER" localSheetId="10">#REF!</definedName>
    <definedName name="L_SURVEYER" localSheetId="11">#REF!</definedName>
    <definedName name="L_SURVEYER" localSheetId="29">#REF!</definedName>
    <definedName name="L_SURVEYER" localSheetId="31">#REF!</definedName>
    <definedName name="L_SURVEYER">#REF!</definedName>
    <definedName name="L_Surveyor_32" localSheetId="29">#REF!</definedName>
    <definedName name="L_Surveyor_33">#REF!</definedName>
    <definedName name="L_Surveyor_34">#REF!</definedName>
    <definedName name="L_Surveyor_43">#REF!</definedName>
    <definedName name="L_Surveyor_55">#REF!</definedName>
    <definedName name="L_Surveyor_56">#REF!</definedName>
    <definedName name="L_Surveyor_59">#REF!</definedName>
    <definedName name="L_Surveyor_61">#REF!</definedName>
    <definedName name="L_WhiteWasher_32" localSheetId="29">#REF!</definedName>
    <definedName name="L_WhiteWasher_33">#REF!</definedName>
    <definedName name="L_WhiteWasher_34">#REF!</definedName>
    <definedName name="L_WhiteWasher_43">#REF!</definedName>
    <definedName name="L_WhiteWasher_56">#REF!</definedName>
    <definedName name="L_WhiteWasher_59">#REF!</definedName>
    <definedName name="L_WhiteWasher_61">#REF!</definedName>
    <definedName name="l1_33">#REF!</definedName>
    <definedName name="l1_34">#REF!</definedName>
    <definedName name="l12_33">"$#REF!.$A$3:$E$108"</definedName>
    <definedName name="l12_34">"$#REF!.$A$3:$E$108"</definedName>
    <definedName name="l3_33">"$#REF!.$A$2:$L$14"</definedName>
    <definedName name="l3_34">"$#REF!.$A$2:$L$14"</definedName>
    <definedName name="l4_33">#REF!</definedName>
    <definedName name="l4_34">#REF!</definedName>
    <definedName name="l5_33">"$#REF!.$D$5"</definedName>
    <definedName name="l5_34">"$#REF!.$D$5"</definedName>
    <definedName name="La" localSheetId="29">#REF!</definedName>
    <definedName name="laborvcc">#REF!</definedName>
    <definedName name="laborvrcc">#REF!</definedName>
    <definedName name="lac">#REF!</definedName>
    <definedName name="LAF" localSheetId="14">#REF!</definedName>
    <definedName name="LAF" localSheetId="8">#REF!</definedName>
    <definedName name="LAF" localSheetId="10">#REF!</definedName>
    <definedName name="LAF" localSheetId="29">#REF!</definedName>
    <definedName name="LAF">#REF!</definedName>
    <definedName name="lakshmi_43" localSheetId="29">#REF!</definedName>
    <definedName name="lakshmi_59">#REF!</definedName>
    <definedName name="lakshmi_61">#REF!</definedName>
    <definedName name="lali" localSheetId="8">#REF!</definedName>
    <definedName name="lali" localSheetId="10">#REF!</definedName>
    <definedName name="lali" localSheetId="11">#REF!</definedName>
    <definedName name="lali" localSheetId="29">#REF!</definedName>
    <definedName name="lali">#REF!</definedName>
    <definedName name="Last_Row">#N/A</definedName>
    <definedName name="LBCW" localSheetId="14">#REF!</definedName>
    <definedName name="LBCW" localSheetId="8">#REF!</definedName>
    <definedName name="LBCW" localSheetId="10">#REF!</definedName>
    <definedName name="LBCW" localSheetId="29">#REF!</definedName>
    <definedName name="LBCW">#REF!</definedName>
    <definedName name="LBM" localSheetId="5">#REF!</definedName>
    <definedName name="LBM" localSheetId="8">#REF!</definedName>
    <definedName name="LBM" localSheetId="10">#REF!</definedName>
    <definedName name="LBM" localSheetId="11">#REF!</definedName>
    <definedName name="LBM" localSheetId="29">#REF!</definedName>
    <definedName name="LBM" localSheetId="31">#REF!</definedName>
    <definedName name="LBM">#REF!</definedName>
    <definedName name="lbrick" localSheetId="8">#REF!</definedName>
    <definedName name="lbrick" localSheetId="10">#REF!</definedName>
    <definedName name="lbrick" localSheetId="29">#REF!</definedName>
    <definedName name="lbrick" localSheetId="31">#REF!</definedName>
    <definedName name="lbrick">#REF!</definedName>
    <definedName name="LBTC" localSheetId="8">#REF!</definedName>
    <definedName name="LBTC" localSheetId="10">#REF!</definedName>
    <definedName name="LBTC" localSheetId="29">#REF!</definedName>
    <definedName name="LBTC">#REF!</definedName>
    <definedName name="LBTS" localSheetId="8">#REF!</definedName>
    <definedName name="LBTS" localSheetId="10">#REF!</definedName>
    <definedName name="LBTS" localSheetId="29">#REF!</definedName>
    <definedName name="LBTS">#REF!</definedName>
    <definedName name="LC" localSheetId="8">#REF!</definedName>
    <definedName name="LC" localSheetId="10">#REF!</definedName>
    <definedName name="LC" localSheetId="29">#REF!</definedName>
    <definedName name="LC">#REF!</definedName>
    <definedName name="LCN" localSheetId="29">#REF!</definedName>
    <definedName name="LCS" localSheetId="29">#REF!</definedName>
    <definedName name="le" localSheetId="8">#REF!</definedName>
    <definedName name="le" localSheetId="10">#REF!</definedName>
    <definedName name="le" localSheetId="11">#REF!</definedName>
    <definedName name="le" localSheetId="29">#REF!</definedName>
    <definedName name="le">#REF!</definedName>
    <definedName name="lead" localSheetId="21">#REF!</definedName>
    <definedName name="lead" localSheetId="5">#REF!</definedName>
    <definedName name="lead" localSheetId="8">#REF!</definedName>
    <definedName name="lead" localSheetId="10">#REF!</definedName>
    <definedName name="lead" localSheetId="11">#REF!</definedName>
    <definedName name="lead" localSheetId="29">#REF!</definedName>
    <definedName name="lead" localSheetId="31">#REF!</definedName>
    <definedName name="lead" localSheetId="35">#REF!</definedName>
    <definedName name="lead" localSheetId="36">#REF!</definedName>
    <definedName name="lead">#REF!</definedName>
    <definedName name="lead_33">"$#REF!.$#REF!$#REF!"</definedName>
    <definedName name="lead_34">"$#REF!.$#REF!$#REF!"</definedName>
    <definedName name="Lead_gravel">#REF!</definedName>
    <definedName name="Lead_metal_mc">#REF!</definedName>
    <definedName name="Lead_Metal_ss">#REF!</definedName>
    <definedName name="lead_prin" localSheetId="21">#REF!</definedName>
    <definedName name="lead_prin" localSheetId="5">#REF!</definedName>
    <definedName name="lead_prin" localSheetId="8">#REF!</definedName>
    <definedName name="lead_prin" localSheetId="10">#REF!</definedName>
    <definedName name="lead_prin" localSheetId="11">#REF!</definedName>
    <definedName name="lead_prin" localSheetId="29">#REF!</definedName>
    <definedName name="lead_prin" localSheetId="31">#REF!</definedName>
    <definedName name="lead_prin" localSheetId="35">#REF!</definedName>
    <definedName name="lead_prin" localSheetId="36">#REF!</definedName>
    <definedName name="lead_prin">#REF!</definedName>
    <definedName name="lead_prin_33">"$#REF!.$#REF!$#REF!"</definedName>
    <definedName name="lead_prin_34">"$#REF!.$#REF!$#REF!"</definedName>
    <definedName name="Lead_sand_filling">#REF!</definedName>
    <definedName name="Lead_sand_mortor">#REF!</definedName>
    <definedName name="Lead_stone">#REF!</definedName>
    <definedName name="lead3" localSheetId="21">#REF!</definedName>
    <definedName name="lead3" localSheetId="5">#REF!</definedName>
    <definedName name="lead3" localSheetId="8">#REF!</definedName>
    <definedName name="lead3" localSheetId="10">#REF!</definedName>
    <definedName name="lead3" localSheetId="11">#REF!</definedName>
    <definedName name="lead3" localSheetId="29">#REF!</definedName>
    <definedName name="lead3" localSheetId="31">#REF!</definedName>
    <definedName name="lead3" localSheetId="35">#REF!</definedName>
    <definedName name="lead3" localSheetId="36">#REF!</definedName>
    <definedName name="lead3">#REF!</definedName>
    <definedName name="lead3_33">"$#REF!.$#REF!$#REF!"</definedName>
    <definedName name="lead3_34">"$#REF!.$#REF!$#REF!"</definedName>
    <definedName name="leada" localSheetId="8">#REF!</definedName>
    <definedName name="leada" localSheetId="10">#REF!</definedName>
    <definedName name="leada" localSheetId="29">#REF!</definedName>
    <definedName name="leada" localSheetId="31">#REF!</definedName>
    <definedName name="leada">#REF!</definedName>
    <definedName name="leadprin" localSheetId="21">#REF!</definedName>
    <definedName name="leadprin" localSheetId="5">#REF!</definedName>
    <definedName name="leadprin" localSheetId="8">#REF!</definedName>
    <definedName name="leadprin" localSheetId="10">#REF!</definedName>
    <definedName name="leadprin" localSheetId="11">#REF!</definedName>
    <definedName name="leadprin" localSheetId="29">#REF!</definedName>
    <definedName name="leadprin" localSheetId="31">#REF!</definedName>
    <definedName name="leadprin" localSheetId="35">#REF!</definedName>
    <definedName name="leadprin" localSheetId="36">#REF!</definedName>
    <definedName name="leadprin">#REF!</definedName>
    <definedName name="leadprin_33">"$#REF!.$#REF!$#REF!"</definedName>
    <definedName name="leadprin_34">"$#REF!.$#REF!$#REF!"</definedName>
    <definedName name="leads" localSheetId="21">#REF!</definedName>
    <definedName name="leads" localSheetId="5">#REF!</definedName>
    <definedName name="leads" localSheetId="8">#REF!</definedName>
    <definedName name="leads" localSheetId="10">#REF!</definedName>
    <definedName name="leads" localSheetId="11">#REF!</definedName>
    <definedName name="leads" localSheetId="29">#REF!</definedName>
    <definedName name="leads" localSheetId="31">#REF!</definedName>
    <definedName name="leads" localSheetId="35">#REF!</definedName>
    <definedName name="leads" localSheetId="36">#REF!</definedName>
    <definedName name="leads">#REF!</definedName>
    <definedName name="leads_23">"$#REF!.$#REF!$#REF!"</definedName>
    <definedName name="leads_33">"$#REF!.$#REF!$#REF!"</definedName>
    <definedName name="leads_34">"$#REF!.$#REF!$#REF!"</definedName>
    <definedName name="leads_38">"$#REF!.$#REF!$#REF!"</definedName>
    <definedName name="leads_41">"$#REF!.$#REF!$#REF!"</definedName>
    <definedName name="leads_43">"$#REF!.$#REF!$#REF!"</definedName>
    <definedName name="leads_48">"$#REF!.$#REF!$#REF!"</definedName>
    <definedName name="leads_57">"$#REF!.$#REF!$#REF!"</definedName>
    <definedName name="leads_59">"$#REF!.$#REF!$#REF!"</definedName>
    <definedName name="leads_60">"$#REF!.$#REF!$#REF!"</definedName>
    <definedName name="leads_61">"$#REF!.$#REF!$#REF!"</definedName>
    <definedName name="leads_62">"$#REF!.$#REF!$#REF!"</definedName>
    <definedName name="leads_7">"$#REF!.$#REF!$#REF!"</definedName>
    <definedName name="leads_72">"$#REF!.$#REF!$#REF!"</definedName>
    <definedName name="leads_73">"$#REF!.$#REF!$#REF!"</definedName>
    <definedName name="leads_8">"$#REF!.$#REF!$#REF!"</definedName>
    <definedName name="leela" localSheetId="5">#REF!</definedName>
    <definedName name="leela" localSheetId="8">#REF!</definedName>
    <definedName name="leela" localSheetId="10">#REF!</definedName>
    <definedName name="leela" localSheetId="29">#REF!</definedName>
    <definedName name="leela" localSheetId="31">#REF!</definedName>
    <definedName name="leela">#REF!</definedName>
    <definedName name="legend" localSheetId="8">#REF!</definedName>
    <definedName name="legend" localSheetId="10">#REF!</definedName>
    <definedName name="legend" localSheetId="11">#REF!</definedName>
    <definedName name="legend" localSheetId="29">#REF!</definedName>
    <definedName name="legend">#REF!</definedName>
    <definedName name="LEN" localSheetId="5">#REF!</definedName>
    <definedName name="LEN" localSheetId="8">#REF!</definedName>
    <definedName name="LEN" localSheetId="10">#REF!</definedName>
    <definedName name="LEN" localSheetId="29">#REF!</definedName>
    <definedName name="LEN" localSheetId="31">#REF!</definedName>
    <definedName name="LEN">#REF!</definedName>
    <definedName name="lgravel" localSheetId="8">#REF!</definedName>
    <definedName name="lgravel" localSheetId="10">#REF!</definedName>
    <definedName name="lgravel" localSheetId="29">#REF!</definedName>
    <definedName name="lgravel" localSheetId="31">#REF!</definedName>
    <definedName name="lgravel">#REF!</definedName>
    <definedName name="LHL" localSheetId="14">#REF!</definedName>
    <definedName name="LHL" localSheetId="8">#REF!</definedName>
    <definedName name="LHL" localSheetId="10">#REF!</definedName>
    <definedName name="LHL" localSheetId="29">#REF!</definedName>
    <definedName name="LHL">#REF!</definedName>
    <definedName name="lime" localSheetId="8">#REF!</definedName>
    <definedName name="lime" localSheetId="10">#REF!</definedName>
    <definedName name="lime" localSheetId="29">#REF!</definedName>
    <definedName name="lime">#REF!</definedName>
    <definedName name="lkk" localSheetId="29">#REF!</definedName>
    <definedName name="LLL" localSheetId="8">#REF!</definedName>
    <definedName name="LLL" localSheetId="10">#REF!</definedName>
    <definedName name="LLL" localSheetId="11">#REF!</definedName>
    <definedName name="LLL" localSheetId="29">#REF!</definedName>
    <definedName name="LLL">#REF!</definedName>
    <definedName name="LM" localSheetId="14">#REF!</definedName>
    <definedName name="LM" localSheetId="8">#REF!</definedName>
    <definedName name="LM" localSheetId="10">#REF!</definedName>
    <definedName name="LM" localSheetId="29">#REF!</definedName>
    <definedName name="LM">#REF!</definedName>
    <definedName name="lmc" localSheetId="8">#REF!</definedName>
    <definedName name="lmc" localSheetId="10">#REF!</definedName>
    <definedName name="lmc" localSheetId="29">#REF!</definedName>
    <definedName name="lmc" localSheetId="31">#REF!</definedName>
    <definedName name="lmc">#REF!</definedName>
    <definedName name="LMFL" localSheetId="8">#REF!</definedName>
    <definedName name="LMFL" localSheetId="10">#REF!</definedName>
    <definedName name="LMFL" localSheetId="29">#REF!</definedName>
    <definedName name="LMFL">#REF!</definedName>
    <definedName name="loading">#REF!</definedName>
    <definedName name="LR" localSheetId="14">#REF!</definedName>
    <definedName name="LR" localSheetId="8">#REF!</definedName>
    <definedName name="LR" localSheetId="10">#REF!</definedName>
    <definedName name="LR" localSheetId="29">#REF!</definedName>
    <definedName name="LR">#REF!</definedName>
    <definedName name="lrstone" localSheetId="8">#REF!</definedName>
    <definedName name="lrstone" localSheetId="10">#REF!</definedName>
    <definedName name="lrstone" localSheetId="29">#REF!</definedName>
    <definedName name="lrstone" localSheetId="31">#REF!</definedName>
    <definedName name="lrstone">#REF!</definedName>
    <definedName name="ls">#REF!</definedName>
    <definedName name="lsand" localSheetId="8">#REF!</definedName>
    <definedName name="lsand" localSheetId="10">#REF!</definedName>
    <definedName name="lsand" localSheetId="29">#REF!</definedName>
    <definedName name="lsand" localSheetId="31">#REF!</definedName>
    <definedName name="lsand">#REF!</definedName>
    <definedName name="lss" localSheetId="8">#REF!</definedName>
    <definedName name="lss" localSheetId="10">#REF!</definedName>
    <definedName name="lss" localSheetId="29">#REF!</definedName>
    <definedName name="lss" localSheetId="31">#REF!</definedName>
    <definedName name="lss">#REF!</definedName>
    <definedName name="lstone" localSheetId="8">#REF!</definedName>
    <definedName name="lstone" localSheetId="10">#REF!</definedName>
    <definedName name="lstone" localSheetId="29">#REF!</definedName>
    <definedName name="lstone" localSheetId="31">#REF!</definedName>
    <definedName name="lstone">#REF!</definedName>
    <definedName name="LV" localSheetId="14">#REF!</definedName>
    <definedName name="LV" localSheetId="8">#REF!</definedName>
    <definedName name="LV" localSheetId="10">#REF!</definedName>
    <definedName name="LV" localSheetId="29">#REF!</definedName>
    <definedName name="LV">#REF!</definedName>
    <definedName name="lw" localSheetId="5">#REF!</definedName>
    <definedName name="lw" localSheetId="8">#REF!</definedName>
    <definedName name="lw" localSheetId="10">#REF!</definedName>
    <definedName name="lw" localSheetId="29">#REF!</definedName>
    <definedName name="lw" localSheetId="31">#REF!</definedName>
    <definedName name="lw">#REF!</definedName>
    <definedName name="lwb">#REF!</definedName>
    <definedName name="LWW" localSheetId="8">#REF!</definedName>
    <definedName name="LWW" localSheetId="10">#REF!</definedName>
    <definedName name="LWW" localSheetId="29">#REF!</definedName>
    <definedName name="LWW">#REF!</definedName>
    <definedName name="lxg" localSheetId="21">#REF!</definedName>
    <definedName name="lxg" localSheetId="5">#REF!</definedName>
    <definedName name="lxg" localSheetId="8">#REF!</definedName>
    <definedName name="lxg" localSheetId="10">#REF!</definedName>
    <definedName name="lxg" localSheetId="11">#REF!</definedName>
    <definedName name="lxg" localSheetId="29">#REF!</definedName>
    <definedName name="lxg" localSheetId="31">#REF!</definedName>
    <definedName name="lxg" localSheetId="35">#REF!</definedName>
    <definedName name="lxg" localSheetId="36">#REF!</definedName>
    <definedName name="lxg">#REF!</definedName>
    <definedName name="lxg_33">"$#REF!.$#REF!$#REF!"</definedName>
    <definedName name="lxg_34">"$#REF!.$#REF!$#REF!"</definedName>
    <definedName name="m" localSheetId="5">#REF!</definedName>
    <definedName name="m" localSheetId="8">#REF!</definedName>
    <definedName name="m" localSheetId="10">#REF!</definedName>
    <definedName name="m" localSheetId="29">#REF!</definedName>
    <definedName name="m" localSheetId="31">#REF!</definedName>
    <definedName name="m">#REF!</definedName>
    <definedName name="M_Aggregate_10_32" localSheetId="29">#REF!</definedName>
    <definedName name="M_Aggregate_10_33">#REF!</definedName>
    <definedName name="M_Aggregate_10_34">#REF!</definedName>
    <definedName name="M_Aggregate_10_43">#REF!</definedName>
    <definedName name="M_Aggregate_10_56">#REF!</definedName>
    <definedName name="M_Aggregate_10_59">#REF!</definedName>
    <definedName name="M_Aggregate_10_61">#REF!</definedName>
    <definedName name="M_Aggregate_20_32" localSheetId="29">#REF!</definedName>
    <definedName name="M_Aggregate_20_33">#REF!</definedName>
    <definedName name="M_Aggregate_20_34">#REF!</definedName>
    <definedName name="M_Aggregate_20_43">#REF!</definedName>
    <definedName name="M_Aggregate_20_55">#REF!</definedName>
    <definedName name="M_Aggregate_20_56">#REF!</definedName>
    <definedName name="M_Aggregate_20_59">#REF!</definedName>
    <definedName name="M_Aggregate_20_61">#REF!</definedName>
    <definedName name="M_Aggregate_224_236m_WMM_32" localSheetId="29">#REF!</definedName>
    <definedName name="M_Aggregate_224_236m_WMM_33">#REF!</definedName>
    <definedName name="M_Aggregate_224_236m_WMM_34">#REF!</definedName>
    <definedName name="M_Aggregate_224_236m_WMM_43">#REF!</definedName>
    <definedName name="M_Aggregate_224_236m_WMM_56">#REF!</definedName>
    <definedName name="M_Aggregate_224_236m_WMM_59">#REF!</definedName>
    <definedName name="M_Aggregate_224_236m_WMM_61">#REF!</definedName>
    <definedName name="M_Aggregate_375mmMaximum_224_56mm_32" localSheetId="29">#REF!</definedName>
    <definedName name="M_Aggregate_375mmMaximum_224_56mm_33">#REF!</definedName>
    <definedName name="M_Aggregate_375mmMaximum_224_56mm_34">#REF!</definedName>
    <definedName name="M_Aggregate_375mmMaximum_224_56mm_43">#REF!</definedName>
    <definedName name="M_Aggregate_375mmMaximum_224_56mm_55">#REF!</definedName>
    <definedName name="M_Aggregate_375mmMaximum_224_56mm_56">#REF!</definedName>
    <definedName name="M_Aggregate_375mmMaximum_224_56mm_59">#REF!</definedName>
    <definedName name="M_Aggregate_375mmMaximum_224_56mm_61">#REF!</definedName>
    <definedName name="M_Aggregate_375mmMaximum_45_225mm_32" localSheetId="29">#REF!</definedName>
    <definedName name="M_Aggregate_375mmMaximum_45_225mm_33">#REF!</definedName>
    <definedName name="M_Aggregate_375mmMaximum_45_225mm_34">#REF!</definedName>
    <definedName name="M_Aggregate_375mmMaximum_45_225mm_43">#REF!</definedName>
    <definedName name="M_Aggregate_375mmMaximum_45_225mm_56">#REF!</definedName>
    <definedName name="M_Aggregate_375mmMaximum_45_225mm_59">#REF!</definedName>
    <definedName name="M_Aggregate_375mmMaximum_45_225mm_61">#REF!</definedName>
    <definedName name="M_Aggregate_375mmMaximum_Below_56mm_32" localSheetId="29">#REF!</definedName>
    <definedName name="M_Aggregate_375mmMaximum_Below_56mm_33">#REF!</definedName>
    <definedName name="M_Aggregate_375mmMaximum_Below_56mm_34">#REF!</definedName>
    <definedName name="M_Aggregate_375mmMaximum_Below_56mm_43">#REF!</definedName>
    <definedName name="M_Aggregate_375mmMaximum_Below_56mm_56">#REF!</definedName>
    <definedName name="M_Aggregate_375mmMaximum_Below_56mm_59">#REF!</definedName>
    <definedName name="M_Aggregate_375mmMaximum_Below_56mm_61">#REF!</definedName>
    <definedName name="M_Aggregate_40_32" localSheetId="29">#REF!</definedName>
    <definedName name="M_Aggregate_40_33">#REF!</definedName>
    <definedName name="M_Aggregate_40_34">#REF!</definedName>
    <definedName name="M_Aggregate_40_43">#REF!</definedName>
    <definedName name="M_Aggregate_40_56">#REF!</definedName>
    <definedName name="M_Aggregate_40_59">#REF!</definedName>
    <definedName name="M_Aggregate_40_61">#REF!</definedName>
    <definedName name="M_Aggregate_45_224m_WMM_32" localSheetId="29">#REF!</definedName>
    <definedName name="M_Aggregate_45_224m_WMM_33">#REF!</definedName>
    <definedName name="M_Aggregate_45_224m_WMM_34">#REF!</definedName>
    <definedName name="M_Aggregate_45_224m_WMM_43">#REF!</definedName>
    <definedName name="M_Aggregate_45_224m_WMM_56">#REF!</definedName>
    <definedName name="M_Aggregate_45_224m_WMM_59">#REF!</definedName>
    <definedName name="M_Aggregate_45_224m_WMM_61">#REF!</definedName>
    <definedName name="M_Aggregate_53mmMaximum_225_56mm_32" localSheetId="29">#REF!</definedName>
    <definedName name="M_Aggregate_53mmMaximum_225_56mm_33">#REF!</definedName>
    <definedName name="M_Aggregate_53mmMaximum_225_56mm_34">#REF!</definedName>
    <definedName name="M_Aggregate_53mmMaximum_225_56mm_43">#REF!</definedName>
    <definedName name="M_Aggregate_53mmMaximum_225_56mm_56">#REF!</definedName>
    <definedName name="M_Aggregate_53mmMaximum_225_56mm_59">#REF!</definedName>
    <definedName name="M_Aggregate_53mmMaximum_225_56mm_61">#REF!</definedName>
    <definedName name="M_Aggregate_53mmMaximum_63_45mm_32" localSheetId="29">#REF!</definedName>
    <definedName name="M_Aggregate_53mmMaximum_63_45mm_33">#REF!</definedName>
    <definedName name="M_Aggregate_53mmMaximum_63_45mm_34">#REF!</definedName>
    <definedName name="M_Aggregate_53mmMaximum_63_45mm_43">#REF!</definedName>
    <definedName name="M_Aggregate_53mmMaximum_63_45mm_56">#REF!</definedName>
    <definedName name="M_Aggregate_53mmMaximum_63_45mm_59">#REF!</definedName>
    <definedName name="M_Aggregate_53mmMaximum_63_45mm_61">#REF!</definedName>
    <definedName name="M_Aggregate_53mmMaximum_below_56mm_32" localSheetId="29">#REF!</definedName>
    <definedName name="M_Aggregate_53mmMaximum_below_56mm_33">#REF!</definedName>
    <definedName name="M_Aggregate_53mmMaximum_below_56mm_34">#REF!</definedName>
    <definedName name="M_Aggregate_53mmMaximum_below_56mm_43">#REF!</definedName>
    <definedName name="M_Aggregate_53mmMaximum_below_56mm_56">#REF!</definedName>
    <definedName name="M_Aggregate_53mmMaximum_below_56mm_59">#REF!</definedName>
    <definedName name="M_Aggregate_53mmMaximum_below_56mm_61">#REF!</definedName>
    <definedName name="M_Aggregate_Crushable_GradeI_32" localSheetId="29">#REF!</definedName>
    <definedName name="M_Aggregate_Crushable_GradeI_33">#REF!</definedName>
    <definedName name="M_Aggregate_Crushable_GradeI_34">#REF!</definedName>
    <definedName name="M_Aggregate_Crushable_GradeI_43">#REF!</definedName>
    <definedName name="M_Aggregate_Crushable_GradeI_56">#REF!</definedName>
    <definedName name="M_Aggregate_Crushable_GradeI_59">#REF!</definedName>
    <definedName name="M_Aggregate_Crushable_GradeI_61">#REF!</definedName>
    <definedName name="M_Aggregate_Crushable_GradeII_32" localSheetId="29">#REF!</definedName>
    <definedName name="M_Aggregate_Crushable_GradeII_33">#REF!</definedName>
    <definedName name="M_Aggregate_Crushable_GradeII_34">#REF!</definedName>
    <definedName name="M_Aggregate_Crushable_GradeII_43">#REF!</definedName>
    <definedName name="M_Aggregate_Crushable_GradeII_56">#REF!</definedName>
    <definedName name="M_Aggregate_Crushable_GradeII_59">#REF!</definedName>
    <definedName name="M_Aggregate_Crushable_GradeII_61">#REF!</definedName>
    <definedName name="M_Aggregate_Crushable_GradeIII_32" localSheetId="29">#REF!</definedName>
    <definedName name="M_Aggregate_Crushable_GradeIII_33">#REF!</definedName>
    <definedName name="M_Aggregate_Crushable_GradeIII_34">#REF!</definedName>
    <definedName name="M_Aggregate_Crushable_GradeIII_43">#REF!</definedName>
    <definedName name="M_Aggregate_Crushable_GradeIII_56">#REF!</definedName>
    <definedName name="M_Aggregate_Crushable_GradeIII_59">#REF!</definedName>
    <definedName name="M_Aggregate_Crushable_GradeIII_61">#REF!</definedName>
    <definedName name="M_Aggregate_GradeI_40mmNominal_10_5mm_32" localSheetId="29">#REF!</definedName>
    <definedName name="M_Aggregate_GradeI_40mmNominal_10_5mm_33">#REF!</definedName>
    <definedName name="M_Aggregate_GradeI_40mmNominal_10_5mm_34">#REF!</definedName>
    <definedName name="M_Aggregate_GradeI_40mmNominal_10_5mm_43">#REF!</definedName>
    <definedName name="M_Aggregate_GradeI_40mmNominal_10_5mm_56">#REF!</definedName>
    <definedName name="M_Aggregate_GradeI_40mmNominal_10_5mm_59">#REF!</definedName>
    <definedName name="M_Aggregate_GradeI_40mmNominal_10_5mm_61">#REF!</definedName>
    <definedName name="M_Aggregate_GradeI_40mmNominal_25_10mm_32" localSheetId="29">#REF!</definedName>
    <definedName name="M_Aggregate_GradeI_40mmNominal_25_10mm_33">#REF!</definedName>
    <definedName name="M_Aggregate_GradeI_40mmNominal_25_10mm_34">#REF!</definedName>
    <definedName name="M_Aggregate_GradeI_40mmNominal_25_10mm_43">#REF!</definedName>
    <definedName name="M_Aggregate_GradeI_40mmNominal_25_10mm_56">#REF!</definedName>
    <definedName name="M_Aggregate_GradeI_40mmNominal_25_10mm_59">#REF!</definedName>
    <definedName name="M_Aggregate_GradeI_40mmNominal_25_10mm_61">#REF!</definedName>
    <definedName name="M_Aggregate_GradeI_40mmNominal_3725_25mm_32" localSheetId="29">#REF!</definedName>
    <definedName name="M_Aggregate_GradeI_40mmNominal_3725_25mm_33">#REF!</definedName>
    <definedName name="M_Aggregate_GradeI_40mmNominal_3725_25mm_34">#REF!</definedName>
    <definedName name="M_Aggregate_GradeI_40mmNominal_3725_25mm_43">#REF!</definedName>
    <definedName name="M_Aggregate_GradeI_40mmNominal_3725_25mm_56">#REF!</definedName>
    <definedName name="M_Aggregate_GradeI_40mmNominal_3725_25mm_59">#REF!</definedName>
    <definedName name="M_Aggregate_GradeI_40mmNominal_3725_25mm_61">#REF!</definedName>
    <definedName name="M_Aggregate_GradeI_40mmNominal_5mm_32" localSheetId="29">#REF!</definedName>
    <definedName name="M_Aggregate_GradeI_40mmNominal_5mm_33">#REF!</definedName>
    <definedName name="M_Aggregate_GradeI_40mmNominal_5mm_34">#REF!</definedName>
    <definedName name="M_Aggregate_GradeI_40mmNominal_5mm_43">#REF!</definedName>
    <definedName name="M_Aggregate_GradeI_40mmNominal_5mm_56">#REF!</definedName>
    <definedName name="M_Aggregate_GradeI_40mmNominal_5mm_59">#REF!</definedName>
    <definedName name="M_Aggregate_GradeI_40mmNominal_5mm_61">#REF!</definedName>
    <definedName name="M_Aggregate_GradeI_90_45mm_32" localSheetId="29">#REF!</definedName>
    <definedName name="M_Aggregate_GradeI_90_45mm_33">#REF!</definedName>
    <definedName name="M_Aggregate_GradeI_90_45mm_34">#REF!</definedName>
    <definedName name="M_Aggregate_GradeI_90_45mm_43">#REF!</definedName>
    <definedName name="M_Aggregate_GradeI_90_45mm_56">#REF!</definedName>
    <definedName name="M_Aggregate_GradeI_90_45mm_59">#REF!</definedName>
    <definedName name="M_Aggregate_GradeI_90_45mm_61">#REF!</definedName>
    <definedName name="M_Aggregate_GradeII_19mmNominal_10_5mm_32" localSheetId="29">#REF!</definedName>
    <definedName name="M_Aggregate_GradeII_19mmNominal_10_5mm_33">#REF!</definedName>
    <definedName name="M_Aggregate_GradeII_19mmNominal_10_5mm_34">#REF!</definedName>
    <definedName name="M_Aggregate_GradeII_19mmNominal_10_5mm_43">#REF!</definedName>
    <definedName name="M_Aggregate_GradeII_19mmNominal_10_5mm_55">#REF!</definedName>
    <definedName name="M_Aggregate_GradeII_19mmNominal_10_5mm_56">#REF!</definedName>
    <definedName name="M_Aggregate_GradeII_19mmNominal_10_5mm_59">#REF!</definedName>
    <definedName name="M_Aggregate_GradeII_19mmNominal_10_5mm_61">#REF!</definedName>
    <definedName name="M_Aggregate_GradeII_19mmNominal_25_10mm_32" localSheetId="29">#REF!</definedName>
    <definedName name="M_Aggregate_GradeII_19mmNominal_25_10mm_33">#REF!</definedName>
    <definedName name="M_Aggregate_GradeII_19mmNominal_25_10mm_34">#REF!</definedName>
    <definedName name="M_Aggregate_GradeII_19mmNominal_25_10mm_43">#REF!</definedName>
    <definedName name="M_Aggregate_GradeII_19mmNominal_25_10mm_55">#REF!</definedName>
    <definedName name="M_Aggregate_GradeII_19mmNominal_25_10mm_56">#REF!</definedName>
    <definedName name="M_Aggregate_GradeII_19mmNominal_25_10mm_59">#REF!</definedName>
    <definedName name="M_Aggregate_GradeII_19mmNominal_25_10mm_61">#REF!</definedName>
    <definedName name="M_Aggregate_GradeII_19mmNominal_5mm_below_32" localSheetId="29">#REF!</definedName>
    <definedName name="M_Aggregate_GradeII_19mmNominal_5mm_below_33">#REF!</definedName>
    <definedName name="M_Aggregate_GradeII_19mmNominal_5mm_below_34">#REF!</definedName>
    <definedName name="M_Aggregate_GradeII_19mmNominal_5mm_below_43">#REF!</definedName>
    <definedName name="M_Aggregate_GradeII_19mmNominal_5mm_below_55">#REF!</definedName>
    <definedName name="M_Aggregate_GradeII_19mmNominal_5mm_below_56">#REF!</definedName>
    <definedName name="M_Aggregate_GradeII_19mmNominal_5mm_below_59">#REF!</definedName>
    <definedName name="M_Aggregate_GradeII_19mmNominal_5mm_below_61">#REF!</definedName>
    <definedName name="M_Aggregate_GradeII_63_45mm_32" localSheetId="29">#REF!</definedName>
    <definedName name="M_Aggregate_GradeII_63_45mm_33">#REF!</definedName>
    <definedName name="M_Aggregate_GradeII_63_45mm_34">#REF!</definedName>
    <definedName name="M_Aggregate_GradeII_63_45mm_43">#REF!</definedName>
    <definedName name="M_Aggregate_GradeII_63_45mm_56">#REF!</definedName>
    <definedName name="M_Aggregate_GradeII_63_45mm_59">#REF!</definedName>
    <definedName name="M_Aggregate_GradeII_63_45mm_61">#REF!</definedName>
    <definedName name="M_Aggregate_GradeIII_53_224mm_32" localSheetId="29">#REF!</definedName>
    <definedName name="M_Aggregate_GradeIII_53_224mm_33">#REF!</definedName>
    <definedName name="M_Aggregate_GradeIII_53_224mm_34">#REF!</definedName>
    <definedName name="M_Aggregate_GradeIII_53_224mm_43">#REF!</definedName>
    <definedName name="M_Aggregate_GradeIII_53_224mm_56">#REF!</definedName>
    <definedName name="M_Aggregate_GradeIII_53_224mm_59">#REF!</definedName>
    <definedName name="M_Aggregate_GradeIII_53_224mm_61">#REF!</definedName>
    <definedName name="M_AIRCOMP170" localSheetId="5">#REF!</definedName>
    <definedName name="M_AIRCOMP170" localSheetId="8">#REF!</definedName>
    <definedName name="M_AIRCOMP170" localSheetId="10">#REF!</definedName>
    <definedName name="M_AIRCOMP170" localSheetId="11">#REF!</definedName>
    <definedName name="M_AIRCOMP170" localSheetId="29">#REF!</definedName>
    <definedName name="M_AIRCOMP170" localSheetId="31">#REF!</definedName>
    <definedName name="M_AIRCOMP170">#REF!</definedName>
    <definedName name="M_AIRCOMP210" localSheetId="5">#REF!</definedName>
    <definedName name="M_AIRCOMP210" localSheetId="8">#REF!</definedName>
    <definedName name="M_AIRCOMP210" localSheetId="10">#REF!</definedName>
    <definedName name="M_AIRCOMP210" localSheetId="11">#REF!</definedName>
    <definedName name="M_AIRCOMP210" localSheetId="29">#REF!</definedName>
    <definedName name="M_AIRCOMP210" localSheetId="31">#REF!</definedName>
    <definedName name="M_AIRCOMP210">#REF!</definedName>
    <definedName name="M_AluminiumSheeting_15mm_32" localSheetId="29">#REF!</definedName>
    <definedName name="M_AluminiumSheeting_15mm_33">#REF!</definedName>
    <definedName name="M_AluminiumSheeting_15mm_34">#REF!</definedName>
    <definedName name="M_AluminiumSheeting_15mm_43">#REF!</definedName>
    <definedName name="M_AluminiumSheeting_15mm_56">#REF!</definedName>
    <definedName name="M_AluminiumSheeting_15mm_59">#REF!</definedName>
    <definedName name="M_AluminiumSheeting_15mm_61">#REF!</definedName>
    <definedName name="M_AluminiumStuds_100_100_Lense_32" localSheetId="29">#REF!</definedName>
    <definedName name="M_AluminiumStuds_100_100_Lense_33">#REF!</definedName>
    <definedName name="M_AluminiumStuds_100_100_Lense_34">#REF!</definedName>
    <definedName name="M_AluminiumStuds_100_100_Lense_43">#REF!</definedName>
    <definedName name="M_AluminiumStuds_100_100_Lense_56">#REF!</definedName>
    <definedName name="M_AluminiumStuds_100_100_Lense_59">#REF!</definedName>
    <definedName name="M_AluminiumStuds_100_100_Lense_61">#REF!</definedName>
    <definedName name="M_Bamboo_1stClass_85_100mm_25m_long_32" localSheetId="29">#REF!</definedName>
    <definedName name="M_Bamboo_1stClass_85_100mm_25m_long_33">#REF!</definedName>
    <definedName name="M_Bamboo_1stClass_85_100mm_25m_long_34">#REF!</definedName>
    <definedName name="M_Bamboo_1stClass_85_100mm_25m_long_43">#REF!</definedName>
    <definedName name="M_Bamboo_1stClass_85_100mm_25m_long_56">#REF!</definedName>
    <definedName name="M_Bamboo_1stClass_85_100mm_25m_long_59">#REF!</definedName>
    <definedName name="M_Bamboo_1stClass_85_100mm_25m_long_61">#REF!</definedName>
    <definedName name="M_Bamboo_1stClass_85_100mm_2m_long_32" localSheetId="29">#REF!</definedName>
    <definedName name="M_Bamboo_1stClass_85_100mm_2m_long_33">#REF!</definedName>
    <definedName name="M_Bamboo_1stClass_85_100mm_2m_long_34">#REF!</definedName>
    <definedName name="M_Bamboo_1stClass_85_100mm_2m_long_43">#REF!</definedName>
    <definedName name="M_Bamboo_1stClass_85_100mm_2m_long_56">#REF!</definedName>
    <definedName name="M_Bamboo_1stClass_85_100mm_2m_long_59">#REF!</definedName>
    <definedName name="M_Bamboo_1stClass_85_100mm_2m_long_61">#REF!</definedName>
    <definedName name="M_Bamboo_1stClass_85_100mm_3m_long_32" localSheetId="29">#REF!</definedName>
    <definedName name="M_Bamboo_1stClass_85_100mm_3m_long_33">#REF!</definedName>
    <definedName name="M_Bamboo_1stClass_85_100mm_3m_long_34">#REF!</definedName>
    <definedName name="M_Bamboo_1stClass_85_100mm_3m_long_43">#REF!</definedName>
    <definedName name="M_Bamboo_1stClass_85_100mm_3m_long_56">#REF!</definedName>
    <definedName name="M_Bamboo_1stClass_85_100mm_3m_long_59">#REF!</definedName>
    <definedName name="M_Bamboo_1stClass_85_100mm_3m_long_61">#REF!</definedName>
    <definedName name="M_Bamboo_1stClass_85_100mm_45_55m_long_32" localSheetId="29">#REF!</definedName>
    <definedName name="M_Bamboo_1stClass_85_100mm_45_55m_long_33">#REF!</definedName>
    <definedName name="M_Bamboo_1stClass_85_100mm_45_55m_long_34">#REF!</definedName>
    <definedName name="M_Bamboo_1stClass_85_100mm_45_55m_long_43">#REF!</definedName>
    <definedName name="M_Bamboo_1stClass_85_100mm_45_55m_long_56">#REF!</definedName>
    <definedName name="M_Bamboo_1stClass_85_100mm_45_55m_long_59">#REF!</definedName>
    <definedName name="M_Bamboo_1stClass_85_100mm_45_55m_long_61">#REF!</definedName>
    <definedName name="M_Bamboo_2ndClass_75mm_18_25m_long_32" localSheetId="29">#REF!</definedName>
    <definedName name="M_Bamboo_2ndClass_75mm_18_25m_long_33">#REF!</definedName>
    <definedName name="M_Bamboo_2ndClass_75mm_18_25m_long_34">#REF!</definedName>
    <definedName name="M_Bamboo_2ndClass_75mm_18_25m_long_43">#REF!</definedName>
    <definedName name="M_Bamboo_2ndClass_75mm_18_25m_long_56">#REF!</definedName>
    <definedName name="M_Bamboo_2ndClass_75mm_18_25m_long_59">#REF!</definedName>
    <definedName name="M_Bamboo_2ndClass_75mm_18_25m_long_61">#REF!</definedName>
    <definedName name="M_Bamboo_2ndClass_75mm_21_30m_long_32" localSheetId="29">#REF!</definedName>
    <definedName name="M_Bamboo_2ndClass_75mm_21_30m_long_33">#REF!</definedName>
    <definedName name="M_Bamboo_2ndClass_75mm_21_30m_long_34">#REF!</definedName>
    <definedName name="M_Bamboo_2ndClass_75mm_21_30m_long_43">#REF!</definedName>
    <definedName name="M_Bamboo_2ndClass_75mm_21_30m_long_56">#REF!</definedName>
    <definedName name="M_Bamboo_2ndClass_75mm_21_30m_long_59">#REF!</definedName>
    <definedName name="M_Bamboo_2ndClass_75mm_21_30m_long_61">#REF!</definedName>
    <definedName name="M_BarbedWire_32" localSheetId="29">#REF!</definedName>
    <definedName name="M_BarbedWire_33">#REF!</definedName>
    <definedName name="M_BarbedWire_34">#REF!</definedName>
    <definedName name="M_BarbedWire_43">#REF!</definedName>
    <definedName name="M_BarbedWire_56">#REF!</definedName>
    <definedName name="M_BarbedWire_59">#REF!</definedName>
    <definedName name="M_BarbedWire_61">#REF!</definedName>
    <definedName name="M_BindingMaterial_32" localSheetId="29">#REF!</definedName>
    <definedName name="M_BindingMaterial_33">#REF!</definedName>
    <definedName name="M_BindingMaterial_34">#REF!</definedName>
    <definedName name="M_BindingMaterial_43">#REF!</definedName>
    <definedName name="M_BindingMaterial_56">#REF!</definedName>
    <definedName name="M_BindingMaterial_59">#REF!</definedName>
    <definedName name="M_BindingMaterial_61">#REF!</definedName>
    <definedName name="M_Bitumen_CRM_32" localSheetId="29">#REF!</definedName>
    <definedName name="M_Bitumen_CRM_33">#REF!</definedName>
    <definedName name="M_Bitumen_CRM_34">#REF!</definedName>
    <definedName name="M_Bitumen_CRM_43">#REF!</definedName>
    <definedName name="M_Bitumen_CRM_55">#REF!</definedName>
    <definedName name="M_Bitumen_CRM_56">#REF!</definedName>
    <definedName name="M_Bitumen_CRM_59">#REF!</definedName>
    <definedName name="M_Bitumen_CRM_61">#REF!</definedName>
    <definedName name="M_Bitumen_NRM_32" localSheetId="29">#REF!</definedName>
    <definedName name="M_Bitumen_NRM_33">#REF!</definedName>
    <definedName name="M_Bitumen_NRM_34">#REF!</definedName>
    <definedName name="M_Bitumen_NRM_43">#REF!</definedName>
    <definedName name="M_Bitumen_NRM_55">#REF!</definedName>
    <definedName name="M_Bitumen_NRM_56">#REF!</definedName>
    <definedName name="M_Bitumen_NRM_59">#REF!</definedName>
    <definedName name="M_Bitumen_NRM_61">#REF!</definedName>
    <definedName name="M_Bitumen_PM_32" localSheetId="29">#REF!</definedName>
    <definedName name="M_Bitumen_PM_33">#REF!</definedName>
    <definedName name="M_Bitumen_PM_34">#REF!</definedName>
    <definedName name="M_Bitumen_PM_43">#REF!</definedName>
    <definedName name="M_Bitumen_PM_55">#REF!</definedName>
    <definedName name="M_Bitumen_PM_56">#REF!</definedName>
    <definedName name="M_Bitumen_PM_59">#REF!</definedName>
    <definedName name="M_Bitumen_PM_61">#REF!</definedName>
    <definedName name="M_Bitumen_S65_55" localSheetId="29">#REF!</definedName>
    <definedName name="M_Bitumen_S90_55" localSheetId="29">#REF!</definedName>
    <definedName name="M_BitumenEmulsion_RS1_32" localSheetId="29">#REF!</definedName>
    <definedName name="M_BitumenEmulsion_RS1_33">#REF!</definedName>
    <definedName name="M_BitumenEmulsion_RS1_34">#REF!</definedName>
    <definedName name="M_BitumenEmulsion_RS1_43">#REF!</definedName>
    <definedName name="M_BitumenEmulsion_RS1_55">#REF!</definedName>
    <definedName name="M_BitumenEmulsion_RS1_56">#REF!</definedName>
    <definedName name="M_BitumenEmulsion_RS1_59">#REF!</definedName>
    <definedName name="M_BitumenEmulsion_RS1_61">#REF!</definedName>
    <definedName name="M_BitumenEmulsion_SS1_32" localSheetId="29">#REF!</definedName>
    <definedName name="M_BitumenEmulsion_SS1_33">#REF!</definedName>
    <definedName name="M_BitumenEmulsion_SS1_34">#REF!</definedName>
    <definedName name="M_BitumenEmulsion_SS1_43">#REF!</definedName>
    <definedName name="M_BitumenEmulsion_SS1_55">#REF!</definedName>
    <definedName name="M_BitumenEmulsion_SS1_56">#REF!</definedName>
    <definedName name="M_BitumenEmulsion_SS1_59">#REF!</definedName>
    <definedName name="M_BitumenEmulsion_SS1_61">#REF!</definedName>
    <definedName name="M_BitumenSealant_32" localSheetId="29">#REF!</definedName>
    <definedName name="M_BitumenSealant_33">#REF!</definedName>
    <definedName name="M_BitumenSealant_34">#REF!</definedName>
    <definedName name="M_BitumenSealant_43">#REF!</definedName>
    <definedName name="M_BitumenSealant_55">#REF!</definedName>
    <definedName name="M_BitumenSealant_56">#REF!</definedName>
    <definedName name="M_BitumenSealant_59">#REF!</definedName>
    <definedName name="M_BitumenSealant_61">#REF!</definedName>
    <definedName name="M_BROOMER" localSheetId="5">#REF!</definedName>
    <definedName name="M_BROOMER" localSheetId="8">#REF!</definedName>
    <definedName name="M_BROOMER" localSheetId="10">#REF!</definedName>
    <definedName name="M_BROOMER" localSheetId="11">#REF!</definedName>
    <definedName name="M_BROOMER" localSheetId="29">#REF!</definedName>
    <definedName name="M_BROOMER" localSheetId="31">#REF!</definedName>
    <definedName name="M_BROOMER">#REF!</definedName>
    <definedName name="M_CC_CUTTER" localSheetId="5">#REF!</definedName>
    <definedName name="M_CC_CUTTER" localSheetId="8">#REF!</definedName>
    <definedName name="M_CC_CUTTER" localSheetId="10">#REF!</definedName>
    <definedName name="M_CC_CUTTER" localSheetId="11">#REF!</definedName>
    <definedName name="M_CC_CUTTER" localSheetId="29">#REF!</definedName>
    <definedName name="M_CC_CUTTER" localSheetId="31">#REF!</definedName>
    <definedName name="M_CC_CUTTER">#REF!</definedName>
    <definedName name="M_CCMIXER" localSheetId="5">#REF!</definedName>
    <definedName name="M_CCMIXER" localSheetId="8">#REF!</definedName>
    <definedName name="M_CCMIXER" localSheetId="10">#REF!</definedName>
    <definedName name="M_CCMIXER" localSheetId="11">#REF!</definedName>
    <definedName name="M_CCMIXER" localSheetId="29">#REF!</definedName>
    <definedName name="M_CCMIXER" localSheetId="31">#REF!</definedName>
    <definedName name="M_CCMIXER">#REF!</definedName>
    <definedName name="M_Cement_32" localSheetId="29">#REF!</definedName>
    <definedName name="M_Cement_33">#REF!</definedName>
    <definedName name="M_Cement_34">#REF!</definedName>
    <definedName name="M_Cement_43">#REF!</definedName>
    <definedName name="M_Cement_55">#REF!</definedName>
    <definedName name="M_Cement_56">#REF!</definedName>
    <definedName name="M_Cement_59">#REF!</definedName>
    <definedName name="M_Cement_61">#REF!</definedName>
    <definedName name="M_CementPrimer_32" localSheetId="29">#REF!</definedName>
    <definedName name="M_CementPrimer_33">#REF!</definedName>
    <definedName name="M_CementPrimer_34">#REF!</definedName>
    <definedName name="M_CementPrimer_43">#REF!</definedName>
    <definedName name="M_CementPrimer_56">#REF!</definedName>
    <definedName name="M_CementPrimer_59">#REF!</definedName>
    <definedName name="M_CementPrimer_61">#REF!</definedName>
    <definedName name="M_CHIPSPREDER" localSheetId="5">#REF!</definedName>
    <definedName name="M_CHIPSPREDER" localSheetId="8">#REF!</definedName>
    <definedName name="M_CHIPSPREDER" localSheetId="10">#REF!</definedName>
    <definedName name="M_CHIPSPREDER" localSheetId="11">#REF!</definedName>
    <definedName name="M_CHIPSPREDER" localSheetId="29">#REF!</definedName>
    <definedName name="M_CHIPSPREDER" localSheetId="31">#REF!</definedName>
    <definedName name="M_CHIPSPREDER">#REF!</definedName>
    <definedName name="M_ChlorpreneElastomer_OR_ClosedCellFoamSealingElement_32" localSheetId="29">#REF!</definedName>
    <definedName name="M_ChlorpreneElastomer_OR_ClosedCellFoamSealingElement_33">#REF!</definedName>
    <definedName name="M_ChlorpreneElastomer_OR_ClosedCellFoamSealingElement_34">#REF!</definedName>
    <definedName name="M_ChlorpreneElastomer_OR_ClosedCellFoamSealingElement_43">#REF!</definedName>
    <definedName name="M_ChlorpreneElastomer_OR_ClosedCellFoamSealingElement_56">#REF!</definedName>
    <definedName name="M_ChlorpreneElastomer_OR_ClosedCellFoamSealingElement_59">#REF!</definedName>
    <definedName name="M_ChlorpreneElastomer_OR_ClosedCellFoamSealingElement_61">#REF!</definedName>
    <definedName name="M_CompressibleFibreBoard_32" localSheetId="29">#REF!</definedName>
    <definedName name="M_CompressibleFibreBoard_33">#REF!</definedName>
    <definedName name="M_CompressibleFibreBoard_34">#REF!</definedName>
    <definedName name="M_CompressibleFibreBoard_43">#REF!</definedName>
    <definedName name="M_CompressibleFibreBoard_56">#REF!</definedName>
    <definedName name="M_CompressibleFibreBoard_59">#REF!</definedName>
    <definedName name="M_CompressibleFibreBoard_61">#REF!</definedName>
    <definedName name="M_CopperPlate_32" localSheetId="29">#REF!</definedName>
    <definedName name="M_CopperPlate_33">#REF!</definedName>
    <definedName name="M_CopperPlate_34">#REF!</definedName>
    <definedName name="M_CopperPlate_43">#REF!</definedName>
    <definedName name="M_CopperPlate_56">#REF!</definedName>
    <definedName name="M_CopperPlate_59">#REF!</definedName>
    <definedName name="M_CopperPlate_61">#REF!</definedName>
    <definedName name="M_CorrosionResistantStructuralSteelGrating_32" localSheetId="29">#REF!</definedName>
    <definedName name="M_CorrosionResistantStructuralSteelGrating_33">#REF!</definedName>
    <definedName name="M_CorrosionResistantStructuralSteelGrating_34">#REF!</definedName>
    <definedName name="M_CorrosionResistantStructuralSteelGrating_43">#REF!</definedName>
    <definedName name="M_CorrosionResistantStructuralSteelGrating_56">#REF!</definedName>
    <definedName name="M_CorrosionResistantStructuralSteelGrating_59">#REF!</definedName>
    <definedName name="M_CorrosionResistantStructuralSteelGrating_61">#REF!</definedName>
    <definedName name="M_CRANE8T" localSheetId="5">#REF!</definedName>
    <definedName name="M_CRANE8T" localSheetId="8">#REF!</definedName>
    <definedName name="M_CRANE8T" localSheetId="10">#REF!</definedName>
    <definedName name="M_CRANE8T" localSheetId="11">#REF!</definedName>
    <definedName name="M_CRANE8T" localSheetId="29">#REF!</definedName>
    <definedName name="M_CRANE8T" localSheetId="31">#REF!</definedName>
    <definedName name="M_CRANE8T">#REF!</definedName>
    <definedName name="M_CreditForExcavatedRock_32" localSheetId="29">#REF!</definedName>
    <definedName name="M_CreditForExcavatedRock_33">#REF!</definedName>
    <definedName name="M_CreditForExcavatedRock_34">#REF!</definedName>
    <definedName name="M_CreditForExcavatedRock_43">#REF!</definedName>
    <definedName name="M_CreditForExcavatedRock_56">#REF!</definedName>
    <definedName name="M_CreditForExcavatedRock_59">#REF!</definedName>
    <definedName name="M_CreditForExcavatedRock_61">#REF!</definedName>
    <definedName name="M_CrushedSand_OR_Grit_32" localSheetId="29">#REF!</definedName>
    <definedName name="M_CrushedSand_OR_Grit_33">#REF!</definedName>
    <definedName name="M_CrushedSand_OR_Grit_34">#REF!</definedName>
    <definedName name="M_CrushedSand_OR_Grit_43">#REF!</definedName>
    <definedName name="M_CrushedSand_OR_Grit_55">#REF!</definedName>
    <definedName name="M_CrushedSand_OR_Grit_56">#REF!</definedName>
    <definedName name="M_CrushedSand_OR_Grit_59">#REF!</definedName>
    <definedName name="M_CrushedSand_OR_Grit_61">#REF!</definedName>
    <definedName name="M_CrushedSlag_32" localSheetId="29">#REF!</definedName>
    <definedName name="M_CrushedSlag_33">#REF!</definedName>
    <definedName name="M_CrushedSlag_34">#REF!</definedName>
    <definedName name="M_CrushedSlag_43">#REF!</definedName>
    <definedName name="M_CrushedSlag_56">#REF!</definedName>
    <definedName name="M_CrushedSlag_59">#REF!</definedName>
    <definedName name="M_CrushedSlag_61">#REF!</definedName>
    <definedName name="M_CrushedStoneAggregate_265_75_32" localSheetId="29">#REF!</definedName>
    <definedName name="M_CrushedStoneAggregate_265_75_33">#REF!</definedName>
    <definedName name="M_CrushedStoneAggregate_265_75_34">#REF!</definedName>
    <definedName name="M_CrushedStoneAggregate_265_75_43">#REF!</definedName>
    <definedName name="M_CrushedStoneAggregate_265_75_56">#REF!</definedName>
    <definedName name="M_CrushedStoneAggregate_265_75_59">#REF!</definedName>
    <definedName name="M_CrushedStoneAggregate_265_75_61">#REF!</definedName>
    <definedName name="M_CrushedStoneChipping_132_32" localSheetId="29">#REF!</definedName>
    <definedName name="M_CrushedStoneChipping_132_33">#REF!</definedName>
    <definedName name="M_CrushedStoneChipping_132_34">#REF!</definedName>
    <definedName name="M_CrushedStoneChipping_132_43">#REF!</definedName>
    <definedName name="M_CrushedStoneChipping_132_55">#REF!</definedName>
    <definedName name="M_CrushedStoneChipping_132_56">#REF!</definedName>
    <definedName name="M_CrushedStoneChipping_132_59">#REF!</definedName>
    <definedName name="M_CrushedStoneChipping_132_61">#REF!</definedName>
    <definedName name="M_CrushedStoneChipping_67mm_100Passing_112mm_32" localSheetId="29">#REF!</definedName>
    <definedName name="M_CrushedStoneChipping_67mm_100Passing_112mm_33">#REF!</definedName>
    <definedName name="M_CrushedStoneChipping_67mm_100Passing_112mm_34">#REF!</definedName>
    <definedName name="M_CrushedStoneChipping_67mm_100Passing_112mm_43">#REF!</definedName>
    <definedName name="M_CrushedStoneChipping_67mm_100Passing_112mm_55">#REF!</definedName>
    <definedName name="M_CrushedStoneChipping_67mm_100Passing_112mm_56">#REF!</definedName>
    <definedName name="M_CrushedStoneChipping_67mm_100Passing_112mm_59">#REF!</definedName>
    <definedName name="M_CrushedStoneChipping_67mm_100Passing_112mm_61">#REF!</definedName>
    <definedName name="M_CrushedStoneChipping_67mm_100Passing_95mm_32" localSheetId="29">#REF!</definedName>
    <definedName name="M_CrushedStoneChipping_67mm_100Passing_95mm_33">#REF!</definedName>
    <definedName name="M_CrushedStoneChipping_67mm_100Passing_95mm_34">#REF!</definedName>
    <definedName name="M_CrushedStoneChipping_67mm_100Passing_95mm_43">#REF!</definedName>
    <definedName name="M_CrushedStoneChipping_67mm_100Passing_95mm_55">#REF!</definedName>
    <definedName name="M_CrushedStoneChipping_67mm_100Passing_95mm_56">#REF!</definedName>
    <definedName name="M_CrushedStoneChipping_67mm_100Passing_95mm_59">#REF!</definedName>
    <definedName name="M_CrushedStoneChipping_67mm_100Passing_95mm_61">#REF!</definedName>
    <definedName name="M_CrushedStoneChipping_95_32" localSheetId="29">#REF!</definedName>
    <definedName name="M_CrushedStoneChipping_95_33">#REF!</definedName>
    <definedName name="M_CrushedStoneChipping_95_34">#REF!</definedName>
    <definedName name="M_CrushedStoneChipping_95_43">#REF!</definedName>
    <definedName name="M_CrushedStoneChipping_95_55">#REF!</definedName>
    <definedName name="M_CrushedStoneChipping_95_56">#REF!</definedName>
    <definedName name="M_CrushedStoneChipping_95_59">#REF!</definedName>
    <definedName name="M_CrushedStoneChipping_95_61">#REF!</definedName>
    <definedName name="M_CrushedStoneCoarseAggregatePassing_53mm_55" localSheetId="29">#REF!</definedName>
    <definedName name="M_CuringCompound_32" localSheetId="29">#REF!</definedName>
    <definedName name="M_CuringCompound_33">#REF!</definedName>
    <definedName name="M_CuringCompound_34">#REF!</definedName>
    <definedName name="M_CuringCompound_43">#REF!</definedName>
    <definedName name="M_CuringCompound_55">#REF!</definedName>
    <definedName name="M_CuringCompound_56">#REF!</definedName>
    <definedName name="M_CuringCompound_59">#REF!</definedName>
    <definedName name="M_CuringCompound_61">#REF!</definedName>
    <definedName name="M_DebondingStrips_32" localSheetId="29">#REF!</definedName>
    <definedName name="M_DebondingStrips_33">#REF!</definedName>
    <definedName name="M_DebondingStrips_34">#REF!</definedName>
    <definedName name="M_DebondingStrips_43">#REF!</definedName>
    <definedName name="M_DebondingStrips_55">#REF!</definedName>
    <definedName name="M_DebondingStrips_56">#REF!</definedName>
    <definedName name="M_DebondingStrips_59">#REF!</definedName>
    <definedName name="M_DebondingStrips_61">#REF!</definedName>
    <definedName name="M_DOZERD50" localSheetId="5">#REF!</definedName>
    <definedName name="M_DOZERD50" localSheetId="8">#REF!</definedName>
    <definedName name="M_DOZERD50" localSheetId="10">#REF!</definedName>
    <definedName name="M_DOZERD50" localSheetId="11">#REF!</definedName>
    <definedName name="M_DOZERD50" localSheetId="29">#REF!</definedName>
    <definedName name="M_DOZERD50" localSheetId="31">#REF!</definedName>
    <definedName name="M_DOZERD50">#REF!</definedName>
    <definedName name="M_EdgeStone_450_350_200mm_32" localSheetId="29">#REF!</definedName>
    <definedName name="M_EdgeStone_450_350_200mm_33">#REF!</definedName>
    <definedName name="M_EdgeStone_450_350_200mm_34">#REF!</definedName>
    <definedName name="M_EdgeStone_450_350_200mm_43">#REF!</definedName>
    <definedName name="M_EdgeStone_450_350_200mm_56">#REF!</definedName>
    <definedName name="M_EdgeStone_450_350_200mm_59">#REF!</definedName>
    <definedName name="M_EdgeStone_450_350_200mm_61">#REF!</definedName>
    <definedName name="M_ELEGEN" localSheetId="5">#REF!</definedName>
    <definedName name="M_ELEGEN" localSheetId="8">#REF!</definedName>
    <definedName name="M_ELEGEN" localSheetId="10">#REF!</definedName>
    <definedName name="M_ELEGEN" localSheetId="11">#REF!</definedName>
    <definedName name="M_ELEGEN" localSheetId="29">#REF!</definedName>
    <definedName name="M_ELEGEN" localSheetId="31">#REF!</definedName>
    <definedName name="M_ELEGEN">#REF!</definedName>
    <definedName name="M_EpoxyPaint_32" localSheetId="29">#REF!</definedName>
    <definedName name="M_EpoxyPaint_33">#REF!</definedName>
    <definedName name="M_EpoxyPaint_34">#REF!</definedName>
    <definedName name="M_EpoxyPaint_43">#REF!</definedName>
    <definedName name="M_EpoxyPaint_56">#REF!</definedName>
    <definedName name="M_EpoxyPaint_59">#REF!</definedName>
    <definedName name="M_EpoxyPaint_61">#REF!</definedName>
    <definedName name="M_EXCAVATOR9" localSheetId="5">#REF!</definedName>
    <definedName name="M_EXCAVATOR9" localSheetId="8">#REF!</definedName>
    <definedName name="M_EXCAVATOR9" localSheetId="10">#REF!</definedName>
    <definedName name="M_EXCAVATOR9" localSheetId="11">#REF!</definedName>
    <definedName name="M_EXCAVATOR9" localSheetId="29">#REF!</definedName>
    <definedName name="M_EXCAVATOR9" localSheetId="31">#REF!</definedName>
    <definedName name="M_EXCAVATOR9">#REF!</definedName>
    <definedName name="M_FarmyardManure_32" localSheetId="29">#REF!</definedName>
    <definedName name="M_FarmyardManure_33">#REF!</definedName>
    <definedName name="M_FarmyardManure_34">#REF!</definedName>
    <definedName name="M_FarmyardManure_43">#REF!</definedName>
    <definedName name="M_FarmyardManure_56">#REF!</definedName>
    <definedName name="M_FarmyardManure_59">#REF!</definedName>
    <definedName name="M_FarmyardManure_61">#REF!</definedName>
    <definedName name="M_FevicolAdhesive_32" localSheetId="29">#REF!</definedName>
    <definedName name="M_FevicolAdhesive_33">#REF!</definedName>
    <definedName name="M_FevicolAdhesive_34">#REF!</definedName>
    <definedName name="M_FevicolAdhesive_43">#REF!</definedName>
    <definedName name="M_FevicolAdhesive_56">#REF!</definedName>
    <definedName name="M_FevicolAdhesive_59">#REF!</definedName>
    <definedName name="M_FevicolAdhesive_61">#REF!</definedName>
    <definedName name="M_FineAggregate_CrushedSand_32" localSheetId="29">#REF!</definedName>
    <definedName name="M_FineAggregate_CrushedSand_33">#REF!</definedName>
    <definedName name="M_FineAggregate_CrushedSand_34">#REF!</definedName>
    <definedName name="M_FineAggregate_CrushedSand_43">#REF!</definedName>
    <definedName name="M_FineAggregate_CrushedSand_56">#REF!</definedName>
    <definedName name="M_FineAggregate_CrushedSand_59">#REF!</definedName>
    <definedName name="M_FineAggregate_CrushedSand_61">#REF!</definedName>
    <definedName name="M_FRONTLOADER" localSheetId="5">#REF!</definedName>
    <definedName name="M_FRONTLOADER" localSheetId="8">#REF!</definedName>
    <definedName name="M_FRONTLOADER" localSheetId="10">#REF!</definedName>
    <definedName name="M_FRONTLOADER" localSheetId="11">#REF!</definedName>
    <definedName name="M_FRONTLOADER" localSheetId="29">#REF!</definedName>
    <definedName name="M_FRONTLOADER" localSheetId="31">#REF!</definedName>
    <definedName name="M_FRONTLOADER">#REF!</definedName>
    <definedName name="M_GalvanisedAngle_32" localSheetId="29">#REF!</definedName>
    <definedName name="M_GalvanisedAngle_33">#REF!</definedName>
    <definedName name="M_GalvanisedAngle_34">#REF!</definedName>
    <definedName name="M_GalvanisedAngle_43">#REF!</definedName>
    <definedName name="M_GalvanisedAngle_56">#REF!</definedName>
    <definedName name="M_GalvanisedAngle_59">#REF!</definedName>
    <definedName name="M_GalvanisedAngle_61">#REF!</definedName>
    <definedName name="M_Gelatine_80_32" localSheetId="29">#REF!</definedName>
    <definedName name="M_Gelatine_80_33">#REF!</definedName>
    <definedName name="M_Gelatine_80_34">#REF!</definedName>
    <definedName name="M_Gelatine_80_43">#REF!</definedName>
    <definedName name="M_Gelatine_80_56">#REF!</definedName>
    <definedName name="M_Gelatine_80_59">#REF!</definedName>
    <definedName name="M_Gelatine_80_61">#REF!</definedName>
    <definedName name="M_GIPipe_100mm_32" localSheetId="29">#REF!</definedName>
    <definedName name="M_GIPipe_100mm_33">#REF!</definedName>
    <definedName name="M_GIPipe_100mm_34">#REF!</definedName>
    <definedName name="M_GIPipe_100mm_43">#REF!</definedName>
    <definedName name="M_GIPipe_100mm_56">#REF!</definedName>
    <definedName name="M_GIPipe_100mm_59">#REF!</definedName>
    <definedName name="M_GIPipe_100mm_61">#REF!</definedName>
    <definedName name="M_GIPipe_50mm_32" localSheetId="29">#REF!</definedName>
    <definedName name="M_GIPipe_50mm_33">#REF!</definedName>
    <definedName name="M_GIPipe_50mm_34">#REF!</definedName>
    <definedName name="M_GIPipe_50mm_43">#REF!</definedName>
    <definedName name="M_GIPipe_50mm_56">#REF!</definedName>
    <definedName name="M_GIPipe_50mm_59">#REF!</definedName>
    <definedName name="M_GIPipe_50mm_61">#REF!</definedName>
    <definedName name="M_GIWires_32" localSheetId="29">#REF!</definedName>
    <definedName name="M_GIWires_33">#REF!</definedName>
    <definedName name="M_GIWires_34">#REF!</definedName>
    <definedName name="M_GIWires_43">#REF!</definedName>
    <definedName name="M_GIWires_56">#REF!</definedName>
    <definedName name="M_GIWires_59">#REF!</definedName>
    <definedName name="M_GIWires_61">#REF!</definedName>
    <definedName name="M_GradedStoneAggregate_32" localSheetId="29">#REF!</definedName>
    <definedName name="M_GradedStoneAggregate_33">#REF!</definedName>
    <definedName name="M_GradedStoneAggregate_34">#REF!</definedName>
    <definedName name="M_GradedStoneAggregate_43">#REF!</definedName>
    <definedName name="M_GradedStoneAggregate_56">#REF!</definedName>
    <definedName name="M_GradedStoneAggregate_59">#REF!</definedName>
    <definedName name="M_GradedStoneAggregate_61">#REF!</definedName>
    <definedName name="M_HandBrokenMetal_40mm_32" localSheetId="29">#REF!</definedName>
    <definedName name="M_HandBrokenMetal_40mm_33">#REF!</definedName>
    <definedName name="M_HandBrokenMetal_40mm_34">#REF!</definedName>
    <definedName name="M_HandBrokenMetal_40mm_43">#REF!</definedName>
    <definedName name="M_HandBrokenMetal_40mm_55">#REF!</definedName>
    <definedName name="M_HandBrokenMetal_40mm_56">#REF!</definedName>
    <definedName name="M_HandBrokenMetal_40mm_59">#REF!</definedName>
    <definedName name="M_HandBrokenMetal_40mm_61">#REF!</definedName>
    <definedName name="M_HMP40" localSheetId="5">#REF!</definedName>
    <definedName name="M_HMP40" localSheetId="8">#REF!</definedName>
    <definedName name="M_HMP40" localSheetId="10">#REF!</definedName>
    <definedName name="M_HMP40" localSheetId="11">#REF!</definedName>
    <definedName name="M_HMP40" localSheetId="29">#REF!</definedName>
    <definedName name="M_HMP40" localSheetId="31">#REF!</definedName>
    <definedName name="M_HMP40">#REF!</definedName>
    <definedName name="M_ICRUSHER" localSheetId="5">#REF!</definedName>
    <definedName name="M_ICRUSHER" localSheetId="8">#REF!</definedName>
    <definedName name="M_ICRUSHER" localSheetId="10">#REF!</definedName>
    <definedName name="M_ICRUSHER" localSheetId="11">#REF!</definedName>
    <definedName name="M_ICRUSHER" localSheetId="29">#REF!</definedName>
    <definedName name="M_ICRUSHER" localSheetId="31">#REF!</definedName>
    <definedName name="M_ICRUSHER">#REF!</definedName>
    <definedName name="M_Indigo_32" localSheetId="29">#REF!</definedName>
    <definedName name="M_Indigo_33">#REF!</definedName>
    <definedName name="M_Indigo_34">#REF!</definedName>
    <definedName name="M_Indigo_43">#REF!</definedName>
    <definedName name="M_Indigo_56">#REF!</definedName>
    <definedName name="M_Indigo_59">#REF!</definedName>
    <definedName name="M_Indigo_61">#REF!</definedName>
    <definedName name="M_InterlockingBlocks_60mm_32" localSheetId="29">#REF!</definedName>
    <definedName name="M_InterlockingBlocks_60mm_33">#REF!</definedName>
    <definedName name="M_InterlockingBlocks_60mm_34">#REF!</definedName>
    <definedName name="M_InterlockingBlocks_60mm_43">#REF!</definedName>
    <definedName name="M_InterlockingBlocks_60mm_55">#REF!</definedName>
    <definedName name="M_InterlockingBlocks_60mm_56">#REF!</definedName>
    <definedName name="M_InterlockingBlocks_60mm_59">#REF!</definedName>
    <definedName name="M_InterlockingBlocks_60mm_61">#REF!</definedName>
    <definedName name="M_InterlockingBlocks_80mm_32" localSheetId="29">#REF!</definedName>
    <definedName name="M_InterlockingBlocks_80mm_33">#REF!</definedName>
    <definedName name="M_InterlockingBlocks_80mm_34">#REF!</definedName>
    <definedName name="M_InterlockingBlocks_80mm_43">#REF!</definedName>
    <definedName name="M_InterlockingBlocks_80mm_55">#REF!</definedName>
    <definedName name="M_InterlockingBlocks_80mm_56">#REF!</definedName>
    <definedName name="M_InterlockingBlocks_80mm_59">#REF!</definedName>
    <definedName name="M_InterlockingBlocks_80mm_61">#REF!</definedName>
    <definedName name="M_JointFillerBoard_32" localSheetId="29">#REF!</definedName>
    <definedName name="M_JointFillerBoard_33">#REF!</definedName>
    <definedName name="M_JointFillerBoard_34">#REF!</definedName>
    <definedName name="M_JointFillerBoard_43">#REF!</definedName>
    <definedName name="M_JointFillerBoard_55">#REF!</definedName>
    <definedName name="M_JointFillerBoard_56">#REF!</definedName>
    <definedName name="M_JointFillerBoard_59">#REF!</definedName>
    <definedName name="M_JointFillerBoard_61">#REF!</definedName>
    <definedName name="M_JuteNetting_OpenWeave_25mm_32" localSheetId="29">#REF!</definedName>
    <definedName name="M_JuteNetting_OpenWeave_25mm_33">#REF!</definedName>
    <definedName name="M_JuteNetting_OpenWeave_25mm_34">#REF!</definedName>
    <definedName name="M_JuteNetting_OpenWeave_25mm_43">#REF!</definedName>
    <definedName name="M_JuteNetting_OpenWeave_25mm_56">#REF!</definedName>
    <definedName name="M_JuteNetting_OpenWeave_25mm_59">#REF!</definedName>
    <definedName name="M_JuteNetting_OpenWeave_25mm_61">#REF!</definedName>
    <definedName name="M_JuteRope_12mm_32" localSheetId="29">#REF!</definedName>
    <definedName name="M_JuteRope_12mm_33">#REF!</definedName>
    <definedName name="M_JuteRope_12mm_34">#REF!</definedName>
    <definedName name="M_JuteRope_12mm_43">#REF!</definedName>
    <definedName name="M_JuteRope_12mm_55">#REF!</definedName>
    <definedName name="M_JuteRope_12mm_56">#REF!</definedName>
    <definedName name="M_JuteRope_12mm_59">#REF!</definedName>
    <definedName name="M_JuteRope_12mm_61">#REF!</definedName>
    <definedName name="M_KeyAggregatesPassing_224mm_55" localSheetId="29">#REF!</definedName>
    <definedName name="m_lead" localSheetId="5">#REF!</definedName>
    <definedName name="m_lead" localSheetId="8">#REF!</definedName>
    <definedName name="m_lead" localSheetId="10">#REF!</definedName>
    <definedName name="m_lead" localSheetId="11">#REF!</definedName>
    <definedName name="m_lead" localSheetId="29">#REF!</definedName>
    <definedName name="m_lead" localSheetId="31">#REF!</definedName>
    <definedName name="m_lead">#REF!</definedName>
    <definedName name="M_LocalWoodPiles_1stClass_100_75mm_32" localSheetId="29">#REF!</definedName>
    <definedName name="M_LocalWoodPiles_1stClass_100_75mm_33">#REF!</definedName>
    <definedName name="M_LocalWoodPiles_1stClass_100_75mm_34">#REF!</definedName>
    <definedName name="M_LocalWoodPiles_1stClass_100_75mm_43">#REF!</definedName>
    <definedName name="M_LocalWoodPiles_1stClass_100_75mm_56">#REF!</definedName>
    <definedName name="M_LocalWoodPiles_1stClass_100_75mm_59">#REF!</definedName>
    <definedName name="M_LocalWoodPiles_1stClass_100_75mm_61">#REF!</definedName>
    <definedName name="M_LocalWoodPiles_1stClass_32">#REF!</definedName>
    <definedName name="M_LocalWoodPiles_1stClass_33">#REF!</definedName>
    <definedName name="M_LocalWoodPiles_1stClass_34">#REF!</definedName>
    <definedName name="M_LocalWoodPiles_1stClass_43">#REF!</definedName>
    <definedName name="M_LocalWoodPiles_1stClass_56">#REF!</definedName>
    <definedName name="M_LocalWoodPiles_1stClass_59">#REF!</definedName>
    <definedName name="M_LocalWoodPiles_1stClass_61">#REF!</definedName>
    <definedName name="M_MOTORGRADER200" localSheetId="5">#REF!</definedName>
    <definedName name="M_MOTORGRADER200" localSheetId="8">#REF!</definedName>
    <definedName name="M_MOTORGRADER200" localSheetId="10">#REF!</definedName>
    <definedName name="M_MOTORGRADER200" localSheetId="11">#REF!</definedName>
    <definedName name="M_MOTORGRADER200" localSheetId="29">#REF!</definedName>
    <definedName name="M_MOTORGRADER200" localSheetId="31">#REF!</definedName>
    <definedName name="M_MOTORGRADER200">#REF!</definedName>
    <definedName name="M_MOTORGRADER50" localSheetId="5">#REF!</definedName>
    <definedName name="M_MOTORGRADER50" localSheetId="8">#REF!</definedName>
    <definedName name="M_MOTORGRADER50" localSheetId="10">#REF!</definedName>
    <definedName name="M_MOTORGRADER50" localSheetId="11">#REF!</definedName>
    <definedName name="M_MOTORGRADER50" localSheetId="29">#REF!</definedName>
    <definedName name="M_MOTORGRADER50" localSheetId="31">#REF!</definedName>
    <definedName name="M_MOTORGRADER50">#REF!</definedName>
    <definedName name="M_MS_Sheet_15mm_32" localSheetId="29">#REF!</definedName>
    <definedName name="M_MS_Sheet_15mm_33">#REF!</definedName>
    <definedName name="M_MS_Sheet_15mm_34">#REF!</definedName>
    <definedName name="M_MS_Sheet_15mm_43">#REF!</definedName>
    <definedName name="M_MS_Sheet_15mm_56">#REF!</definedName>
    <definedName name="M_MS_Sheet_15mm_59">#REF!</definedName>
    <definedName name="M_MS_Sheet_15mm_61">#REF!</definedName>
    <definedName name="M_MS_Sheet_2mm_32" localSheetId="29">#REF!</definedName>
    <definedName name="M_MS_Sheet_2mm_33">#REF!</definedName>
    <definedName name="M_MS_Sheet_2mm_34">#REF!</definedName>
    <definedName name="M_MS_Sheet_2mm_43">#REF!</definedName>
    <definedName name="M_MS_Sheet_2mm_56">#REF!</definedName>
    <definedName name="M_MS_Sheet_2mm_59">#REF!</definedName>
    <definedName name="M_MS_Sheet_2mm_61">#REF!</definedName>
    <definedName name="M_MSFlat_StructuralSteel_32" localSheetId="29">#REF!</definedName>
    <definedName name="M_MSFlat_StructuralSteel_33">#REF!</definedName>
    <definedName name="M_MSFlat_StructuralSteel_34">#REF!</definedName>
    <definedName name="M_MSFlat_StructuralSteel_43">#REF!</definedName>
    <definedName name="M_MSFlat_StructuralSteel_56">#REF!</definedName>
    <definedName name="M_MSFlat_StructuralSteel_59">#REF!</definedName>
    <definedName name="M_MSFlat_StructuralSteel_61">#REF!</definedName>
    <definedName name="M_MSSheetTube_47_47mm_12_SWG_32" localSheetId="29">#REF!</definedName>
    <definedName name="M_MSSheetTube_47_47mm_12_SWG_33">#REF!</definedName>
    <definedName name="M_MSSheetTube_47_47mm_12_SWG_34">#REF!</definedName>
    <definedName name="M_MSSheetTube_47_47mm_12_SWG_43">#REF!</definedName>
    <definedName name="M_MSSheetTube_47_47mm_12_SWG_56">#REF!</definedName>
    <definedName name="M_MSSheetTube_47_47mm_12_SWG_59">#REF!</definedName>
    <definedName name="M_MSSheetTube_47_47mm_12_SWG_61">#REF!</definedName>
    <definedName name="M_Nuts_Bolts_Rivets_32" localSheetId="29">#REF!</definedName>
    <definedName name="M_Nuts_Bolts_Rivets_33">#REF!</definedName>
    <definedName name="M_Nuts_Bolts_Rivets_34">#REF!</definedName>
    <definedName name="M_Nuts_Bolts_Rivets_43">#REF!</definedName>
    <definedName name="M_Nuts_Bolts_Rivets_56">#REF!</definedName>
    <definedName name="M_Nuts_Bolts_Rivets_59">#REF!</definedName>
    <definedName name="M_Nuts_Bolts_Rivets_61">#REF!</definedName>
    <definedName name="M_Paint_SyntheticEnamel_32" localSheetId="29">#REF!</definedName>
    <definedName name="M_Paint_SyntheticEnamel_33">#REF!</definedName>
    <definedName name="M_Paint_SyntheticEnamel_34">#REF!</definedName>
    <definedName name="M_Paint_SyntheticEnamel_43">#REF!</definedName>
    <definedName name="M_Paint_SyntheticEnamel_56">#REF!</definedName>
    <definedName name="M_Paint_SyntheticEnamel_59">#REF!</definedName>
    <definedName name="M_Paint_SyntheticEnamel_61">#REF!</definedName>
    <definedName name="M_PAVER100" localSheetId="5">#REF!</definedName>
    <definedName name="M_PAVER100" localSheetId="8">#REF!</definedName>
    <definedName name="M_PAVER100" localSheetId="10">#REF!</definedName>
    <definedName name="M_PAVER100" localSheetId="11">#REF!</definedName>
    <definedName name="M_PAVER100" localSheetId="29">#REF!</definedName>
    <definedName name="M_PAVER100" localSheetId="31">#REF!</definedName>
    <definedName name="M_PAVER100">#REF!</definedName>
    <definedName name="M_PAVER75" localSheetId="5">#REF!</definedName>
    <definedName name="M_PAVER75" localSheetId="8">#REF!</definedName>
    <definedName name="M_PAVER75" localSheetId="10">#REF!</definedName>
    <definedName name="M_PAVER75" localSheetId="11">#REF!</definedName>
    <definedName name="M_PAVER75" localSheetId="29">#REF!</definedName>
    <definedName name="M_PAVER75" localSheetId="31">#REF!</definedName>
    <definedName name="M_PAVER75">#REF!</definedName>
    <definedName name="M_PD_BT" localSheetId="5">#REF!</definedName>
    <definedName name="M_PD_BT" localSheetId="8">#REF!</definedName>
    <definedName name="M_PD_BT" localSheetId="10">#REF!</definedName>
    <definedName name="M_PD_BT" localSheetId="11">#REF!</definedName>
    <definedName name="M_PD_BT" localSheetId="29">#REF!</definedName>
    <definedName name="M_PD_BT" localSheetId="31">#REF!</definedName>
    <definedName name="M_PD_BT">#REF!</definedName>
    <definedName name="M_PD_BTEM" localSheetId="5">#REF!</definedName>
    <definedName name="M_PD_BTEM" localSheetId="8">#REF!</definedName>
    <definedName name="M_PD_BTEM" localSheetId="10">#REF!</definedName>
    <definedName name="M_PD_BTEM" localSheetId="29">#REF!</definedName>
    <definedName name="M_PD_BTEM" localSheetId="31">#REF!</definedName>
    <definedName name="M_PD_BTEM">#REF!</definedName>
    <definedName name="M_Plasticizer_32" localSheetId="29">#REF!</definedName>
    <definedName name="M_Plasticizer_33">#REF!</definedName>
    <definedName name="M_Plasticizer_34">#REF!</definedName>
    <definedName name="M_Plasticizer_43">#REF!</definedName>
    <definedName name="M_Plasticizer_55">#REF!</definedName>
    <definedName name="M_Plasticizer_56">#REF!</definedName>
    <definedName name="M_Plasticizer_59">#REF!</definedName>
    <definedName name="M_Plasticizer_61">#REF!</definedName>
    <definedName name="M_PolytheneSheet_125_32" localSheetId="29">#REF!</definedName>
    <definedName name="M_PolytheneSheet_125_33">#REF!</definedName>
    <definedName name="M_PolytheneSheet_125_34">#REF!</definedName>
    <definedName name="M_PolytheneSheet_125_43">#REF!</definedName>
    <definedName name="M_PolytheneSheet_125_55">#REF!</definedName>
    <definedName name="M_PolytheneSheet_125_56">#REF!</definedName>
    <definedName name="M_PolytheneSheet_125_59">#REF!</definedName>
    <definedName name="M_PolytheneSheet_125_61">#REF!</definedName>
    <definedName name="M_PolytheneSheething_32" localSheetId="29">#REF!</definedName>
    <definedName name="M_PolytheneSheething_33">#REF!</definedName>
    <definedName name="M_PolytheneSheething_34">#REF!</definedName>
    <definedName name="M_PolytheneSheething_43">#REF!</definedName>
    <definedName name="M_PolytheneSheething_55">#REF!</definedName>
    <definedName name="M_PolytheneSheething_56">#REF!</definedName>
    <definedName name="M_PolytheneSheething_59">#REF!</definedName>
    <definedName name="M_PolytheneSheething_61">#REF!</definedName>
    <definedName name="M_RCCPipeNP3_1000mm_32" localSheetId="29">#REF!</definedName>
    <definedName name="M_RCCPipeNP3_1000mm_33">#REF!</definedName>
    <definedName name="M_RCCPipeNP3_1000mm_34">#REF!</definedName>
    <definedName name="M_RCCPipeNP3_1000mm_43">#REF!</definedName>
    <definedName name="M_RCCPipeNP3_1000mm_56">#REF!</definedName>
    <definedName name="M_RCCPipeNP3_1000mm_59">#REF!</definedName>
    <definedName name="M_RCCPipeNP3_1000mm_61">#REF!</definedName>
    <definedName name="M_RCCPipeNP3_1200mm_32" localSheetId="29">#REF!</definedName>
    <definedName name="M_RCCPipeNP3_1200mm_33">#REF!</definedName>
    <definedName name="M_RCCPipeNP3_1200mm_34">#REF!</definedName>
    <definedName name="M_RCCPipeNP3_1200mm_43">#REF!</definedName>
    <definedName name="M_RCCPipeNP3_1200mm_56">#REF!</definedName>
    <definedName name="M_RCCPipeNP3_1200mm_59">#REF!</definedName>
    <definedName name="M_RCCPipeNP3_1200mm_61">#REF!</definedName>
    <definedName name="M_RCCPipeNP3_500mm_32" localSheetId="29">#REF!</definedName>
    <definedName name="M_RCCPipeNP3_500mm_33">#REF!</definedName>
    <definedName name="M_RCCPipeNP3_500mm_34">#REF!</definedName>
    <definedName name="M_RCCPipeNP3_500mm_43">#REF!</definedName>
    <definedName name="M_RCCPipeNP3_500mm_56">#REF!</definedName>
    <definedName name="M_RCCPipeNP3_500mm_59">#REF!</definedName>
    <definedName name="M_RCCPipeNP3_500mm_61">#REF!</definedName>
    <definedName name="M_RCCPipeNP3_750mm_32" localSheetId="29">#REF!</definedName>
    <definedName name="M_RCCPipeNP3_750mm_33">#REF!</definedName>
    <definedName name="M_RCCPipeNP3_750mm_34">#REF!</definedName>
    <definedName name="M_RCCPipeNP3_750mm_43">#REF!</definedName>
    <definedName name="M_RCCPipeNP3_750mm_56">#REF!</definedName>
    <definedName name="M_RCCPipeNP3_750mm_59">#REF!</definedName>
    <definedName name="M_RCCPipeNP3_750mm_61">#REF!</definedName>
    <definedName name="M_RCCPipeNP4_1000mm_32" localSheetId="29">#REF!</definedName>
    <definedName name="M_RCCPipeNP4_1000mm_33">#REF!</definedName>
    <definedName name="M_RCCPipeNP4_1000mm_34">#REF!</definedName>
    <definedName name="M_RCCPipeNP4_1000mm_43">#REF!</definedName>
    <definedName name="M_RCCPipeNP4_1000mm_56">#REF!</definedName>
    <definedName name="M_RCCPipeNP4_1000mm_59">#REF!</definedName>
    <definedName name="M_RCCPipeNP4_1000mm_61">#REF!</definedName>
    <definedName name="M_RCCPipeNP4_1200mm_32" localSheetId="29">#REF!</definedName>
    <definedName name="M_RCCPipeNP4_1200mm_33">#REF!</definedName>
    <definedName name="M_RCCPipeNP4_1200mm_34">#REF!</definedName>
    <definedName name="M_RCCPipeNP4_1200mm_43">#REF!</definedName>
    <definedName name="M_RCCPipeNP4_1200mm_56">#REF!</definedName>
    <definedName name="M_RCCPipeNP4_1200mm_59">#REF!</definedName>
    <definedName name="M_RCCPipeNP4_1200mm_61">#REF!</definedName>
    <definedName name="M_RCCPipeNP4_500mm_32" localSheetId="29">#REF!</definedName>
    <definedName name="M_RCCPipeNP4_500mm_33">#REF!</definedName>
    <definedName name="M_RCCPipeNP4_500mm_34">#REF!</definedName>
    <definedName name="M_RCCPipeNP4_500mm_43">#REF!</definedName>
    <definedName name="M_RCCPipeNP4_500mm_56">#REF!</definedName>
    <definedName name="M_RCCPipeNP4_500mm_59">#REF!</definedName>
    <definedName name="M_RCCPipeNP4_500mm_61">#REF!</definedName>
    <definedName name="M_RCCPipeNP4_750mm_32" localSheetId="29">#REF!</definedName>
    <definedName name="M_RCCPipeNP4_750mm_33">#REF!</definedName>
    <definedName name="M_RCCPipeNP4_750mm_34">#REF!</definedName>
    <definedName name="M_RCCPipeNP4_750mm_43">#REF!</definedName>
    <definedName name="M_RCCPipeNP4_750mm_56">#REF!</definedName>
    <definedName name="M_RCCPipeNP4_750mm_59">#REF!</definedName>
    <definedName name="M_RCCPipeNP4_750mm_61">#REF!</definedName>
    <definedName name="M_RedOxidePrimer_32" localSheetId="29">#REF!</definedName>
    <definedName name="M_RedOxidePrimer_33">#REF!</definedName>
    <definedName name="M_RedOxidePrimer_34">#REF!</definedName>
    <definedName name="M_RedOxidePrimer_43">#REF!</definedName>
    <definedName name="M_RedOxidePrimer_56">#REF!</definedName>
    <definedName name="M_RedOxidePrimer_59">#REF!</definedName>
    <definedName name="M_RedOxidePrimer_61">#REF!</definedName>
    <definedName name="M_RoadMarkingPaint_32" localSheetId="29">#REF!</definedName>
    <definedName name="M_RoadMarkingPaint_33">#REF!</definedName>
    <definedName name="M_RoadMarkingPaint_34">#REF!</definedName>
    <definedName name="M_RoadMarkingPaint_43">#REF!</definedName>
    <definedName name="M_RoadMarkingPaint_56">#REF!</definedName>
    <definedName name="M_RoadMarkingPaint_59">#REF!</definedName>
    <definedName name="M_RoadMarkingPaint_61">#REF!</definedName>
    <definedName name="M_ROLLER" localSheetId="5">#REF!</definedName>
    <definedName name="M_ROLLER" localSheetId="8">#REF!</definedName>
    <definedName name="M_ROLLER" localSheetId="10">#REF!</definedName>
    <definedName name="M_ROLLER" localSheetId="11">#REF!</definedName>
    <definedName name="M_ROLLER" localSheetId="29">#REF!</definedName>
    <definedName name="M_ROLLER" localSheetId="31">#REF!</definedName>
    <definedName name="M_ROLLER">#REF!</definedName>
    <definedName name="M_Sand_Coarse_32" localSheetId="29">#REF!</definedName>
    <definedName name="M_Sand_Coarse_33">#REF!</definedName>
    <definedName name="M_Sand_Coarse_34">#REF!</definedName>
    <definedName name="M_Sand_Coarse_43">#REF!</definedName>
    <definedName name="M_Sand_Coarse_55">#REF!</definedName>
    <definedName name="M_Sand_Coarse_56">#REF!</definedName>
    <definedName name="M_Sand_Coarse_59">#REF!</definedName>
    <definedName name="M_Sand_Coarse_61">#REF!</definedName>
    <definedName name="M_Sand_Fine_32" localSheetId="29">#REF!</definedName>
    <definedName name="M_Sand_Fine_33">#REF!</definedName>
    <definedName name="M_Sand_Fine_34">#REF!</definedName>
    <definedName name="M_Sand_Fine_43">#REF!</definedName>
    <definedName name="M_Sand_Fine_56">#REF!</definedName>
    <definedName name="M_Sand_Fine_59">#REF!</definedName>
    <definedName name="M_Sand_Fine_61">#REF!</definedName>
    <definedName name="M_Seeds_32" localSheetId="29">#REF!</definedName>
    <definedName name="M_Seeds_33">#REF!</definedName>
    <definedName name="M_Seeds_34">#REF!</definedName>
    <definedName name="M_Seeds_43">#REF!</definedName>
    <definedName name="M_Seeds_56">#REF!</definedName>
    <definedName name="M_Seeds_59">#REF!</definedName>
    <definedName name="M_Seeds_61">#REF!</definedName>
    <definedName name="M_SteelPipe_500mm_32" localSheetId="29">#REF!</definedName>
    <definedName name="M_SteelPipe_500mm_33">#REF!</definedName>
    <definedName name="M_SteelPipe_500mm_34">#REF!</definedName>
    <definedName name="M_SteelPipe_500mm_43">#REF!</definedName>
    <definedName name="M_SteelPipe_500mm_56">#REF!</definedName>
    <definedName name="M_SteelPipe_500mm_59">#REF!</definedName>
    <definedName name="M_SteelPipe_500mm_61">#REF!</definedName>
    <definedName name="M_SteelReinforcement_MSRoundBars_32" localSheetId="29">#REF!</definedName>
    <definedName name="M_SteelReinforcement_MSRoundBars_33">#REF!</definedName>
    <definedName name="M_SteelReinforcement_MSRoundBars_34">#REF!</definedName>
    <definedName name="M_SteelReinforcement_MSRoundBars_43">#REF!</definedName>
    <definedName name="M_SteelReinforcement_MSRoundBars_55">#REF!</definedName>
    <definedName name="M_SteelReinforcement_MSRoundBars_56">#REF!</definedName>
    <definedName name="M_SteelReinforcement_MSRoundBars_59">#REF!</definedName>
    <definedName name="M_SteelReinforcement_MSRoundBars_61">#REF!</definedName>
    <definedName name="M_StoneChips_12mm_32" localSheetId="29">#REF!</definedName>
    <definedName name="M_StoneChips_12mm_33">#REF!</definedName>
    <definedName name="M_StoneChips_12mm_34">#REF!</definedName>
    <definedName name="M_StoneChips_12mm_43">#REF!</definedName>
    <definedName name="M_StoneChips_12mm_55">#REF!</definedName>
    <definedName name="M_StoneChips_12mm_56">#REF!</definedName>
    <definedName name="M_StoneChips_12mm_59">#REF!</definedName>
    <definedName name="M_StoneChips_12mm_61">#REF!</definedName>
    <definedName name="M_StoneCrushedAggregate_112_009mm_32" localSheetId="29">#REF!</definedName>
    <definedName name="M_StoneCrushedAggregate_112_009mm_33">#REF!</definedName>
    <definedName name="M_StoneCrushedAggregate_112_009mm_34">#REF!</definedName>
    <definedName name="M_StoneCrushedAggregate_112_009mm_43">#REF!</definedName>
    <definedName name="M_StoneCrushedAggregate_112_009mm_55">#REF!</definedName>
    <definedName name="M_StoneCrushedAggregate_112_009mm_56">#REF!</definedName>
    <definedName name="M_StoneCrushedAggregate_112_009mm_59">#REF!</definedName>
    <definedName name="M_StoneCrushedAggregate_112_009mm_61">#REF!</definedName>
    <definedName name="M_StoneForStoneSetPavement_32" localSheetId="29">#REF!</definedName>
    <definedName name="M_StoneForStoneSetPavement_33">#REF!</definedName>
    <definedName name="M_StoneForStoneSetPavement_34">#REF!</definedName>
    <definedName name="M_StoneForStoneSetPavement_43">#REF!</definedName>
    <definedName name="M_StoneForStoneSetPavement_56">#REF!</definedName>
    <definedName name="M_StoneForStoneSetPavement_59">#REF!</definedName>
    <definedName name="M_StoneForStoneSetPavement_61">#REF!</definedName>
    <definedName name="M_StoneScreening_TypeA_132mm_Grade1_32" localSheetId="29">#REF!</definedName>
    <definedName name="M_StoneScreening_TypeA_132mm_Grade1_33">#REF!</definedName>
    <definedName name="M_StoneScreening_TypeA_132mm_Grade1_34">#REF!</definedName>
    <definedName name="M_StoneScreening_TypeA_132mm_Grade1_43">#REF!</definedName>
    <definedName name="M_StoneScreening_TypeA_132mm_Grade1_56">#REF!</definedName>
    <definedName name="M_StoneScreening_TypeA_132mm_Grade1_59">#REF!</definedName>
    <definedName name="M_StoneScreening_TypeA_132mm_Grade1_61">#REF!</definedName>
    <definedName name="M_StoneScreening_TypeB_112mm_Grade2_32" localSheetId="29">#REF!</definedName>
    <definedName name="M_StoneScreening_TypeB_112mm_Grade2_33">#REF!</definedName>
    <definedName name="M_StoneScreening_TypeB_112mm_Grade2_34">#REF!</definedName>
    <definedName name="M_StoneScreening_TypeB_112mm_Grade2_43">#REF!</definedName>
    <definedName name="M_StoneScreening_TypeB_112mm_Grade2_56">#REF!</definedName>
    <definedName name="M_StoneScreening_TypeB_112mm_Grade2_59">#REF!</definedName>
    <definedName name="M_StoneScreening_TypeB_112mm_Grade2_61">#REF!</definedName>
    <definedName name="M_StoneScreening_TypeB_112mm_Grade3_32" localSheetId="29">#REF!</definedName>
    <definedName name="M_StoneScreening_TypeB_112mm_Grade3_33">#REF!</definedName>
    <definedName name="M_StoneScreening_TypeB_112mm_Grade3_34">#REF!</definedName>
    <definedName name="M_StoneScreening_TypeB_112mm_Grade3_43">#REF!</definedName>
    <definedName name="M_StoneScreening_TypeB_112mm_Grade3_56">#REF!</definedName>
    <definedName name="M_StoneScreening_TypeB_112mm_Grade3_59">#REF!</definedName>
    <definedName name="M_StoneScreening_TypeB_112mm_Grade3_61">#REF!</definedName>
    <definedName name="M_TANKER6K" localSheetId="5">#REF!</definedName>
    <definedName name="M_TANKER6K" localSheetId="8">#REF!</definedName>
    <definedName name="M_TANKER6K" localSheetId="10">#REF!</definedName>
    <definedName name="M_TANKER6K" localSheetId="11">#REF!</definedName>
    <definedName name="M_TANKER6K" localSheetId="29">#REF!</definedName>
    <definedName name="M_TANKER6K" localSheetId="31">#REF!</definedName>
    <definedName name="M_TANKER6K">#REF!</definedName>
    <definedName name="M_TIPPER" localSheetId="5">#REF!</definedName>
    <definedName name="M_TIPPER" localSheetId="8">#REF!</definedName>
    <definedName name="M_TIPPER" localSheetId="10">#REF!</definedName>
    <definedName name="M_TIPPER" localSheetId="11">#REF!</definedName>
    <definedName name="M_TIPPER" localSheetId="29">#REF!</definedName>
    <definedName name="M_TIPPER" localSheetId="31">#REF!</definedName>
    <definedName name="M_TIPPER">#REF!</definedName>
    <definedName name="M_TRACTORRIPPER" localSheetId="5">#REF!</definedName>
    <definedName name="M_TRACTORRIPPER" localSheetId="8">#REF!</definedName>
    <definedName name="M_TRACTORRIPPER" localSheetId="10">#REF!</definedName>
    <definedName name="M_TRACTORRIPPER" localSheetId="11">#REF!</definedName>
    <definedName name="M_TRACTORRIPPER" localSheetId="29">#REF!</definedName>
    <definedName name="M_TRACTORRIPPER" localSheetId="31">#REF!</definedName>
    <definedName name="M_TRACTORRIPPER">#REF!</definedName>
    <definedName name="M_TRACTORROTAVATOR" localSheetId="5">#REF!</definedName>
    <definedName name="M_TRACTORROTAVATOR" localSheetId="8">#REF!</definedName>
    <definedName name="M_TRACTORROTAVATOR" localSheetId="10">#REF!</definedName>
    <definedName name="M_TRACTORROTAVATOR" localSheetId="29">#REF!</definedName>
    <definedName name="M_TRACTORROTAVATOR" localSheetId="31">#REF!</definedName>
    <definedName name="M_TRACTORROTAVATOR">#REF!</definedName>
    <definedName name="M_TrafficCones_32" localSheetId="29">#REF!</definedName>
    <definedName name="M_TrafficCones_33">#REF!</definedName>
    <definedName name="M_TrafficCones_34">#REF!</definedName>
    <definedName name="M_TrafficCones_43">#REF!</definedName>
    <definedName name="M_TrafficCones_56">#REF!</definedName>
    <definedName name="M_TrafficCones_59">#REF!</definedName>
    <definedName name="M_TrafficCones_61">#REF!</definedName>
    <definedName name="M_VIBRATOR_N" localSheetId="5">#REF!</definedName>
    <definedName name="M_VIBRATOR_N" localSheetId="8">#REF!</definedName>
    <definedName name="M_VIBRATOR_N" localSheetId="10">#REF!</definedName>
    <definedName name="M_VIBRATOR_N" localSheetId="11">#REF!</definedName>
    <definedName name="M_VIBRATOR_N" localSheetId="29">#REF!</definedName>
    <definedName name="M_VIBRATOR_N" localSheetId="31">#REF!</definedName>
    <definedName name="M_VIBRATOR_N">#REF!</definedName>
    <definedName name="M_VIBRATOR_P" localSheetId="5">#REF!</definedName>
    <definedName name="M_VIBRATOR_P" localSheetId="8">#REF!</definedName>
    <definedName name="M_VIBRATOR_P" localSheetId="10">#REF!</definedName>
    <definedName name="M_VIBRATOR_P" localSheetId="11">#REF!</definedName>
    <definedName name="M_VIBRATOR_P" localSheetId="29">#REF!</definedName>
    <definedName name="M_VIBRATOR_P" localSheetId="31">#REF!</definedName>
    <definedName name="M_VIBRATOR_P">#REF!</definedName>
    <definedName name="M_VIBRATOR_S" localSheetId="5">#REF!</definedName>
    <definedName name="M_VIBRATOR_S" localSheetId="8">#REF!</definedName>
    <definedName name="M_VIBRATOR_S" localSheetId="10">#REF!</definedName>
    <definedName name="M_VIBRATOR_S" localSheetId="11">#REF!</definedName>
    <definedName name="M_VIBRATOR_S" localSheetId="29">#REF!</definedName>
    <definedName name="M_VIBRATOR_S" localSheetId="31">#REF!</definedName>
    <definedName name="M_VIBRATOR_S">#REF!</definedName>
    <definedName name="M_Water_32" localSheetId="29">#REF!</definedName>
    <definedName name="M_Water_33">#REF!</definedName>
    <definedName name="M_Water_34">#REF!</definedName>
    <definedName name="M_Water_43">#REF!</definedName>
    <definedName name="M_Water_55">#REF!</definedName>
    <definedName name="M_Water_56">#REF!</definedName>
    <definedName name="M_Water_59">#REF!</definedName>
    <definedName name="M_Water_61">#REF!</definedName>
    <definedName name="M_WellGradedGranularBaseMaterial_GradeA_236mm_32" localSheetId="29">#REF!</definedName>
    <definedName name="M_WellGradedGranularBaseMaterial_GradeA_236mm_33">#REF!</definedName>
    <definedName name="M_WellGradedGranularBaseMaterial_GradeA_236mm_34">#REF!</definedName>
    <definedName name="M_WellGradedGranularBaseMaterial_GradeA_236mm_43">#REF!</definedName>
    <definedName name="M_WellGradedGranularBaseMaterial_GradeA_236mm_56">#REF!</definedName>
    <definedName name="M_WellGradedGranularBaseMaterial_GradeA_236mm_59">#REF!</definedName>
    <definedName name="M_WellGradedGranularBaseMaterial_GradeA_236mm_61">#REF!</definedName>
    <definedName name="M_WellGradedGranularBaseMaterial_GradeA_265_475mm_32" localSheetId="29">#REF!</definedName>
    <definedName name="M_WellGradedGranularBaseMaterial_GradeA_265_475mm_33">#REF!</definedName>
    <definedName name="M_WellGradedGranularBaseMaterial_GradeA_265_475mm_34">#REF!</definedName>
    <definedName name="M_WellGradedGranularBaseMaterial_GradeA_265_475mm_43">#REF!</definedName>
    <definedName name="M_WellGradedGranularBaseMaterial_GradeA_265_475mm_56">#REF!</definedName>
    <definedName name="M_WellGradedGranularBaseMaterial_GradeA_265_475mm_59">#REF!</definedName>
    <definedName name="M_WellGradedGranularBaseMaterial_GradeA_265_475mm_61">#REF!</definedName>
    <definedName name="M_WellGradedGranularBaseMaterial_GradeA_53_265mm_32" localSheetId="29">#REF!</definedName>
    <definedName name="M_WellGradedGranularBaseMaterial_GradeA_53_265mm_33">#REF!</definedName>
    <definedName name="M_WellGradedGranularBaseMaterial_GradeA_53_265mm_34">#REF!</definedName>
    <definedName name="M_WellGradedGranularBaseMaterial_GradeA_53_265mm_43">#REF!</definedName>
    <definedName name="M_WellGradedGranularBaseMaterial_GradeA_53_265mm_56">#REF!</definedName>
    <definedName name="M_WellGradedGranularBaseMaterial_GradeA_53_265mm_59">#REF!</definedName>
    <definedName name="M_WellGradedGranularBaseMaterial_GradeA_53_265mm_61">#REF!</definedName>
    <definedName name="M_WellGradedGranularBaseMaterial_GradeB_236mm_below_32" localSheetId="29">#REF!</definedName>
    <definedName name="M_WellGradedGranularBaseMaterial_GradeB_236mm_below_33">#REF!</definedName>
    <definedName name="M_WellGradedGranularBaseMaterial_GradeB_236mm_below_34">#REF!</definedName>
    <definedName name="M_WellGradedGranularBaseMaterial_GradeB_236mm_below_43">#REF!</definedName>
    <definedName name="M_WellGradedGranularBaseMaterial_GradeB_236mm_below_56">#REF!</definedName>
    <definedName name="M_WellGradedGranularBaseMaterial_GradeB_236mm_below_59">#REF!</definedName>
    <definedName name="M_WellGradedGranularBaseMaterial_GradeB_236mm_below_61">#REF!</definedName>
    <definedName name="M_WellGradedGranularBaseMaterial_GradeB_265_475mm_32" localSheetId="29">#REF!</definedName>
    <definedName name="M_WellGradedGranularBaseMaterial_GradeB_265_475mm_33">#REF!</definedName>
    <definedName name="M_WellGradedGranularBaseMaterial_GradeB_265_475mm_34">#REF!</definedName>
    <definedName name="M_WellGradedGranularBaseMaterial_GradeB_265_475mm_43">#REF!</definedName>
    <definedName name="M_WellGradedGranularBaseMaterial_GradeB_265_475mm_56">#REF!</definedName>
    <definedName name="M_WellGradedGranularBaseMaterial_GradeB_265_475mm_59">#REF!</definedName>
    <definedName name="M_WellGradedGranularBaseMaterial_GradeB_265_475mm_61">#REF!</definedName>
    <definedName name="M_WellGradedGranularBaseMaterial_GradeC_236mm_below_32" localSheetId="29">#REF!</definedName>
    <definedName name="M_WellGradedGranularBaseMaterial_GradeC_236mm_below_33">#REF!</definedName>
    <definedName name="M_WellGradedGranularBaseMaterial_GradeC_236mm_below_34">#REF!</definedName>
    <definedName name="M_WellGradedGranularBaseMaterial_GradeC_236mm_below_43">#REF!</definedName>
    <definedName name="M_WellGradedGranularBaseMaterial_GradeC_236mm_below_56">#REF!</definedName>
    <definedName name="M_WellGradedGranularBaseMaterial_GradeC_236mm_below_59">#REF!</definedName>
    <definedName name="M_WellGradedGranularBaseMaterial_GradeC_236mm_below_61">#REF!</definedName>
    <definedName name="M_WellGradedGranularBaseMaterial_GradeC_95_475mm_32" localSheetId="29">#REF!</definedName>
    <definedName name="M_WellGradedGranularBaseMaterial_GradeC_95_475mm_33">#REF!</definedName>
    <definedName name="M_WellGradedGranularBaseMaterial_GradeC_95_475mm_34">#REF!</definedName>
    <definedName name="M_WellGradedGranularBaseMaterial_GradeC_95_475mm_43">#REF!</definedName>
    <definedName name="M_WellGradedGranularBaseMaterial_GradeC_95_475mm_56">#REF!</definedName>
    <definedName name="M_WellGradedGranularBaseMaterial_GradeC_95_475mm_59">#REF!</definedName>
    <definedName name="M_WellGradedGranularBaseMaterial_GradeC_95_475mm_61">#REF!</definedName>
    <definedName name="M_WellGradedMateralForSubbase_GradeI_236mm_below_32" localSheetId="29">#REF!</definedName>
    <definedName name="M_WellGradedMateralForSubbase_GradeI_236mm_below_33">#REF!</definedName>
    <definedName name="M_WellGradedMateralForSubbase_GradeI_236mm_below_34">#REF!</definedName>
    <definedName name="M_WellGradedMateralForSubbase_GradeI_236mm_below_43">#REF!</definedName>
    <definedName name="M_WellGradedMateralForSubbase_GradeI_236mm_below_56">#REF!</definedName>
    <definedName name="M_WellGradedMateralForSubbase_GradeI_236mm_below_59">#REF!</definedName>
    <definedName name="M_WellGradedMateralForSubbase_GradeI_236mm_below_61">#REF!</definedName>
    <definedName name="M_WellGradedMateralForSubbase_GradeI_53_95mm_32" localSheetId="29">#REF!</definedName>
    <definedName name="M_WellGradedMateralForSubbase_GradeI_53_95mm_33">#REF!</definedName>
    <definedName name="M_WellGradedMateralForSubbase_GradeI_53_95mm_34">#REF!</definedName>
    <definedName name="M_WellGradedMateralForSubbase_GradeI_53_95mm_43">#REF!</definedName>
    <definedName name="M_WellGradedMateralForSubbase_GradeI_53_95mm_56">#REF!</definedName>
    <definedName name="M_WellGradedMateralForSubbase_GradeI_53_95mm_59">#REF!</definedName>
    <definedName name="M_WellGradedMateralForSubbase_GradeI_53_95mm_61">#REF!</definedName>
    <definedName name="M_WellGradedMateralForSubbase_GradeI_95_236mm_32" localSheetId="29">#REF!</definedName>
    <definedName name="M_WellGradedMateralForSubbase_GradeI_95_236mm_33">#REF!</definedName>
    <definedName name="M_WellGradedMateralForSubbase_GradeI_95_236mm_34">#REF!</definedName>
    <definedName name="M_WellGradedMateralForSubbase_GradeI_95_236mm_43">#REF!</definedName>
    <definedName name="M_WellGradedMateralForSubbase_GradeI_95_236mm_56">#REF!</definedName>
    <definedName name="M_WellGradedMateralForSubbase_GradeI_95_236mm_59">#REF!</definedName>
    <definedName name="M_WellGradedMateralForSubbase_GradeI_95_236mm_61">#REF!</definedName>
    <definedName name="M_WellGradedMateralForSubbase_GradeII_236mm_below_32" localSheetId="29">#REF!</definedName>
    <definedName name="M_WellGradedMateralForSubbase_GradeII_236mm_below_33">#REF!</definedName>
    <definedName name="M_WellGradedMateralForSubbase_GradeII_236mm_below_34">#REF!</definedName>
    <definedName name="M_WellGradedMateralForSubbase_GradeII_236mm_below_43">#REF!</definedName>
    <definedName name="M_WellGradedMateralForSubbase_GradeII_236mm_below_56">#REF!</definedName>
    <definedName name="M_WellGradedMateralForSubbase_GradeII_236mm_below_59">#REF!</definedName>
    <definedName name="M_WellGradedMateralForSubbase_GradeII_236mm_below_61">#REF!</definedName>
    <definedName name="M_WellGradedMateralForSubbase_GradeII_265_95mm_32" localSheetId="29">#REF!</definedName>
    <definedName name="M_WellGradedMateralForSubbase_GradeII_265_95mm_33">#REF!</definedName>
    <definedName name="M_WellGradedMateralForSubbase_GradeII_265_95mm_34">#REF!</definedName>
    <definedName name="M_WellGradedMateralForSubbase_GradeII_265_95mm_43">#REF!</definedName>
    <definedName name="M_WellGradedMateralForSubbase_GradeII_265_95mm_56">#REF!</definedName>
    <definedName name="M_WellGradedMateralForSubbase_GradeII_265_95mm_59">#REF!</definedName>
    <definedName name="M_WellGradedMateralForSubbase_GradeII_265_95mm_61">#REF!</definedName>
    <definedName name="M_WellGradedMateralForSubbase_GradeII_95_236mm_32" localSheetId="29">#REF!</definedName>
    <definedName name="M_WellGradedMateralForSubbase_GradeII_95_236mm_33">#REF!</definedName>
    <definedName name="M_WellGradedMateralForSubbase_GradeII_95_236mm_34">#REF!</definedName>
    <definedName name="M_WellGradedMateralForSubbase_GradeII_95_236mm_43">#REF!</definedName>
    <definedName name="M_WellGradedMateralForSubbase_GradeII_95_236mm_56">#REF!</definedName>
    <definedName name="M_WellGradedMateralForSubbase_GradeII_95_236mm_59">#REF!</definedName>
    <definedName name="M_WellGradedMateralForSubbase_GradeII_95_236mm_61">#REF!</definedName>
    <definedName name="M_WellGradedMateralForSubbase_GradeIII_236mm_below_32" localSheetId="29">#REF!</definedName>
    <definedName name="M_WellGradedMateralForSubbase_GradeIII_236mm_below_33">#REF!</definedName>
    <definedName name="M_WellGradedMateralForSubbase_GradeIII_236mm_below_34">#REF!</definedName>
    <definedName name="M_WellGradedMateralForSubbase_GradeIII_236mm_below_43">#REF!</definedName>
    <definedName name="M_WellGradedMateralForSubbase_GradeIII_236mm_below_56">#REF!</definedName>
    <definedName name="M_WellGradedMateralForSubbase_GradeIII_236mm_below_59">#REF!</definedName>
    <definedName name="M_WellGradedMateralForSubbase_GradeIII_236mm_below_61">#REF!</definedName>
    <definedName name="M_WellGradedMateralForSubbase_GradeIII_475_236mm_32" localSheetId="29">#REF!</definedName>
    <definedName name="M_WellGradedMateralForSubbase_GradeIII_475_236mm_33">#REF!</definedName>
    <definedName name="M_WellGradedMateralForSubbase_GradeIII_475_236mm_34">#REF!</definedName>
    <definedName name="M_WellGradedMateralForSubbase_GradeIII_475_236mm_43">#REF!</definedName>
    <definedName name="M_WellGradedMateralForSubbase_GradeIII_475_236mm_56">#REF!</definedName>
    <definedName name="M_WellGradedMateralForSubbase_GradeIII_475_236mm_59">#REF!</definedName>
    <definedName name="M_WellGradedMateralForSubbase_GradeIII_475_236mm_61">#REF!</definedName>
    <definedName name="M_WellGradedMateralForSubbase_GradeIII_95_475mm_32" localSheetId="29">#REF!</definedName>
    <definedName name="M_WellGradedMateralForSubbase_GradeIII_95_475mm_33">#REF!</definedName>
    <definedName name="M_WellGradedMateralForSubbase_GradeIII_95_475mm_34">#REF!</definedName>
    <definedName name="M_WellGradedMateralForSubbase_GradeIII_95_475mm_43">#REF!</definedName>
    <definedName name="M_WellGradedMateralForSubbase_GradeIII_95_475mm_56">#REF!</definedName>
    <definedName name="M_WellGradedMateralForSubbase_GradeIII_95_475mm_59">#REF!</definedName>
    <definedName name="M_WellGradedMateralForSubbase_GradeIII_95_475mm_61">#REF!</definedName>
    <definedName name="M20_Foundations" localSheetId="29">#REF!</definedName>
    <definedName name="M20_GuidePosts">#REF!</definedName>
    <definedName name="M20_SuperStructure_Upto5m">#REF!</definedName>
    <definedName name="M25_ApproachSlab">#REF!</definedName>
    <definedName name="M25_BBs_Piers_SideWalls">#REF!</definedName>
    <definedName name="M25_DeckSlab">#REF!</definedName>
    <definedName name="M25_SubStructure_Above5m." localSheetId="29">#REF!</definedName>
    <definedName name="M25_SuperStructure_Above5m.">#REF!</definedName>
    <definedName name="M30_SuperStructure_Upto5m.">#REF!</definedName>
    <definedName name="M30_WC">#REF!</definedName>
    <definedName name="ma" localSheetId="8">#REF!</definedName>
    <definedName name="ma" localSheetId="10">#REF!</definedName>
    <definedName name="ma" localSheetId="11">#REF!</definedName>
    <definedName name="ma" localSheetId="29">#REF!</definedName>
    <definedName name="ma">#REF!</definedName>
    <definedName name="maa">#REF!</definedName>
    <definedName name="madhu" localSheetId="8">#REF!</definedName>
    <definedName name="madhu" localSheetId="10">#REF!</definedName>
    <definedName name="madhu" localSheetId="29">#REF!</definedName>
    <definedName name="madhu">#REF!</definedName>
    <definedName name="male_sp" localSheetId="29">#REF!</definedName>
    <definedName name="Man_Mazdoor" localSheetId="8">#REF!</definedName>
    <definedName name="Man_Mazdoor" localSheetId="10">#REF!</definedName>
    <definedName name="Man_Mazdoor" localSheetId="29">#REF!</definedName>
    <definedName name="Man_Mazdoor">#REF!</definedName>
    <definedName name="mandal">#REF!</definedName>
    <definedName name="mangalore" localSheetId="8">#REF!</definedName>
    <definedName name="mangalore" localSheetId="10">#REF!</definedName>
    <definedName name="mangalore" localSheetId="11">#REF!</definedName>
    <definedName name="mangalore" localSheetId="29">#REF!</definedName>
    <definedName name="mangalore">#REF!</definedName>
    <definedName name="maniku" localSheetId="29">#REF!</definedName>
    <definedName name="manm" localSheetId="29">#REF!</definedName>
    <definedName name="manmazdoor" localSheetId="8">#REF!</definedName>
    <definedName name="manmazdoor" localSheetId="10">#REF!</definedName>
    <definedName name="manmazdoor" localSheetId="11">#REF!</definedName>
    <definedName name="manmazdoor" localSheetId="29">#REF!</definedName>
    <definedName name="manmazdoor">#REF!</definedName>
    <definedName name="mason1" localSheetId="11">#REF!</definedName>
    <definedName name="mason2" localSheetId="11">#REF!</definedName>
    <definedName name="mass" localSheetId="8">#REF!</definedName>
    <definedName name="mass" localSheetId="10">#REF!</definedName>
    <definedName name="mass" localSheetId="29">#REF!</definedName>
    <definedName name="mass">#REF!</definedName>
    <definedName name="MASTICK" localSheetId="5">#REF!</definedName>
    <definedName name="MASTICK" localSheetId="8">#REF!</definedName>
    <definedName name="MASTICK" localSheetId="10">#REF!</definedName>
    <definedName name="MASTICK" localSheetId="11">#REF!</definedName>
    <definedName name="MASTICK" localSheetId="29">#REF!</definedName>
    <definedName name="MASTICK" localSheetId="31">#REF!</definedName>
    <definedName name="MASTICK">#REF!</definedName>
    <definedName name="MasticPads_12.70mm" localSheetId="29">#REF!</definedName>
    <definedName name="MasticPads_25.40mm">#REF!</definedName>
    <definedName name="Mate" localSheetId="8">#REF!</definedName>
    <definedName name="Mate" localSheetId="10">#REF!</definedName>
    <definedName name="Mate" localSheetId="11">#REF!</definedName>
    <definedName name="Mate" localSheetId="29">#REF!</definedName>
    <definedName name="Mate">#REF!</definedName>
    <definedName name="mbm" localSheetId="8">#REF!</definedName>
    <definedName name="mbm" localSheetId="10">#REF!</definedName>
    <definedName name="mbm" localSheetId="11">#REF!</definedName>
    <definedName name="mbm" localSheetId="29">#REF!</definedName>
    <definedName name="mbm">#REF!</definedName>
    <definedName name="mbmi" localSheetId="8">#REF!</definedName>
    <definedName name="mbmi" localSheetId="10">#REF!</definedName>
    <definedName name="mbmi" localSheetId="11">#REF!</definedName>
    <definedName name="mbmi" localSheetId="29">#REF!</definedName>
    <definedName name="mbmi">#REF!</definedName>
    <definedName name="MC" localSheetId="21">#REF!</definedName>
    <definedName name="MC" localSheetId="5">#REF!</definedName>
    <definedName name="MC" localSheetId="8">#REF!</definedName>
    <definedName name="MC" localSheetId="10">#REF!</definedName>
    <definedName name="MC" localSheetId="11">#REF!</definedName>
    <definedName name="MC" localSheetId="29">#REF!</definedName>
    <definedName name="MC" localSheetId="31">#REF!</definedName>
    <definedName name="MC" localSheetId="35">#REF!</definedName>
    <definedName name="MC" localSheetId="36">#REF!</definedName>
    <definedName name="MC">#REF!</definedName>
    <definedName name="mcode" localSheetId="8">#REF!</definedName>
    <definedName name="mcode" localSheetId="10">#REF!</definedName>
    <definedName name="mcode" localSheetId="11">#REF!</definedName>
    <definedName name="mcode" localSheetId="29">#REF!</definedName>
    <definedName name="mcode">#REF!</definedName>
    <definedName name="mcpl" localSheetId="8">#REF!</definedName>
    <definedName name="mcpl" localSheetId="10">#REF!</definedName>
    <definedName name="mcpl" localSheetId="29">#REF!</definedName>
    <definedName name="mcpl" localSheetId="31">#REF!</definedName>
    <definedName name="mcpl">#REF!</definedName>
    <definedName name="me" localSheetId="8">#REF!</definedName>
    <definedName name="me" localSheetId="10">#REF!</definedName>
    <definedName name="me" localSheetId="11">#REF!</definedName>
    <definedName name="me" localSheetId="29">#REF!</definedName>
    <definedName name="me">#REF!</definedName>
    <definedName name="Melamine" localSheetId="8">#REF!</definedName>
    <definedName name="Melamine" localSheetId="10">#REF!</definedName>
    <definedName name="Melamine" localSheetId="11">#REF!</definedName>
    <definedName name="Melamine" localSheetId="29">#REF!</definedName>
    <definedName name="Melamine">#REF!</definedName>
    <definedName name="Met14Crush">#REF!</definedName>
    <definedName name="Met22crush">#REF!</definedName>
    <definedName name="Met22HBG">#REF!</definedName>
    <definedName name="Met22MC">#REF!</definedName>
    <definedName name="Met236.5">#REF!</definedName>
    <definedName name="Met236below">#REF!</definedName>
    <definedName name="Met27crush">#REF!</definedName>
    <definedName name="Met5.7">#REF!</definedName>
    <definedName name="Met9.511.2">#REF!</definedName>
    <definedName name="metal" localSheetId="21">#REF!</definedName>
    <definedName name="metal" localSheetId="5">#REF!</definedName>
    <definedName name="metal" localSheetId="8">#REF!</definedName>
    <definedName name="metal" localSheetId="10">#REF!</definedName>
    <definedName name="metal" localSheetId="11">#REF!</definedName>
    <definedName name="metal" localSheetId="29">#REF!</definedName>
    <definedName name="metal" localSheetId="31">#REF!</definedName>
    <definedName name="metal" localSheetId="35">#REF!</definedName>
    <definedName name="metal" localSheetId="36">#REF!</definedName>
    <definedName name="metal">#REF!</definedName>
    <definedName name="metal_33">"$#REF!.$#REF!$#REF!"</definedName>
    <definedName name="metal_34">"$#REF!.$#REF!$#REF!"</definedName>
    <definedName name="metal_40">#REF!</definedName>
    <definedName name="metal_65">#REF!</definedName>
    <definedName name="metal_75">#REF!</definedName>
    <definedName name="metal_blast">#REF!</definedName>
    <definedName name="metal_hc75">#REF!</definedName>
    <definedName name="metal_pick">#REF!</definedName>
    <definedName name="metal_spr75" localSheetId="29">#REF!</definedName>
    <definedName name="metal_stack">#REF!</definedName>
    <definedName name="metal1" localSheetId="21">#REF!</definedName>
    <definedName name="metal1" localSheetId="5">#REF!</definedName>
    <definedName name="metal1" localSheetId="8">#REF!</definedName>
    <definedName name="metal1" localSheetId="10">#REF!</definedName>
    <definedName name="metal1" localSheetId="11">#REF!</definedName>
    <definedName name="metal1" localSheetId="29">#REF!</definedName>
    <definedName name="metal1" localSheetId="31">#REF!</definedName>
    <definedName name="metal1" localSheetId="35">#REF!</definedName>
    <definedName name="metal1" localSheetId="36">#REF!</definedName>
    <definedName name="metal1">#REF!</definedName>
    <definedName name="metal1_33">"$#REF!.$#REF!$#REF!"</definedName>
    <definedName name="metal1_34">"$#REF!.$#REF!$#REF!"</definedName>
    <definedName name="metal10" localSheetId="5">#REF!</definedName>
    <definedName name="metal10" localSheetId="8">#REF!</definedName>
    <definedName name="metal10" localSheetId="10">#REF!</definedName>
    <definedName name="metal10" localSheetId="11">#REF!</definedName>
    <definedName name="metal10" localSheetId="29">#REF!</definedName>
    <definedName name="metal10" localSheetId="31">#REF!</definedName>
    <definedName name="metal10">#REF!</definedName>
    <definedName name="metal11" localSheetId="21">#REF!</definedName>
    <definedName name="metal11" localSheetId="5">#REF!</definedName>
    <definedName name="metal11" localSheetId="8">#REF!</definedName>
    <definedName name="metal11" localSheetId="10">#REF!</definedName>
    <definedName name="metal11" localSheetId="11">#REF!</definedName>
    <definedName name="metal11" localSheetId="29">#REF!</definedName>
    <definedName name="metal11" localSheetId="31">#REF!</definedName>
    <definedName name="metal11" localSheetId="35">#REF!</definedName>
    <definedName name="metal11" localSheetId="36">#REF!</definedName>
    <definedName name="metal11">#REF!</definedName>
    <definedName name="metal11_33">"$#REF!.$#REF!$#REF!"</definedName>
    <definedName name="metal11_34">"$#REF!.$#REF!$#REF!"</definedName>
    <definedName name="metal12" localSheetId="5">#REF!</definedName>
    <definedName name="metal12" localSheetId="8">#REF!</definedName>
    <definedName name="metal12" localSheetId="10">#REF!</definedName>
    <definedName name="metal12" localSheetId="11">#REF!</definedName>
    <definedName name="metal12" localSheetId="29">#REF!</definedName>
    <definedName name="metal12" localSheetId="31">#REF!</definedName>
    <definedName name="metal12">#REF!</definedName>
    <definedName name="metal12ss" localSheetId="8">#REF!</definedName>
    <definedName name="metal12ss" localSheetId="10">#REF!</definedName>
    <definedName name="metal12ss" localSheetId="29">#REF!</definedName>
    <definedName name="metal12ss" localSheetId="31">#REF!</definedName>
    <definedName name="metal12ss">#REF!</definedName>
    <definedName name="metal2">#REF!</definedName>
    <definedName name="metal20" localSheetId="8">#REF!</definedName>
    <definedName name="metal20" localSheetId="10">#REF!</definedName>
    <definedName name="metal20" localSheetId="11">#REF!</definedName>
    <definedName name="metal20" localSheetId="29">#REF!</definedName>
    <definedName name="metal20">#REF!</definedName>
    <definedName name="metal20ss" localSheetId="8">#REF!</definedName>
    <definedName name="metal20ss" localSheetId="10">#REF!</definedName>
    <definedName name="metal20ss" localSheetId="29">#REF!</definedName>
    <definedName name="metal20ss" localSheetId="31">#REF!</definedName>
    <definedName name="metal20ss">#REF!</definedName>
    <definedName name="metal3" localSheetId="21">#REF!</definedName>
    <definedName name="metal3" localSheetId="5">#REF!</definedName>
    <definedName name="metal3" localSheetId="8">#REF!</definedName>
    <definedName name="metal3" localSheetId="10">#REF!</definedName>
    <definedName name="metal3" localSheetId="11">#REF!</definedName>
    <definedName name="metal3" localSheetId="29">#REF!</definedName>
    <definedName name="metal3" localSheetId="31">#REF!</definedName>
    <definedName name="metal3" localSheetId="35">#REF!</definedName>
    <definedName name="metal3" localSheetId="36">#REF!</definedName>
    <definedName name="metal3">#REF!</definedName>
    <definedName name="metal3_33">"$#REF!.$#REF!$#REF!"</definedName>
    <definedName name="metal3_34">"$#REF!.$#REF!$#REF!"</definedName>
    <definedName name="metal40" localSheetId="8">#REF!</definedName>
    <definedName name="metal40" localSheetId="10">#REF!</definedName>
    <definedName name="metal40" localSheetId="11">#REF!</definedName>
    <definedName name="metal40" localSheetId="29">#REF!</definedName>
    <definedName name="metal40">#REF!</definedName>
    <definedName name="metal40ss" localSheetId="8">#REF!</definedName>
    <definedName name="metal40ss" localSheetId="10">#REF!</definedName>
    <definedName name="metal40ss" localSheetId="29">#REF!</definedName>
    <definedName name="metal40ss" localSheetId="31">#REF!</definedName>
    <definedName name="metal40ss">#REF!</definedName>
    <definedName name="metal45" localSheetId="8">#REF!</definedName>
    <definedName name="metal45" localSheetId="10">#REF!</definedName>
    <definedName name="metal45" localSheetId="29">#REF!</definedName>
    <definedName name="metal45" localSheetId="31">#REF!</definedName>
    <definedName name="metal45">#REF!</definedName>
    <definedName name="metal6" localSheetId="5">#REF!</definedName>
    <definedName name="metal6" localSheetId="8">#REF!</definedName>
    <definedName name="metal6" localSheetId="10">#REF!</definedName>
    <definedName name="metal6" localSheetId="11">#REF!</definedName>
    <definedName name="metal6" localSheetId="29">#REF!</definedName>
    <definedName name="metal6" localSheetId="31">#REF!</definedName>
    <definedName name="metal6">#REF!</definedName>
    <definedName name="metal65" localSheetId="8">#REF!</definedName>
    <definedName name="metal65" localSheetId="10">#REF!</definedName>
    <definedName name="metal65" localSheetId="29">#REF!</definedName>
    <definedName name="metal65" localSheetId="31">#REF!</definedName>
    <definedName name="metal65">#REF!</definedName>
    <definedName name="metal75" localSheetId="8">#REF!</definedName>
    <definedName name="metal75" localSheetId="10">#REF!</definedName>
    <definedName name="metal75" localSheetId="29">#REF!</definedName>
    <definedName name="metal75" localSheetId="31">#REF!</definedName>
    <definedName name="metal75">#REF!</definedName>
    <definedName name="MFL" localSheetId="8">#REF!</definedName>
    <definedName name="MFL" localSheetId="10">#REF!</definedName>
    <definedName name="MFL" localSheetId="29">#REF!</definedName>
    <definedName name="MFL">#REF!</definedName>
    <definedName name="MFLI" localSheetId="8">#REF!</definedName>
    <definedName name="MFLI" localSheetId="10">#REF!</definedName>
    <definedName name="MFLI" localSheetId="29">#REF!</definedName>
    <definedName name="MFLI">#REF!</definedName>
    <definedName name="MFLII" localSheetId="8">#REF!</definedName>
    <definedName name="MFLII" localSheetId="10">#REF!</definedName>
    <definedName name="MFLII" localSheetId="29">#REF!</definedName>
    <definedName name="MFLII">#REF!</definedName>
    <definedName name="mhc" localSheetId="8">#REF!</definedName>
    <definedName name="mhc" localSheetId="10">#REF!</definedName>
    <definedName name="mhc" localSheetId="11">#REF!</definedName>
    <definedName name="mhc" localSheetId="29">#REF!</definedName>
    <definedName name="mhc">#REF!</definedName>
    <definedName name="mini_hmp" localSheetId="29">#REF!</definedName>
    <definedName name="minpc" localSheetId="8">#REF!</definedName>
    <definedName name="minpc" localSheetId="10">#REF!</definedName>
    <definedName name="minpc" localSheetId="11">#REF!</definedName>
    <definedName name="minpc" localSheetId="29">#REF!</definedName>
    <definedName name="minpc">#REF!</definedName>
    <definedName name="MIX_SEAL_WBM" localSheetId="5">#REF!</definedName>
    <definedName name="MIX_SEAL_WBM" localSheetId="8">#REF!</definedName>
    <definedName name="MIX_SEAL_WBM" localSheetId="10">#REF!</definedName>
    <definedName name="MIX_SEAL_WBM" localSheetId="11">#REF!</definedName>
    <definedName name="MIX_SEAL_WBM" localSheetId="29">#REF!</definedName>
    <definedName name="MIX_SEAL_WBM" localSheetId="31">#REF!</definedName>
    <definedName name="MIX_SEAL_WBM">#REF!</definedName>
    <definedName name="MK" localSheetId="21" hidden="1">{"'ridftotal'!$A$4:$S$27"}</definedName>
    <definedName name="MK" localSheetId="14" hidden="1">{"'ridftotal'!$A$4:$S$27"}</definedName>
    <definedName name="MK" localSheetId="11" hidden="1">{"'ridftotal'!$A$4:$S$27"}</definedName>
    <definedName name="MK" localSheetId="44" hidden="1">{"'ridftotal'!$A$4:$S$27"}</definedName>
    <definedName name="MK" localSheetId="29" hidden="1">{"'ridftotal'!$A$4:$S$27"}</definedName>
    <definedName name="MK" localSheetId="19" hidden="1">{"'ridftotal'!$A$4:$S$27"}</definedName>
    <definedName name="MK" localSheetId="31" hidden="1">{"'ridftotal'!$A$4:$S$27"}</definedName>
    <definedName name="MK" localSheetId="9" hidden="1">{"'ridftotal'!$A$4:$S$27"}</definedName>
    <definedName name="MK" localSheetId="3" hidden="1">{"'ridftotal'!$A$4:$S$27"}</definedName>
    <definedName name="MK" hidden="1">{"'ridftotal'!$A$4:$S$27"}</definedName>
    <definedName name="ml" localSheetId="8">#REF!</definedName>
    <definedName name="ml" localSheetId="10">#REF!</definedName>
    <definedName name="ml" localSheetId="11">#REF!</definedName>
    <definedName name="ml" localSheetId="29">#REF!</definedName>
    <definedName name="ml">#REF!</definedName>
    <definedName name="MLA" localSheetId="8">#REF!</definedName>
    <definedName name="MLA" localSheetId="10">#REF!</definedName>
    <definedName name="MLA" localSheetId="29">#REF!</definedName>
    <definedName name="MLA">#REF!</definedName>
    <definedName name="MLOADING" localSheetId="5">#REF!</definedName>
    <definedName name="MLOADING" localSheetId="8">#REF!</definedName>
    <definedName name="MLOADING" localSheetId="10">#REF!</definedName>
    <definedName name="MLOADING" localSheetId="11">#REF!</definedName>
    <definedName name="MLOADING" localSheetId="29">#REF!</definedName>
    <definedName name="MLOADING" localSheetId="31">#REF!</definedName>
    <definedName name="MLOADING">#REF!</definedName>
    <definedName name="mm1_33" localSheetId="29">#REF!</definedName>
    <definedName name="mm1_34">#REF!</definedName>
    <definedName name="mmcc" localSheetId="29">#REF!</definedName>
    <definedName name="mmixing">#REF!</definedName>
    <definedName name="mn" localSheetId="8">#REF!</definedName>
    <definedName name="mn" localSheetId="10">#REF!</definedName>
    <definedName name="mn" localSheetId="29">#REF!</definedName>
    <definedName name="mn">#REF!</definedName>
    <definedName name="Mname" localSheetId="21">#REF!</definedName>
    <definedName name="Mname" localSheetId="5">#REF!</definedName>
    <definedName name="Mname" localSheetId="8">#REF!</definedName>
    <definedName name="Mname" localSheetId="10">#REF!</definedName>
    <definedName name="Mname" localSheetId="11">#REF!</definedName>
    <definedName name="Mname" localSheetId="29">#REF!</definedName>
    <definedName name="Mname" localSheetId="31">#REF!</definedName>
    <definedName name="Mname" localSheetId="35">#REF!</definedName>
    <definedName name="Mname" localSheetId="36">#REF!</definedName>
    <definedName name="Mname">#REF!</definedName>
    <definedName name="mnr" localSheetId="8">#REF!</definedName>
    <definedName name="mnr" localSheetId="10">#REF!</definedName>
    <definedName name="mnr" localSheetId="29">#REF!</definedName>
    <definedName name="mnr">#REF!</definedName>
    <definedName name="mpbm" localSheetId="8">#REF!</definedName>
    <definedName name="mpbm" localSheetId="10">#REF!</definedName>
    <definedName name="mpbm" localSheetId="11">#REF!</definedName>
    <definedName name="mpbm" localSheetId="29">#REF!</definedName>
    <definedName name="mpbm">#REF!</definedName>
    <definedName name="mpbmi" localSheetId="8">#REF!</definedName>
    <definedName name="mpbmi" localSheetId="10">#REF!</definedName>
    <definedName name="mpbmi" localSheetId="11">#REF!</definedName>
    <definedName name="mpbmi" localSheetId="29">#REF!</definedName>
    <definedName name="mpbmi">#REF!</definedName>
    <definedName name="MPLOT_PGR_CHP" localSheetId="21">#REF!</definedName>
    <definedName name="MPLOT_PGR_CHP" localSheetId="5">#REF!</definedName>
    <definedName name="MPLOT_PGR_CHP" localSheetId="8">#REF!</definedName>
    <definedName name="MPLOT_PGR_CHP" localSheetId="10">#REF!</definedName>
    <definedName name="MPLOT_PGR_CHP" localSheetId="11">#REF!</definedName>
    <definedName name="MPLOT_PGR_CHP" localSheetId="29">#REF!</definedName>
    <definedName name="MPLOT_PGR_CHP" localSheetId="31">#REF!</definedName>
    <definedName name="MPLOT_PGR_CHP" localSheetId="35">#REF!</definedName>
    <definedName name="MPLOT_PGR_CHP" localSheetId="36">#REF!</definedName>
    <definedName name="MPLOT_PGR_CHP">#REF!</definedName>
    <definedName name="mq" localSheetId="8">#REF!</definedName>
    <definedName name="mq" localSheetId="10">#REF!</definedName>
    <definedName name="mq" localSheetId="29">#REF!</definedName>
    <definedName name="mq">#REF!</definedName>
    <definedName name="mr" localSheetId="5">#REF!</definedName>
    <definedName name="MR" localSheetId="8">#REF!</definedName>
    <definedName name="MR" localSheetId="10">#REF!</definedName>
    <definedName name="mr" localSheetId="11">#REF!</definedName>
    <definedName name="MR" localSheetId="29">#REF!</definedName>
    <definedName name="MR">#REF!</definedName>
    <definedName name="MR_13MM" localSheetId="5">#REF!</definedName>
    <definedName name="MR_13MM" localSheetId="8">#REF!</definedName>
    <definedName name="MR_13MM" localSheetId="10">#REF!</definedName>
    <definedName name="MR_13MM" localSheetId="29">#REF!</definedName>
    <definedName name="MR_13MM" localSheetId="31">#REF!</definedName>
    <definedName name="MR_13MM">#REF!</definedName>
    <definedName name="MR_22MM">#REF!</definedName>
    <definedName name="MR_40MM">#REF!</definedName>
    <definedName name="MR_55MM" localSheetId="29">#REF!</definedName>
    <definedName name="MR_63MM" localSheetId="5">#REF!</definedName>
    <definedName name="MR_63MM" localSheetId="8">#REF!</definedName>
    <definedName name="MR_63MM" localSheetId="10">#REF!</definedName>
    <definedName name="MR_63MM" localSheetId="11">#REF!</definedName>
    <definedName name="MR_63MM" localSheetId="29">#REF!</definedName>
    <definedName name="MR_63MM" localSheetId="31">#REF!</definedName>
    <definedName name="MR_63MM">#REF!</definedName>
    <definedName name="MR_7MM">#REF!</definedName>
    <definedName name="MR_BT">#REF!</definedName>
    <definedName name="MR_BTE">#REF!</definedName>
    <definedName name="MR_GRADE2" localSheetId="29">#REF!</definedName>
    <definedName name="MR_GRADE3" localSheetId="29">#REF!</definedName>
    <definedName name="MR_GRAVEL" localSheetId="5">#REF!</definedName>
    <definedName name="MR_GRAVEL" localSheetId="8">#REF!</definedName>
    <definedName name="MR_GRAVEL" localSheetId="10">#REF!</definedName>
    <definedName name="MR_GRAVEL" localSheetId="11">#REF!</definedName>
    <definedName name="MR_GRAVEL" localSheetId="29">#REF!</definedName>
    <definedName name="MR_GRAVEL" localSheetId="31">#REF!</definedName>
    <definedName name="MR_GRAVEL">#REF!</definedName>
    <definedName name="MR_METAL11MM">#REF!</definedName>
    <definedName name="MR_SAND" localSheetId="29">#REF!</definedName>
    <definedName name="MR_SANDF" localSheetId="29">#REF!</definedName>
    <definedName name="MR_STONEDUST" localSheetId="5">#REF!</definedName>
    <definedName name="MR_STONEDUST" localSheetId="8">#REF!</definedName>
    <definedName name="MR_STONEDUST" localSheetId="10">#REF!</definedName>
    <definedName name="MR_STONEDUST" localSheetId="11">#REF!</definedName>
    <definedName name="MR_STONEDUST" localSheetId="29">#REF!</definedName>
    <definedName name="MR_STONEDUST" localSheetId="31">#REF!</definedName>
    <definedName name="MR_STONEDUST">#REF!</definedName>
    <definedName name="mrt" localSheetId="8">#REF!</definedName>
    <definedName name="mrt" localSheetId="10">#REF!</definedName>
    <definedName name="mrt" localSheetId="11">#REF!</definedName>
    <definedName name="mrt" localSheetId="29">#REF!</definedName>
    <definedName name="mrt">#REF!</definedName>
    <definedName name="mrti" localSheetId="8">#REF!</definedName>
    <definedName name="mrti" localSheetId="10">#REF!</definedName>
    <definedName name="mrti" localSheetId="11">#REF!</definedName>
    <definedName name="mrti" localSheetId="29">#REF!</definedName>
    <definedName name="mrti">#REF!</definedName>
    <definedName name="ms_channels" localSheetId="8">#REF!</definedName>
    <definedName name="ms_channels" localSheetId="10">#REF!</definedName>
    <definedName name="ms_channels" localSheetId="11">#REF!</definedName>
    <definedName name="ms_channels" localSheetId="29">#REF!</definedName>
    <definedName name="ms_channels">#REF!</definedName>
    <definedName name="ms_flat_25mm" localSheetId="8">#REF!</definedName>
    <definedName name="ms_flat_25mm" localSheetId="10">#REF!</definedName>
    <definedName name="ms_flat_25mm" localSheetId="11">#REF!</definedName>
    <definedName name="ms_flat_25mm" localSheetId="29">#REF!</definedName>
    <definedName name="ms_flat_25mm">#REF!</definedName>
    <definedName name="ms_pipes" localSheetId="8">#REF!</definedName>
    <definedName name="ms_pipes" localSheetId="10">#REF!</definedName>
    <definedName name="ms_pipes" localSheetId="11">#REF!</definedName>
    <definedName name="ms_pipes" localSheetId="29">#REF!</definedName>
    <definedName name="ms_pipes">#REF!</definedName>
    <definedName name="ms_plates" localSheetId="8">#REF!</definedName>
    <definedName name="ms_plates" localSheetId="10">#REF!</definedName>
    <definedName name="ms_plates" localSheetId="11">#REF!</definedName>
    <definedName name="ms_plates" localSheetId="29">#REF!</definedName>
    <definedName name="ms_plates">#REF!</definedName>
    <definedName name="MS_square_bar_10mm" localSheetId="8">#REF!</definedName>
    <definedName name="MS_square_bar_10mm" localSheetId="10">#REF!</definedName>
    <definedName name="MS_square_bar_10mm" localSheetId="11">#REF!</definedName>
    <definedName name="MS_square_bar_10mm" localSheetId="29">#REF!</definedName>
    <definedName name="MS_square_bar_10mm">#REF!</definedName>
    <definedName name="ms_truss" localSheetId="8">#REF!</definedName>
    <definedName name="ms_truss" localSheetId="10">#REF!</definedName>
    <definedName name="ms_truss" localSheetId="11">#REF!</definedName>
    <definedName name="ms_truss" localSheetId="29">#REF!</definedName>
    <definedName name="ms_truss">#REF!</definedName>
    <definedName name="msgrill" localSheetId="8">#REF!</definedName>
    <definedName name="msgrill" localSheetId="10">#REF!</definedName>
    <definedName name="msgrill" localSheetId="11">#REF!</definedName>
    <definedName name="msgrill" localSheetId="29">#REF!</definedName>
    <definedName name="msgrill">#REF!</definedName>
    <definedName name="MSS20mm_TypeA_HMP" localSheetId="29">#REF!</definedName>
    <definedName name="MSS20mm_TypeB_HMP">#REF!</definedName>
    <definedName name="MSS20mm_TypeB_Manual">#REF!</definedName>
    <definedName name="MSS25mm_TypeB_HMP">#REF!</definedName>
    <definedName name="mt" localSheetId="8">#REF!</definedName>
    <definedName name="mt" localSheetId="10">#REF!</definedName>
    <definedName name="mt" localSheetId="11">#REF!</definedName>
    <definedName name="mt" localSheetId="29">#REF!</definedName>
    <definedName name="mt">#REF!</definedName>
    <definedName name="mtor" localSheetId="8">#REF!</definedName>
    <definedName name="mtor" localSheetId="10">#REF!</definedName>
    <definedName name="mtor" localSheetId="11">#REF!</definedName>
    <definedName name="mtor" localSheetId="29">#REF!</definedName>
    <definedName name="mtor">#REF!</definedName>
    <definedName name="mukkidipalemm">#REF!</definedName>
    <definedName name="MULOADING" localSheetId="5">#REF!</definedName>
    <definedName name="MULOADING" localSheetId="8">#REF!</definedName>
    <definedName name="MULOADING" localSheetId="10">#REF!</definedName>
    <definedName name="MULOADING" localSheetId="11">#REF!</definedName>
    <definedName name="MULOADING" localSheetId="29">#REF!</definedName>
    <definedName name="MULOADING" localSheetId="31">#REF!</definedName>
    <definedName name="MULOADING">#REF!</definedName>
    <definedName name="mun" localSheetId="8">#REF!</definedName>
    <definedName name="mun" localSheetId="10">#REF!</definedName>
    <definedName name="mun" localSheetId="11">#REF!</definedName>
    <definedName name="mun" localSheetId="29">#REF!</definedName>
    <definedName name="mun">#REF!</definedName>
    <definedName name="murty" localSheetId="21">#REF!</definedName>
    <definedName name="murty" localSheetId="5">#REF!</definedName>
    <definedName name="murty" localSheetId="8">#REF!</definedName>
    <definedName name="murty" localSheetId="10">#REF!</definedName>
    <definedName name="murty" localSheetId="11">#REF!</definedName>
    <definedName name="murty" localSheetId="29">#REF!</definedName>
    <definedName name="murty" localSheetId="31">#REF!</definedName>
    <definedName name="murty" localSheetId="35">#REF!</definedName>
    <definedName name="murty" localSheetId="36">#REF!</definedName>
    <definedName name="murty">#REF!</definedName>
    <definedName name="murty_23">"$#REF!.$#REF!$#REF!"</definedName>
    <definedName name="murty_32">"$#REF!.$#REF!$#REF!"</definedName>
    <definedName name="murty_33">"$#REF!.$#REF!$#REF!"</definedName>
    <definedName name="murty_34">"$#REF!.$#REF!$#REF!"</definedName>
    <definedName name="murty_38">"$#REF!.$#REF!$#REF!"</definedName>
    <definedName name="murty_41">"$#REF!.$#REF!$#REF!"</definedName>
    <definedName name="murty_43">"$#REF!.$#REF!$#REF!"</definedName>
    <definedName name="murty_48">"$#REF!.$#REF!$#REF!"</definedName>
    <definedName name="murty_56">"$#REF!.$#REF!$#REF!"</definedName>
    <definedName name="murty_57">"$#REF!.$#REF!$#REF!"</definedName>
    <definedName name="murty_59">"$#REF!.$#REF!$#REF!"</definedName>
    <definedName name="murty_60">"$#REF!.$#REF!$#REF!"</definedName>
    <definedName name="murty_61">"$#REF!.$#REF!$#REF!"</definedName>
    <definedName name="murty_62">"$#REF!.$#REF!$#REF!"</definedName>
    <definedName name="murty_7">"$#REF!.$#REF!$#REF!"</definedName>
    <definedName name="murty_72">"$#REF!.$#REF!$#REF!"</definedName>
    <definedName name="murty_73">"$#REF!.$#REF!$#REF!"</definedName>
    <definedName name="murty_8">"$#REF!.$#REF!$#REF!"</definedName>
    <definedName name="n" localSheetId="21">#REF!</definedName>
    <definedName name="n" localSheetId="5">#REF!</definedName>
    <definedName name="n" localSheetId="8">#REF!</definedName>
    <definedName name="n" localSheetId="10">#REF!</definedName>
    <definedName name="n" localSheetId="11">#REF!</definedName>
    <definedName name="n" localSheetId="29">#REF!</definedName>
    <definedName name="n" localSheetId="31">#REF!</definedName>
    <definedName name="n" localSheetId="35">#REF!</definedName>
    <definedName name="n" localSheetId="36">#REF!</definedName>
    <definedName name="n">#REF!</definedName>
    <definedName name="n_33">"$#REF!.$#REF!$#REF!"</definedName>
    <definedName name="n_34">"$#REF!.$#REF!$#REF!"</definedName>
    <definedName name="NAIDUPALEM" localSheetId="5">#REF!</definedName>
    <definedName name="NAIDUPALEM" localSheetId="8">#REF!</definedName>
    <definedName name="NAIDUPALEM" localSheetId="10">#REF!</definedName>
    <definedName name="NAIDUPALEM" localSheetId="29">#REF!</definedName>
    <definedName name="NAIDUPALEM" localSheetId="31">#REF!</definedName>
    <definedName name="NAIDUPALEM">#REF!</definedName>
    <definedName name="name" localSheetId="21">#REF!</definedName>
    <definedName name="name" localSheetId="29">#REF!</definedName>
    <definedName name="nb" localSheetId="8">#REF!</definedName>
    <definedName name="nb" localSheetId="10">#REF!</definedName>
    <definedName name="nb" localSheetId="11">#REF!</definedName>
    <definedName name="nb" localSheetId="29">#REF!</definedName>
    <definedName name="nb">#REF!</definedName>
    <definedName name="nbc" localSheetId="8">#REF!</definedName>
    <definedName name="nbc" localSheetId="10">#REF!</definedName>
    <definedName name="nbc" localSheetId="11">#REF!</definedName>
    <definedName name="nbc" localSheetId="29">#REF!</definedName>
    <definedName name="nbc">#REF!</definedName>
    <definedName name="nbm" localSheetId="8">#REF!</definedName>
    <definedName name="nbm" localSheetId="10">#REF!</definedName>
    <definedName name="nbm" localSheetId="11">#REF!</definedName>
    <definedName name="nbm" localSheetId="29">#REF!</definedName>
    <definedName name="nbm">#REF!</definedName>
    <definedName name="NEw" localSheetId="8">#REF!</definedName>
    <definedName name="NEw" localSheetId="10">#REF!</definedName>
    <definedName name="NEw" localSheetId="29">#REF!</definedName>
    <definedName name="NEw">#REF!</definedName>
    <definedName name="newdata" localSheetId="21">#REF!</definedName>
    <definedName name="newdata" localSheetId="5">#REF!</definedName>
    <definedName name="newdata" localSheetId="8">#REF!</definedName>
    <definedName name="newdata" localSheetId="10">#REF!</definedName>
    <definedName name="newdata" localSheetId="11">#REF!</definedName>
    <definedName name="newdata" localSheetId="29">#REF!</definedName>
    <definedName name="newdata" localSheetId="31">#REF!</definedName>
    <definedName name="newdata" localSheetId="35">#REF!</definedName>
    <definedName name="newdata" localSheetId="36">#REF!</definedName>
    <definedName name="newdata">#REF!</definedName>
    <definedName name="newdata_23">"$#REF!.$#REF!$#REF!:$#REF!$#REF!"</definedName>
    <definedName name="newdata_33">"$#REF!.$#REF!$#REF!"</definedName>
    <definedName name="newdata_34">"$#REF!.$#REF!$#REF!"</definedName>
    <definedName name="newdata_38">"$#REF!.$#REF!$#REF!:$#REF!$#REF!"</definedName>
    <definedName name="newdata_41">"$#REF!.$#REF!$#REF!:$#REF!$#REF!"</definedName>
    <definedName name="newdata_43">"$#REF!.$#REF!$#REF!:$#REF!$#REF!"</definedName>
    <definedName name="newdata_48">"$#REF!.$#REF!$#REF!:$#REF!$#REF!"</definedName>
    <definedName name="newdata_56">"$#REF!.$#REF!$#REF!:$#REF!$#REF!"</definedName>
    <definedName name="newdata_57">"$#REF!.$#REF!$#REF!:$#REF!$#REF!"</definedName>
    <definedName name="newdata_59">"$#REF!.$#REF!$#REF!:$#REF!$#REF!"</definedName>
    <definedName name="newdata_60">"$#REF!.$#REF!$#REF!:$#REF!$#REF!"</definedName>
    <definedName name="newdata_61">"$#REF!.$#REF!$#REF!:$#REF!$#REF!"</definedName>
    <definedName name="newdata_62">"$#REF!.$#REF!$#REF!:$#REF!$#REF!"</definedName>
    <definedName name="newdata_7">"$#REF!.$#REF!$#REF!:$#REF!$#REF!"</definedName>
    <definedName name="newdata_72">"$#REF!.$#REF!$#REF!:$#REF!$#REF!"</definedName>
    <definedName name="newdata_73">"$#REF!.$#REF!$#REF!:$#REF!$#REF!"</definedName>
    <definedName name="newdata_8">"$#REF!.$#REF!$#REF!:$#REF!$#REF!"</definedName>
    <definedName name="ni" localSheetId="29">#REF!</definedName>
    <definedName name="NM" localSheetId="21" hidden="1">{"'ridftotal'!$A$4:$S$27"}</definedName>
    <definedName name="NM" localSheetId="14" hidden="1">{"'ridftotal'!$A$4:$S$27"}</definedName>
    <definedName name="NM" localSheetId="11" hidden="1">{"'ridftotal'!$A$4:$S$27"}</definedName>
    <definedName name="NM" localSheetId="44" hidden="1">{"'ridftotal'!$A$4:$S$27"}</definedName>
    <definedName name="NM" localSheetId="29" hidden="1">{"'ridftotal'!$A$4:$S$27"}</definedName>
    <definedName name="NM" localSheetId="19" hidden="1">{"'ridftotal'!$A$4:$S$27"}</definedName>
    <definedName name="NM" localSheetId="31" hidden="1">{"'ridftotal'!$A$4:$S$27"}</definedName>
    <definedName name="NM" localSheetId="9" hidden="1">{"'ridftotal'!$A$4:$S$27"}</definedName>
    <definedName name="NM" localSheetId="3" hidden="1">{"'ridftotal'!$A$4:$S$27"}</definedName>
    <definedName name="NM" hidden="1">{"'ridftotal'!$A$4:$S$27"}</definedName>
    <definedName name="nn" localSheetId="21" hidden="1">{"'ridftotal'!$A$4:$S$27"}</definedName>
    <definedName name="nn" localSheetId="14" hidden="1">{"'ridftotal'!$A$4:$S$27"}</definedName>
    <definedName name="nn" localSheetId="11" hidden="1">{"'ridftotal'!$A$4:$S$27"}</definedName>
    <definedName name="nn" localSheetId="44" hidden="1">{"'ridftotal'!$A$4:$S$27"}</definedName>
    <definedName name="nn" localSheetId="29" hidden="1">{"'ridftotal'!$A$4:$S$27"}</definedName>
    <definedName name="nn" localSheetId="19" hidden="1">{"'ridftotal'!$A$4:$S$27"}</definedName>
    <definedName name="nn" localSheetId="31" hidden="1">{"'ridftotal'!$A$4:$S$27"}</definedName>
    <definedName name="nn" localSheetId="9" hidden="1">{"'ridftotal'!$A$4:$S$27"}</definedName>
    <definedName name="nn" localSheetId="3" hidden="1">{"'ridftotal'!$A$4:$S$27"}</definedName>
    <definedName name="nn" hidden="1">{"'ridftotal'!$A$4:$S$27"}</definedName>
    <definedName name="NO_1000" localSheetId="21">#REF!</definedName>
    <definedName name="NO_1000" localSheetId="5">#REF!</definedName>
    <definedName name="NO_1000" localSheetId="8">#REF!</definedName>
    <definedName name="NO_1000" localSheetId="10">#REF!</definedName>
    <definedName name="NO_1000" localSheetId="11">#REF!</definedName>
    <definedName name="NO_1000" localSheetId="29">#REF!</definedName>
    <definedName name="NO_1000" localSheetId="31">#REF!</definedName>
    <definedName name="NO_1000" localSheetId="35">#REF!</definedName>
    <definedName name="NO_1000" localSheetId="36">#REF!</definedName>
    <definedName name="NO_1000">#REF!</definedName>
    <definedName name="NO_800" localSheetId="21">#REF!</definedName>
    <definedName name="NO_800" localSheetId="5">#REF!</definedName>
    <definedName name="NO_800" localSheetId="8">#REF!</definedName>
    <definedName name="NO_800" localSheetId="10">#REF!</definedName>
    <definedName name="NO_800" localSheetId="11">#REF!</definedName>
    <definedName name="NO_800" localSheetId="29">#REF!</definedName>
    <definedName name="NO_800" localSheetId="31">#REF!</definedName>
    <definedName name="NO_800" localSheetId="35">#REF!</definedName>
    <definedName name="NO_800" localSheetId="36">#REF!</definedName>
    <definedName name="NO_800">#REF!</definedName>
    <definedName name="nonreturnvalve" localSheetId="5">#REF!</definedName>
    <definedName name="nonreturnvalve" localSheetId="8">#REF!</definedName>
    <definedName name="nonreturnvalve" localSheetId="10">#REF!</definedName>
    <definedName name="nonreturnvalve" localSheetId="29">#REF!</definedName>
    <definedName name="nonreturnvalve" localSheetId="31">#REF!</definedName>
    <definedName name="nonreturnvalve">#REF!</definedName>
    <definedName name="NONRETURNVALVES" localSheetId="5">#REF!</definedName>
    <definedName name="NONRETURNVALVES" localSheetId="8">#REF!</definedName>
    <definedName name="NONRETURNVALVES" localSheetId="10">#REF!</definedName>
    <definedName name="NONRETURNVALVES" localSheetId="29">#REF!</definedName>
    <definedName name="NONRETURNVALVES" localSheetId="31">#REF!</definedName>
    <definedName name="NONRETURNVALVES">#REF!</definedName>
    <definedName name="nOS" localSheetId="5">#REF!</definedName>
    <definedName name="nOS" localSheetId="8">#REF!</definedName>
    <definedName name="nOS" localSheetId="10">#REF!</definedName>
    <definedName name="nOS" localSheetId="29">#REF!</definedName>
    <definedName name="nOS" localSheetId="31">#REF!</definedName>
    <definedName name="nOS">#REF!</definedName>
    <definedName name="notelg" localSheetId="29">#REF!</definedName>
    <definedName name="NP" localSheetId="14">#REF!</definedName>
    <definedName name="NP" localSheetId="8">#REF!</definedName>
    <definedName name="NP" localSheetId="10">#REF!</definedName>
    <definedName name="NP" localSheetId="29">#REF!</definedName>
    <definedName name="NP">#REF!</definedName>
    <definedName name="Number_of_Payments">#N/A</definedName>
    <definedName name="NV" localSheetId="14">#REF!</definedName>
    <definedName name="NV" localSheetId="8">#REF!</definedName>
    <definedName name="NV" localSheetId="10">#REF!</definedName>
    <definedName name="NV" localSheetId="29">#REF!</definedName>
    <definedName name="NV">#REF!</definedName>
    <definedName name="nw" localSheetId="21">#REF!</definedName>
    <definedName name="nw" localSheetId="5">#REF!</definedName>
    <definedName name="nw" localSheetId="8">#REF!</definedName>
    <definedName name="nw" localSheetId="10">#REF!</definedName>
    <definedName name="nw" localSheetId="11">#REF!</definedName>
    <definedName name="nw" localSheetId="29">#REF!</definedName>
    <definedName name="nw" localSheetId="31">#REF!</definedName>
    <definedName name="nw" localSheetId="35">#REF!</definedName>
    <definedName name="nw" localSheetId="36">#REF!</definedName>
    <definedName name="nw">#REF!</definedName>
    <definedName name="nw_33">"$#REF!.$#REF!$#REF!"</definedName>
    <definedName name="nw_34">"$#REF!.$#REF!$#REF!"</definedName>
    <definedName name="nw_55">"$#REF!.$A$2"</definedName>
    <definedName name="obd_paint" localSheetId="8">#REF!</definedName>
    <definedName name="obd_paint" localSheetId="10">#REF!</definedName>
    <definedName name="obd_paint" localSheetId="11">#REF!</definedName>
    <definedName name="obd_paint" localSheetId="29">#REF!</definedName>
    <definedName name="obd_paint">#REF!</definedName>
    <definedName name="oct" localSheetId="29">#REF!</definedName>
    <definedName name="od" localSheetId="29">#REF!</definedName>
    <definedName name="OFL" localSheetId="14">#REF!</definedName>
    <definedName name="OFL" localSheetId="8">#REF!</definedName>
    <definedName name="OFL" localSheetId="10">#REF!</definedName>
    <definedName name="OFL" localSheetId="29">#REF!</definedName>
    <definedName name="OFL">#REF!</definedName>
    <definedName name="OGPC_HMP" localSheetId="29">#REF!</definedName>
    <definedName name="oh_33" localSheetId="29">#REF!</definedName>
    <definedName name="oh_34">#REF!</definedName>
    <definedName name="OHBRBRACEONETOSIX" localSheetId="5">#REF!</definedName>
    <definedName name="OHBRBRACEONETOSIX" localSheetId="8">#REF!</definedName>
    <definedName name="OHBRBRACEONETOSIX" localSheetId="10">#REF!</definedName>
    <definedName name="OHBRBRACEONETOSIX" localSheetId="29">#REF!</definedName>
    <definedName name="OHBRBRACEONETOSIX" localSheetId="31">#REF!</definedName>
    <definedName name="OHBRBRACEONETOSIX">#REF!</definedName>
    <definedName name="OHBRBRACESEVENTOTHIRTEEN" localSheetId="5">#REF!</definedName>
    <definedName name="OHBRBRACESEVENTOTHIRTEEN" localSheetId="8">#REF!</definedName>
    <definedName name="OHBRBRACESEVENTOTHIRTEEN" localSheetId="10">#REF!</definedName>
    <definedName name="OHBRBRACESEVENTOTHIRTEEN" localSheetId="29">#REF!</definedName>
    <definedName name="OHBRBRACESEVENTOTHIRTEEN" localSheetId="31">#REF!</definedName>
    <definedName name="OHBRBRACESEVENTOTHIRTEEN">#REF!</definedName>
    <definedName name="OHBRCOLUMNONETOSIX" localSheetId="5">#REF!</definedName>
    <definedName name="OHBRCOLUMNONETOSIX" localSheetId="8">#REF!</definedName>
    <definedName name="OHBRCOLUMNONETOSIX" localSheetId="10">#REF!</definedName>
    <definedName name="OHBRCOLUMNONETOSIX" localSheetId="29">#REF!</definedName>
    <definedName name="OHBRCOLUMNONETOSIX" localSheetId="31">#REF!</definedName>
    <definedName name="OHBRCOLUMNONETOSIX">#REF!</definedName>
    <definedName name="OHBRCOLUMNSEVENTOTHIRTEEN" localSheetId="5">#REF!</definedName>
    <definedName name="OHBRCOLUMNSEVENTOTHIRTEEN" localSheetId="8">#REF!</definedName>
    <definedName name="OHBRCOLUMNSEVENTOTHIRTEEN" localSheetId="10">#REF!</definedName>
    <definedName name="OHBRCOLUMNSEVENTOTHIRTEEN" localSheetId="29">#REF!</definedName>
    <definedName name="OHBRCOLUMNSEVENTOTHIRTEEN" localSheetId="31">#REF!</definedName>
    <definedName name="OHBRCOLUMNSEVENTOTHIRTEEN">#REF!</definedName>
    <definedName name="OHCP" localSheetId="21">#REF!</definedName>
    <definedName name="ohsrcap" localSheetId="8">#REF!</definedName>
    <definedName name="ohsrcap" localSheetId="10">#REF!</definedName>
    <definedName name="ohsrcap" localSheetId="11">#REF!</definedName>
    <definedName name="ohsrcap" localSheetId="29">#REF!</definedName>
    <definedName name="ohsrcap">#REF!</definedName>
    <definedName name="oi" localSheetId="8">#REF!</definedName>
    <definedName name="oi" localSheetId="10">#REF!</definedName>
    <definedName name="oi" localSheetId="11">#REF!</definedName>
    <definedName name="oi" localSheetId="29">#REF!</definedName>
    <definedName name="oi">#REF!</definedName>
    <definedName name="oii" localSheetId="8">#REF!</definedName>
    <definedName name="oii" localSheetId="10">#REF!</definedName>
    <definedName name="oii" localSheetId="11">#REF!</definedName>
    <definedName name="oii" localSheetId="29">#REF!</definedName>
    <definedName name="oii">#REF!</definedName>
    <definedName name="ok" localSheetId="29">#REF!</definedName>
    <definedName name="ok_33">"$#REF!.$#REF!$#REF!"</definedName>
    <definedName name="one" localSheetId="8">#REF!</definedName>
    <definedName name="one" localSheetId="10">#REF!</definedName>
    <definedName name="one" localSheetId="11">#REF!</definedName>
    <definedName name="one" localSheetId="29">#REF!</definedName>
    <definedName name="one">#REF!</definedName>
    <definedName name="ONETOSEVEN" localSheetId="5">#REF!</definedName>
    <definedName name="ONETOSEVEN" localSheetId="8">#REF!</definedName>
    <definedName name="ONETOSEVEN" localSheetId="10">#REF!</definedName>
    <definedName name="ONETOSEVEN" localSheetId="29">#REF!</definedName>
    <definedName name="ONETOSEVEN" localSheetId="31">#REF!</definedName>
    <definedName name="ONETOSEVEN">#REF!</definedName>
    <definedName name="oo">#REF!</definedName>
    <definedName name="OP">#REF!</definedName>
    <definedName name="opened">#REF!</definedName>
    <definedName name="OrderTable" localSheetId="21" hidden="1">#REF!</definedName>
    <definedName name="OrderTable" localSheetId="5" hidden="1">#REF!</definedName>
    <definedName name="OrderTable" localSheetId="30" hidden="1">#REF!</definedName>
    <definedName name="OrderTable" localSheetId="8" hidden="1">#REF!</definedName>
    <definedName name="OrderTable" localSheetId="10" hidden="1">#REF!</definedName>
    <definedName name="OrderTable" localSheetId="11" hidden="1">#REF!</definedName>
    <definedName name="OrderTable" localSheetId="37" hidden="1">#REF!</definedName>
    <definedName name="OrderTable" localSheetId="38" hidden="1">#REF!</definedName>
    <definedName name="OrderTable" localSheetId="44" hidden="1">#REF!</definedName>
    <definedName name="OrderTable" localSheetId="29" hidden="1">#REF!</definedName>
    <definedName name="OrderTable" localSheetId="19" hidden="1">#REF!</definedName>
    <definedName name="OrderTable" localSheetId="31" hidden="1">#REF!</definedName>
    <definedName name="OrderTable" localSheetId="39" hidden="1">#REF!</definedName>
    <definedName name="OrderTable" localSheetId="35" hidden="1">#REF!</definedName>
    <definedName name="OrderTable" localSheetId="36" hidden="1">#REF!</definedName>
    <definedName name="OrderTable" localSheetId="9" hidden="1">#REF!</definedName>
    <definedName name="OrderTable" localSheetId="3" hidden="1">#REF!</definedName>
    <definedName name="OrderTable" hidden="1">#REF!</definedName>
    <definedName name="others" localSheetId="5">#REF!</definedName>
    <definedName name="others" localSheetId="8">#REF!</definedName>
    <definedName name="others" localSheetId="10">#REF!</definedName>
    <definedName name="others" localSheetId="29">#REF!</definedName>
    <definedName name="others" localSheetId="31">#REF!</definedName>
    <definedName name="others">#REF!</definedName>
    <definedName name="OW">#REF!</definedName>
    <definedName name="p" localSheetId="21">#REF!</definedName>
    <definedName name="p" localSheetId="5">#REF!</definedName>
    <definedName name="p" localSheetId="8">#REF!</definedName>
    <definedName name="p" localSheetId="10">#REF!</definedName>
    <definedName name="p" localSheetId="11">#REF!</definedName>
    <definedName name="p" localSheetId="29">#REF!</definedName>
    <definedName name="p" localSheetId="31">#REF!</definedName>
    <definedName name="p" localSheetId="35">#REF!</definedName>
    <definedName name="p" localSheetId="36">#REF!</definedName>
    <definedName name="p">#REF!</definedName>
    <definedName name="Pa" localSheetId="8">#REF!</definedName>
    <definedName name="Pa" localSheetId="10">#REF!</definedName>
    <definedName name="Pa" localSheetId="11">#REF!</definedName>
    <definedName name="Pa" localSheetId="29">#REF!</definedName>
    <definedName name="Pa">#REF!</definedName>
    <definedName name="painting" localSheetId="29">#REF!</definedName>
    <definedName name="PartB" localSheetId="29">#REF!</definedName>
    <definedName name="PARTC">#REF!</definedName>
    <definedName name="Pasu" localSheetId="8">#REF!</definedName>
    <definedName name="Pasu" localSheetId="10">#REF!</definedName>
    <definedName name="Pasu" localSheetId="11">#REF!</definedName>
    <definedName name="Pasu" localSheetId="29">#REF!</definedName>
    <definedName name="Pasu">#REF!</definedName>
    <definedName name="Payment_Date">#N/A</definedName>
    <definedName name="pbm" localSheetId="8">#REF!</definedName>
    <definedName name="pbm" localSheetId="10">#REF!</definedName>
    <definedName name="pbm" localSheetId="11">#REF!</definedName>
    <definedName name="pbm" localSheetId="29">#REF!</definedName>
    <definedName name="pbm">#REF!</definedName>
    <definedName name="pc" localSheetId="21">#REF!</definedName>
    <definedName name="pc" localSheetId="5">#REF!</definedName>
    <definedName name="pc" localSheetId="8">#REF!</definedName>
    <definedName name="pc" localSheetId="10">#REF!</definedName>
    <definedName name="pc" localSheetId="11">#REF!</definedName>
    <definedName name="pc" localSheetId="29">#REF!</definedName>
    <definedName name="pc" localSheetId="31">#REF!</definedName>
    <definedName name="pc" localSheetId="35">#REF!</definedName>
    <definedName name="pc" localSheetId="36">#REF!</definedName>
    <definedName name="pc">#REF!</definedName>
    <definedName name="pc_33">"$#REF!.$#REF!$#REF!"</definedName>
    <definedName name="pc_34">"$#REF!.$#REF!$#REF!"</definedName>
    <definedName name="pcc" localSheetId="8">#REF!</definedName>
    <definedName name="pcc" localSheetId="10">#REF!</definedName>
    <definedName name="pcc" localSheetId="11">#REF!</definedName>
    <definedName name="pcc" localSheetId="29">#REF!</definedName>
    <definedName name="pcc">#REF!</definedName>
    <definedName name="pcc_bedblock" localSheetId="8">#REF!</definedName>
    <definedName name="pcc_bedblock" localSheetId="10">#REF!</definedName>
    <definedName name="pcc_bedblock" localSheetId="11">#REF!</definedName>
    <definedName name="pcc_bedblock" localSheetId="29">#REF!</definedName>
    <definedName name="pcc_bedblock">#REF!</definedName>
    <definedName name="PCC_M15" localSheetId="29">#REF!</definedName>
    <definedName name="PCC_M15_App.Slab">#REF!</definedName>
    <definedName name="PCdesign0.005" localSheetId="5">#REF!</definedName>
    <definedName name="PCdesign0.005" localSheetId="8">#REF!</definedName>
    <definedName name="PCdesign0.005" localSheetId="10">#REF!</definedName>
    <definedName name="PCdesign0.005" localSheetId="29">#REF!</definedName>
    <definedName name="PCdesign0.005">#REF!</definedName>
    <definedName name="PGS" localSheetId="8">#REF!</definedName>
    <definedName name="PGS" localSheetId="10">#REF!</definedName>
    <definedName name="PGS" localSheetId="29">#REF!</definedName>
    <definedName name="PGS">#REF!</definedName>
    <definedName name="phase" localSheetId="8">#REF!</definedName>
    <definedName name="phase" localSheetId="10">#REF!</definedName>
    <definedName name="phase" localSheetId="11">#REF!</definedName>
    <definedName name="phase" localSheetId="29">#REF!</definedName>
    <definedName name="phase">#REF!</definedName>
    <definedName name="phi" localSheetId="8">#REF!</definedName>
    <definedName name="phi" localSheetId="10">#REF!</definedName>
    <definedName name="phi" localSheetId="11">#REF!</definedName>
    <definedName name="phi" localSheetId="29">#REF!</definedName>
    <definedName name="phi">#REF!</definedName>
    <definedName name="Phone" localSheetId="21">#REF!</definedName>
    <definedName name="Phone" localSheetId="5">#REF!</definedName>
    <definedName name="Phone" localSheetId="8">#REF!</definedName>
    <definedName name="Phone" localSheetId="10">#REF!</definedName>
    <definedName name="Phone" localSheetId="11">#REF!</definedName>
    <definedName name="Phone" localSheetId="29">#REF!</definedName>
    <definedName name="Phone" localSheetId="31">#REF!</definedName>
    <definedName name="Phone" localSheetId="35">#REF!</definedName>
    <definedName name="Phone" localSheetId="36">#REF!</definedName>
    <definedName name="Phone">#REF!</definedName>
    <definedName name="Photos" localSheetId="8">#REF!</definedName>
    <definedName name="Photos" localSheetId="10">#REF!</definedName>
    <definedName name="Photos" localSheetId="29">#REF!</definedName>
    <definedName name="Photos">#REF!</definedName>
    <definedName name="pi">3.1415</definedName>
    <definedName name="pIIII" localSheetId="5">#REF!</definedName>
    <definedName name="pIIII" localSheetId="8">#REF!</definedName>
    <definedName name="pIIII" localSheetId="10">#REF!</definedName>
    <definedName name="pIIII" localSheetId="29">#REF!</definedName>
    <definedName name="pIIII" localSheetId="31">#REF!</definedName>
    <definedName name="pIIII">#REF!</definedName>
    <definedName name="PIPE" localSheetId="8">#REF!</definedName>
    <definedName name="PIPE" localSheetId="10">#REF!</definedName>
    <definedName name="PIPE" localSheetId="11">#REF!</definedName>
    <definedName name="PIPE" localSheetId="29">#REF!</definedName>
    <definedName name="PIPE">#REF!</definedName>
    <definedName name="pipewts">#REF!</definedName>
    <definedName name="piu">#REF!</definedName>
    <definedName name="PJI" localSheetId="14">#REF!</definedName>
    <definedName name="PJI" localSheetId="8">#REF!</definedName>
    <definedName name="PJI" localSheetId="10">#REF!</definedName>
    <definedName name="PJI" localSheetId="29">#REF!</definedName>
    <definedName name="PJI">#REF!</definedName>
    <definedName name="PJII" localSheetId="8">#REF!</definedName>
    <definedName name="PJII" localSheetId="10">#REF!</definedName>
    <definedName name="PJII" localSheetId="29">#REF!</definedName>
    <definedName name="PJII">#REF!</definedName>
    <definedName name="PJIII" localSheetId="8">#REF!</definedName>
    <definedName name="PJIII" localSheetId="10">#REF!</definedName>
    <definedName name="PJIII" localSheetId="29">#REF!</definedName>
    <definedName name="PJIII">#REF!</definedName>
    <definedName name="PK">#REF!</definedName>
    <definedName name="pkgno" localSheetId="5">#REF!</definedName>
    <definedName name="pkgno" localSheetId="8">#REF!</definedName>
    <definedName name="pkgno" localSheetId="10">#REF!</definedName>
    <definedName name="pkgno" localSheetId="29">#REF!</definedName>
    <definedName name="pkgno" localSheetId="31">#REF!</definedName>
    <definedName name="pkgno">#REF!</definedName>
    <definedName name="Pl.12mm1_3">#REF!</definedName>
    <definedName name="plaster_ornamental" localSheetId="8">#REF!</definedName>
    <definedName name="plaster_ornamental" localSheetId="10">#REF!</definedName>
    <definedName name="plaster_ornamental" localSheetId="11">#REF!</definedName>
    <definedName name="plaster_ornamental" localSheetId="29">#REF!</definedName>
    <definedName name="plaster_ornamental">#REF!</definedName>
    <definedName name="plaster_twelve" localSheetId="8">#REF!</definedName>
    <definedName name="plaster_twelve" localSheetId="10">#REF!</definedName>
    <definedName name="plaster_twelve" localSheetId="11">#REF!</definedName>
    <definedName name="plaster_twelve" localSheetId="29">#REF!</definedName>
    <definedName name="plaster_twelve">#REF!</definedName>
    <definedName name="plaster_twenty" localSheetId="8">#REF!</definedName>
    <definedName name="plaster_twenty" localSheetId="10">#REF!</definedName>
    <definedName name="plaster_twenty" localSheetId="11">#REF!</definedName>
    <definedName name="plaster_twenty" localSheetId="29">#REF!</definedName>
    <definedName name="plaster_twenty">#REF!</definedName>
    <definedName name="plastering12" localSheetId="29">#REF!</definedName>
    <definedName name="plasticemulsion_paint" localSheetId="8">#REF!</definedName>
    <definedName name="plasticemulsion_paint" localSheetId="10">#REF!</definedName>
    <definedName name="plasticemulsion_paint" localSheetId="11">#REF!</definedName>
    <definedName name="plasticemulsion_paint" localSheetId="29">#REF!</definedName>
    <definedName name="plasticemulsion_paint">#REF!</definedName>
    <definedName name="pm" localSheetId="8">#REF!</definedName>
    <definedName name="pm" localSheetId="10">#REF!</definedName>
    <definedName name="pm" localSheetId="29">#REF!</definedName>
    <definedName name="pm">#REF!</definedName>
    <definedName name="PM_AirCompressor_210cfm_32" localSheetId="29">#REF!</definedName>
    <definedName name="PM_AirCompressor_210cfm_33">#REF!</definedName>
    <definedName name="PM_AirCompressor_210cfm_34">#REF!</definedName>
    <definedName name="PM_AirCompressor_210cfm_43">#REF!</definedName>
    <definedName name="PM_AirCompressor_210cfm_55">#REF!</definedName>
    <definedName name="PM_AirCompressor_210cfm_56">#REF!</definedName>
    <definedName name="PM_AirCompressor_210cfm_59">#REF!</definedName>
    <definedName name="PM_AirCompressor_210cfm_61">#REF!</definedName>
    <definedName name="PM_BatchMixHMP_46_60THP_32" localSheetId="29">#REF!</definedName>
    <definedName name="PM_BatchMixHMP_46_60THP_33">#REF!</definedName>
    <definedName name="PM_BatchMixHMP_46_60THP_34">#REF!</definedName>
    <definedName name="PM_BatchMixHMP_46_60THP_43">#REF!</definedName>
    <definedName name="PM_BatchMixHMP_46_60THP_55">#REF!</definedName>
    <definedName name="PM_BatchMixHMP_46_60THP_56">#REF!</definedName>
    <definedName name="PM_BatchMixHMP_46_60THP_59">#REF!</definedName>
    <definedName name="PM_BatchMixHMP_46_60THP_61">#REF!</definedName>
    <definedName name="PM_BatchTypeHMP_30_40_55" localSheetId="29">#REF!</definedName>
    <definedName name="PM_BitumenBoilerOilFired_1000_55" localSheetId="29">#REF!</definedName>
    <definedName name="PM_BitumenBoilerOilFired_200_32" localSheetId="29">#REF!</definedName>
    <definedName name="PM_BitumenBoilerOilFired_200_33">#REF!</definedName>
    <definedName name="PM_BitumenBoilerOilFired_200_34">#REF!</definedName>
    <definedName name="PM_BitumenBoilerOilFired_200_43">#REF!</definedName>
    <definedName name="PM_BitumenBoilerOilFired_200_55">#REF!</definedName>
    <definedName name="PM_BitumenBoilerOilFired_200_56">#REF!</definedName>
    <definedName name="PM_BitumenBoilerOilFired_200_59">#REF!</definedName>
    <definedName name="PM_BitumenBoilerOilFired_200_61">#REF!</definedName>
    <definedName name="PM_BitumenEmulsionPressureDistributor_32" localSheetId="29">#REF!</definedName>
    <definedName name="PM_BitumenEmulsionPressureDistributor_33">#REF!</definedName>
    <definedName name="PM_BitumenEmulsionPressureDistributor_34">#REF!</definedName>
    <definedName name="PM_BitumenEmulsionPressureDistributor_43">#REF!</definedName>
    <definedName name="PM_BitumenEmulsionPressureDistributor_55">#REF!</definedName>
    <definedName name="PM_BitumenEmulsionPressureDistributor_56">#REF!</definedName>
    <definedName name="PM_BitumenEmulsionPressureDistributor_59">#REF!</definedName>
    <definedName name="PM_BitumenEmulsionPressureDistributor_61">#REF!</definedName>
    <definedName name="PM_ConcreteMixer_32" localSheetId="29">#REF!</definedName>
    <definedName name="PM_ConcreteMixer_33">#REF!</definedName>
    <definedName name="PM_ConcreteMixer_34">#REF!</definedName>
    <definedName name="PM_ConcreteMixer_43">#REF!</definedName>
    <definedName name="PM_ConcreteMixer_55">#REF!</definedName>
    <definedName name="PM_ConcreteMixer_56">#REF!</definedName>
    <definedName name="PM_ConcreteMixer_59">#REF!</definedName>
    <definedName name="PM_ConcreteMixer_61">#REF!</definedName>
    <definedName name="PM_Dozer_D50_32" localSheetId="29">#REF!</definedName>
    <definedName name="PM_Dozer_D50_33">#REF!</definedName>
    <definedName name="PM_Dozer_D50_34">#REF!</definedName>
    <definedName name="PM_Dozer_D50_43">#REF!</definedName>
    <definedName name="PM_Dozer_D50_56">#REF!</definedName>
    <definedName name="PM_Dozer_D50_59">#REF!</definedName>
    <definedName name="PM_Dozer_D50_61">#REF!</definedName>
    <definedName name="PM_ElectricGeneratorSet_125_55" localSheetId="29">#REF!</definedName>
    <definedName name="PM_FrontEndLoader_1cum_55" localSheetId="29">#REF!</definedName>
    <definedName name="PM_HydraulicBroom_32" localSheetId="29">#REF!</definedName>
    <definedName name="PM_HydraulicBroom_33">#REF!</definedName>
    <definedName name="PM_HydraulicBroom_34">#REF!</definedName>
    <definedName name="PM_HydraulicBroom_43">#REF!</definedName>
    <definedName name="PM_HydraulicBroom_55">#REF!</definedName>
    <definedName name="PM_HydraulicBroom_56">#REF!</definedName>
    <definedName name="PM_HydraulicBroom_59">#REF!</definedName>
    <definedName name="PM_HydraulicBroom_61">#REF!</definedName>
    <definedName name="PM_HydraulicSelfPropelledChipSpreader_32" localSheetId="29">#REF!</definedName>
    <definedName name="PM_HydraulicSelfPropelledChipSpreader_33">#REF!</definedName>
    <definedName name="PM_HydraulicSelfPropelledChipSpreader_34">#REF!</definedName>
    <definedName name="PM_HydraulicSelfPropelledChipSpreader_43">#REF!</definedName>
    <definedName name="PM_HydraulicSelfPropelledChipSpreader_55">#REF!</definedName>
    <definedName name="PM_HydraulicSelfPropelledChipSpreader_56">#REF!</definedName>
    <definedName name="PM_HydraulicSelfPropelledChipSpreader_59">#REF!</definedName>
    <definedName name="PM_HydraulicSelfPropelledChipSpreader_61">#REF!</definedName>
    <definedName name="PM_JackHammer_32" localSheetId="29">#REF!</definedName>
    <definedName name="PM_JackHammer_33">#REF!</definedName>
    <definedName name="PM_JackHammer_34">#REF!</definedName>
    <definedName name="PM_JackHammer_43">#REF!</definedName>
    <definedName name="PM_JackHammer_56">#REF!</definedName>
    <definedName name="PM_JackHammer_59">#REF!</definedName>
    <definedName name="PM_JackHammer_61">#REF!</definedName>
    <definedName name="PM_JointCuttingMachine_32" localSheetId="29">#REF!</definedName>
    <definedName name="PM_JointCuttingMachine_33">#REF!</definedName>
    <definedName name="PM_JointCuttingMachine_34">#REF!</definedName>
    <definedName name="PM_JointCuttingMachine_43">#REF!</definedName>
    <definedName name="PM_JointCuttingMachine_55">#REF!</definedName>
    <definedName name="PM_JointCuttingMachine_56">#REF!</definedName>
    <definedName name="PM_JointCuttingMachine_59">#REF!</definedName>
    <definedName name="PM_JointCuttingMachine_61">#REF!</definedName>
    <definedName name="PM_Mixall_6_10t_32" localSheetId="29">#REF!</definedName>
    <definedName name="PM_Mixall_6_10t_33">#REF!</definedName>
    <definedName name="PM_Mixall_6_10t_34">#REF!</definedName>
    <definedName name="PM_Mixall_6_10t_43">#REF!</definedName>
    <definedName name="PM_Mixall_6_10t_55">#REF!</definedName>
    <definedName name="PM_Mixall_6_10t_56">#REF!</definedName>
    <definedName name="PM_Mixall_6_10t_59">#REF!</definedName>
    <definedName name="PM_Mixall_6_10t_61">#REF!</definedName>
    <definedName name="PM_NeedleVibrator_32" localSheetId="29">#REF!</definedName>
    <definedName name="PM_NeedleVibrator_33">#REF!</definedName>
    <definedName name="PM_NeedleVibrator_34">#REF!</definedName>
    <definedName name="PM_NeedleVibrator_43">#REF!</definedName>
    <definedName name="PM_NeedleVibrator_55">#REF!</definedName>
    <definedName name="PM_NeedleVibrator_56">#REF!</definedName>
    <definedName name="PM_NeedleVibrator_59">#REF!</definedName>
    <definedName name="PM_NeedleVibrator_61">#REF!</definedName>
    <definedName name="PM_PaverFinisher_55" localSheetId="29">#REF!</definedName>
    <definedName name="PM_PlateCompactor_32" localSheetId="29">#REF!</definedName>
    <definedName name="PM_PlateCompactor_33">#REF!</definedName>
    <definedName name="PM_PlateCompactor_34">#REF!</definedName>
    <definedName name="PM_PlateCompactor_43">#REF!</definedName>
    <definedName name="PM_PlateCompactor_56">#REF!</definedName>
    <definedName name="PM_PlateCompactor_59">#REF!</definedName>
    <definedName name="PM_PlateCompactor_61">#REF!</definedName>
    <definedName name="PM_PlateVibrator_32" localSheetId="29">#REF!</definedName>
    <definedName name="PM_PlateVibrator_33">#REF!</definedName>
    <definedName name="PM_PlateVibrator_34">#REF!</definedName>
    <definedName name="PM_PlateVibrator_43">#REF!</definedName>
    <definedName name="PM_PlateVibrator_55">#REF!</definedName>
    <definedName name="PM_PlateVibrator_56">#REF!</definedName>
    <definedName name="PM_PlateVibrator_59">#REF!</definedName>
    <definedName name="PM_PlateVibrator_61">#REF!</definedName>
    <definedName name="PM_ScreedVibrator_32" localSheetId="29">#REF!</definedName>
    <definedName name="PM_ScreedVibrator_33">#REF!</definedName>
    <definedName name="PM_ScreedVibrator_34">#REF!</definedName>
    <definedName name="PM_ScreedVibrator_43">#REF!</definedName>
    <definedName name="PM_ScreedVibrator_55">#REF!</definedName>
    <definedName name="PM_ScreedVibrator_56">#REF!</definedName>
    <definedName name="PM_ScreedVibrator_59">#REF!</definedName>
    <definedName name="PM_ScreedVibrator_61">#REF!</definedName>
    <definedName name="PM_ThreeWheeled_80_100kN_StaticRoller_55" localSheetId="29">#REF!</definedName>
    <definedName name="PM_Tipper_55_55" localSheetId="29">#REF!</definedName>
    <definedName name="PM_Tractor_DiscHarrows_32" localSheetId="29">#REF!</definedName>
    <definedName name="PM_Tractor_DiscHarrows_33">#REF!</definedName>
    <definedName name="PM_Tractor_DiscHarrows_34">#REF!</definedName>
    <definedName name="PM_Tractor_DiscHarrows_43">#REF!</definedName>
    <definedName name="PM_Tractor_DiscHarrows_56">#REF!</definedName>
    <definedName name="PM_Tractor_DiscHarrows_59">#REF!</definedName>
    <definedName name="PM_Tractor_DiscHarrows_61">#REF!</definedName>
    <definedName name="PM_Tractor_Ripper_32" localSheetId="29">#REF!</definedName>
    <definedName name="PM_Tractor_Ripper_33">#REF!</definedName>
    <definedName name="PM_Tractor_Ripper_34">#REF!</definedName>
    <definedName name="PM_Tractor_Ripper_43">#REF!</definedName>
    <definedName name="PM_Tractor_Ripper_56">#REF!</definedName>
    <definedName name="PM_Tractor_Ripper_59">#REF!</definedName>
    <definedName name="PM_Tractor_Ripper_61">#REF!</definedName>
    <definedName name="PM_Tractor_Rotavator_32" localSheetId="29">#REF!</definedName>
    <definedName name="PM_Tractor_Rotavator_33">#REF!</definedName>
    <definedName name="PM_Tractor_Rotavator_34">#REF!</definedName>
    <definedName name="PM_Tractor_Rotavator_43">#REF!</definedName>
    <definedName name="PM_Tractor_Rotavator_56">#REF!</definedName>
    <definedName name="PM_Tractor_Rotavator_59">#REF!</definedName>
    <definedName name="PM_Tractor_Rotavator_61">#REF!</definedName>
    <definedName name="PM_Tractor_Trolley_32" localSheetId="29">#REF!</definedName>
    <definedName name="PM_Tractor_Trolley_33">#REF!</definedName>
    <definedName name="PM_Tractor_Trolley_34">#REF!</definedName>
    <definedName name="PM_Tractor_Trolley_43">#REF!</definedName>
    <definedName name="PM_Tractor_Trolley_56">#REF!</definedName>
    <definedName name="PM_Tractor_Trolley_59">#REF!</definedName>
    <definedName name="PM_Tractor_Trolley_61">#REF!</definedName>
    <definedName name="PM_Truck_32" localSheetId="29">#REF!</definedName>
    <definedName name="PM_Truck_33">#REF!</definedName>
    <definedName name="PM_Truck_34">#REF!</definedName>
    <definedName name="PM_Truck_43">#REF!</definedName>
    <definedName name="PM_Truck_56">#REF!</definedName>
    <definedName name="PM_Truck_59">#REF!</definedName>
    <definedName name="PM_Truck_61">#REF!</definedName>
    <definedName name="PM_VibratoryRoller_80_100kN_32" localSheetId="29">#REF!</definedName>
    <definedName name="PM_VibratoryRoller_80_100kN_33">#REF!</definedName>
    <definedName name="PM_VibratoryRoller_80_100kN_34">#REF!</definedName>
    <definedName name="PM_VibratoryRoller_80_100kN_43">#REF!</definedName>
    <definedName name="PM_VibratoryRoller_80_100kN_55">#REF!</definedName>
    <definedName name="PM_VibratoryRoller_80_100kN_56">#REF!</definedName>
    <definedName name="PM_VibratoryRoller_80_100kN_59">#REF!</definedName>
    <definedName name="PM_VibratoryRoller_80_100kN_61">#REF!</definedName>
    <definedName name="PM_WaterTanker_6kl_32" localSheetId="29">#REF!</definedName>
    <definedName name="PM_WaterTanker_6kl_33">#REF!</definedName>
    <definedName name="PM_WaterTanker_6kl_34">#REF!</definedName>
    <definedName name="PM_WaterTanker_6kl_43">#REF!</definedName>
    <definedName name="PM_WaterTanker_6kl_55">#REF!</definedName>
    <definedName name="PM_WaterTanker_6kl_56">#REF!</definedName>
    <definedName name="PM_WaterTanker_6kl_59">#REF!</definedName>
    <definedName name="PM_WaterTanker_6kl_61">#REF!</definedName>
    <definedName name="PM_WetMixPlant_or_PugMill_32" localSheetId="29">#REF!</definedName>
    <definedName name="PM_WetMixPlant_or_PugMill_33">#REF!</definedName>
    <definedName name="PM_WetMixPlant_or_PugMill_34">#REF!</definedName>
    <definedName name="PM_WetMixPlant_or_PugMill_43">#REF!</definedName>
    <definedName name="PM_WetMixPlant_or_PugMill_56">#REF!</definedName>
    <definedName name="PM_WetMixPlant_or_PugMill_59">#REF!</definedName>
    <definedName name="PM_WetMixPlant_or_PugMill_61">#REF!</definedName>
    <definedName name="PMS" localSheetId="8">#REF!</definedName>
    <definedName name="PMS" localSheetId="10">#REF!</definedName>
    <definedName name="PMS" localSheetId="29">#REF!</definedName>
    <definedName name="PMS">#REF!</definedName>
    <definedName name="pop" localSheetId="8">#REF!</definedName>
    <definedName name="pop" localSheetId="10">#REF!</definedName>
    <definedName name="pop" localSheetId="11">#REF!</definedName>
    <definedName name="pop" localSheetId="29">#REF!</definedName>
    <definedName name="pop">#REF!</definedName>
    <definedName name="portico__bottom__steps" localSheetId="8">#REF!,#REF!,#REF!,#REF!,#REF!,#REF!,#REF!,#REF!,#REF!,#REF!,#REF!,#REF!,#REF!,#REF!,#REF!,#REF!,#REF!,#REF!,#REF!,#REF!,#REF!</definedName>
    <definedName name="portico__bottom__steps" localSheetId="10">#REF!,#REF!,#REF!,#REF!,#REF!,#REF!,#REF!,#REF!,#REF!,#REF!,#REF!,#REF!,#REF!,#REF!,#REF!,#REF!,#REF!,#REF!,#REF!,#REF!,#REF!</definedName>
    <definedName name="portico__bottom__steps" localSheetId="29">#REF!,#REF!,#REF!,#REF!,#REF!,#REF!,#REF!,#REF!,#REF!,#REF!,#REF!,#REF!,#REF!,#REF!,#REF!,#REF!,#REF!,#REF!,#REF!,#REF!,#REF!</definedName>
    <definedName name="portico__bottom__steps">#REF!,#REF!,#REF!,#REF!,#REF!,#REF!,#REF!,#REF!,#REF!,#REF!,#REF!,#REF!,#REF!,#REF!,#REF!,#REF!,#REF!,#REF!,#REF!,#REF!,#REF!</definedName>
    <definedName name="pp" localSheetId="21" hidden="1">{"'ridftotal'!$A$4:$S$27"}</definedName>
    <definedName name="pp" localSheetId="14" hidden="1">{"'ridftotal'!$A$4:$S$27"}</definedName>
    <definedName name="pp" localSheetId="11">#REF!</definedName>
    <definedName name="pp" localSheetId="29" hidden="1">{"'ridftotal'!$A$4:$S$27"}</definedName>
    <definedName name="pp" localSheetId="31" hidden="1">{"'ridftotal'!$A$4:$S$27"}</definedName>
    <definedName name="pp" hidden="1">{"'ridftotal'!$A$4:$S$27"}</definedName>
    <definedName name="pppp" localSheetId="29">#REF!</definedName>
    <definedName name="PR_Habcode_16_Dig" localSheetId="21">#REF!</definedName>
    <definedName name="PR_Habcode_16_Dig" localSheetId="5">#REF!</definedName>
    <definedName name="PR_Habcode_16_Dig" localSheetId="8">#REF!</definedName>
    <definedName name="PR_Habcode_16_Dig" localSheetId="10">#REF!</definedName>
    <definedName name="PR_Habcode_16_Dig" localSheetId="11">#REF!</definedName>
    <definedName name="PR_Habcode_16_Dig" localSheetId="29">#REF!</definedName>
    <definedName name="PR_Habcode_16_Dig" localSheetId="31">#REF!</definedName>
    <definedName name="PR_Habcode_16_Dig" localSheetId="35">#REF!</definedName>
    <definedName name="PR_Habcode_16_Dig" localSheetId="36">#REF!</definedName>
    <definedName name="PR_Habcode_16_Dig">#REF!</definedName>
    <definedName name="prakashrao">#REF!</definedName>
    <definedName name="prb" localSheetId="8">#REF!</definedName>
    <definedName name="prb" localSheetId="10">#REF!</definedName>
    <definedName name="prb" localSheetId="11">#REF!</definedName>
    <definedName name="prb" localSheetId="29">#REF!</definedName>
    <definedName name="prb">#REF!</definedName>
    <definedName name="PRC" localSheetId="21">#REF!</definedName>
    <definedName name="PRC" localSheetId="5">#REF!</definedName>
    <definedName name="PRC" localSheetId="8">#REF!</definedName>
    <definedName name="PRC" localSheetId="10">#REF!</definedName>
    <definedName name="PRC" localSheetId="11">#REF!</definedName>
    <definedName name="PRC" localSheetId="29">#REF!</definedName>
    <definedName name="PRC" localSheetId="31">#REF!</definedName>
    <definedName name="PRC" localSheetId="35">#REF!</definedName>
    <definedName name="PRC" localSheetId="36">#REF!</definedName>
    <definedName name="PRC">#REF!</definedName>
    <definedName name="_xlnm.Print_Area" localSheetId="27">'2V 1m dia Pipe Culverts'!$A$1:$L$48</definedName>
    <definedName name="_xlnm.Print_Area" localSheetId="21">#REF!</definedName>
    <definedName name="_xlnm.Print_Area" localSheetId="16">Cover!$A$1:$T$32</definedName>
    <definedName name="_xlnm.Print_Area" localSheetId="5">#REF!</definedName>
    <definedName name="_xlnm.Print_Area" localSheetId="14">#REF!</definedName>
    <definedName name="_xlnm.Print_Area" localSheetId="13">'ESAL-result'!$A$1:$L$36</definedName>
    <definedName name="_xlnm.Print_Area" localSheetId="7">GA!$A$1:$E$38</definedName>
    <definedName name="_xlnm.Print_Area" localSheetId="4">'Input Data'!$A$1:$N$27</definedName>
    <definedName name="_xlnm.Print_Area" localSheetId="8">#REF!</definedName>
    <definedName name="_xlnm.Print_Area" localSheetId="10">'Key Map'!$A$1:$K$44</definedName>
    <definedName name="_xlnm.Print_Area" localSheetId="32">lead!$A$1:$J$67</definedName>
    <definedName name="_xlnm.Print_Area" localSheetId="11">LS_2LS!$A$1:$AD$37</definedName>
    <definedName name="_xlnm.Print_Area" localSheetId="23">'MTS Esti'!$A$1:$S$80</definedName>
    <definedName name="_xlnm.Print_Area" localSheetId="6">'Note File'!$A$1:$J$198</definedName>
    <definedName name="_xlnm.Print_Area" localSheetId="45">'NP4 pipes'!$A$1:$M$34</definedName>
    <definedName name="_xlnm.Print_Area" localSheetId="34">'Road data'!$A$1:$G$990</definedName>
    <definedName name="_xlnm.Print_Area" localSheetId="20">'Road Estimate'!$A$1:$L$102</definedName>
    <definedName name="_xlnm.Print_Area" localSheetId="44">'Road Furniture-Data'!$A$1:$H$361</definedName>
    <definedName name="_xlnm.Print_Area" localSheetId="28">'Road-furniture '!$A$1:$G$30</definedName>
    <definedName name="_xlnm.Print_Area" localSheetId="42">'Road-Marks'!$A$1:$G$32</definedName>
    <definedName name="_xlnm.Print_Area" localSheetId="29">'RSI-Estt'!$A$1:$L$37</definedName>
    <definedName name="_xlnm.Print_Area" localSheetId="18">'Schedule-A'!$A$1:$H$195</definedName>
    <definedName name="_xlnm.Print_Area" localSheetId="19">'Schedule-A (Part-B)'!$A$1:$G$18</definedName>
    <definedName name="_xlnm.Print_Area" localSheetId="40">'Slab-Culverts Data'!$A$1:$J$682</definedName>
    <definedName name="_xlnm.Print_Area" localSheetId="9">SPR!$A$1:$V$86</definedName>
    <definedName name="_xlnm.Print_Area" localSheetId="33">'SSR-rates'!$A$1:$R$121</definedName>
    <definedName name="_xlnm.Print_Area" localSheetId="43">'TENDER-NF'!$A$13:$J$144</definedName>
    <definedName name="_xlnm.Print_Area" localSheetId="12">'TRAFF-Count-ESAL-Cal'!$A$1:$M$35</definedName>
    <definedName name="_xlnm.Print_Area" localSheetId="2">'VUP Data'!$A$1:$J$839</definedName>
    <definedName name="_xlnm.Print_Area">#REF!</definedName>
    <definedName name="Print_Area_MI" localSheetId="5">#REF!</definedName>
    <definedName name="Print_Area_MI" localSheetId="8">#REF!</definedName>
    <definedName name="Print_Area_MI" localSheetId="10">#REF!</definedName>
    <definedName name="Print_Area_MI" localSheetId="29">#REF!</definedName>
    <definedName name="Print_Area_MI" localSheetId="31">#REF!</definedName>
    <definedName name="Print_Area_MI">#REF!</definedName>
    <definedName name="Print_Area_MI_10" localSheetId="5">#REF!</definedName>
    <definedName name="Print_Area_MI_10" localSheetId="8">#REF!</definedName>
    <definedName name="Print_Area_MI_10" localSheetId="10">#REF!</definedName>
    <definedName name="Print_Area_MI_10" localSheetId="29">#REF!</definedName>
    <definedName name="Print_Area_MI_10" localSheetId="31">#REF!</definedName>
    <definedName name="Print_Area_MI_10">#REF!</definedName>
    <definedName name="Print_Area_MI_12" localSheetId="5">#REF!</definedName>
    <definedName name="Print_Area_MI_12" localSheetId="8">#REF!</definedName>
    <definedName name="Print_Area_MI_12" localSheetId="10">#REF!</definedName>
    <definedName name="Print_Area_MI_12" localSheetId="29">#REF!</definedName>
    <definedName name="Print_Area_MI_12" localSheetId="31">#REF!</definedName>
    <definedName name="Print_Area_MI_12">#REF!</definedName>
    <definedName name="Print_Area_MI_3" localSheetId="5">#REF!</definedName>
    <definedName name="Print_Area_MI_3" localSheetId="8">#REF!</definedName>
    <definedName name="Print_Area_MI_3" localSheetId="10">#REF!</definedName>
    <definedName name="Print_Area_MI_3" localSheetId="29">#REF!</definedName>
    <definedName name="Print_Area_MI_3" localSheetId="31">#REF!</definedName>
    <definedName name="Print_Area_MI_3">#REF!</definedName>
    <definedName name="Print_Area_MI_6" localSheetId="5">#REF!</definedName>
    <definedName name="Print_Area_MI_6" localSheetId="8">#REF!</definedName>
    <definedName name="Print_Area_MI_6" localSheetId="10">#REF!</definedName>
    <definedName name="Print_Area_MI_6" localSheetId="29">#REF!</definedName>
    <definedName name="Print_Area_MI_6" localSheetId="31">#REF!</definedName>
    <definedName name="Print_Area_MI_6">#REF!</definedName>
    <definedName name="Print_Area_MI_7" localSheetId="5">#REF!</definedName>
    <definedName name="Print_Area_MI_7" localSheetId="8">#REF!</definedName>
    <definedName name="Print_Area_MI_7" localSheetId="10">#REF!</definedName>
    <definedName name="Print_Area_MI_7" localSheetId="29">#REF!</definedName>
    <definedName name="Print_Area_MI_7" localSheetId="31">#REF!</definedName>
    <definedName name="Print_Area_MI_7">#REF!</definedName>
    <definedName name="Print_Area_MI_9" localSheetId="5">#REF!</definedName>
    <definedName name="Print_Area_MI_9" localSheetId="8">#REF!</definedName>
    <definedName name="Print_Area_MI_9" localSheetId="10">#REF!</definedName>
    <definedName name="Print_Area_MI_9" localSheetId="29">#REF!</definedName>
    <definedName name="Print_Area_MI_9" localSheetId="31">#REF!</definedName>
    <definedName name="Print_Area_MI_9">#REF!</definedName>
    <definedName name="Print_Area_Reset">#N/A</definedName>
    <definedName name="_xlnm.Print_Titles" localSheetId="26">'1V 1m dia Pipe Culverts'!$4:$5</definedName>
    <definedName name="_xlnm.Print_Titles" localSheetId="27">'2V 1m dia Pipe Culverts'!$4:$5</definedName>
    <definedName name="_xlnm.Print_Titles" localSheetId="21">#REF!</definedName>
    <definedName name="_xlnm.Print_Titles" localSheetId="30">'Drain '!$4:$5</definedName>
    <definedName name="_xlnm.Print_Titles" localSheetId="11">#REF!</definedName>
    <definedName name="_xlnm.Print_Titles" localSheetId="25">'Mtc-data'!$3:$4</definedName>
    <definedName name="_xlnm.Print_Titles" localSheetId="41">'Pipe data'!$3:$3</definedName>
    <definedName name="_xlnm.Print_Titles" localSheetId="37">'Ret wall'!$4:$5</definedName>
    <definedName name="_xlnm.Print_Titles" localSheetId="38">'Road dam 30m'!$4:$5</definedName>
    <definedName name="_xlnm.Print_Titles" localSheetId="34">'Road data'!$4:$4</definedName>
    <definedName name="_xlnm.Print_Titles" localSheetId="20">'Road Estimate'!$3:$4</definedName>
    <definedName name="_xlnm.Print_Titles" localSheetId="44">'Road Furniture-Data'!$3:$4</definedName>
    <definedName name="_xlnm.Print_Titles" localSheetId="18">'Schedule-A'!$10:$10</definedName>
    <definedName name="_xlnm.Print_Titles" localSheetId="39">'Slab Culvert 1V 5m x 2m span'!$4:$5</definedName>
    <definedName name="_xlnm.Print_Titles" localSheetId="35">'Slab Culvert 1V 6m x 2m spa'!$4:$5</definedName>
    <definedName name="_xlnm.Print_Titles" localSheetId="36">'Slab Culvert 2V 6m x 2m spa'!$4:$5</definedName>
    <definedName name="_xlnm.Print_Titles" localSheetId="40">'Slab-Culverts Data'!$3:$3</definedName>
    <definedName name="_xlnm.Print_Titles" localSheetId="2">'VUP Data'!$4:$4</definedName>
    <definedName name="_xlnm.Print_Titles">#N/A</definedName>
    <definedName name="proBS" localSheetId="8">#REF!</definedName>
    <definedName name="proBS" localSheetId="10">#REF!</definedName>
    <definedName name="proBS" localSheetId="11">#REF!</definedName>
    <definedName name="proBS" localSheetId="29">#REF!</definedName>
    <definedName name="proBS">#REF!</definedName>
    <definedName name="ProdForm" localSheetId="21" hidden="1">#REF!</definedName>
    <definedName name="ProdForm" localSheetId="5" hidden="1">#REF!</definedName>
    <definedName name="ProdForm" localSheetId="30" hidden="1">#REF!</definedName>
    <definedName name="ProdForm" localSheetId="8" hidden="1">#REF!</definedName>
    <definedName name="ProdForm" localSheetId="10" hidden="1">#REF!</definedName>
    <definedName name="ProdForm" localSheetId="11" hidden="1">#REF!</definedName>
    <definedName name="ProdForm" localSheetId="37" hidden="1">#REF!</definedName>
    <definedName name="ProdForm" localSheetId="38" hidden="1">#REF!</definedName>
    <definedName name="ProdForm" localSheetId="44" hidden="1">#REF!</definedName>
    <definedName name="ProdForm" localSheetId="29" hidden="1">#REF!</definedName>
    <definedName name="ProdForm" localSheetId="19" hidden="1">#REF!</definedName>
    <definedName name="ProdForm" localSheetId="31" hidden="1">#REF!</definedName>
    <definedName name="ProdForm" localSheetId="39" hidden="1">#REF!</definedName>
    <definedName name="ProdForm" localSheetId="35" hidden="1">#REF!</definedName>
    <definedName name="ProdForm" localSheetId="36" hidden="1">#REF!</definedName>
    <definedName name="ProdForm" localSheetId="9" hidden="1">#REF!</definedName>
    <definedName name="ProdForm" localSheetId="3" hidden="1">#REF!</definedName>
    <definedName name="ProdForm" hidden="1">#REF!</definedName>
    <definedName name="product" localSheetId="21">#REF!</definedName>
    <definedName name="product" localSheetId="5">#REF!</definedName>
    <definedName name="product" localSheetId="8">#REF!</definedName>
    <definedName name="product" localSheetId="10">#REF!</definedName>
    <definedName name="product" localSheetId="11">#REF!</definedName>
    <definedName name="product" localSheetId="29">#REF!</definedName>
    <definedName name="product" localSheetId="31">#REF!</definedName>
    <definedName name="product" localSheetId="35">#REF!</definedName>
    <definedName name="product" localSheetId="36">#REF!</definedName>
    <definedName name="product">#REF!</definedName>
    <definedName name="ps" localSheetId="8">#REF!</definedName>
    <definedName name="ps" localSheetId="10">#REF!</definedName>
    <definedName name="ps" localSheetId="11">#REF!</definedName>
    <definedName name="ps" localSheetId="29">#REF!</definedName>
    <definedName name="ps">#REF!</definedName>
    <definedName name="pss" localSheetId="8">#REF!</definedName>
    <definedName name="pss" localSheetId="10">#REF!</definedName>
    <definedName name="pss" localSheetId="29">#REF!</definedName>
    <definedName name="pss" localSheetId="31">#REF!</definedName>
    <definedName name="pss">#REF!</definedName>
    <definedName name="psw" localSheetId="8">#REF!</definedName>
    <definedName name="psw" localSheetId="10">#REF!</definedName>
    <definedName name="psw" localSheetId="11">#REF!</definedName>
    <definedName name="psw" localSheetId="29">#REF!</definedName>
    <definedName name="psw">#REF!</definedName>
    <definedName name="pui" localSheetId="8">#REF!</definedName>
    <definedName name="pui" localSheetId="10">#REF!</definedName>
    <definedName name="pui" localSheetId="11">#REF!</definedName>
    <definedName name="pui" localSheetId="29">#REF!</definedName>
    <definedName name="pui">#REF!</definedName>
    <definedName name="Pump">#REF!</definedName>
    <definedName name="pumpset" localSheetId="5">#REF!</definedName>
    <definedName name="pumpset" localSheetId="8">#REF!</definedName>
    <definedName name="pumpset" localSheetId="10">#REF!</definedName>
    <definedName name="pumpset" localSheetId="29">#REF!</definedName>
    <definedName name="pumpset" localSheetId="31">#REF!</definedName>
    <definedName name="pumpset">#REF!</definedName>
    <definedName name="pvc_bends" localSheetId="8">#REF!</definedName>
    <definedName name="pvc_bends" localSheetId="10">#REF!</definedName>
    <definedName name="pvc_bends" localSheetId="11">#REF!</definedName>
    <definedName name="pvc_bends" localSheetId="29">#REF!</definedName>
    <definedName name="pvc_bends">#REF!</definedName>
    <definedName name="pvc_clamps" localSheetId="8">#REF!</definedName>
    <definedName name="pvc_clamps" localSheetId="10">#REF!</definedName>
    <definedName name="pvc_clamps" localSheetId="11">#REF!</definedName>
    <definedName name="pvc_clamps" localSheetId="29">#REF!</definedName>
    <definedName name="pvc_clamps">#REF!</definedName>
    <definedName name="pvc_collar" localSheetId="8">#REF!</definedName>
    <definedName name="pvc_collar" localSheetId="10">#REF!</definedName>
    <definedName name="pvc_collar" localSheetId="11">#REF!</definedName>
    <definedName name="pvc_collar" localSheetId="29">#REF!</definedName>
    <definedName name="pvc_collar">#REF!</definedName>
    <definedName name="pvc_pipes_110" localSheetId="8">#REF!</definedName>
    <definedName name="pvc_pipes_110" localSheetId="10">#REF!</definedName>
    <definedName name="pvc_pipes_110" localSheetId="11">#REF!</definedName>
    <definedName name="pvc_pipes_110" localSheetId="29">#REF!</definedName>
    <definedName name="pvc_pipes_110">#REF!</definedName>
    <definedName name="pvc_specials" localSheetId="5">#REF!</definedName>
    <definedName name="pvc_specials" localSheetId="8">#REF!</definedName>
    <definedName name="pvc_specials" localSheetId="10">#REF!</definedName>
    <definedName name="pvc_specials" localSheetId="29">#REF!</definedName>
    <definedName name="pvc_specials" localSheetId="31">#REF!</definedName>
    <definedName name="pvc_specials">#REF!</definedName>
    <definedName name="pvcALL" localSheetId="5">#REF!</definedName>
    <definedName name="pvcALL" localSheetId="8">#REF!</definedName>
    <definedName name="pvcALL" localSheetId="10">#REF!</definedName>
    <definedName name="pvcALL" localSheetId="29">#REF!</definedName>
    <definedName name="pvcALL" localSheetId="31">#REF!</definedName>
    <definedName name="pvcALL">#REF!</definedName>
    <definedName name="pvcBend" localSheetId="5">#REF!</definedName>
    <definedName name="pvcBend" localSheetId="8">#REF!</definedName>
    <definedName name="pvcBend" localSheetId="10">#REF!</definedName>
    <definedName name="pvcBend" localSheetId="29">#REF!</definedName>
    <definedName name="pvcBend" localSheetId="31">#REF!</definedName>
    <definedName name="pvcBend">#REF!</definedName>
    <definedName name="pvcCoupling" localSheetId="5">#REF!</definedName>
    <definedName name="pvcCoupling" localSheetId="8">#REF!</definedName>
    <definedName name="pvcCoupling" localSheetId="10">#REF!</definedName>
    <definedName name="pvcCoupling" localSheetId="29">#REF!</definedName>
    <definedName name="pvcCoupling" localSheetId="31">#REF!</definedName>
    <definedName name="pvcCoupling">#REF!</definedName>
    <definedName name="pvcDummy" localSheetId="5">#REF!</definedName>
    <definedName name="pvcDummy" localSheetId="8">#REF!</definedName>
    <definedName name="pvcDummy" localSheetId="10">#REF!</definedName>
    <definedName name="pvcDummy" localSheetId="29">#REF!</definedName>
    <definedName name="pvcDummy" localSheetId="31">#REF!</definedName>
    <definedName name="pvcDummy">#REF!</definedName>
    <definedName name="pvcElbow" localSheetId="5">#REF!</definedName>
    <definedName name="pvcElbow" localSheetId="8">#REF!</definedName>
    <definedName name="pvcElbow" localSheetId="10">#REF!</definedName>
    <definedName name="pvcElbow" localSheetId="29">#REF!</definedName>
    <definedName name="pvcElbow" localSheetId="31">#REF!</definedName>
    <definedName name="pvcElbow">#REF!</definedName>
    <definedName name="pvcFTA" localSheetId="5">#REF!</definedName>
    <definedName name="pvcFTA" localSheetId="8">#REF!</definedName>
    <definedName name="pvcFTA" localSheetId="10">#REF!</definedName>
    <definedName name="pvcFTA" localSheetId="29">#REF!</definedName>
    <definedName name="pvcFTA" localSheetId="31">#REF!</definedName>
    <definedName name="pvcFTA">#REF!</definedName>
    <definedName name="pvcMTA" localSheetId="5">#REF!</definedName>
    <definedName name="pvcMTA" localSheetId="8">#REF!</definedName>
    <definedName name="pvcMTA" localSheetId="10">#REF!</definedName>
    <definedName name="pvcMTA" localSheetId="29">#REF!</definedName>
    <definedName name="pvcMTA" localSheetId="31">#REF!</definedName>
    <definedName name="pvcMTA">#REF!</definedName>
    <definedName name="PVCreducedTee" localSheetId="5">#REF!</definedName>
    <definedName name="PVCreducedTee" localSheetId="8">#REF!</definedName>
    <definedName name="PVCreducedTee" localSheetId="10">#REF!</definedName>
    <definedName name="PVCreducedTee" localSheetId="29">#REF!</definedName>
    <definedName name="PVCreducedTee" localSheetId="31">#REF!</definedName>
    <definedName name="PVCreducedTee">#REF!</definedName>
    <definedName name="pvcSpecials" localSheetId="5">#REF!</definedName>
    <definedName name="pvcSpecials" localSheetId="8">#REF!</definedName>
    <definedName name="pvcSpecials" localSheetId="10">#REF!</definedName>
    <definedName name="pvcSpecials" localSheetId="29">#REF!</definedName>
    <definedName name="pvcSpecials" localSheetId="31">#REF!</definedName>
    <definedName name="pvcSpecials">#REF!</definedName>
    <definedName name="pvcTee" localSheetId="5">#REF!</definedName>
    <definedName name="pvcTee" localSheetId="8">#REF!</definedName>
    <definedName name="pvcTee" localSheetId="10">#REF!</definedName>
    <definedName name="pvcTee" localSheetId="29">#REF!</definedName>
    <definedName name="pvcTee" localSheetId="31">#REF!</definedName>
    <definedName name="pvcTee">#REF!</definedName>
    <definedName name="pvijay" localSheetId="29">#REF!</definedName>
    <definedName name="Q" localSheetId="21" hidden="1">{"'ridftotal'!$A$4:$S$27"}</definedName>
    <definedName name="Q" localSheetId="14" hidden="1">{"'ridftotal'!$A$4:$S$27"}</definedName>
    <definedName name="q" localSheetId="11">#REF!</definedName>
    <definedName name="Q" localSheetId="44" hidden="1">{"'ridftotal'!$A$4:$S$27"}</definedName>
    <definedName name="Q" localSheetId="29" hidden="1">{"'ridftotal'!$A$4:$S$27"}</definedName>
    <definedName name="Q" localSheetId="19" hidden="1">{"'ridftotal'!$A$4:$S$27"}</definedName>
    <definedName name="Q" localSheetId="31" hidden="1">{"'ridftotal'!$A$4:$S$27"}</definedName>
    <definedName name="Q" localSheetId="9" hidden="1">{"'ridftotal'!$A$4:$S$27"}</definedName>
    <definedName name="Q" localSheetId="3" hidden="1">{"'ridftotal'!$A$4:$S$27"}</definedName>
    <definedName name="Q" hidden="1">{"'ridftotal'!$A$4:$S$27"}</definedName>
    <definedName name="Q_CD_EW" localSheetId="21">#REF!</definedName>
    <definedName name="Q_CD_EW" localSheetId="5">#REF!</definedName>
    <definedName name="Q_CD_EW" localSheetId="8">#REF!</definedName>
    <definedName name="Q_CD_EW" localSheetId="10">#REF!</definedName>
    <definedName name="Q_CD_EW" localSheetId="11">#REF!</definedName>
    <definedName name="Q_CD_EW" localSheetId="29">#REF!</definedName>
    <definedName name="Q_CD_EW" localSheetId="31">#REF!</definedName>
    <definedName name="Q_CD_EW" localSheetId="35">#REF!</definedName>
    <definedName name="Q_CD_EW" localSheetId="36">#REF!</definedName>
    <definedName name="Q_CD_EW">#REF!</definedName>
    <definedName name="Q_CD_M10_BODY" localSheetId="21">#REF!</definedName>
    <definedName name="Q_CD_M10_BODY" localSheetId="5">#REF!</definedName>
    <definedName name="Q_CD_M10_BODY" localSheetId="8">#REF!</definedName>
    <definedName name="Q_CD_M10_BODY" localSheetId="10">#REF!</definedName>
    <definedName name="Q_CD_M10_BODY" localSheetId="11">#REF!</definedName>
    <definedName name="Q_CD_M10_BODY" localSheetId="29">#REF!</definedName>
    <definedName name="Q_CD_M10_BODY" localSheetId="31">#REF!</definedName>
    <definedName name="Q_CD_M10_BODY" localSheetId="35">#REF!</definedName>
    <definedName name="Q_CD_M10_BODY" localSheetId="36">#REF!</definedName>
    <definedName name="Q_CD_M10_BODY">#REF!</definedName>
    <definedName name="Q_CD_M10_FOUN" localSheetId="21">#REF!</definedName>
    <definedName name="Q_CD_M10_FOUN" localSheetId="5">#REF!</definedName>
    <definedName name="Q_CD_M10_FOUN" localSheetId="8">#REF!</definedName>
    <definedName name="Q_CD_M10_FOUN" localSheetId="10">#REF!</definedName>
    <definedName name="Q_CD_M10_FOUN" localSheetId="11">#REF!</definedName>
    <definedName name="Q_CD_M10_FOUN" localSheetId="29">#REF!</definedName>
    <definedName name="Q_CD_M10_FOUN" localSheetId="31">#REF!</definedName>
    <definedName name="Q_CD_M10_FOUN" localSheetId="35">#REF!</definedName>
    <definedName name="Q_CD_M10_FOUN" localSheetId="36">#REF!</definedName>
    <definedName name="Q_CD_M10_FOUN">#REF!</definedName>
    <definedName name="Q_GRAVEL_SHOLDERS" localSheetId="21">#REF!</definedName>
    <definedName name="Q_GRAVEL_SHOLDERS" localSheetId="5">#REF!</definedName>
    <definedName name="Q_GRAVEL_SHOLDERS" localSheetId="8">#REF!</definedName>
    <definedName name="Q_GRAVEL_SHOLDERS" localSheetId="10">#REF!</definedName>
    <definedName name="Q_GRAVEL_SHOLDERS" localSheetId="11">#REF!</definedName>
    <definedName name="Q_GRAVEL_SHOLDERS" localSheetId="29">#REF!</definedName>
    <definedName name="Q_GRAVEL_SHOLDERS" localSheetId="31">#REF!</definedName>
    <definedName name="Q_GRAVEL_SHOLDERS" localSheetId="35">#REF!</definedName>
    <definedName name="Q_GRAVEL_SHOLDERS" localSheetId="36">#REF!</definedName>
    <definedName name="Q_GRAVEL_SHOLDERS">#REF!</definedName>
    <definedName name="Q_WBM2" localSheetId="21">#REF!</definedName>
    <definedName name="Q_WBM2" localSheetId="5">#REF!</definedName>
    <definedName name="Q_WBM2" localSheetId="8">#REF!</definedName>
    <definedName name="Q_WBM2" localSheetId="10">#REF!</definedName>
    <definedName name="Q_WBM2" localSheetId="11">#REF!</definedName>
    <definedName name="Q_WBM2" localSheetId="29">#REF!</definedName>
    <definedName name="Q_WBM2" localSheetId="31">#REF!</definedName>
    <definedName name="Q_WBM2" localSheetId="35">#REF!</definedName>
    <definedName name="Q_WBM2" localSheetId="36">#REF!</definedName>
    <definedName name="Q_WBM2">#REF!</definedName>
    <definedName name="Q_WBM3" localSheetId="21">#REF!</definedName>
    <definedName name="Q_WBM3" localSheetId="5">#REF!</definedName>
    <definedName name="Q_WBM3" localSheetId="8">#REF!</definedName>
    <definedName name="Q_WBM3" localSheetId="10">#REF!</definedName>
    <definedName name="Q_WBM3" localSheetId="11">#REF!</definedName>
    <definedName name="Q_WBM3" localSheetId="29">#REF!</definedName>
    <definedName name="Q_WBM3" localSheetId="31">#REF!</definedName>
    <definedName name="Q_WBM3" localSheetId="35">#REF!</definedName>
    <definedName name="Q_WBM3" localSheetId="36">#REF!</definedName>
    <definedName name="Q_WBM3">#REF!</definedName>
    <definedName name="QAF" localSheetId="8">#REF!</definedName>
    <definedName name="QAF" localSheetId="10">#REF!</definedName>
    <definedName name="QAF" localSheetId="29">#REF!</definedName>
    <definedName name="QAF">#REF!</definedName>
    <definedName name="QCMFL" localSheetId="8">#REF!</definedName>
    <definedName name="QCMFL" localSheetId="10">#REF!</definedName>
    <definedName name="QCMFL" localSheetId="29">#REF!</definedName>
    <definedName name="QCMFL">#REF!</definedName>
    <definedName name="QD" localSheetId="8">#REF!</definedName>
    <definedName name="QD" localSheetId="10">#REF!</definedName>
    <definedName name="QD" localSheetId="29">#REF!</definedName>
    <definedName name="QD">#REF!</definedName>
    <definedName name="QDI" localSheetId="8">#REF!</definedName>
    <definedName name="QDI" localSheetId="10">#REF!</definedName>
    <definedName name="QDI" localSheetId="29">#REF!</definedName>
    <definedName name="QDI">#REF!</definedName>
    <definedName name="QDII" localSheetId="8">#REF!</definedName>
    <definedName name="QDII" localSheetId="10">#REF!</definedName>
    <definedName name="QDII" localSheetId="29">#REF!</definedName>
    <definedName name="QDII">#REF!</definedName>
    <definedName name="QDIII" localSheetId="8">#REF!</definedName>
    <definedName name="QDIII" localSheetId="10">#REF!</definedName>
    <definedName name="QDIII" localSheetId="29">#REF!</definedName>
    <definedName name="QDIII">#REF!</definedName>
    <definedName name="QDMW" localSheetId="8">#REF!</definedName>
    <definedName name="QDMW" localSheetId="10">#REF!</definedName>
    <definedName name="QDMW" localSheetId="29">#REF!</definedName>
    <definedName name="QDMW">#REF!</definedName>
    <definedName name="qdsdd">#REF!</definedName>
    <definedName name="QI" localSheetId="8">#REF!</definedName>
    <definedName name="QI" localSheetId="10">#REF!</definedName>
    <definedName name="QI" localSheetId="29">#REF!</definedName>
    <definedName name="QI">#REF!</definedName>
    <definedName name="QII" localSheetId="8">#REF!</definedName>
    <definedName name="QII" localSheetId="10">#REF!</definedName>
    <definedName name="QII" localSheetId="29">#REF!</definedName>
    <definedName name="QII">#REF!</definedName>
    <definedName name="QIII" localSheetId="8">#REF!</definedName>
    <definedName name="QIII" localSheetId="10">#REF!</definedName>
    <definedName name="QIII" localSheetId="29">#REF!</definedName>
    <definedName name="QIII">#REF!</definedName>
    <definedName name="QIV" localSheetId="14">#REF!</definedName>
    <definedName name="QIV" localSheetId="8">#REF!</definedName>
    <definedName name="QIV" localSheetId="10">#REF!</definedName>
    <definedName name="QIV" localSheetId="29">#REF!</definedName>
    <definedName name="QIV">#REF!</definedName>
    <definedName name="QMD" localSheetId="14">#REF!</definedName>
    <definedName name="QMD" localSheetId="8">#REF!</definedName>
    <definedName name="QMD" localSheetId="10">#REF!</definedName>
    <definedName name="QMD" localSheetId="29">#REF!</definedName>
    <definedName name="QMD">#REF!</definedName>
    <definedName name="QO" localSheetId="8">#REF!</definedName>
    <definedName name="QO" localSheetId="10">#REF!</definedName>
    <definedName name="QO" localSheetId="29">#REF!</definedName>
    <definedName name="QO">#REF!</definedName>
    <definedName name="qq" localSheetId="21">#REF!</definedName>
    <definedName name="qq" localSheetId="5">#REF!</definedName>
    <definedName name="qq" localSheetId="8">#REF!</definedName>
    <definedName name="qq" localSheetId="10">#REF!</definedName>
    <definedName name="qq" localSheetId="29">#REF!</definedName>
    <definedName name="qq" localSheetId="31">#REF!</definedName>
    <definedName name="qq" localSheetId="35">#REF!</definedName>
    <definedName name="qq" localSheetId="36">#REF!</definedName>
    <definedName name="qq">#REF!</definedName>
    <definedName name="qqq" localSheetId="21" hidden="1">{"'ridftotal'!$A$4:$S$27"}</definedName>
    <definedName name="qqq" localSheetId="14" hidden="1">{"'ridftotal'!$A$4:$S$27"}</definedName>
    <definedName name="qqq" localSheetId="29" hidden="1">{"'ridftotal'!$A$4:$S$27"}</definedName>
    <definedName name="qqq" localSheetId="31" hidden="1">{"'ridftotal'!$A$4:$S$27"}</definedName>
    <definedName name="qqq" hidden="1">{"'ridftotal'!$A$4:$S$27"}</definedName>
    <definedName name="qqqqq">#REF!</definedName>
    <definedName name="qqqqqqqqqqqqqqqqqqqq" localSheetId="8">#REF!</definedName>
    <definedName name="qqqqqqqqqqqqqqqqqqqq" localSheetId="10">#REF!</definedName>
    <definedName name="qqqqqqqqqqqqqqqqqqqq" localSheetId="29">#REF!</definedName>
    <definedName name="qqqqqqqqqqqqqqqqqqqq">#REF!</definedName>
    <definedName name="qqww" localSheetId="29">#REF!</definedName>
    <definedName name="QTV" localSheetId="14">#REF!</definedName>
    <definedName name="QTV" localSheetId="8">#REF!</definedName>
    <definedName name="QTV" localSheetId="10">#REF!</definedName>
    <definedName name="QTV" localSheetId="29">#REF!</definedName>
    <definedName name="QTV">#REF!</definedName>
    <definedName name="Qty">#REF!</definedName>
    <definedName name="Qu" localSheetId="21">#REF!</definedName>
    <definedName name="Qu" localSheetId="5">#REF!</definedName>
    <definedName name="Qu" localSheetId="8">#REF!</definedName>
    <definedName name="Qu" localSheetId="10">#REF!</definedName>
    <definedName name="Qu" localSheetId="11">#REF!</definedName>
    <definedName name="Qu" localSheetId="29">#REF!</definedName>
    <definedName name="Qu" localSheetId="31">#REF!</definedName>
    <definedName name="Qu" localSheetId="35">#REF!</definedName>
    <definedName name="Qu" localSheetId="36">#REF!</definedName>
    <definedName name="Qu">#REF!</definedName>
    <definedName name="Qu_23">"$#REF!.$#REF!$#REF!"</definedName>
    <definedName name="Qu_32">"$#REF!.$#REF!$#REF!"</definedName>
    <definedName name="Qu_33">"$#REF!.$#REF!$#REF!"</definedName>
    <definedName name="Qu_34">"$#REF!.$#REF!$#REF!"</definedName>
    <definedName name="Qu_38">"$#REF!.$#REF!$#REF!"</definedName>
    <definedName name="Qu_41">"$#REF!.$#REF!$#REF!"</definedName>
    <definedName name="Qu_43">"$#REF!.$#REF!$#REF!"</definedName>
    <definedName name="Qu_48">"$#REF!.$#REF!$#REF!"</definedName>
    <definedName name="Qu_56">"$#REF!.$#REF!$#REF!"</definedName>
    <definedName name="Qu_57">"$#REF!.$#REF!$#REF!"</definedName>
    <definedName name="Qu_59">"$#REF!.$#REF!$#REF!"</definedName>
    <definedName name="Qu_60">"$#REF!.$#REF!$#REF!"</definedName>
    <definedName name="Qu_61">"$#REF!.$#REF!$#REF!"</definedName>
    <definedName name="Qu_62">"$#REF!.$#REF!$#REF!"</definedName>
    <definedName name="Qu_7">"$#REF!.$#REF!$#REF!"</definedName>
    <definedName name="Qu_72">"$#REF!.$#REF!$#REF!"</definedName>
    <definedName name="Qu_73">"$#REF!.$#REF!$#REF!"</definedName>
    <definedName name="Qu_8">"$#REF!.$#REF!$#REF!"</definedName>
    <definedName name="Quarry_Rubbish">#REF!</definedName>
    <definedName name="Quaspall">#REF!</definedName>
    <definedName name="quer10" localSheetId="29">#REF!</definedName>
    <definedName name="Query2" localSheetId="21">#REF!</definedName>
    <definedName name="Query2" localSheetId="5">#REF!</definedName>
    <definedName name="Query2" localSheetId="8">#REF!</definedName>
    <definedName name="Query2" localSheetId="10">#REF!</definedName>
    <definedName name="Query2" localSheetId="11">#REF!</definedName>
    <definedName name="Query2" localSheetId="29">#REF!</definedName>
    <definedName name="Query2" localSheetId="31">#REF!</definedName>
    <definedName name="Query2" localSheetId="35">#REF!</definedName>
    <definedName name="Query2" localSheetId="36">#REF!</definedName>
    <definedName name="Query2">#REF!</definedName>
    <definedName name="Query2_23">"$#REF!.$#REF!$#REF!"</definedName>
    <definedName name="Query2_32">"$#REF!.$#REF!$#REF!"</definedName>
    <definedName name="Query2_33">"$#REF!.$#REF!$#REF!"</definedName>
    <definedName name="Query2_34">"$#REF!.$#REF!$#REF!"</definedName>
    <definedName name="Query2_38">"$#REF!.$#REF!$#REF!"</definedName>
    <definedName name="Query2_41">"$#REF!.$#REF!$#REF!"</definedName>
    <definedName name="Query2_43">"$#REF!.$#REF!$#REF!"</definedName>
    <definedName name="Query2_48">"$#REF!.$#REF!$#REF!"</definedName>
    <definedName name="Query2_56">"$#REF!.$#REF!$#REF!"</definedName>
    <definedName name="Query2_57">"$#REF!.$#REF!$#REF!"</definedName>
    <definedName name="Query2_59">"$#REF!.$#REF!$#REF!"</definedName>
    <definedName name="Query2_60">"$#REF!.$#REF!$#REF!"</definedName>
    <definedName name="Query2_61">"$#REF!.$#REF!$#REF!"</definedName>
    <definedName name="Query2_62">"$#REF!.$#REF!$#REF!"</definedName>
    <definedName name="Query2_7">"$#REF!.$#REF!$#REF!"</definedName>
    <definedName name="Query2_72">"$#REF!.$#REF!$#REF!"</definedName>
    <definedName name="Query2_73">"$#REF!.$#REF!$#REF!"</definedName>
    <definedName name="Query2_8">"$#REF!.$#REF!$#REF!"</definedName>
    <definedName name="QV" localSheetId="8">#REF!</definedName>
    <definedName name="QV" localSheetId="10">#REF!</definedName>
    <definedName name="QV" localSheetId="29">#REF!</definedName>
    <definedName name="QV">#REF!</definedName>
    <definedName name="QVI" localSheetId="8">#REF!</definedName>
    <definedName name="QVI" localSheetId="10">#REF!</definedName>
    <definedName name="QVI" localSheetId="29">#REF!</definedName>
    <definedName name="QVI">#REF!</definedName>
    <definedName name="qw" localSheetId="21" hidden="1">{"'ridftotal'!$A$4:$S$27"}</definedName>
    <definedName name="qw" localSheetId="5">#REF!</definedName>
    <definedName name="qw" localSheetId="14" hidden="1">{"'ridftotal'!$A$4:$S$27"}</definedName>
    <definedName name="qw" localSheetId="29" hidden="1">{"'ridftotal'!$A$4:$S$27"}</definedName>
    <definedName name="qw" localSheetId="31" hidden="1">{"'ridftotal'!$A$4:$S$27"}</definedName>
    <definedName name="qw" hidden="1">{"'ridftotal'!$A$4:$S$27"}</definedName>
    <definedName name="r.ohsr.40.12.7" localSheetId="8">#REF!</definedName>
    <definedName name="r.ohsr.40.12.7" localSheetId="10">#REF!</definedName>
    <definedName name="r.ohsr.40.12.7" localSheetId="11">#REF!</definedName>
    <definedName name="r.ohsr.40.12.7" localSheetId="29">#REF!</definedName>
    <definedName name="r.ohsr.40.12.7">#REF!</definedName>
    <definedName name="r.ohsr.40.9.55" localSheetId="8">#REF!</definedName>
    <definedName name="r.ohsr.40.9.55" localSheetId="10">#REF!</definedName>
    <definedName name="r.ohsr.40.9.55" localSheetId="11">#REF!</definedName>
    <definedName name="r.ohsr.40.9.55" localSheetId="29">#REF!</definedName>
    <definedName name="r.ohsr.40.9.55">#REF!</definedName>
    <definedName name="r.ohsr.60.12.9" localSheetId="8">#REF!</definedName>
    <definedName name="r.ohsr.60.12.9" localSheetId="10">#REF!</definedName>
    <definedName name="r.ohsr.60.12.9" localSheetId="11">#REF!</definedName>
    <definedName name="r.ohsr.60.12.9" localSheetId="29">#REF!</definedName>
    <definedName name="r.ohsr.60.12.9">#REF!</definedName>
    <definedName name="r.ohsr.60.9.75" localSheetId="8">#REF!</definedName>
    <definedName name="r.ohsr.60.9.75" localSheetId="10">#REF!</definedName>
    <definedName name="r.ohsr.60.9.75" localSheetId="11">#REF!</definedName>
    <definedName name="r.ohsr.60.9.75" localSheetId="29">#REF!</definedName>
    <definedName name="r.ohsr.60.9.75">#REF!</definedName>
    <definedName name="R_SCSD_80100_33">#N/A</definedName>
    <definedName name="ra_33">"$#REF!.$#REF!$#REF!"</definedName>
    <definedName name="Rabbit" localSheetId="8">#REF!</definedName>
    <definedName name="Rabbit" localSheetId="10">#REF!</definedName>
    <definedName name="Rabbit" localSheetId="11">#REF!</definedName>
    <definedName name="Rabbit" localSheetId="29">#REF!</definedName>
    <definedName name="Rabbit">#REF!</definedName>
    <definedName name="raised_pointing" localSheetId="8">#REF!</definedName>
    <definedName name="raised_pointing" localSheetId="10">#REF!</definedName>
    <definedName name="raised_pointing" localSheetId="11">#REF!</definedName>
    <definedName name="raised_pointing" localSheetId="29">#REF!</definedName>
    <definedName name="raised_pointing">#REF!</definedName>
    <definedName name="raja" localSheetId="29">#REF!</definedName>
    <definedName name="raMA_23">#N/A</definedName>
    <definedName name="raMA_33">#N/A</definedName>
    <definedName name="raMA_34">#N/A</definedName>
    <definedName name="raMA_38">#N/A</definedName>
    <definedName name="raMA_41">#N/A</definedName>
    <definedName name="raMA_43">#N/A</definedName>
    <definedName name="raMA_48">#N/A</definedName>
    <definedName name="raMA_56">#N/A</definedName>
    <definedName name="raMA_57">#N/A</definedName>
    <definedName name="raMA_59">#N/A</definedName>
    <definedName name="raMA_60">#N/A</definedName>
    <definedName name="raMA_61">#N/A</definedName>
    <definedName name="raMA_62">#N/A</definedName>
    <definedName name="raMA_7">#N/A</definedName>
    <definedName name="raMA_72">#N/A</definedName>
    <definedName name="raMA_73">#N/A</definedName>
    <definedName name="raMA_8">#N/A</definedName>
    <definedName name="ramki" localSheetId="8">#REF!</definedName>
    <definedName name="ramki" localSheetId="10">#REF!</definedName>
    <definedName name="ramki" localSheetId="29">#REF!</definedName>
    <definedName name="ramki">#REF!</definedName>
    <definedName name="rangaraor" localSheetId="21">#REF!</definedName>
    <definedName name="rangaraor" localSheetId="5">#REF!</definedName>
    <definedName name="rangaraor" localSheetId="8">#REF!</definedName>
    <definedName name="rangaraor" localSheetId="10">#REF!</definedName>
    <definedName name="rangaraor" localSheetId="11">#REF!</definedName>
    <definedName name="rangaraor" localSheetId="29">#REF!</definedName>
    <definedName name="rangaraor" localSheetId="31">#REF!</definedName>
    <definedName name="rangaraor" localSheetId="35">#REF!</definedName>
    <definedName name="rangaraor" localSheetId="36">#REF!</definedName>
    <definedName name="rangaraor">#REF!</definedName>
    <definedName name="range">#REF!</definedName>
    <definedName name="rao">#REF!</definedName>
    <definedName name="ras" localSheetId="8">#REF!</definedName>
    <definedName name="ras" localSheetId="10">#REF!</definedName>
    <definedName name="ras" localSheetId="11">#REF!</definedName>
    <definedName name="ras" localSheetId="29">#REF!</definedName>
    <definedName name="ras">#REF!</definedName>
    <definedName name="rate_33">#REF!</definedName>
    <definedName name="rate_34">#REF!</definedName>
    <definedName name="rate10mm">#REF!</definedName>
    <definedName name="rate12mm">#REF!</definedName>
    <definedName name="rate20mmirc">#REF!</definedName>
    <definedName name="rate20ss">#REF!</definedName>
    <definedName name="rate40mmirc">#REF!</definedName>
    <definedName name="rate40ss">#REF!</definedName>
    <definedName name="rate50mm">#REF!</definedName>
    <definedName name="rate63mm">#REF!</definedName>
    <definedName name="rate6mm">#REF!</definedName>
    <definedName name="rategrl">#REF!</definedName>
    <definedName name="rates" localSheetId="21">#REF!</definedName>
    <definedName name="rates" localSheetId="5">#REF!</definedName>
    <definedName name="rates" localSheetId="8">#REF!</definedName>
    <definedName name="rates" localSheetId="10">#REF!</definedName>
    <definedName name="rates" localSheetId="11">#REF!</definedName>
    <definedName name="rates" localSheetId="29">#REF!</definedName>
    <definedName name="rates" localSheetId="31">#REF!</definedName>
    <definedName name="rates" localSheetId="35">#REF!</definedName>
    <definedName name="rates" localSheetId="36">#REF!</definedName>
    <definedName name="rates">#REF!</definedName>
    <definedName name="rates_33">"$#REF!.$#REF!$#REF!"</definedName>
    <definedName name="rates_34">"$#REF!.$#REF!$#REF!"</definedName>
    <definedName name="rates1" localSheetId="21">#REF!</definedName>
    <definedName name="rates1" localSheetId="5">#REF!</definedName>
    <definedName name="rates1" localSheetId="8">#REF!</definedName>
    <definedName name="rates1" localSheetId="10">#REF!</definedName>
    <definedName name="rates1" localSheetId="11">#REF!</definedName>
    <definedName name="rates1" localSheetId="29">#REF!</definedName>
    <definedName name="rates1" localSheetId="31">#REF!</definedName>
    <definedName name="rates1" localSheetId="35">#REF!</definedName>
    <definedName name="rates1" localSheetId="36">#REF!</definedName>
    <definedName name="rates1">#REF!</definedName>
    <definedName name="rates1_33">"$#REF!.$#REF!$#REF!"</definedName>
    <definedName name="rates1_34">"$#REF!.$#REF!$#REF!"</definedName>
    <definedName name="rates11" localSheetId="21">#REF!</definedName>
    <definedName name="rates11" localSheetId="5">#REF!</definedName>
    <definedName name="rates11" localSheetId="8">#REF!</definedName>
    <definedName name="rates11" localSheetId="10">#REF!</definedName>
    <definedName name="rates11" localSheetId="11">#REF!</definedName>
    <definedName name="rates11" localSheetId="29">#REF!</definedName>
    <definedName name="rates11" localSheetId="31">#REF!</definedName>
    <definedName name="rates11" localSheetId="35">#REF!</definedName>
    <definedName name="rates11" localSheetId="36">#REF!</definedName>
    <definedName name="rates11">#REF!</definedName>
    <definedName name="rates11_33">"$#REF!.$#REF!$#REF!"</definedName>
    <definedName name="rates11_34">"$#REF!.$#REF!$#REF!"</definedName>
    <definedName name="rates4" localSheetId="21">#REF!</definedName>
    <definedName name="rates4" localSheetId="5">#REF!</definedName>
    <definedName name="rates4" localSheetId="8">#REF!</definedName>
    <definedName name="rates4" localSheetId="10">#REF!</definedName>
    <definedName name="rates4" localSheetId="11">#REF!</definedName>
    <definedName name="rates4" localSheetId="29">#REF!</definedName>
    <definedName name="rates4" localSheetId="31">#REF!</definedName>
    <definedName name="rates4" localSheetId="35">#REF!</definedName>
    <definedName name="rates4" localSheetId="36">#REF!</definedName>
    <definedName name="rates4">#REF!</definedName>
    <definedName name="rates4_33">"$#REF!.$#REF!$#REF!"</definedName>
    <definedName name="rates4_34">"$#REF!.$#REF!$#REF!"</definedName>
    <definedName name="rb" localSheetId="29">#REF!</definedName>
    <definedName name="rbsw" localSheetId="8">#REF!</definedName>
    <definedName name="rbsw" localSheetId="10">#REF!</definedName>
    <definedName name="rbsw" localSheetId="11">#REF!</definedName>
    <definedName name="rbsw" localSheetId="29">#REF!</definedName>
    <definedName name="rbsw">#REF!</definedName>
    <definedName name="rbw" localSheetId="8">#REF!</definedName>
    <definedName name="rbw" localSheetId="10">#REF!</definedName>
    <definedName name="rbw" localSheetId="11">#REF!</definedName>
    <definedName name="rbw" localSheetId="29">#REF!</definedName>
    <definedName name="rbw">#REF!</definedName>
    <definedName name="RCArea" localSheetId="21" hidden="1">#REF!</definedName>
    <definedName name="RCArea" localSheetId="5" hidden="1">#REF!</definedName>
    <definedName name="RCArea" localSheetId="30" hidden="1">#REF!</definedName>
    <definedName name="RCArea" localSheetId="8" hidden="1">#REF!</definedName>
    <definedName name="RCArea" localSheetId="10" hidden="1">#REF!</definedName>
    <definedName name="RCArea" localSheetId="11" hidden="1">#REF!</definedName>
    <definedName name="RCArea" localSheetId="37" hidden="1">#REF!</definedName>
    <definedName name="RCArea" localSheetId="38" hidden="1">#REF!</definedName>
    <definedName name="RCArea" localSheetId="44" hidden="1">#REF!</definedName>
    <definedName name="RCArea" localSheetId="29" hidden="1">#REF!</definedName>
    <definedName name="RCArea" localSheetId="19" hidden="1">#REF!</definedName>
    <definedName name="RCArea" localSheetId="31" hidden="1">#REF!</definedName>
    <definedName name="RCArea" localSheetId="39" hidden="1">#REF!</definedName>
    <definedName name="RCArea" localSheetId="35" hidden="1">#REF!</definedName>
    <definedName name="RCArea" localSheetId="36" hidden="1">#REF!</definedName>
    <definedName name="RCArea" localSheetId="9" hidden="1">#REF!</definedName>
    <definedName name="RCArea" localSheetId="3" hidden="1">#REF!</definedName>
    <definedName name="RCArea" hidden="1">#REF!</definedName>
    <definedName name="RCC_M20_GuidePosts">#REF!</definedName>
    <definedName name="RCC_Railing" localSheetId="29">#REF!</definedName>
    <definedName name="RCL" localSheetId="14">#REF!</definedName>
    <definedName name="RCL" localSheetId="8">#REF!</definedName>
    <definedName name="RCL" localSheetId="10">#REF!</definedName>
    <definedName name="RCL" localSheetId="29">#REF!</definedName>
    <definedName name="RCL">#REF!</definedName>
    <definedName name="rcm_facia" localSheetId="8">#REF!</definedName>
    <definedName name="rcm_facia" localSheetId="10">#REF!</definedName>
    <definedName name="rcm_facia" localSheetId="11">#REF!</definedName>
    <definedName name="rcm_facia" localSheetId="29">#REF!</definedName>
    <definedName name="rcm_facia">#REF!</definedName>
    <definedName name="rcml">#REF!</definedName>
    <definedName name="rd" localSheetId="8">#REF!</definedName>
    <definedName name="rd" localSheetId="10">#REF!</definedName>
    <definedName name="rd" localSheetId="11">#REF!</definedName>
    <definedName name="rd" localSheetId="29">#REF!</definedName>
    <definedName name="rd">#REF!</definedName>
    <definedName name="rdm" localSheetId="8">#REF!</definedName>
    <definedName name="rdm" localSheetId="10">#REF!</definedName>
    <definedName name="rdm" localSheetId="11">#REF!</definedName>
    <definedName name="rdm" localSheetId="29">#REF!</definedName>
    <definedName name="rdm">#REF!</definedName>
    <definedName name="RECV" localSheetId="21">#REF!</definedName>
    <definedName name="RECV" localSheetId="5">#REF!</definedName>
    <definedName name="RECV" localSheetId="8">#REF!</definedName>
    <definedName name="RECV" localSheetId="10">#REF!</definedName>
    <definedName name="RECV" localSheetId="11">#REF!</definedName>
    <definedName name="RECV" localSheetId="29">#REF!</definedName>
    <definedName name="RECV" localSheetId="31">#REF!</definedName>
    <definedName name="RECV" localSheetId="35">#REF!</definedName>
    <definedName name="RECV" localSheetId="36">#REF!</definedName>
    <definedName name="RECV">#REF!</definedName>
    <definedName name="red" localSheetId="8">#REF!</definedName>
    <definedName name="red" localSheetId="10">#REF!</definedName>
    <definedName name="red" localSheetId="11">#REF!</definedName>
    <definedName name="red" localSheetId="29">#REF!</definedName>
    <definedName name="red">#REF!</definedName>
    <definedName name="refilling" localSheetId="29">#REF!</definedName>
    <definedName name="reil1">#REF!</definedName>
    <definedName name="rejgh">#REF!</definedName>
    <definedName name="RemovingStumps">#REF!</definedName>
    <definedName name="revet" localSheetId="29">#REF!</definedName>
    <definedName name="REVETMENT_23">#N/A</definedName>
    <definedName name="REVETMENT_33">#N/A</definedName>
    <definedName name="REVETMENT_34">#N/A</definedName>
    <definedName name="REVETMENT_38">#N/A</definedName>
    <definedName name="REVETMENT_41">#N/A</definedName>
    <definedName name="REVETMENT_43">#N/A</definedName>
    <definedName name="REVETMENT_48">#N/A</definedName>
    <definedName name="REVETMENT_57">#N/A</definedName>
    <definedName name="REVETMENT_59">#N/A</definedName>
    <definedName name="REVETMENT_60">#N/A</definedName>
    <definedName name="REVETMENT_61">#N/A</definedName>
    <definedName name="REVETMENT_62">#N/A</definedName>
    <definedName name="REVETMENT_7">#N/A</definedName>
    <definedName name="REVETMENT_72">#N/A</definedName>
    <definedName name="REVETMENT_73">#N/A</definedName>
    <definedName name="REVETMENT_8">#N/A</definedName>
    <definedName name="Revt.300">#REF!</definedName>
    <definedName name="rh" localSheetId="8">#REF!</definedName>
    <definedName name="rh" localSheetId="10">#REF!</definedName>
    <definedName name="rh" localSheetId="29">#REF!</definedName>
    <definedName name="rh">#REF!</definedName>
    <definedName name="RHL" localSheetId="14">#REF!</definedName>
    <definedName name="RHL" localSheetId="8">#REF!</definedName>
    <definedName name="RHL" localSheetId="10">#REF!</definedName>
    <definedName name="RHL" localSheetId="29">#REF!</definedName>
    <definedName name="RHL">#REF!</definedName>
    <definedName name="ri" localSheetId="5">#REF!</definedName>
    <definedName name="RI" localSheetId="8">#REF!</definedName>
    <definedName name="RI" localSheetId="10">#REF!</definedName>
    <definedName name="ri" localSheetId="11">#REF!</definedName>
    <definedName name="RI" localSheetId="29">#REF!</definedName>
    <definedName name="RI">#REF!</definedName>
    <definedName name="Ridf4_Prop__2_" localSheetId="21">#REF!</definedName>
    <definedName name="Ridf4_Prop__2_" localSheetId="5">#REF!</definedName>
    <definedName name="Ridf4_Prop__2_" localSheetId="8">#REF!</definedName>
    <definedName name="Ridf4_Prop__2_" localSheetId="10">#REF!</definedName>
    <definedName name="Ridf4_Prop__2_" localSheetId="11">#REF!</definedName>
    <definedName name="Ridf4_Prop__2_" localSheetId="29">#REF!</definedName>
    <definedName name="Ridf4_Prop__2_" localSheetId="31">#REF!</definedName>
    <definedName name="Ridf4_Prop__2_" localSheetId="35">#REF!</definedName>
    <definedName name="Ridf4_Prop__2_" localSheetId="36">#REF!</definedName>
    <definedName name="Ridf4_Prop__2_">#REF!</definedName>
    <definedName name="rii" localSheetId="5">#REF!</definedName>
    <definedName name="RII" localSheetId="8">#REF!</definedName>
    <definedName name="RII" localSheetId="10">#REF!</definedName>
    <definedName name="rii" localSheetId="11">#REF!</definedName>
    <definedName name="RII" localSheetId="29">#REF!</definedName>
    <definedName name="RII">#REF!</definedName>
    <definedName name="riii" localSheetId="5">#REF!</definedName>
    <definedName name="RIII" localSheetId="8">#REF!</definedName>
    <definedName name="RIII" localSheetId="10">#REF!</definedName>
    <definedName name="riii" localSheetId="11">#REF!</definedName>
    <definedName name="RIII" localSheetId="29">#REF!</definedName>
    <definedName name="RIII">#REF!</definedName>
    <definedName name="riser_shahbad" localSheetId="8">#REF!</definedName>
    <definedName name="riser_shahbad" localSheetId="10">#REF!</definedName>
    <definedName name="riser_shahbad" localSheetId="11">#REF!</definedName>
    <definedName name="riser_shahbad" localSheetId="29">#REF!</definedName>
    <definedName name="riser_shahbad">#REF!</definedName>
    <definedName name="riufghr">#REF!</definedName>
    <definedName name="rk" localSheetId="5">#REF!</definedName>
    <definedName name="rk" localSheetId="8">#REF!</definedName>
    <definedName name="rk" localSheetId="10">#REF!</definedName>
    <definedName name="rk" localSheetId="29">#REF!</definedName>
    <definedName name="rk" localSheetId="31">#REF!</definedName>
    <definedName name="rk">#REF!</definedName>
    <definedName name="RO" localSheetId="8">#REF!</definedName>
    <definedName name="RO" localSheetId="10">#REF!</definedName>
    <definedName name="RO" localSheetId="29">#REF!</definedName>
    <definedName name="RO">#REF!</definedName>
    <definedName name="road.">#REF!</definedName>
    <definedName name="road_23">#N/A</definedName>
    <definedName name="road_33">#N/A</definedName>
    <definedName name="road_34">#N/A</definedName>
    <definedName name="road_38">#N/A</definedName>
    <definedName name="road_41">#N/A</definedName>
    <definedName name="road_43">#N/A</definedName>
    <definedName name="road_48">#N/A</definedName>
    <definedName name="road_57">#N/A</definedName>
    <definedName name="road_59">#N/A</definedName>
    <definedName name="road_60">#N/A</definedName>
    <definedName name="road_61">#N/A</definedName>
    <definedName name="road_62">#N/A</definedName>
    <definedName name="road_7">#N/A</definedName>
    <definedName name="road_72">#N/A</definedName>
    <definedName name="road_73">#N/A</definedName>
    <definedName name="road_8">#N/A</definedName>
    <definedName name="Road_Section_No_">#REF!</definedName>
    <definedName name="ROI" localSheetId="14">#REF!</definedName>
    <definedName name="ROI" localSheetId="8">#REF!</definedName>
    <definedName name="ROI" localSheetId="10">#REF!</definedName>
    <definedName name="ROI" localSheetId="29">#REF!</definedName>
    <definedName name="ROI">#REF!</definedName>
    <definedName name="rokkt">#REF!</definedName>
    <definedName name="rr" localSheetId="11">#REF!</definedName>
    <definedName name="rr_blast" localSheetId="29">#REF!</definedName>
    <definedName name="rr_stone" localSheetId="8">#REF!</definedName>
    <definedName name="rr_stone" localSheetId="10">#REF!</definedName>
    <definedName name="rr_stone" localSheetId="11">#REF!</definedName>
    <definedName name="rr_stone" localSheetId="29">#REF!</definedName>
    <definedName name="rr_stone">#REF!</definedName>
    <definedName name="rr3_33">#REF!</definedName>
    <definedName name="rr3_34">#REF!</definedName>
    <definedName name="rrr1_33">#REF!</definedName>
    <definedName name="rrr1_34">#REF!</definedName>
    <definedName name="rrwrw">#REF!</definedName>
    <definedName name="RS" localSheetId="8">#REF!</definedName>
    <definedName name="RS" localSheetId="10">#REF!</definedName>
    <definedName name="rs" localSheetId="11">#REF!</definedName>
    <definedName name="RS" localSheetId="29">#REF!</definedName>
    <definedName name="RS">#REF!</definedName>
    <definedName name="Rt.data">#REF!</definedName>
    <definedName name="rtcf" localSheetId="8">#REF!</definedName>
    <definedName name="rtcf" localSheetId="10">#REF!</definedName>
    <definedName name="rtcf" localSheetId="11">#REF!</definedName>
    <definedName name="rtcf" localSheetId="29">#REF!</definedName>
    <definedName name="rtcf">#REF!</definedName>
    <definedName name="rtcfo" localSheetId="8">#REF!</definedName>
    <definedName name="rtcfo" localSheetId="10">#REF!</definedName>
    <definedName name="rtcfo" localSheetId="11">#REF!</definedName>
    <definedName name="rtcfo" localSheetId="29">#REF!</definedName>
    <definedName name="rtcfo">#REF!</definedName>
    <definedName name="RTGOI">#REF!</definedName>
    <definedName name="RW" localSheetId="14">#REF!</definedName>
    <definedName name="RW" localSheetId="8">#REF!</definedName>
    <definedName name="RW" localSheetId="10">#REF!</definedName>
    <definedName name="RW" localSheetId="29">#REF!</definedName>
    <definedName name="RW">#REF!</definedName>
    <definedName name="rwm" localSheetId="8">#REF!</definedName>
    <definedName name="rwm" localSheetId="10">#REF!</definedName>
    <definedName name="rwm" localSheetId="11">#REF!</definedName>
    <definedName name="rwm" localSheetId="29">#REF!</definedName>
    <definedName name="rwm">#REF!</definedName>
    <definedName name="RWS" localSheetId="21">#REF!</definedName>
    <definedName name="RWS" localSheetId="5">#REF!</definedName>
    <definedName name="RWS" localSheetId="8">#REF!</definedName>
    <definedName name="RWS" localSheetId="10">#REF!</definedName>
    <definedName name="RWS" localSheetId="11">#REF!</definedName>
    <definedName name="RWS" localSheetId="29">#REF!</definedName>
    <definedName name="RWS" localSheetId="31">#REF!</definedName>
    <definedName name="RWS" localSheetId="35">#REF!</definedName>
    <definedName name="RWS" localSheetId="36">#REF!</definedName>
    <definedName name="RWS">#REF!</definedName>
    <definedName name="S" localSheetId="21">#REF!</definedName>
    <definedName name="s" localSheetId="5">#REF!</definedName>
    <definedName name="s" localSheetId="8">#REF!</definedName>
    <definedName name="s" localSheetId="10">#REF!</definedName>
    <definedName name="s" localSheetId="11">#REF!</definedName>
    <definedName name="s" localSheetId="29">#REF!</definedName>
    <definedName name="s" localSheetId="31">#REF!</definedName>
    <definedName name="s" localSheetId="35">#REF!</definedName>
    <definedName name="s" localSheetId="36">#REF!</definedName>
    <definedName name="s">#REF!</definedName>
    <definedName name="s_33">"$#REF!.$#REF!$#REF!"</definedName>
    <definedName name="s_34">"$#REF!.$#REF!$#REF!"</definedName>
    <definedName name="sa_33">#N/A</definedName>
    <definedName name="sa_38">#N/A</definedName>
    <definedName name="sa_41">#N/A</definedName>
    <definedName name="sa_7">#N/A</definedName>
    <definedName name="sa_8">#N/A</definedName>
    <definedName name="sad" localSheetId="21" hidden="1">{"'ridftotal'!$A$4:$S$27"}</definedName>
    <definedName name="sad" localSheetId="14" hidden="1">{"'ridftotal'!$A$4:$S$27"}</definedName>
    <definedName name="sad" localSheetId="29" hidden="1">{"'ridftotal'!$A$4:$S$27"}</definedName>
    <definedName name="sad" localSheetId="31" hidden="1">{"'ridftotal'!$A$4:$S$27"}</definedName>
    <definedName name="sad" hidden="1">{"'ridftotal'!$A$4:$S$27"}</definedName>
    <definedName name="sadfas" localSheetId="21">#REF!</definedName>
    <definedName name="sadfas" localSheetId="5">#REF!</definedName>
    <definedName name="sadfas" localSheetId="8">#REF!</definedName>
    <definedName name="sadfas" localSheetId="10">#REF!</definedName>
    <definedName name="sadfas" localSheetId="11">#REF!</definedName>
    <definedName name="sadfas" localSheetId="29">#REF!</definedName>
    <definedName name="sadfas" localSheetId="31">#REF!</definedName>
    <definedName name="sadfas" localSheetId="35">#REF!</definedName>
    <definedName name="sadfas" localSheetId="36">#REF!</definedName>
    <definedName name="sadfas">#REF!</definedName>
    <definedName name="sadfas_33">"$#REF!.$#REF!$#REF!"</definedName>
    <definedName name="sadfas_34">"$#REF!.$#REF!$#REF!"</definedName>
    <definedName name="sai" localSheetId="5">#REF!</definedName>
    <definedName name="sai" localSheetId="8">#REF!</definedName>
    <definedName name="sai" localSheetId="10">#REF!</definedName>
    <definedName name="sai" localSheetId="11">#REF!</definedName>
    <definedName name="sai" localSheetId="29">#REF!</definedName>
    <definedName name="sai" localSheetId="31">#REF!</definedName>
    <definedName name="sai">#REF!</definedName>
    <definedName name="Sand_screened" localSheetId="8">#REF!</definedName>
    <definedName name="Sand_screened" localSheetId="10">#REF!</definedName>
    <definedName name="Sand_screened" localSheetId="11">#REF!</definedName>
    <definedName name="Sand_screened" localSheetId="29">#REF!</definedName>
    <definedName name="Sand_screened">#REF!</definedName>
    <definedName name="SAND1" localSheetId="29">#REF!</definedName>
    <definedName name="SANDFILLING" localSheetId="5">#REF!</definedName>
    <definedName name="SANDFILLING" localSheetId="8">#REF!</definedName>
    <definedName name="SANDFILLING" localSheetId="10">#REF!</definedName>
    <definedName name="sandfilling" localSheetId="11">#REF!</definedName>
    <definedName name="SANDFILLING" localSheetId="29">#REF!</definedName>
    <definedName name="SANDFILLING" localSheetId="31">#REF!</definedName>
    <definedName name="SANDFILLING">#REF!</definedName>
    <definedName name="sandmortar" localSheetId="8">#REF!</definedName>
    <definedName name="sandmortar" localSheetId="10">#REF!</definedName>
    <definedName name="sandmortar" localSheetId="11">#REF!</definedName>
    <definedName name="sandmortar" localSheetId="29">#REF!</definedName>
    <definedName name="sandmortar">#REF!</definedName>
    <definedName name="sandscreen" localSheetId="8">#REF!</definedName>
    <definedName name="sandscreen" localSheetId="10">#REF!</definedName>
    <definedName name="sandscreen" localSheetId="11">#REF!</definedName>
    <definedName name="sandscreen" localSheetId="29">#REF!</definedName>
    <definedName name="sandscreen">#REF!</definedName>
    <definedName name="SASA">#REF!</definedName>
    <definedName name="sb">#REF!</definedName>
    <definedName name="sbc" localSheetId="8">#REF!</definedName>
    <definedName name="sbc" localSheetId="10">#REF!</definedName>
    <definedName name="sbc" localSheetId="11">#REF!</definedName>
    <definedName name="sbc" localSheetId="29">#REF!</definedName>
    <definedName name="sbc">#REF!</definedName>
    <definedName name="sbl">#REF!</definedName>
    <definedName name="sbw">#REF!</definedName>
    <definedName name="sc" localSheetId="8">#REF!</definedName>
    <definedName name="sc" localSheetId="10">#REF!</definedName>
    <definedName name="sc" localSheetId="29">#REF!</definedName>
    <definedName name="sc">#REF!</definedName>
    <definedName name="sc_earth" localSheetId="8">#REF!</definedName>
    <definedName name="sc_earth" localSheetId="10">#REF!</definedName>
    <definedName name="sc_earth" localSheetId="29">#REF!</definedName>
    <definedName name="sc_earth" localSheetId="31">#REF!</definedName>
    <definedName name="sc_earth">#REF!</definedName>
    <definedName name="sc_metal" localSheetId="8">#REF!</definedName>
    <definedName name="sc_metal" localSheetId="10">#REF!</definedName>
    <definedName name="sc_metal" localSheetId="29">#REF!</definedName>
    <definedName name="sc_metal" localSheetId="31">#REF!</definedName>
    <definedName name="sc_metal">#REF!</definedName>
    <definedName name="sc_sand" localSheetId="8">#REF!</definedName>
    <definedName name="sc_sand" localSheetId="10">#REF!</definedName>
    <definedName name="sc_sand" localSheetId="29">#REF!</definedName>
    <definedName name="sc_sand" localSheetId="31">#REF!</definedName>
    <definedName name="sc_sand">#REF!</definedName>
    <definedName name="SC2MV" localSheetId="8">#REF!</definedName>
    <definedName name="SC2MV" localSheetId="10">#REF!</definedName>
    <definedName name="SC2MV" localSheetId="29">#REF!</definedName>
    <definedName name="SC2MV">#REF!</definedName>
    <definedName name="scafhire" localSheetId="8">#REF!</definedName>
    <definedName name="scafhire" localSheetId="10">#REF!</definedName>
    <definedName name="scafhire" localSheetId="11">#REF!</definedName>
    <definedName name="scafhire" localSheetId="29">#REF!</definedName>
    <definedName name="scafhire">#REF!</definedName>
    <definedName name="scafhirechr" localSheetId="8">#REF!</definedName>
    <definedName name="scafhirechr" localSheetId="10">#REF!</definedName>
    <definedName name="scafhirechr" localSheetId="11">#REF!</definedName>
    <definedName name="scafhirechr" localSheetId="29">#REF!</definedName>
    <definedName name="scafhirechr">#REF!</definedName>
    <definedName name="scafhirechr1.24" localSheetId="8">#REF!</definedName>
    <definedName name="scafhirechr1.24" localSheetId="10">#REF!</definedName>
    <definedName name="scafhirechr1.24" localSheetId="11">#REF!</definedName>
    <definedName name="scafhirechr1.24" localSheetId="29">#REF!</definedName>
    <definedName name="scafhirechr1.24">#REF!</definedName>
    <definedName name="scafhirechr115" localSheetId="8">#REF!</definedName>
    <definedName name="scafhirechr115" localSheetId="10">#REF!</definedName>
    <definedName name="scafhirechr115" localSheetId="11">#REF!</definedName>
    <definedName name="scafhirechr115" localSheetId="29">#REF!</definedName>
    <definedName name="scafhirechr115">#REF!</definedName>
    <definedName name="scale">#REF!</definedName>
    <definedName name="Scarifying_BT">#REF!</definedName>
    <definedName name="Scarifying_Gravel">#REF!</definedName>
    <definedName name="Scarifying_Gravel_lift1Km.">#REF!</definedName>
    <definedName name="Scarifying_Gravel_VRolling">#REF!</definedName>
    <definedName name="SDBC" localSheetId="29">#REF!</definedName>
    <definedName name="sdf" localSheetId="21" hidden="1">{"'ridftotal'!$A$4:$S$27"}</definedName>
    <definedName name="sdf" localSheetId="14" hidden="1">{"'ridftotal'!$A$4:$S$27"}</definedName>
    <definedName name="sdf" localSheetId="29" hidden="1">{"'ridftotal'!$A$4:$S$27"}</definedName>
    <definedName name="sdf" localSheetId="31" hidden="1">{"'ridftotal'!$A$4:$S$27"}</definedName>
    <definedName name="sdf" hidden="1">{"'ridftotal'!$A$4:$S$27"}</definedName>
    <definedName name="sdfd" localSheetId="21" hidden="1">{"'ridftotal'!$A$4:$S$27"}</definedName>
    <definedName name="sdfd" localSheetId="14" hidden="1">{"'ridftotal'!$A$4:$S$27"}</definedName>
    <definedName name="sdfd" localSheetId="29" hidden="1">{"'ridftotal'!$A$4:$S$27"}</definedName>
    <definedName name="sdfd" localSheetId="31" hidden="1">{"'ridftotal'!$A$4:$S$27"}</definedName>
    <definedName name="sdfd" hidden="1">{"'ridftotal'!$A$4:$S$27"}</definedName>
    <definedName name="sdfdfdfdf" localSheetId="21" hidden="1">{"'ridftotal'!$A$4:$S$27"}</definedName>
    <definedName name="sdfdfdfdf" localSheetId="14" hidden="1">{"'ridftotal'!$A$4:$S$27"}</definedName>
    <definedName name="sdfdfdfdf" localSheetId="29" hidden="1">{"'ridftotal'!$A$4:$S$27"}</definedName>
    <definedName name="sdfdfdfdf" localSheetId="31" hidden="1">{"'ridftotal'!$A$4:$S$27"}</definedName>
    <definedName name="sdfdfdfdf" hidden="1">{"'ridftotal'!$A$4:$S$27"}</definedName>
    <definedName name="sdfok">#REF!</definedName>
    <definedName name="sdfsadfsd" localSheetId="5">#REF!</definedName>
    <definedName name="sdfsadfsd" localSheetId="8">#REF!</definedName>
    <definedName name="sdfsadfsd" localSheetId="10">#REF!</definedName>
    <definedName name="sdfsadfsd" localSheetId="29">#REF!</definedName>
    <definedName name="sdfsadfsd">#REF!</definedName>
    <definedName name="sds" localSheetId="21" hidden="1">{"'ridftotal'!$A$4:$S$27"}</definedName>
    <definedName name="sds" localSheetId="14" hidden="1">{"'ridftotal'!$A$4:$S$27"}</definedName>
    <definedName name="sds" localSheetId="29" hidden="1">{"'ridftotal'!$A$4:$S$27"}</definedName>
    <definedName name="sds" localSheetId="31" hidden="1">{"'ridftotal'!$A$4:$S$27"}</definedName>
    <definedName name="sds" hidden="1">{"'ridftotal'!$A$4:$S$27"}</definedName>
    <definedName name="sdsD" localSheetId="21">#REF!</definedName>
    <definedName name="sdsD" localSheetId="5">#REF!</definedName>
    <definedName name="sdsD" localSheetId="8">#REF!</definedName>
    <definedName name="sdsD" localSheetId="10">#REF!</definedName>
    <definedName name="sdsD" localSheetId="11">#REF!</definedName>
    <definedName name="sdsD" localSheetId="29">#REF!</definedName>
    <definedName name="sdsD" localSheetId="31">#REF!</definedName>
    <definedName name="sdsD" localSheetId="35">#REF!</definedName>
    <definedName name="sdsD" localSheetId="36">#REF!</definedName>
    <definedName name="sdsD">#REF!</definedName>
    <definedName name="sdwessdwe">#REF!</definedName>
    <definedName name="SE" localSheetId="21">#REF!</definedName>
    <definedName name="SE">#REF!</definedName>
    <definedName name="se_33">#N/A</definedName>
    <definedName name="se_34">#N/A</definedName>
    <definedName name="se_38">#N/A</definedName>
    <definedName name="se_41">#N/A</definedName>
    <definedName name="se_7">#N/A</definedName>
    <definedName name="se_8">#N/A</definedName>
    <definedName name="searth" localSheetId="5">#REF!</definedName>
    <definedName name="searth" localSheetId="8">#REF!</definedName>
    <definedName name="searth" localSheetId="10">#REF!</definedName>
    <definedName name="searth" localSheetId="11">#REF!</definedName>
    <definedName name="searth" localSheetId="29">#REF!</definedName>
    <definedName name="searth" localSheetId="31">#REF!</definedName>
    <definedName name="searth">#REF!</definedName>
    <definedName name="sectorwise" localSheetId="21">#REF!</definedName>
    <definedName name="sectorwise" localSheetId="5">#REF!</definedName>
    <definedName name="sectorwise" localSheetId="8">#REF!</definedName>
    <definedName name="sectorwise" localSheetId="10">#REF!</definedName>
    <definedName name="sectorwise" localSheetId="11">#REF!</definedName>
    <definedName name="sectorwise" localSheetId="29">#REF!</definedName>
    <definedName name="sectorwise" localSheetId="31">#REF!</definedName>
    <definedName name="sectorwise" localSheetId="35">#REF!</definedName>
    <definedName name="sectorwise" localSheetId="36">#REF!</definedName>
    <definedName name="sectorwise">#REF!</definedName>
    <definedName name="sei" localSheetId="29">#REF!</definedName>
    <definedName name="seig_earth" localSheetId="29">#REF!</definedName>
    <definedName name="seig_gravel">#REF!</definedName>
    <definedName name="seig_metal">#REF!</definedName>
    <definedName name="seig_sand">#REF!</definedName>
    <definedName name="sein" localSheetId="21">#REF!</definedName>
    <definedName name="sein" localSheetId="5">#REF!</definedName>
    <definedName name="sein" localSheetId="8">#REF!</definedName>
    <definedName name="sein" localSheetId="10">#REF!</definedName>
    <definedName name="sein" localSheetId="11">#REF!</definedName>
    <definedName name="sein" localSheetId="29">#REF!</definedName>
    <definedName name="sein" localSheetId="31">#REF!</definedName>
    <definedName name="sein" localSheetId="35">#REF!</definedName>
    <definedName name="sein" localSheetId="36">#REF!</definedName>
    <definedName name="sein">#REF!</definedName>
    <definedName name="sein_33">"$#REF!.$#REF!$#REF!"</definedName>
    <definedName name="sein_34">"$#REF!.$#REF!$#REF!"</definedName>
    <definedName name="sein1" localSheetId="21">#REF!</definedName>
    <definedName name="sein1" localSheetId="5">#REF!</definedName>
    <definedName name="sein1" localSheetId="8">#REF!</definedName>
    <definedName name="sein1" localSheetId="10">#REF!</definedName>
    <definedName name="sein1" localSheetId="11">#REF!</definedName>
    <definedName name="sein1" localSheetId="29">#REF!</definedName>
    <definedName name="sein1" localSheetId="31">#REF!</definedName>
    <definedName name="sein1" localSheetId="35">#REF!</definedName>
    <definedName name="sein1" localSheetId="36">#REF!</definedName>
    <definedName name="sein1">#REF!</definedName>
    <definedName name="sein1_33">"$#REF!.$#REF!$#REF!"</definedName>
    <definedName name="sein1_34">"$#REF!.$#REF!$#REF!"</definedName>
    <definedName name="sein4" localSheetId="21">#REF!</definedName>
    <definedName name="sein4" localSheetId="5">#REF!</definedName>
    <definedName name="sein4" localSheetId="8">#REF!</definedName>
    <definedName name="sein4" localSheetId="10">#REF!</definedName>
    <definedName name="sein4" localSheetId="11">#REF!</definedName>
    <definedName name="sein4" localSheetId="29">#REF!</definedName>
    <definedName name="sein4" localSheetId="31">#REF!</definedName>
    <definedName name="sein4" localSheetId="35">#REF!</definedName>
    <definedName name="sein4" localSheetId="36">#REF!</definedName>
    <definedName name="sein4">#REF!</definedName>
    <definedName name="sein4_33">"$#REF!.$#REF!$#REF!"</definedName>
    <definedName name="sein4_34">"$#REF!.$#REF!$#REF!"</definedName>
    <definedName name="SelectD1OrC1" localSheetId="29">#REF!</definedName>
    <definedName name="SelectLessOrExcess">#REF!</definedName>
    <definedName name="SEM" localSheetId="29">#REF!</definedName>
    <definedName name="seonalnew" localSheetId="21">#REF!</definedName>
    <definedName name="seonalnew" localSheetId="5">#REF!</definedName>
    <definedName name="seonalnew" localSheetId="8">#REF!</definedName>
    <definedName name="seonalnew" localSheetId="10">#REF!</definedName>
    <definedName name="seonalnew" localSheetId="11">#REF!</definedName>
    <definedName name="seonalnew" localSheetId="29">#REF!</definedName>
    <definedName name="seonalnew" localSheetId="31">#REF!</definedName>
    <definedName name="seonalnew" localSheetId="35">#REF!</definedName>
    <definedName name="seonalnew" localSheetId="36">#REF!</definedName>
    <definedName name="seonalnew">#REF!</definedName>
    <definedName name="SES">#REF!</definedName>
    <definedName name="SEVENTOTHIRTEEN" localSheetId="5">#REF!</definedName>
    <definedName name="SEVENTOTHIRTEEN" localSheetId="8">#REF!</definedName>
    <definedName name="SEVENTOTHIRTEEN" localSheetId="10">#REF!</definedName>
    <definedName name="SEVENTOTHIRTEEN" localSheetId="29">#REF!</definedName>
    <definedName name="SEVENTOTHIRTEEN" localSheetId="31">#REF!</definedName>
    <definedName name="SEVENTOTHIRTEEN">#REF!</definedName>
    <definedName name="sf" localSheetId="8">#REF!</definedName>
    <definedName name="sf" localSheetId="10">#REF!</definedName>
    <definedName name="sf" localSheetId="29">#REF!</definedName>
    <definedName name="sf" localSheetId="31">#REF!</definedName>
    <definedName name="sf">#REF!</definedName>
    <definedName name="sheet_32">#REF!</definedName>
    <definedName name="sheet_43">#REF!</definedName>
    <definedName name="sheet_56">#REF!</definedName>
    <definedName name="sheet_59">#REF!</definedName>
    <definedName name="sheet_61">#REF!</definedName>
    <definedName name="sheet1">#REF!</definedName>
    <definedName name="Sheet2_23">#N/A</definedName>
    <definedName name="Sheet2_33">#N/A</definedName>
    <definedName name="Sheet2_38">#N/A</definedName>
    <definedName name="Sheet2_41">#N/A</definedName>
    <definedName name="Sheet2_43">#N/A</definedName>
    <definedName name="Sheet2_48">#N/A</definedName>
    <definedName name="Sheet2_57">#N/A</definedName>
    <definedName name="Sheet2_59">#N/A</definedName>
    <definedName name="Sheet2_60">#N/A</definedName>
    <definedName name="Sheet2_61">#N/A</definedName>
    <definedName name="Sheet2_62">#N/A</definedName>
    <definedName name="Sheet2_7">#N/A</definedName>
    <definedName name="Sheet2_72">#N/A</definedName>
    <definedName name="Sheet2_73">#N/A</definedName>
    <definedName name="Sheet2_8">#N/A</definedName>
    <definedName name="SHOULDERS" localSheetId="5">#REF!</definedName>
    <definedName name="SHOULDERS" localSheetId="8">#REF!</definedName>
    <definedName name="SHOULDERS" localSheetId="10">#REF!</definedName>
    <definedName name="SHOULDERS" localSheetId="11">#REF!</definedName>
    <definedName name="SHOULDERS" localSheetId="29">#REF!</definedName>
    <definedName name="SHOULDERS" localSheetId="31">#REF!</definedName>
    <definedName name="SHOULDERS">#REF!</definedName>
    <definedName name="Shyam" localSheetId="5">#REF!</definedName>
    <definedName name="Shyam" localSheetId="8">#REF!</definedName>
    <definedName name="Shyam" localSheetId="10">#REF!</definedName>
    <definedName name="Shyam" localSheetId="29">#REF!</definedName>
    <definedName name="Shyam" localSheetId="31">#REF!</definedName>
    <definedName name="Shyam">#REF!</definedName>
    <definedName name="si" localSheetId="8">#REF!</definedName>
    <definedName name="si" localSheetId="10">#REF!</definedName>
    <definedName name="si" localSheetId="11">#REF!</definedName>
    <definedName name="si" localSheetId="29">#REF!</definedName>
    <definedName name="si">#REF!</definedName>
    <definedName name="SIDEWALL" localSheetId="8">#REF!</definedName>
    <definedName name="SIDEWALL" localSheetId="10">#REF!</definedName>
    <definedName name="SIDEWALL" localSheetId="11">#REF!</definedName>
    <definedName name="SIDEWALL" localSheetId="29">#REF!</definedName>
    <definedName name="SIDEWALL">#REF!</definedName>
    <definedName name="SIDEWALLSONETOSIX" localSheetId="5">#REF!</definedName>
    <definedName name="SIDEWALLSONETOSIX" localSheetId="8">#REF!</definedName>
    <definedName name="SIDEWALLSONETOSIX" localSheetId="10">#REF!</definedName>
    <definedName name="SIDEWALLSONETOSIX" localSheetId="29">#REF!</definedName>
    <definedName name="SIDEWALLSONETOSIX" localSheetId="31">#REF!</definedName>
    <definedName name="SIDEWALLSONETOSIX">#REF!</definedName>
    <definedName name="SIDEWALLSSEVENTOTHIRTEEN" localSheetId="5">#REF!</definedName>
    <definedName name="SIDEWALLSSEVENTOTHIRTEEN" localSheetId="8">#REF!</definedName>
    <definedName name="SIDEWALLSSEVENTOTHIRTEEN" localSheetId="10">#REF!</definedName>
    <definedName name="SIDEWALLSSEVENTOTHIRTEEN" localSheetId="29">#REF!</definedName>
    <definedName name="SIDEWALLSSEVENTOTHIRTEEN" localSheetId="31">#REF!</definedName>
    <definedName name="SIDEWALLSSEVENTOTHIRTEEN">#REF!</definedName>
    <definedName name="sir" localSheetId="5">#REF!</definedName>
    <definedName name="sir" localSheetId="8">#REF!</definedName>
    <definedName name="sir" localSheetId="10">#REF!</definedName>
    <definedName name="sir" localSheetId="29">#REF!</definedName>
    <definedName name="sir" localSheetId="31">#REF!</definedName>
    <definedName name="sir">#REF!</definedName>
    <definedName name="SIXTOTHIRTEEN" localSheetId="5">#REF!</definedName>
    <definedName name="SIXTOTHIRTEEN" localSheetId="8">#REF!</definedName>
    <definedName name="SIXTOTHIRTEEN" localSheetId="10">#REF!</definedName>
    <definedName name="SIXTOTHIRTEEN" localSheetId="29">#REF!</definedName>
    <definedName name="SIXTOTHIRTEEN" localSheetId="31">#REF!</definedName>
    <definedName name="SIXTOTHIRTEEN">#REF!</definedName>
    <definedName name="SKDIRD" localSheetId="21" hidden="1">{"'ridftotal'!$A$4:$S$27"}</definedName>
    <definedName name="SKDIRD" localSheetId="14" hidden="1">{"'ridftotal'!$A$4:$S$27"}</definedName>
    <definedName name="SKDIRD" localSheetId="11" hidden="1">{"'ridftotal'!$A$4:$S$27"}</definedName>
    <definedName name="SKDIRD" localSheetId="44" hidden="1">{"'ridftotal'!$A$4:$S$27"}</definedName>
    <definedName name="SKDIRD" localSheetId="29" hidden="1">{"'ridftotal'!$A$4:$S$27"}</definedName>
    <definedName name="SKDIRD" localSheetId="19" hidden="1">{"'ridftotal'!$A$4:$S$27"}</definedName>
    <definedName name="SKDIRD" localSheetId="31" hidden="1">{"'ridftotal'!$A$4:$S$27"}</definedName>
    <definedName name="SKDIRD" localSheetId="9" hidden="1">{"'ridftotal'!$A$4:$S$27"}</definedName>
    <definedName name="SKDIRD" localSheetId="3" hidden="1">{"'ridftotal'!$A$4:$S$27"}</definedName>
    <definedName name="SKDIRD" hidden="1">{"'ridftotal'!$A$4:$S$27"}</definedName>
    <definedName name="skirting_shahbad" localSheetId="8">#REF!</definedName>
    <definedName name="skirting_shahbad" localSheetId="10">#REF!</definedName>
    <definedName name="skirting_shahbad" localSheetId="11">#REF!</definedName>
    <definedName name="skirting_shahbad" localSheetId="29">#REF!</definedName>
    <definedName name="skirting_shahbad">#REF!</definedName>
    <definedName name="SL" localSheetId="8">#REF!</definedName>
    <definedName name="SL" localSheetId="10">#REF!</definedName>
    <definedName name="SL" localSheetId="29">#REF!</definedName>
    <definedName name="SL">#REF!</definedName>
    <definedName name="sluicevalve" localSheetId="5">#REF!</definedName>
    <definedName name="sluicevalve" localSheetId="8">#REF!</definedName>
    <definedName name="sluicevalve" localSheetId="10">#REF!</definedName>
    <definedName name="sluicevalve" localSheetId="29">#REF!</definedName>
    <definedName name="sluicevalve" localSheetId="31">#REF!</definedName>
    <definedName name="sluicevalve">#REF!</definedName>
    <definedName name="SLUICEVALVES" localSheetId="5">#REF!</definedName>
    <definedName name="SLUICEVALVES" localSheetId="8">#REF!</definedName>
    <definedName name="SLUICEVALVES" localSheetId="10">#REF!</definedName>
    <definedName name="SLUICEVALVES" localSheetId="29">#REF!</definedName>
    <definedName name="SLUICEVALVES" localSheetId="31">#REF!</definedName>
    <definedName name="SLUICEVALVES">#REF!</definedName>
    <definedName name="sm" localSheetId="8">#REF!</definedName>
    <definedName name="sm" localSheetId="10">#REF!</definedName>
    <definedName name="sm" localSheetId="29">#REF!</definedName>
    <definedName name="sm" localSheetId="31">#REF!</definedName>
    <definedName name="sm">#REF!</definedName>
    <definedName name="sma">#REF!</definedName>
    <definedName name="smetal" localSheetId="5">#REF!</definedName>
    <definedName name="smetal" localSheetId="8">#REF!</definedName>
    <definedName name="smetal" localSheetId="10">#REF!</definedName>
    <definedName name="smetal" localSheetId="11">#REF!</definedName>
    <definedName name="smetal" localSheetId="29">#REF!</definedName>
    <definedName name="smetal" localSheetId="31">#REF!</definedName>
    <definedName name="smetal">#REF!</definedName>
    <definedName name="Soling">#REF!</definedName>
    <definedName name="sp">#REF!</definedName>
    <definedName name="sp002a" localSheetId="8">#REF!</definedName>
    <definedName name="sp002a" localSheetId="10">#REF!</definedName>
    <definedName name="sp002a" localSheetId="11">#REF!</definedName>
    <definedName name="sp002a" localSheetId="29">#REF!</definedName>
    <definedName name="sp002a">#REF!</definedName>
    <definedName name="sp004a" localSheetId="8">#REF!</definedName>
    <definedName name="sp004a" localSheetId="10">#REF!</definedName>
    <definedName name="sp004a" localSheetId="11">#REF!</definedName>
    <definedName name="sp004a" localSheetId="29">#REF!</definedName>
    <definedName name="sp004a">#REF!</definedName>
    <definedName name="SP005A" localSheetId="8">#REF!</definedName>
    <definedName name="SP005A" localSheetId="10">#REF!</definedName>
    <definedName name="SP005A" localSheetId="11">#REF!</definedName>
    <definedName name="SP005A" localSheetId="29">#REF!</definedName>
    <definedName name="SP005A">#REF!</definedName>
    <definedName name="SP022a" localSheetId="8">#REF!</definedName>
    <definedName name="SP022a" localSheetId="10">#REF!</definedName>
    <definedName name="SP022a" localSheetId="11">#REF!</definedName>
    <definedName name="SP022a" localSheetId="29">#REF!</definedName>
    <definedName name="SP022a">#REF!</definedName>
    <definedName name="sp023a" localSheetId="8">#REF!</definedName>
    <definedName name="sp023a" localSheetId="10">#REF!</definedName>
    <definedName name="sp023a" localSheetId="11">#REF!</definedName>
    <definedName name="sp023a" localSheetId="29">#REF!</definedName>
    <definedName name="sp023a">#REF!</definedName>
    <definedName name="sp025a" localSheetId="8">#REF!</definedName>
    <definedName name="sp025a" localSheetId="10">#REF!</definedName>
    <definedName name="sp025a" localSheetId="11">#REF!</definedName>
    <definedName name="sp025a" localSheetId="29">#REF!</definedName>
    <definedName name="sp025a">#REF!</definedName>
    <definedName name="SP034a" localSheetId="8">#REF!</definedName>
    <definedName name="SP034a" localSheetId="10">#REF!</definedName>
    <definedName name="SP034a" localSheetId="11">#REF!</definedName>
    <definedName name="SP034a" localSheetId="29">#REF!</definedName>
    <definedName name="SP034a">#REF!</definedName>
    <definedName name="spaint">#REF!</definedName>
    <definedName name="spas" localSheetId="8">#REF!</definedName>
    <definedName name="spas" localSheetId="10">#REF!</definedName>
    <definedName name="spas" localSheetId="11">#REF!</definedName>
    <definedName name="spas" localSheetId="29">#REF!</definedName>
    <definedName name="spas">#REF!</definedName>
    <definedName name="spds" localSheetId="8">#REF!</definedName>
    <definedName name="spds" localSheetId="10">#REF!</definedName>
    <definedName name="spds" localSheetId="11">#REF!</definedName>
    <definedName name="spds" localSheetId="29">#REF!</definedName>
    <definedName name="spds">#REF!</definedName>
    <definedName name="SpecialPrice" localSheetId="21" hidden="1">#REF!</definedName>
    <definedName name="SpecialPrice" localSheetId="5" hidden="1">#REF!</definedName>
    <definedName name="SpecialPrice" localSheetId="30" hidden="1">#REF!</definedName>
    <definedName name="SpecialPrice" localSheetId="8" hidden="1">#REF!</definedName>
    <definedName name="SpecialPrice" localSheetId="10" hidden="1">#REF!</definedName>
    <definedName name="SpecialPrice" localSheetId="11" hidden="1">#REF!</definedName>
    <definedName name="SpecialPrice" localSheetId="37" hidden="1">#REF!</definedName>
    <definedName name="SpecialPrice" localSheetId="38" hidden="1">#REF!</definedName>
    <definedName name="SpecialPrice" localSheetId="44" hidden="1">#REF!</definedName>
    <definedName name="SpecialPrice" localSheetId="29" hidden="1">#REF!</definedName>
    <definedName name="SpecialPrice" localSheetId="19" hidden="1">#REF!</definedName>
    <definedName name="SpecialPrice" localSheetId="31" hidden="1">#REF!</definedName>
    <definedName name="SpecialPrice" localSheetId="39" hidden="1">#REF!</definedName>
    <definedName name="SpecialPrice" localSheetId="35" hidden="1">#REF!</definedName>
    <definedName name="SpecialPrice" localSheetId="36" hidden="1">#REF!</definedName>
    <definedName name="SpecialPrice" localSheetId="9" hidden="1">#REF!</definedName>
    <definedName name="SpecialPrice" localSheetId="3" hidden="1">#REF!</definedName>
    <definedName name="SpecialPrice" hidden="1">#REF!</definedName>
    <definedName name="spl" localSheetId="29">#REF!</definedName>
    <definedName name="SPREADING_40MM" localSheetId="5">#REF!</definedName>
    <definedName name="SPREADING_40MM" localSheetId="8">#REF!</definedName>
    <definedName name="SPREADING_40MM" localSheetId="10">#REF!</definedName>
    <definedName name="SPREADING_40MM" localSheetId="11">#REF!</definedName>
    <definedName name="SPREADING_40MM" localSheetId="29">#REF!</definedName>
    <definedName name="SPREADING_40MM" localSheetId="31">#REF!</definedName>
    <definedName name="SPREADING_40MM">#REF!</definedName>
    <definedName name="SPREADING_65MM_23">#N/A</definedName>
    <definedName name="SPREADING_65MM_33">#N/A</definedName>
    <definedName name="SPREADING_65MM_34">#N/A</definedName>
    <definedName name="SPREADING_65MM_38">#N/A</definedName>
    <definedName name="SPREADING_65MM_41">#N/A</definedName>
    <definedName name="SPREADING_65MM_43">#N/A</definedName>
    <definedName name="SPREADING_65MM_48">#N/A</definedName>
    <definedName name="SPREADING_65MM_57">#N/A</definedName>
    <definedName name="SPREADING_65MM_59">#N/A</definedName>
    <definedName name="SPREADING_65MM_60">#N/A</definedName>
    <definedName name="SPREADING_65MM_61">#N/A</definedName>
    <definedName name="SPREADING_65MM_62">#N/A</definedName>
    <definedName name="SPREADING_65MM_7">#N/A</definedName>
    <definedName name="SPREADING_65MM_72">#N/A</definedName>
    <definedName name="SPREADING_65MM_73">#N/A</definedName>
    <definedName name="SPREADING_65MM_8">#N/A</definedName>
    <definedName name="spryer" localSheetId="29">#REF!</definedName>
    <definedName name="sreenu" localSheetId="29">#REF!</definedName>
    <definedName name="SRS">#REF!</definedName>
    <definedName name="ss" localSheetId="21">#REF!</definedName>
    <definedName name="ss" localSheetId="5">#REF!</definedName>
    <definedName name="ss" localSheetId="8">#REF!</definedName>
    <definedName name="ss" localSheetId="10">#REF!</definedName>
    <definedName name="ss" localSheetId="11">#REF!</definedName>
    <definedName name="ss" localSheetId="29">#REF!</definedName>
    <definedName name="ss" localSheetId="31">#REF!</definedName>
    <definedName name="ss" localSheetId="35">#REF!</definedName>
    <definedName name="ss" localSheetId="36">#REF!</definedName>
    <definedName name="ss">#REF!</definedName>
    <definedName name="ss_23">"$#REF!.$#REF!$#REF!:$#REF!$#REF!"</definedName>
    <definedName name="ss_33">"$#REF!.$#REF!$#REF!"</definedName>
    <definedName name="ss_34">"$#REF!.$#REF!$#REF!"</definedName>
    <definedName name="ss_38">"$#REF!.$#REF!$#REF!:$#REF!$#REF!"</definedName>
    <definedName name="ss_41">"$#REF!.$#REF!$#REF!:$#REF!$#REF!"</definedName>
    <definedName name="ss_43">"$#REF!.$#REF!$#REF!:$#REF!$#REF!"</definedName>
    <definedName name="ss_48">"$#REF!.$#REF!$#REF!:$#REF!$#REF!"</definedName>
    <definedName name="ss_57">"$#REF!.$#REF!$#REF!:$#REF!$#REF!"</definedName>
    <definedName name="ss_59">"$#REF!.$#REF!$#REF!:$#REF!$#REF!"</definedName>
    <definedName name="ss_60">"$#REF!.$#REF!$#REF!:$#REF!$#REF!"</definedName>
    <definedName name="ss_61">"$#REF!.$#REF!$#REF!:$#REF!$#REF!"</definedName>
    <definedName name="ss_62">"$#REF!.$#REF!$#REF!:$#REF!$#REF!"</definedName>
    <definedName name="ss_7">"$#REF!.$#REF!$#REF!:$#REF!$#REF!"</definedName>
    <definedName name="ss_72">"$#REF!.$#REF!$#REF!:$#REF!$#REF!"</definedName>
    <definedName name="ss_73">"$#REF!.$#REF!$#REF!:$#REF!$#REF!"</definedName>
    <definedName name="ss_8">"$#REF!.$#REF!$#REF!:$#REF!$#REF!"</definedName>
    <definedName name="ss_pipes" localSheetId="8">#REF!</definedName>
    <definedName name="ss_pipes" localSheetId="10">#REF!</definedName>
    <definedName name="ss_pipes" localSheetId="11">#REF!</definedName>
    <definedName name="ss_pipes" localSheetId="29">#REF!</definedName>
    <definedName name="ss_pipes">#REF!</definedName>
    <definedName name="ss_railing" localSheetId="8">#REF!</definedName>
    <definedName name="ss_railing" localSheetId="10">#REF!</definedName>
    <definedName name="ss_railing" localSheetId="11">#REF!</definedName>
    <definedName name="ss_railing" localSheetId="29">#REF!</definedName>
    <definedName name="ss_railing">#REF!</definedName>
    <definedName name="ss12_33">#REF!</definedName>
    <definedName name="ss12_34">#REF!</definedName>
    <definedName name="ss20_33">#REF!</definedName>
    <definedName name="ss20_34">#REF!</definedName>
    <definedName name="ss40_33">#REF!</definedName>
    <definedName name="ss40_34">#REF!</definedName>
    <definedName name="ssand" localSheetId="5">#REF!</definedName>
    <definedName name="ssand" localSheetId="8">#REF!</definedName>
    <definedName name="ssand" localSheetId="10">#REF!</definedName>
    <definedName name="ssand" localSheetId="29">#REF!</definedName>
    <definedName name="ssand" localSheetId="31">#REF!</definedName>
    <definedName name="ssand">#REF!</definedName>
    <definedName name="ssd">#REF!</definedName>
    <definedName name="SSF" localSheetId="8">#REF!</definedName>
    <definedName name="SSF" localSheetId="10">#REF!</definedName>
    <definedName name="SSF" localSheetId="11">#REF!</definedName>
    <definedName name="SSF" localSheetId="29">#REF!</definedName>
    <definedName name="SSF">#REF!</definedName>
    <definedName name="ssfsfsfswrw" localSheetId="29">#REF!</definedName>
    <definedName name="sss" localSheetId="21">#REF!</definedName>
    <definedName name="sss" localSheetId="5">#REF!</definedName>
    <definedName name="sss" localSheetId="8">#REF!</definedName>
    <definedName name="sss" localSheetId="10">#REF!</definedName>
    <definedName name="sss" localSheetId="11">#REF!</definedName>
    <definedName name="sss" localSheetId="29">#REF!</definedName>
    <definedName name="sss" localSheetId="31">#REF!</definedName>
    <definedName name="sss" localSheetId="35">#REF!</definedName>
    <definedName name="sss" localSheetId="36">#REF!</definedName>
    <definedName name="sss">#REF!</definedName>
    <definedName name="sss_33">"$#REF!.$#REF!$#REF!"</definedName>
    <definedName name="sss_34">"$#REF!.$#REF!$#REF!"</definedName>
    <definedName name="sssaaa" localSheetId="8">#REF!</definedName>
    <definedName name="sssaaa" localSheetId="10">#REF!</definedName>
    <definedName name="sssaaa" localSheetId="11">#REF!</definedName>
    <definedName name="sssaaa" localSheetId="29">#REF!</definedName>
    <definedName name="sssaaa">#REF!</definedName>
    <definedName name="ssss">#REF!</definedName>
    <definedName name="sssssss">#REF!</definedName>
    <definedName name="sssssssssssssssssssss">#REF!</definedName>
    <definedName name="SSSSSSSSSSSSSSSSSSSSSSSSSSSSSSSSSSSSSSSSS">#REF!</definedName>
    <definedName name="st" localSheetId="8">#REF!</definedName>
    <definedName name="st" localSheetId="10">#REF!</definedName>
    <definedName name="st" localSheetId="29">#REF!</definedName>
    <definedName name="st">#REF!</definedName>
    <definedName name="stack" localSheetId="21">#REF!</definedName>
    <definedName name="stack" localSheetId="5">#REF!</definedName>
    <definedName name="stack" localSheetId="8">#REF!</definedName>
    <definedName name="stack" localSheetId="10">#REF!</definedName>
    <definedName name="stack" localSheetId="11">#REF!</definedName>
    <definedName name="stack" localSheetId="29">#REF!</definedName>
    <definedName name="stack" localSheetId="31">#REF!</definedName>
    <definedName name="stack" localSheetId="35">#REF!</definedName>
    <definedName name="stack" localSheetId="36">#REF!</definedName>
    <definedName name="stack">#REF!</definedName>
    <definedName name="stack_33">"$#REF!.$#REF!$#REF!"</definedName>
    <definedName name="stack_34">"$#REF!.$#REF!$#REF!"</definedName>
    <definedName name="stack1" localSheetId="21">#REF!</definedName>
    <definedName name="stack1" localSheetId="5">#REF!</definedName>
    <definedName name="stack1" localSheetId="8">#REF!</definedName>
    <definedName name="stack1" localSheetId="10">#REF!</definedName>
    <definedName name="stack1" localSheetId="11">#REF!</definedName>
    <definedName name="stack1" localSheetId="29">#REF!</definedName>
    <definedName name="stack1" localSheetId="31">#REF!</definedName>
    <definedName name="stack1" localSheetId="35">#REF!</definedName>
    <definedName name="stack1" localSheetId="36">#REF!</definedName>
    <definedName name="stack1">#REF!</definedName>
    <definedName name="stack1_33">"$#REF!.$#REF!$#REF!"</definedName>
    <definedName name="stack1_34">"$#REF!.$#REF!$#REF!"</definedName>
    <definedName name="stack4" localSheetId="21">#REF!</definedName>
    <definedName name="stack4" localSheetId="5">#REF!</definedName>
    <definedName name="stack4" localSheetId="8">#REF!</definedName>
    <definedName name="stack4" localSheetId="10">#REF!</definedName>
    <definedName name="stack4" localSheetId="11">#REF!</definedName>
    <definedName name="stack4" localSheetId="29">#REF!</definedName>
    <definedName name="stack4" localSheetId="31">#REF!</definedName>
    <definedName name="stack4" localSheetId="35">#REF!</definedName>
    <definedName name="stack4" localSheetId="36">#REF!</definedName>
    <definedName name="stack4">#REF!</definedName>
    <definedName name="stack4_33">"$#REF!.$#REF!$#REF!"</definedName>
    <definedName name="stack4_34">"$#REF!.$#REF!$#REF!"</definedName>
    <definedName name="stacking">#REF!</definedName>
    <definedName name="staf_23">#N/A</definedName>
    <definedName name="staf_33">#N/A</definedName>
    <definedName name="staf_34">#N/A</definedName>
    <definedName name="staf_38">#N/A</definedName>
    <definedName name="staf_41">#N/A</definedName>
    <definedName name="staf_43">#N/A</definedName>
    <definedName name="staf_48">#N/A</definedName>
    <definedName name="staf_57">#N/A</definedName>
    <definedName name="staf_59">#N/A</definedName>
    <definedName name="staf_60">#N/A</definedName>
    <definedName name="staf_61">#N/A</definedName>
    <definedName name="staf_62">#N/A</definedName>
    <definedName name="staf_7">#N/A</definedName>
    <definedName name="staf_72">#N/A</definedName>
    <definedName name="staf_73">#N/A</definedName>
    <definedName name="staf_8">#N/A</definedName>
    <definedName name="State" localSheetId="21">#REF!</definedName>
    <definedName name="State" localSheetId="5">#REF!</definedName>
    <definedName name="State" localSheetId="8">#REF!</definedName>
    <definedName name="State" localSheetId="10">#REF!</definedName>
    <definedName name="State" localSheetId="11">#REF!</definedName>
    <definedName name="State" localSheetId="29">#REF!</definedName>
    <definedName name="State" localSheetId="31">#REF!</definedName>
    <definedName name="State" localSheetId="35">#REF!</definedName>
    <definedName name="State" localSheetId="36">#REF!</definedName>
    <definedName name="State">#REF!</definedName>
    <definedName name="STEEL" localSheetId="5">#REF!</definedName>
    <definedName name="STEEL" localSheetId="8">#REF!</definedName>
    <definedName name="STEEL" localSheetId="10">#REF!</definedName>
    <definedName name="STEEL" localSheetId="29">#REF!</definedName>
    <definedName name="STEEL" localSheetId="31">#REF!</definedName>
    <definedName name="STEEL">#REF!</definedName>
    <definedName name="steel_hysd" localSheetId="8">#REF!</definedName>
    <definedName name="steel_hysd" localSheetId="10">#REF!</definedName>
    <definedName name="steel_hysd" localSheetId="11">#REF!</definedName>
    <definedName name="steel_hysd" localSheetId="29">#REF!</definedName>
    <definedName name="steel_hysd">#REF!</definedName>
    <definedName name="steel_mildbar" localSheetId="8">#REF!</definedName>
    <definedName name="steel_mildbar" localSheetId="10">#REF!</definedName>
    <definedName name="steel_mildbar" localSheetId="11">#REF!</definedName>
    <definedName name="steel_mildbar" localSheetId="29">#REF!</definedName>
    <definedName name="steel_mildbar">#REF!</definedName>
    <definedName name="steelcenA" localSheetId="8">#REF!</definedName>
    <definedName name="steelcenA" localSheetId="10">#REF!</definedName>
    <definedName name="steelcenA" localSheetId="11">#REF!</definedName>
    <definedName name="steelcenA" localSheetId="29">#REF!</definedName>
    <definedName name="steelcenA">#REF!</definedName>
    <definedName name="steelcenB" localSheetId="8">#REF!</definedName>
    <definedName name="steelcenB" localSheetId="10">#REF!</definedName>
    <definedName name="steelcenB" localSheetId="11">#REF!</definedName>
    <definedName name="steelcenB" localSheetId="29">#REF!</definedName>
    <definedName name="steelcenB">#REF!</definedName>
    <definedName name="steelcenpb" localSheetId="8">#REF!</definedName>
    <definedName name="steelcenpb" localSheetId="10">#REF!</definedName>
    <definedName name="steelcenpb" localSheetId="11">#REF!</definedName>
    <definedName name="steelcenpb" localSheetId="29">#REF!</definedName>
    <definedName name="steelcenpb">#REF!</definedName>
    <definedName name="sth" localSheetId="8">#REF!</definedName>
    <definedName name="sth" localSheetId="10">#REF!</definedName>
    <definedName name="sth" localSheetId="11">#REF!</definedName>
    <definedName name="sth" localSheetId="29">#REF!</definedName>
    <definedName name="sth">#REF!</definedName>
    <definedName name="stock" localSheetId="8">#REF!</definedName>
    <definedName name="stock" localSheetId="10">#REF!</definedName>
    <definedName name="stock" localSheetId="29">#REF!</definedName>
    <definedName name="stock" localSheetId="31">#REF!</definedName>
    <definedName name="stock">#REF!</definedName>
    <definedName name="STONE" localSheetId="5">#REF!</definedName>
    <definedName name="STONE" localSheetId="29">#REF!</definedName>
    <definedName name="STONE" localSheetId="31">#REF!</definedName>
    <definedName name="STONEDUST" localSheetId="5">#REF!</definedName>
    <definedName name="STONEDUST" localSheetId="8">#REF!</definedName>
    <definedName name="STONEDUST" localSheetId="10">#REF!</definedName>
    <definedName name="STONEDUST" localSheetId="11">#REF!</definedName>
    <definedName name="STONEDUST" localSheetId="29">#REF!</definedName>
    <definedName name="STONEDUST" localSheetId="31">#REF!</definedName>
    <definedName name="STONEDUST">#REF!</definedName>
    <definedName name="STR" localSheetId="14">#REF!</definedName>
    <definedName name="STR" localSheetId="8">#REF!</definedName>
    <definedName name="STR" localSheetId="10">#REF!</definedName>
    <definedName name="STR" localSheetId="29">#REF!</definedName>
    <definedName name="STR">#REF!</definedName>
    <definedName name="str_steel" localSheetId="8">#REF!</definedName>
    <definedName name="str_steel" localSheetId="10">#REF!</definedName>
    <definedName name="str_steel" localSheetId="11">#REF!</definedName>
    <definedName name="str_steel" localSheetId="29">#REF!</definedName>
    <definedName name="str_steel">#REF!</definedName>
    <definedName name="str_steel_plates" localSheetId="8">#REF!</definedName>
    <definedName name="str_steel_plates" localSheetId="10">#REF!</definedName>
    <definedName name="str_steel_plates" localSheetId="11">#REF!</definedName>
    <definedName name="str_steel_plates" localSheetId="29">#REF!</definedName>
    <definedName name="str_steel_plates">#REF!</definedName>
    <definedName name="stth" localSheetId="8">#REF!</definedName>
    <definedName name="stth" localSheetId="10">#REF!</definedName>
    <definedName name="stth" localSheetId="11">#REF!</definedName>
    <definedName name="stth" localSheetId="29">#REF!</definedName>
    <definedName name="stth">#REF!</definedName>
    <definedName name="subbu" localSheetId="5">#REF!</definedName>
    <definedName name="subbu" localSheetId="8">#REF!</definedName>
    <definedName name="subbu" localSheetId="10">#REF!</definedName>
    <definedName name="subbu" localSheetId="29">#REF!</definedName>
    <definedName name="subbu" localSheetId="31">#REF!</definedName>
    <definedName name="subbu">#REF!</definedName>
    <definedName name="SubGrade_Shoulders_SelectedEarth">#REF!</definedName>
    <definedName name="supervisor" localSheetId="29">#REF!</definedName>
    <definedName name="suryacem_paint" localSheetId="8">#REF!</definedName>
    <definedName name="suryacem_paint" localSheetId="10">#REF!</definedName>
    <definedName name="suryacem_paint" localSheetId="11">#REF!</definedName>
    <definedName name="suryacem_paint" localSheetId="29">#REF!</definedName>
    <definedName name="suryacem_paint">#REF!</definedName>
    <definedName name="sw_23">#N/A</definedName>
    <definedName name="sw_33">#N/A</definedName>
    <definedName name="sw_34">#N/A</definedName>
    <definedName name="sw_38">#N/A</definedName>
    <definedName name="sw_41">#N/A</definedName>
    <definedName name="sw_43">#N/A</definedName>
    <definedName name="sw_48">#N/A</definedName>
    <definedName name="sw_57">#N/A</definedName>
    <definedName name="sw_59">#N/A</definedName>
    <definedName name="sw_60">#N/A</definedName>
    <definedName name="sw_61">#N/A</definedName>
    <definedName name="sw_62">#N/A</definedName>
    <definedName name="sw_7">#N/A</definedName>
    <definedName name="sw_72">#N/A</definedName>
    <definedName name="sw_73">#N/A</definedName>
    <definedName name="sw_8">#N/A</definedName>
    <definedName name="SWARE">#REF!</definedName>
    <definedName name="sware2">#REF!</definedName>
    <definedName name="swc" localSheetId="8">#REF!</definedName>
    <definedName name="swc" localSheetId="10">#REF!</definedName>
    <definedName name="swc" localSheetId="11">#REF!</definedName>
    <definedName name="swc" localSheetId="29">#REF!</definedName>
    <definedName name="swc">#REF!</definedName>
    <definedName name="swci" localSheetId="8">#REF!</definedName>
    <definedName name="swci" localSheetId="10">#REF!</definedName>
    <definedName name="swci" localSheetId="11">#REF!</definedName>
    <definedName name="swci" localSheetId="29">#REF!</definedName>
    <definedName name="swci">#REF!</definedName>
    <definedName name="T" localSheetId="21" hidden="1">{"'ridftotal'!$A$4:$S$27"}</definedName>
    <definedName name="T" localSheetId="14" hidden="1">{"'ridftotal'!$A$4:$S$27"}</definedName>
    <definedName name="t" localSheetId="11">#REF!</definedName>
    <definedName name="T" localSheetId="44" hidden="1">{"'ridftotal'!$A$4:$S$27"}</definedName>
    <definedName name="T" localSheetId="29" hidden="1">{"'ridftotal'!$A$4:$S$27"}</definedName>
    <definedName name="T" localSheetId="19" hidden="1">{"'ridftotal'!$A$4:$S$27"}</definedName>
    <definedName name="T" localSheetId="31" hidden="1">{"'ridftotal'!$A$4:$S$27"}</definedName>
    <definedName name="T" localSheetId="9" hidden="1">{"'ridftotal'!$A$4:$S$27"}</definedName>
    <definedName name="T" localSheetId="3" hidden="1">{"'ridftotal'!$A$4:$S$27"}</definedName>
    <definedName name="T" hidden="1">{"'ridftotal'!$A$4:$S$27"}</definedName>
    <definedName name="Table1" localSheetId="21">#REF!</definedName>
    <definedName name="Table1" localSheetId="5">#REF!</definedName>
    <definedName name="Table1" localSheetId="8">#REF!</definedName>
    <definedName name="Table1" localSheetId="10">#REF!</definedName>
    <definedName name="Table1" localSheetId="11">#REF!</definedName>
    <definedName name="Table1" localSheetId="29">#REF!</definedName>
    <definedName name="Table1" localSheetId="31">#REF!</definedName>
    <definedName name="Table1" localSheetId="35">#REF!</definedName>
    <definedName name="Table1" localSheetId="36">#REF!</definedName>
    <definedName name="Table1">#REF!</definedName>
    <definedName name="Table1_23">"$#REF!.$#REF!$#REF!"</definedName>
    <definedName name="Table1_32">"$#REF!.$#REF!$#REF!"</definedName>
    <definedName name="Table1_33">"$#REF!.$#REF!$#REF!"</definedName>
    <definedName name="Table1_34">"$#REF!.$#REF!$#REF!"</definedName>
    <definedName name="Table1_38">"$#REF!.$#REF!$#REF!"</definedName>
    <definedName name="Table1_41">"$#REF!.$#REF!$#REF!"</definedName>
    <definedName name="Table1_43">"$#REF!.$#REF!$#REF!"</definedName>
    <definedName name="Table1_48">"$#REF!.$#REF!$#REF!"</definedName>
    <definedName name="Table1_56">"$#REF!.$#REF!$#REF!"</definedName>
    <definedName name="Table1_57">"$#REF!.$#REF!$#REF!"</definedName>
    <definedName name="Table1_59">"$#REF!.$#REF!$#REF!"</definedName>
    <definedName name="Table1_60">"$#REF!.$#REF!$#REF!"</definedName>
    <definedName name="Table1_61">"$#REF!.$#REF!$#REF!"</definedName>
    <definedName name="Table1_62">"$#REF!.$#REF!$#REF!"</definedName>
    <definedName name="Table1_7">"$#REF!.$#REF!$#REF!"</definedName>
    <definedName name="Table1_72">"$#REF!.$#REF!$#REF!"</definedName>
    <definedName name="Table1_73">"$#REF!.$#REF!$#REF!"</definedName>
    <definedName name="Table1_8">"$#REF!.$#REF!$#REF!"</definedName>
    <definedName name="Table2" localSheetId="21">#REF!</definedName>
    <definedName name="Table2" localSheetId="5">#REF!</definedName>
    <definedName name="Table2" localSheetId="8">#REF!</definedName>
    <definedName name="Table2" localSheetId="10">#REF!</definedName>
    <definedName name="Table2" localSheetId="11">#REF!</definedName>
    <definedName name="Table2" localSheetId="29">#REF!</definedName>
    <definedName name="Table2" localSheetId="31">#REF!</definedName>
    <definedName name="Table2" localSheetId="35">#REF!</definedName>
    <definedName name="Table2" localSheetId="36">#REF!</definedName>
    <definedName name="Table2">#REF!</definedName>
    <definedName name="Table2_23">"$#REF!.$#REF!$#REF!"</definedName>
    <definedName name="Table2_32">"$#REF!.$#REF!$#REF!"</definedName>
    <definedName name="Table2_33">"$#REF!.$#REF!$#REF!"</definedName>
    <definedName name="Table2_34">"$#REF!.$#REF!$#REF!"</definedName>
    <definedName name="Table2_38">"$#REF!.$#REF!$#REF!"</definedName>
    <definedName name="Table2_41">"$#REF!.$#REF!$#REF!"</definedName>
    <definedName name="Table2_43">"$#REF!.$#REF!$#REF!"</definedName>
    <definedName name="Table2_48">"$#REF!.$#REF!$#REF!"</definedName>
    <definedName name="Table2_56">"$#REF!.$#REF!$#REF!"</definedName>
    <definedName name="Table2_57">"$#REF!.$#REF!$#REF!"</definedName>
    <definedName name="Table2_59">"$#REF!.$#REF!$#REF!"</definedName>
    <definedName name="Table2_60">"$#REF!.$#REF!$#REF!"</definedName>
    <definedName name="Table2_61">"$#REF!.$#REF!$#REF!"</definedName>
    <definedName name="Table2_62">"$#REF!.$#REF!$#REF!"</definedName>
    <definedName name="Table2_7">"$#REF!.$#REF!$#REF!"</definedName>
    <definedName name="Table2_72">"$#REF!.$#REF!$#REF!"</definedName>
    <definedName name="Table2_73">"$#REF!.$#REF!$#REF!"</definedName>
    <definedName name="Table2_8">"$#REF!.$#REF!$#REF!"</definedName>
    <definedName name="Table3" localSheetId="21">#REF!</definedName>
    <definedName name="Table3" localSheetId="5">#REF!</definedName>
    <definedName name="Table3" localSheetId="8">#REF!</definedName>
    <definedName name="Table3" localSheetId="10">#REF!</definedName>
    <definedName name="Table3" localSheetId="11">#REF!</definedName>
    <definedName name="Table3" localSheetId="29">#REF!</definedName>
    <definedName name="Table3" localSheetId="31">#REF!</definedName>
    <definedName name="Table3" localSheetId="35">#REF!</definedName>
    <definedName name="Table3" localSheetId="36">#REF!</definedName>
    <definedName name="Table3">#REF!</definedName>
    <definedName name="Table3_23">"$#REF!.$#REF!$#REF!"</definedName>
    <definedName name="Table3_32">"$#REF!.$#REF!$#REF!"</definedName>
    <definedName name="Table3_33">"$#REF!.$#REF!$#REF!"</definedName>
    <definedName name="Table3_34">"$#REF!.$#REF!$#REF!"</definedName>
    <definedName name="Table3_38">"$#REF!.$#REF!$#REF!"</definedName>
    <definedName name="Table3_41">"$#REF!.$#REF!$#REF!"</definedName>
    <definedName name="Table3_43">"$#REF!.$#REF!$#REF!"</definedName>
    <definedName name="Table3_48">"$#REF!.$#REF!$#REF!"</definedName>
    <definedName name="Table3_56">"$#REF!.$#REF!$#REF!"</definedName>
    <definedName name="Table3_57">"$#REF!.$#REF!$#REF!"</definedName>
    <definedName name="Table3_59">"$#REF!.$#REF!$#REF!"</definedName>
    <definedName name="Table3_60">"$#REF!.$#REF!$#REF!"</definedName>
    <definedName name="Table3_61">"$#REF!.$#REF!$#REF!"</definedName>
    <definedName name="Table3_62">"$#REF!.$#REF!$#REF!"</definedName>
    <definedName name="Table3_7">"$#REF!.$#REF!$#REF!"</definedName>
    <definedName name="Table3_72">"$#REF!.$#REF!$#REF!"</definedName>
    <definedName name="Table3_73">"$#REF!.$#REF!$#REF!"</definedName>
    <definedName name="Table3_8">"$#REF!.$#REF!$#REF!"</definedName>
    <definedName name="Table4" localSheetId="21">#REF!</definedName>
    <definedName name="Table4" localSheetId="5">#REF!</definedName>
    <definedName name="Table4" localSheetId="8">#REF!</definedName>
    <definedName name="Table4" localSheetId="10">#REF!</definedName>
    <definedName name="Table4" localSheetId="11">#REF!</definedName>
    <definedName name="Table4" localSheetId="29">#REF!</definedName>
    <definedName name="Table4" localSheetId="31">#REF!</definedName>
    <definedName name="Table4" localSheetId="35">#REF!</definedName>
    <definedName name="Table4" localSheetId="36">#REF!</definedName>
    <definedName name="Table4">#REF!</definedName>
    <definedName name="Table4_23">"$#REF!.$#REF!$#REF!"</definedName>
    <definedName name="Table4_32">"$#REF!.$#REF!$#REF!"</definedName>
    <definedName name="Table4_33">"$#REF!.$#REF!$#REF!"</definedName>
    <definedName name="Table4_34">"$#REF!.$#REF!$#REF!"</definedName>
    <definedName name="Table4_38">"$#REF!.$#REF!$#REF!"</definedName>
    <definedName name="Table4_41">"$#REF!.$#REF!$#REF!"</definedName>
    <definedName name="Table4_43">"$#REF!.$#REF!$#REF!"</definedName>
    <definedName name="Table4_48">"$#REF!.$#REF!$#REF!"</definedName>
    <definedName name="Table4_56">"$#REF!.$#REF!$#REF!"</definedName>
    <definedName name="Table4_57">"$#REF!.$#REF!$#REF!"</definedName>
    <definedName name="Table4_59">"$#REF!.$#REF!$#REF!"</definedName>
    <definedName name="Table4_60">"$#REF!.$#REF!$#REF!"</definedName>
    <definedName name="Table4_61">"$#REF!.$#REF!$#REF!"</definedName>
    <definedName name="Table4_62">"$#REF!.$#REF!$#REF!"</definedName>
    <definedName name="Table4_7">"$#REF!.$#REF!$#REF!"</definedName>
    <definedName name="Table4_72">"$#REF!.$#REF!$#REF!"</definedName>
    <definedName name="Table4_73">"$#REF!.$#REF!$#REF!"</definedName>
    <definedName name="Table4_8">"$#REF!.$#REF!$#REF!"</definedName>
    <definedName name="TAI" localSheetId="14">#REF!</definedName>
    <definedName name="TAI" localSheetId="8">#REF!</definedName>
    <definedName name="TAI" localSheetId="10">#REF!</definedName>
    <definedName name="TAI" localSheetId="29">#REF!</definedName>
    <definedName name="TAI">#REF!</definedName>
    <definedName name="TAII" localSheetId="8">#REF!</definedName>
    <definedName name="TAII" localSheetId="10">#REF!</definedName>
    <definedName name="TAII" localSheetId="29">#REF!</definedName>
    <definedName name="TAII">#REF!</definedName>
    <definedName name="TAIII" localSheetId="8">#REF!</definedName>
    <definedName name="TAIII" localSheetId="10">#REF!</definedName>
    <definedName name="TAIII" localSheetId="29">#REF!</definedName>
    <definedName name="TAIII">#REF!</definedName>
    <definedName name="TAO" localSheetId="8">#REF!</definedName>
    <definedName name="TAO" localSheetId="10">#REF!</definedName>
    <definedName name="TAO" localSheetId="29">#REF!</definedName>
    <definedName name="TAO">#REF!</definedName>
    <definedName name="TapSpecials" localSheetId="5">#REF!</definedName>
    <definedName name="TapSpecials" localSheetId="8">#REF!</definedName>
    <definedName name="TapSpecials" localSheetId="10">#REF!</definedName>
    <definedName name="TapSpecials" localSheetId="29">#REF!</definedName>
    <definedName name="TapSpecials" localSheetId="31">#REF!</definedName>
    <definedName name="TapSpecials">#REF!</definedName>
    <definedName name="tas" localSheetId="8">#REF!</definedName>
    <definedName name="tas" localSheetId="10">#REF!</definedName>
    <definedName name="tas" localSheetId="11">#REF!</definedName>
    <definedName name="tas" localSheetId="29">#REF!</definedName>
    <definedName name="tas">#REF!</definedName>
    <definedName name="TAWBM" localSheetId="21">#REF!</definedName>
    <definedName name="TAWBM" localSheetId="5">#REF!</definedName>
    <definedName name="TAWBM" localSheetId="8">#REF!</definedName>
    <definedName name="TAWBM" localSheetId="10">#REF!</definedName>
    <definedName name="TAWBM" localSheetId="11">#REF!</definedName>
    <definedName name="TAWBM" localSheetId="29">#REF!</definedName>
    <definedName name="TAWBM" localSheetId="31">#REF!</definedName>
    <definedName name="TAWBM" localSheetId="35">#REF!</definedName>
    <definedName name="TAWBM" localSheetId="36">#REF!</definedName>
    <definedName name="TAWBM">#REF!</definedName>
    <definedName name="TaxTV">10%</definedName>
    <definedName name="TaxXL">5%</definedName>
    <definedName name="tbiiv0" localSheetId="8">#REF!</definedName>
    <definedName name="tbiiv0" localSheetId="10">#REF!</definedName>
    <definedName name="tbiiv0" localSheetId="11">#REF!</definedName>
    <definedName name="tbiiv0" localSheetId="29">#REF!</definedName>
    <definedName name="tbiiv0">#REF!</definedName>
    <definedName name="tbiv0" localSheetId="8">#REF!</definedName>
    <definedName name="tbiv0" localSheetId="10">#REF!</definedName>
    <definedName name="tbiv0" localSheetId="11">#REF!</definedName>
    <definedName name="tbiv0" localSheetId="29">#REF!</definedName>
    <definedName name="tbiv0">#REF!</definedName>
    <definedName name="tbl_ProdInfo" localSheetId="21" hidden="1">#REF!</definedName>
    <definedName name="tbl_ProdInfo" localSheetId="5" hidden="1">#REF!</definedName>
    <definedName name="tbl_ProdInfo" localSheetId="30" hidden="1">#REF!</definedName>
    <definedName name="tbl_ProdInfo" localSheetId="8" hidden="1">#REF!</definedName>
    <definedName name="tbl_ProdInfo" localSheetId="10" hidden="1">#REF!</definedName>
    <definedName name="tbl_ProdInfo" localSheetId="11" hidden="1">#REF!</definedName>
    <definedName name="tbl_ProdInfo" localSheetId="37" hidden="1">#REF!</definedName>
    <definedName name="tbl_ProdInfo" localSheetId="38" hidden="1">#REF!</definedName>
    <definedName name="tbl_ProdInfo" localSheetId="44" hidden="1">#REF!</definedName>
    <definedName name="tbl_ProdInfo" localSheetId="29" hidden="1">#REF!</definedName>
    <definedName name="tbl_ProdInfo" localSheetId="19" hidden="1">#REF!</definedName>
    <definedName name="tbl_ProdInfo" localSheetId="31" hidden="1">#REF!</definedName>
    <definedName name="tbl_ProdInfo" localSheetId="39" hidden="1">#REF!</definedName>
    <definedName name="tbl_ProdInfo" localSheetId="35" hidden="1">#REF!</definedName>
    <definedName name="tbl_ProdInfo" localSheetId="36" hidden="1">#REF!</definedName>
    <definedName name="tbl_ProdInfo" localSheetId="9" hidden="1">#REF!</definedName>
    <definedName name="tbl_ProdInfo" localSheetId="3" hidden="1">#REF!</definedName>
    <definedName name="tbl_ProdInfo" hidden="1">#REF!</definedName>
    <definedName name="td" localSheetId="5">#REF!</definedName>
    <definedName name="TD" localSheetId="8">#REF!</definedName>
    <definedName name="TD" localSheetId="10">#REF!</definedName>
    <definedName name="td" localSheetId="11">#REF!</definedName>
    <definedName name="TD" localSheetId="29">#REF!</definedName>
    <definedName name="TD">#REF!</definedName>
    <definedName name="TDS" localSheetId="8">#REF!</definedName>
    <definedName name="TDS" localSheetId="10">#REF!</definedName>
    <definedName name="TDS" localSheetId="29">#REF!</definedName>
    <definedName name="TDS">#REF!</definedName>
    <definedName name="TECV" localSheetId="21">#REF!</definedName>
    <definedName name="TECV" localSheetId="5">#REF!</definedName>
    <definedName name="TECV" localSheetId="8">#REF!</definedName>
    <definedName name="TECV" localSheetId="10">#REF!</definedName>
    <definedName name="TECV" localSheetId="11">#REF!</definedName>
    <definedName name="TECV" localSheetId="29">#REF!</definedName>
    <definedName name="TECV" localSheetId="31">#REF!</definedName>
    <definedName name="TECV" localSheetId="35">#REF!</definedName>
    <definedName name="TECV" localSheetId="36">#REF!</definedName>
    <definedName name="TECV">#REF!</definedName>
    <definedName name="teeta">#REF!</definedName>
    <definedName name="TEi">#REF!</definedName>
    <definedName name="ten" localSheetId="8">#REF!</definedName>
    <definedName name="ten" localSheetId="10">#REF!</definedName>
    <definedName name="ten" localSheetId="11">#REF!</definedName>
    <definedName name="ten" localSheetId="29">#REF!</definedName>
    <definedName name="ten">#REF!</definedName>
    <definedName name="th" localSheetId="8">#REF!</definedName>
    <definedName name="th" localSheetId="10">#REF!</definedName>
    <definedName name="th" localSheetId="11">#REF!</definedName>
    <definedName name="th" localSheetId="29">#REF!</definedName>
    <definedName name="th">#REF!</definedName>
    <definedName name="TI" localSheetId="14">#REF!</definedName>
    <definedName name="TI" localSheetId="8">#REF!</definedName>
    <definedName name="TI" localSheetId="10">#REF!</definedName>
    <definedName name="TI" localSheetId="29">#REF!</definedName>
    <definedName name="TI">#REF!</definedName>
    <definedName name="tit">#REF!</definedName>
    <definedName name="TL" localSheetId="21">#REF!</definedName>
    <definedName name="TL" localSheetId="31">#REF!</definedName>
    <definedName name="tm" localSheetId="8">#REF!</definedName>
    <definedName name="tm" localSheetId="10">#REF!</definedName>
    <definedName name="tm" localSheetId="11">#REF!</definedName>
    <definedName name="tm" localSheetId="29">#REF!</definedName>
    <definedName name="tm">#REF!</definedName>
    <definedName name="TOPDOMEONETOSIX" localSheetId="5">#REF!</definedName>
    <definedName name="TOPDOMEONETOSIX" localSheetId="8">#REF!</definedName>
    <definedName name="TOPDOMEONETOSIX" localSheetId="10">#REF!</definedName>
    <definedName name="TOPDOMEONETOSIX" localSheetId="29">#REF!</definedName>
    <definedName name="TOPDOMEONETOSIX" localSheetId="31">#REF!</definedName>
    <definedName name="TOPDOMEONETOSIX">#REF!</definedName>
    <definedName name="TOPDOMESEVENTOTHIRTEEN" localSheetId="5">#REF!</definedName>
    <definedName name="TOPDOMESEVENTOTHIRTEEN" localSheetId="8">#REF!</definedName>
    <definedName name="TOPDOMESEVENTOTHIRTEEN" localSheetId="10">#REF!</definedName>
    <definedName name="TOPDOMESEVENTOTHIRTEEN" localSheetId="29">#REF!</definedName>
    <definedName name="TOPDOMESEVENTOTHIRTEEN" localSheetId="31">#REF!</definedName>
    <definedName name="TOPDOMESEVENTOTHIRTEEN">#REF!</definedName>
    <definedName name="TOPRINGGIRDERONETOSIX" localSheetId="5">#REF!</definedName>
    <definedName name="TOPRINGGIRDERONETOSIX" localSheetId="8">#REF!</definedName>
    <definedName name="TOPRINGGIRDERONETOSIX" localSheetId="10">#REF!</definedName>
    <definedName name="TOPRINGGIRDERONETOSIX" localSheetId="29">#REF!</definedName>
    <definedName name="TOPRINGGIRDERONETOSIX" localSheetId="31">#REF!</definedName>
    <definedName name="TOPRINGGIRDERONETOSIX">#REF!</definedName>
    <definedName name="TOPRINGGIRDERSEVENTOTHIRTEEN" localSheetId="5">#REF!</definedName>
    <definedName name="TOPRINGGIRDERSEVENTOTHIRTEEN" localSheetId="8">#REF!</definedName>
    <definedName name="TOPRINGGIRDERSEVENTOTHIRTEEN" localSheetId="10">#REF!</definedName>
    <definedName name="TOPRINGGIRDERSEVENTOTHIRTEEN" localSheetId="29">#REF!</definedName>
    <definedName name="TOPRINGGIRDERSEVENTOTHIRTEEN" localSheetId="31">#REF!</definedName>
    <definedName name="TOPRINGGIRDERSEVENTOTHIRTEEN">#REF!</definedName>
    <definedName name="tot" localSheetId="11">#REF!</definedName>
    <definedName name="totalpop" localSheetId="8">#REF!</definedName>
    <definedName name="totalpop" localSheetId="10">#REF!</definedName>
    <definedName name="totalpop" localSheetId="11">#REF!</definedName>
    <definedName name="totalpop" localSheetId="29">#REF!</definedName>
    <definedName name="totalpop">#REF!</definedName>
    <definedName name="TPI" localSheetId="14">#REF!</definedName>
    <definedName name="TPI" localSheetId="8">#REF!</definedName>
    <definedName name="TPI" localSheetId="10">#REF!</definedName>
    <definedName name="TPI" localSheetId="29">#REF!</definedName>
    <definedName name="TPI">#REF!</definedName>
    <definedName name="TPII" localSheetId="8">#REF!</definedName>
    <definedName name="TPII" localSheetId="10">#REF!</definedName>
    <definedName name="TPII" localSheetId="29">#REF!</definedName>
    <definedName name="TPII">#REF!</definedName>
    <definedName name="TPIII" localSheetId="8">#REF!</definedName>
    <definedName name="TPIII" localSheetId="10">#REF!</definedName>
    <definedName name="TPIII" localSheetId="29">#REF!</definedName>
    <definedName name="TPIII">#REF!</definedName>
    <definedName name="TPO" localSheetId="8">#REF!</definedName>
    <definedName name="TPO" localSheetId="10">#REF!</definedName>
    <definedName name="TPO" localSheetId="29">#REF!</definedName>
    <definedName name="TPO">#REF!</definedName>
    <definedName name="tr" localSheetId="8">#REF!</definedName>
    <definedName name="tr" localSheetId="10">#REF!</definedName>
    <definedName name="tr" localSheetId="11">#REF!</definedName>
    <definedName name="tr" localSheetId="29">#REF!</definedName>
    <definedName name="tr">#REF!</definedName>
    <definedName name="TRACTOR" localSheetId="5">#REF!</definedName>
    <definedName name="TRACTOR" localSheetId="8">#REF!</definedName>
    <definedName name="TRACTOR" localSheetId="10">#REF!</definedName>
    <definedName name="TRACTOR" localSheetId="11">#REF!</definedName>
    <definedName name="TRACTOR" localSheetId="29">#REF!</definedName>
    <definedName name="TRACTOR" localSheetId="31">#REF!</definedName>
    <definedName name="TRACTOR">#REF!</definedName>
    <definedName name="tractor_frm">#REF!</definedName>
    <definedName name="TRAFFIC">#REF!</definedName>
    <definedName name="treads_shahbad" localSheetId="8">#REF!</definedName>
    <definedName name="treads_shahbad" localSheetId="10">#REF!</definedName>
    <definedName name="treads_shahbad" localSheetId="11">#REF!</definedName>
    <definedName name="treads_shahbad" localSheetId="29">#REF!</definedName>
    <definedName name="treads_shahbad">#REF!</definedName>
    <definedName name="TREE" localSheetId="5">#REF!</definedName>
    <definedName name="TREE" localSheetId="8">#REF!</definedName>
    <definedName name="TREE" localSheetId="10">#REF!</definedName>
    <definedName name="TREE" localSheetId="11">#REF!</definedName>
    <definedName name="TREE" localSheetId="29">#REF!</definedName>
    <definedName name="TREE" localSheetId="31">#REF!</definedName>
    <definedName name="TREE">#REF!</definedName>
    <definedName name="trees">#REF!</definedName>
    <definedName name="TRI">#REF!</definedName>
    <definedName name="trtrt">#REF!</definedName>
    <definedName name="Ts" localSheetId="8">#REF!</definedName>
    <definedName name="Ts" localSheetId="10">#REF!</definedName>
    <definedName name="Ts" localSheetId="11">#REF!</definedName>
    <definedName name="Ts" localSheetId="29">#REF!</definedName>
    <definedName name="Ts">#REF!</definedName>
    <definedName name="ttttt" localSheetId="5">#REF!</definedName>
    <definedName name="ttttt" localSheetId="8">#REF!</definedName>
    <definedName name="ttttt" localSheetId="10">#REF!</definedName>
    <definedName name="ttttt" localSheetId="11">#REF!</definedName>
    <definedName name="ttttt" localSheetId="29">#REF!</definedName>
    <definedName name="ttttt" localSheetId="31">#REF!</definedName>
    <definedName name="ttttt">#REF!</definedName>
    <definedName name="ttttt_33">"$#REF!.$#REF!$#REF!"</definedName>
    <definedName name="TWA" localSheetId="14">#REF!</definedName>
    <definedName name="TWA" localSheetId="8">#REF!</definedName>
    <definedName name="TWA" localSheetId="10">#REF!</definedName>
    <definedName name="TWA" localSheetId="29">#REF!</definedName>
    <definedName name="TWA">#REF!</definedName>
    <definedName name="twbm" localSheetId="21">#REF!</definedName>
    <definedName name="twbm" localSheetId="5">#REF!</definedName>
    <definedName name="twbm" localSheetId="8">#REF!</definedName>
    <definedName name="twbm" localSheetId="10">#REF!</definedName>
    <definedName name="twbm" localSheetId="11">#REF!</definedName>
    <definedName name="twbm" localSheetId="29">#REF!</definedName>
    <definedName name="twbm" localSheetId="31">#REF!</definedName>
    <definedName name="twbm" localSheetId="35">#REF!</definedName>
    <definedName name="twbm" localSheetId="36">#REF!</definedName>
    <definedName name="twbm">#REF!</definedName>
    <definedName name="twbm_23">"$#REF!.$#REF!$#REF!"</definedName>
    <definedName name="twbm_33">"$#REF!.$#REF!$#REF!"</definedName>
    <definedName name="twbm_34">"$#REF!.$#REF!$#REF!"</definedName>
    <definedName name="twbm_38">"$#REF!.$#REF!$#REF!"</definedName>
    <definedName name="twbm_41">"$#REF!.$#REF!$#REF!"</definedName>
    <definedName name="twbm_43">"$#REF!.$#REF!$#REF!"</definedName>
    <definedName name="twbm_48">"$#REF!.$#REF!$#REF!"</definedName>
    <definedName name="twbm_57">"$#REF!.$#REF!$#REF!"</definedName>
    <definedName name="twbm_59">"$#REF!.$#REF!$#REF!"</definedName>
    <definedName name="twbm_60">"$#REF!.$#REF!$#REF!"</definedName>
    <definedName name="twbm_61">"$#REF!.$#REF!$#REF!"</definedName>
    <definedName name="twbm_62">"$#REF!.$#REF!$#REF!"</definedName>
    <definedName name="twbm_7">"$#REF!.$#REF!$#REF!"</definedName>
    <definedName name="twbm_72">"$#REF!.$#REF!$#REF!"</definedName>
    <definedName name="twbm_73">"$#REF!.$#REF!$#REF!"</definedName>
    <definedName name="twbm_8">"$#REF!.$#REF!$#REF!"</definedName>
    <definedName name="TWP" localSheetId="8">#REF!</definedName>
    <definedName name="TWP" localSheetId="10">#REF!</definedName>
    <definedName name="TWP" localSheetId="29">#REF!</definedName>
    <definedName name="TWP">#REF!</definedName>
    <definedName name="twtttt" localSheetId="8">#REF!</definedName>
    <definedName name="twtttt" localSheetId="10">#REF!</definedName>
    <definedName name="twtttt" localSheetId="29">#REF!</definedName>
    <definedName name="twtttt">#REF!</definedName>
    <definedName name="tytytko">#REF!</definedName>
    <definedName name="u_23">#N/A</definedName>
    <definedName name="u_33">#N/A</definedName>
    <definedName name="u_38">#N/A</definedName>
    <definedName name="u_41">#N/A</definedName>
    <definedName name="u_43">#N/A</definedName>
    <definedName name="u_48">#N/A</definedName>
    <definedName name="u_57">#N/A</definedName>
    <definedName name="u_59">#N/A</definedName>
    <definedName name="u_60">#N/A</definedName>
    <definedName name="u_61">#N/A</definedName>
    <definedName name="u_62">#N/A</definedName>
    <definedName name="u_7">#N/A</definedName>
    <definedName name="u_72">#N/A</definedName>
    <definedName name="u_73">#N/A</definedName>
    <definedName name="u_8">#N/A</definedName>
    <definedName name="UCN">#REF!</definedName>
    <definedName name="UH" localSheetId="14">#REF!</definedName>
    <definedName name="UH" localSheetId="8">#REF!</definedName>
    <definedName name="UH" localSheetId="10">#REF!</definedName>
    <definedName name="UH" localSheetId="29">#REF!</definedName>
    <definedName name="UH">#REF!</definedName>
    <definedName name="uiuiu">#REF!</definedName>
    <definedName name="unloading" localSheetId="29">#REF!</definedName>
    <definedName name="US">#REF!</definedName>
    <definedName name="utgyuj" localSheetId="8">#REF!</definedName>
    <definedName name="utgyuj" localSheetId="10">#REF!</definedName>
    <definedName name="utgyuj" localSheetId="11">#REF!</definedName>
    <definedName name="utgyuj" localSheetId="29">#REF!</definedName>
    <definedName name="utgyuj">#REF!</definedName>
    <definedName name="uuu_21">#REF!</definedName>
    <definedName name="uuu_33">#REF!</definedName>
    <definedName name="uuu_34">#REF!</definedName>
    <definedName name="uytrog">#REF!</definedName>
    <definedName name="v" localSheetId="8">#REF!</definedName>
    <definedName name="v" localSheetId="10">#REF!</definedName>
    <definedName name="v" localSheetId="11">#REF!</definedName>
    <definedName name="v" localSheetId="29">#REF!</definedName>
    <definedName name="v">#REF!</definedName>
    <definedName name="vaibrating">#REF!</definedName>
    <definedName name="Values_Entered">#N/A</definedName>
    <definedName name="VALVES" localSheetId="5">#REF!</definedName>
    <definedName name="VALVES" localSheetId="8">#REF!</definedName>
    <definedName name="VALVES" localSheetId="10">#REF!</definedName>
    <definedName name="VALVES" localSheetId="29">#REF!</definedName>
    <definedName name="VALVES" localSheetId="31">#REF!</definedName>
    <definedName name="VALVES">#REF!</definedName>
    <definedName name="var" localSheetId="21">#REF!</definedName>
    <definedName name="var" localSheetId="5">#REF!</definedName>
    <definedName name="var" localSheetId="8">#REF!</definedName>
    <definedName name="var" localSheetId="10">#REF!</definedName>
    <definedName name="var" localSheetId="11">#REF!</definedName>
    <definedName name="var" localSheetId="29">#REF!</definedName>
    <definedName name="var" localSheetId="31">#REF!</definedName>
    <definedName name="var" localSheetId="35">#REF!</definedName>
    <definedName name="var" localSheetId="36">#REF!</definedName>
    <definedName name="var">#REF!</definedName>
    <definedName name="var_33">"$#REF!.$#REF!$#REF!"</definedName>
    <definedName name="var_34">"$#REF!.$#REF!$#REF!"</definedName>
    <definedName name="var1_33">"$#REF!.$A$2:$E$59"</definedName>
    <definedName name="var1_34">"$#REF!.$A$2:$E$59"</definedName>
    <definedName name="var4_33">"$#REF!.$A$2:$E$59"</definedName>
    <definedName name="var4_34">"$#REF!.$A$2:$E$59"</definedName>
    <definedName name="vark" localSheetId="5">#REF!</definedName>
    <definedName name="vark" localSheetId="8">#REF!</definedName>
    <definedName name="vark" localSheetId="10">#REF!</definedName>
    <definedName name="vark" localSheetId="29">#REF!</definedName>
    <definedName name="vark" localSheetId="31">#REF!</definedName>
    <definedName name="vark">#REF!</definedName>
    <definedName name="vat" localSheetId="21">#REF!</definedName>
    <definedName name="vat_name" localSheetId="29">#REF!</definedName>
    <definedName name="vat_rate">#REF!</definedName>
    <definedName name="vatname" localSheetId="5">#REF!</definedName>
    <definedName name="vatname" localSheetId="8">#REF!</definedName>
    <definedName name="vatname" localSheetId="10">#REF!</definedName>
    <definedName name="vatname" localSheetId="11">#REF!</definedName>
    <definedName name="vatname" localSheetId="29">#REF!</definedName>
    <definedName name="vatname" localSheetId="31">#REF!</definedName>
    <definedName name="vatname">#REF!</definedName>
    <definedName name="VB" localSheetId="21" hidden="1">{"'ridftotal'!$A$4:$S$27"}</definedName>
    <definedName name="VB" localSheetId="14" hidden="1">{"'ridftotal'!$A$4:$S$27"}</definedName>
    <definedName name="VB" localSheetId="11" hidden="1">{"'ridftotal'!$A$4:$S$27"}</definedName>
    <definedName name="VB" localSheetId="44" hidden="1">{"'ridftotal'!$A$4:$S$27"}</definedName>
    <definedName name="VB" localSheetId="29" hidden="1">{"'ridftotal'!$A$4:$S$27"}</definedName>
    <definedName name="VB" localSheetId="19" hidden="1">{"'ridftotal'!$A$4:$S$27"}</definedName>
    <definedName name="VB" localSheetId="31" hidden="1">{"'ridftotal'!$A$4:$S$27"}</definedName>
    <definedName name="VB" localSheetId="9" hidden="1">{"'ridftotal'!$A$4:$S$27"}</definedName>
    <definedName name="VB" localSheetId="3" hidden="1">{"'ridftotal'!$A$4:$S$27"}</definedName>
    <definedName name="VB" hidden="1">{"'ridftotal'!$A$4:$S$27"}</definedName>
    <definedName name="VC" localSheetId="5">#REF!</definedName>
    <definedName name="VC" localSheetId="8">#REF!</definedName>
    <definedName name="VC" localSheetId="10">#REF!</definedName>
    <definedName name="VC" localSheetId="11">#REF!</definedName>
    <definedName name="VC" localSheetId="29">#REF!</definedName>
    <definedName name="VC" localSheetId="35">#REF!</definedName>
    <definedName name="VC" localSheetId="36">#REF!</definedName>
    <definedName name="VC">#REF!</definedName>
    <definedName name="vcc">#REF!</definedName>
    <definedName name="ver">#REF!</definedName>
    <definedName name="VI" localSheetId="14">#REF!</definedName>
    <definedName name="VI" localSheetId="8">#REF!</definedName>
    <definedName name="VI" localSheetId="10">#REF!</definedName>
    <definedName name="VI" localSheetId="29">#REF!</definedName>
    <definedName name="VI">#REF!</definedName>
    <definedName name="Vibchr" localSheetId="8">#REF!</definedName>
    <definedName name="Vibchr" localSheetId="10">#REF!</definedName>
    <definedName name="Vibchr" localSheetId="11">#REF!</definedName>
    <definedName name="Vibchr" localSheetId="29">#REF!</definedName>
    <definedName name="Vibchr">#REF!</definedName>
    <definedName name="VII" localSheetId="8">#REF!</definedName>
    <definedName name="VII" localSheetId="10">#REF!</definedName>
    <definedName name="VII" localSheetId="29">#REF!</definedName>
    <definedName name="VII">#REF!</definedName>
    <definedName name="VIII" localSheetId="8">#REF!</definedName>
    <definedName name="VIII" localSheetId="10">#REF!</definedName>
    <definedName name="VIII" localSheetId="29">#REF!</definedName>
    <definedName name="VIII">#REF!</definedName>
    <definedName name="vitrified" localSheetId="8">#REF!</definedName>
    <definedName name="vitrified" localSheetId="10">#REF!</definedName>
    <definedName name="vitrified" localSheetId="11">#REF!</definedName>
    <definedName name="vitrified" localSheetId="29">#REF!</definedName>
    <definedName name="vitrified">#REF!</definedName>
    <definedName name="vivekananda_33" localSheetId="29">#REF!</definedName>
    <definedName name="vivekananda_34">#REF!</definedName>
    <definedName name="VMAX" localSheetId="14">#REF!</definedName>
    <definedName name="VMAX" localSheetId="8">#REF!</definedName>
    <definedName name="VMAX" localSheetId="10">#REF!</definedName>
    <definedName name="VMAX" localSheetId="29">#REF!</definedName>
    <definedName name="VMAX">#REF!</definedName>
    <definedName name="Vname" localSheetId="21">#REF!</definedName>
    <definedName name="Vname" localSheetId="5">#REF!</definedName>
    <definedName name="Vname" localSheetId="8">#REF!</definedName>
    <definedName name="Vname" localSheetId="10">#REF!</definedName>
    <definedName name="Vname" localSheetId="11">#REF!</definedName>
    <definedName name="Vname" localSheetId="29">#REF!</definedName>
    <definedName name="Vname" localSheetId="31">#REF!</definedName>
    <definedName name="Vname" localSheetId="35">#REF!</definedName>
    <definedName name="Vname" localSheetId="36">#REF!</definedName>
    <definedName name="Vname">#REF!</definedName>
    <definedName name="VO" localSheetId="8">#REF!</definedName>
    <definedName name="VO" localSheetId="10">#REF!</definedName>
    <definedName name="VO" localSheetId="29">#REF!</definedName>
    <definedName name="VO">#REF!</definedName>
    <definedName name="vrcc" localSheetId="29">#REF!</definedName>
    <definedName name="vrcc_col" localSheetId="8">#REF!</definedName>
    <definedName name="vrcc_col" localSheetId="10">#REF!</definedName>
    <definedName name="vrcc_col" localSheetId="11">#REF!</definedName>
    <definedName name="vrcc_col" localSheetId="29">#REF!</definedName>
    <definedName name="vrcc_col">#REF!</definedName>
    <definedName name="vrcc_footing" localSheetId="8">#REF!</definedName>
    <definedName name="vrcc_footing" localSheetId="10">#REF!</definedName>
    <definedName name="vrcc_footing" localSheetId="11">#REF!</definedName>
    <definedName name="vrcc_footing" localSheetId="29">#REF!</definedName>
    <definedName name="vrcc_footing">#REF!</definedName>
    <definedName name="vrcc_lintel" localSheetId="8">#REF!</definedName>
    <definedName name="vrcc_lintel" localSheetId="10">#REF!</definedName>
    <definedName name="vrcc_lintel" localSheetId="11">#REF!</definedName>
    <definedName name="vrcc_lintel" localSheetId="29">#REF!</definedName>
    <definedName name="vrcc_lintel">#REF!</definedName>
    <definedName name="vrcc_pb" localSheetId="8">#REF!</definedName>
    <definedName name="vrcc_pb" localSheetId="10">#REF!</definedName>
    <definedName name="vrcc_pb" localSheetId="11">#REF!</definedName>
    <definedName name="vrcc_pb" localSheetId="29">#REF!</definedName>
    <definedName name="vrcc_pb">#REF!</definedName>
    <definedName name="vrcc_platform" localSheetId="8">#REF!</definedName>
    <definedName name="vrcc_platform" localSheetId="10">#REF!</definedName>
    <definedName name="vrcc_platform" localSheetId="11">#REF!</definedName>
    <definedName name="vrcc_platform" localSheetId="29">#REF!</definedName>
    <definedName name="vrcc_platform">#REF!</definedName>
    <definedName name="vrcc_roof_IIv" localSheetId="8">#REF!</definedName>
    <definedName name="vrcc_roof_IIv" localSheetId="10">#REF!</definedName>
    <definedName name="vrcc_roof_IIv" localSheetId="11">#REF!</definedName>
    <definedName name="vrcc_roof_IIv" localSheetId="29">#REF!</definedName>
    <definedName name="vrcc_roof_IIv">#REF!</definedName>
    <definedName name="vrcc_roofbeam" localSheetId="8">#REF!</definedName>
    <definedName name="vrcc_roofbeam" localSheetId="10">#REF!</definedName>
    <definedName name="vrcc_roofbeam" localSheetId="11">#REF!</definedName>
    <definedName name="vrcc_roofbeam" localSheetId="29">#REF!</definedName>
    <definedName name="vrcc_roofbeam">#REF!</definedName>
    <definedName name="vrcc_sunshade" localSheetId="8">#REF!</definedName>
    <definedName name="vrcc_sunshade" localSheetId="10">#REF!</definedName>
    <definedName name="vrcc_sunshade" localSheetId="11">#REF!</definedName>
    <definedName name="vrcc_sunshade" localSheetId="29">#REF!</definedName>
    <definedName name="vrcc_sunshade">#REF!</definedName>
    <definedName name="vsi" localSheetId="8">#REF!</definedName>
    <definedName name="vsi" localSheetId="10">#REF!</definedName>
    <definedName name="vsi" localSheetId="11">#REF!</definedName>
    <definedName name="vsi" localSheetId="29">#REF!</definedName>
    <definedName name="vsi">#REF!</definedName>
    <definedName name="vso" localSheetId="8">#REF!</definedName>
    <definedName name="vso" localSheetId="10">#REF!</definedName>
    <definedName name="vso" localSheetId="11">#REF!</definedName>
    <definedName name="vso" localSheetId="29">#REF!</definedName>
    <definedName name="vso">#REF!</definedName>
    <definedName name="vsp" localSheetId="8">#REF!</definedName>
    <definedName name="vsp" localSheetId="10">#REF!</definedName>
    <definedName name="vsp" localSheetId="11">#REF!</definedName>
    <definedName name="vsp" localSheetId="29">#REF!</definedName>
    <definedName name="vsp">#REF!</definedName>
    <definedName name="vt" localSheetId="5">#REF!</definedName>
    <definedName name="vt" localSheetId="8">#REF!</definedName>
    <definedName name="vt" localSheetId="10">#REF!</definedName>
    <definedName name="vt" localSheetId="11">#REF!</definedName>
    <definedName name="vt" localSheetId="29">#REF!</definedName>
    <definedName name="vt" localSheetId="31">#REF!</definedName>
    <definedName name="vt">#REF!</definedName>
    <definedName name="VV" localSheetId="8">#REF!</definedName>
    <definedName name="VV" localSheetId="10">#REF!</definedName>
    <definedName name="VV" localSheetId="29">#REF!</definedName>
    <definedName name="VV">#REF!</definedName>
    <definedName name="vvv" localSheetId="29">#REF!</definedName>
    <definedName name="vvvvv" localSheetId="5">#REF!</definedName>
    <definedName name="vvvvv" localSheetId="8">#REF!</definedName>
    <definedName name="vvvvv" localSheetId="10">#REF!</definedName>
    <definedName name="vvvvv" localSheetId="29">#REF!</definedName>
    <definedName name="vvvvv" localSheetId="31">#REF!</definedName>
    <definedName name="vvvvv">#REF!</definedName>
    <definedName name="VVVVVVVVVVVVVVVVVVV">#REF!</definedName>
    <definedName name="W" localSheetId="21" hidden="1">{"'ridftotal'!$A$4:$S$27"}</definedName>
    <definedName name="W" localSheetId="14" hidden="1">{"'ridftotal'!$A$4:$S$27"}</definedName>
    <definedName name="w" localSheetId="11">#REF!</definedName>
    <definedName name="W" localSheetId="44" hidden="1">{"'ridftotal'!$A$4:$S$27"}</definedName>
    <definedName name="W" localSheetId="29" hidden="1">{"'ridftotal'!$A$4:$S$27"}</definedName>
    <definedName name="W" localSheetId="19" hidden="1">{"'ridftotal'!$A$4:$S$27"}</definedName>
    <definedName name="W" localSheetId="31" hidden="1">{"'ridftotal'!$A$4:$S$27"}</definedName>
    <definedName name="W" localSheetId="9" hidden="1">{"'ridftotal'!$A$4:$S$27"}</definedName>
    <definedName name="W" localSheetId="3" hidden="1">{"'ridftotal'!$A$4:$S$27"}</definedName>
    <definedName name="W" hidden="1">{"'ridftotal'!$A$4:$S$27"}</definedName>
    <definedName name="w3e" localSheetId="8">#REF!</definedName>
    <definedName name="w3e" localSheetId="10">#REF!</definedName>
    <definedName name="w3e" localSheetId="11">#REF!</definedName>
    <definedName name="w3e" localSheetId="29">#REF!</definedName>
    <definedName name="w3e">#REF!</definedName>
    <definedName name="Was" localSheetId="8">#REF!</definedName>
    <definedName name="Was" localSheetId="10">#REF!</definedName>
    <definedName name="Was" localSheetId="11">#REF!</definedName>
    <definedName name="Was" localSheetId="29">#REF!</definedName>
    <definedName name="Was">#REF!</definedName>
    <definedName name="wasi" localSheetId="8">#REF!</definedName>
    <definedName name="wasi" localSheetId="10">#REF!</definedName>
    <definedName name="wasi" localSheetId="11">#REF!</definedName>
    <definedName name="wasi" localSheetId="29">#REF!</definedName>
    <definedName name="wasi">#REF!</definedName>
    <definedName name="water" localSheetId="5">#REF!</definedName>
    <definedName name="water" localSheetId="8">#REF!</definedName>
    <definedName name="water" localSheetId="10">#REF!</definedName>
    <definedName name="water" localSheetId="11">#REF!</definedName>
    <definedName name="water" localSheetId="29">#REF!</definedName>
    <definedName name="water" localSheetId="31">#REF!</definedName>
    <definedName name="water">#REF!</definedName>
    <definedName name="waterproof_paint" localSheetId="8">#REF!</definedName>
    <definedName name="waterproof_paint" localSheetId="10">#REF!</definedName>
    <definedName name="waterproof_paint" localSheetId="11">#REF!</definedName>
    <definedName name="waterproof_paint" localSheetId="29">#REF!</definedName>
    <definedName name="waterproof_paint">#REF!</definedName>
    <definedName name="WBM_Gr.2" localSheetId="29">#REF!</definedName>
    <definedName name="WBM_Gr.3">#REF!</definedName>
    <definedName name="wbs" localSheetId="8">#REF!</definedName>
    <definedName name="wbs" localSheetId="10">#REF!</definedName>
    <definedName name="wbs" localSheetId="11">#REF!</definedName>
    <definedName name="wbs" localSheetId="29">#REF!</definedName>
    <definedName name="wbs">#REF!</definedName>
    <definedName name="wbsi" localSheetId="8">#REF!</definedName>
    <definedName name="wbsi" localSheetId="10">#REF!</definedName>
    <definedName name="wbsi" localSheetId="11">#REF!</definedName>
    <definedName name="wbsi" localSheetId="29">#REF!</definedName>
    <definedName name="wbsi">#REF!</definedName>
    <definedName name="wd" localSheetId="8">#REF!</definedName>
    <definedName name="wd" localSheetId="10">#REF!</definedName>
    <definedName name="wd" localSheetId="11">#REF!</definedName>
    <definedName name="wd" localSheetId="29">#REF!</definedName>
    <definedName name="wd">#REF!</definedName>
    <definedName name="wdtd" localSheetId="8">#REF!</definedName>
    <definedName name="wdtd" localSheetId="10">#REF!</definedName>
    <definedName name="wdtd" localSheetId="11">#REF!</definedName>
    <definedName name="wdtd" localSheetId="29">#REF!</definedName>
    <definedName name="wdtd">#REF!</definedName>
    <definedName name="we" localSheetId="8">#REF!</definedName>
    <definedName name="we" localSheetId="10">#REF!</definedName>
    <definedName name="we" localSheetId="11">#REF!</definedName>
    <definedName name="we" localSheetId="29">#REF!</definedName>
    <definedName name="we">#REF!</definedName>
    <definedName name="WeepHoles" localSheetId="29">#REF!</definedName>
    <definedName name="wei" localSheetId="8">#REF!</definedName>
    <definedName name="wei" localSheetId="10">#REF!</definedName>
    <definedName name="wei" localSheetId="11">#REF!</definedName>
    <definedName name="wei" localSheetId="29">#REF!</definedName>
    <definedName name="wei">#REF!</definedName>
    <definedName name="wgl" localSheetId="21" hidden="1">{"'ridftotal'!$A$4:$S$27"}</definedName>
    <definedName name="wgl" localSheetId="14" hidden="1">{"'ridftotal'!$A$4:$S$27"}</definedName>
    <definedName name="wgl" localSheetId="11" hidden="1">{"'ridftotal'!$A$4:$S$27"}</definedName>
    <definedName name="wgl" localSheetId="44" hidden="1">{"'ridftotal'!$A$4:$S$27"}</definedName>
    <definedName name="wgl" localSheetId="29" hidden="1">{"'ridftotal'!$A$4:$S$27"}</definedName>
    <definedName name="wgl" localSheetId="19" hidden="1">{"'ridftotal'!$A$4:$S$27"}</definedName>
    <definedName name="wgl" localSheetId="31" hidden="1">{"'ridftotal'!$A$4:$S$27"}</definedName>
    <definedName name="wgl" localSheetId="9" hidden="1">{"'ridftotal'!$A$4:$S$27"}</definedName>
    <definedName name="wgl" localSheetId="3" hidden="1">{"'ridftotal'!$A$4:$S$27"}</definedName>
    <definedName name="wgl" hidden="1">{"'ridftotal'!$A$4:$S$27"}</definedName>
    <definedName name="wh" localSheetId="8">#REF!</definedName>
    <definedName name="wh" localSheetId="10">#REF!</definedName>
    <definedName name="wh" localSheetId="11">#REF!</definedName>
    <definedName name="wh" localSheetId="29">#REF!</definedName>
    <definedName name="wh">#REF!</definedName>
    <definedName name="wha">#REF!</definedName>
    <definedName name="what">#REF!</definedName>
    <definedName name="Wi">#REF!</definedName>
    <definedName name="window" localSheetId="8">#REF!</definedName>
    <definedName name="window" localSheetId="10">#REF!</definedName>
    <definedName name="window" localSheetId="11">#REF!</definedName>
    <definedName name="window" localSheetId="29">#REF!</definedName>
    <definedName name="window">#REF!</definedName>
    <definedName name="window_sizes" localSheetId="5">#REF!</definedName>
    <definedName name="window_sizes" localSheetId="8">#REF!</definedName>
    <definedName name="window_sizes" localSheetId="10">#REF!</definedName>
    <definedName name="window_sizes" localSheetId="29">#REF!</definedName>
    <definedName name="window_sizes" localSheetId="31">#REF!</definedName>
    <definedName name="window_sizes">#REF!</definedName>
    <definedName name="wl" localSheetId="8">#REF!</definedName>
    <definedName name="wl" localSheetId="10">#REF!</definedName>
    <definedName name="wl" localSheetId="11">#REF!</definedName>
    <definedName name="wl" localSheetId="29">#REF!</definedName>
    <definedName name="wl">#REF!</definedName>
    <definedName name="WLA" localSheetId="8">#REF!</definedName>
    <definedName name="WLA" localSheetId="10">#REF!</definedName>
    <definedName name="WLA" localSheetId="29">#REF!</definedName>
    <definedName name="WLA">#REF!</definedName>
    <definedName name="wltd" localSheetId="8">#REF!</definedName>
    <definedName name="wltd" localSheetId="10">#REF!</definedName>
    <definedName name="wltd" localSheetId="11">#REF!</definedName>
    <definedName name="wltd" localSheetId="29">#REF!</definedName>
    <definedName name="wltd">#REF!</definedName>
    <definedName name="wm" localSheetId="5">#REF!</definedName>
    <definedName name="wm" localSheetId="8">#REF!</definedName>
    <definedName name="wm" localSheetId="10">#REF!</definedName>
    <definedName name="wm" localSheetId="11">#REF!</definedName>
    <definedName name="wm" localSheetId="29">#REF!</definedName>
    <definedName name="wm" localSheetId="31">#REF!</definedName>
    <definedName name="wm">#REF!</definedName>
    <definedName name="wmm" localSheetId="8">#REF!</definedName>
    <definedName name="wmm" localSheetId="10">#REF!</definedName>
    <definedName name="wmm" localSheetId="29">#REF!</definedName>
    <definedName name="wmm" localSheetId="31">#REF!</definedName>
    <definedName name="wmm">#REF!</definedName>
    <definedName name="wmz">#REF!</definedName>
    <definedName name="wn" localSheetId="8">#REF!</definedName>
    <definedName name="wn" localSheetId="10">#REF!</definedName>
    <definedName name="wn" localSheetId="11">#REF!</definedName>
    <definedName name="wn" localSheetId="29">#REF!</definedName>
    <definedName name="wn">#REF!</definedName>
    <definedName name="Woman_Mazdoor" localSheetId="8">#REF!</definedName>
    <definedName name="Woman_Mazdoor" localSheetId="10">#REF!</definedName>
    <definedName name="Woman_Mazdoor" localSheetId="29">#REF!</definedName>
    <definedName name="Woman_Mazdoor">#REF!</definedName>
    <definedName name="word" localSheetId="5">#REF!</definedName>
    <definedName name="word" localSheetId="8">#REF!</definedName>
    <definedName name="word" localSheetId="10">#REF!</definedName>
    <definedName name="word" localSheetId="29">#REF!</definedName>
    <definedName name="word" localSheetId="31">#REF!</definedName>
    <definedName name="word">#REF!</definedName>
    <definedName name="wp" localSheetId="8">#REF!</definedName>
    <definedName name="wp" localSheetId="10">#REF!</definedName>
    <definedName name="wp" localSheetId="11">#REF!</definedName>
    <definedName name="wp" localSheetId="29">#REF!</definedName>
    <definedName name="wp">#REF!</definedName>
    <definedName name="WR" localSheetId="14">#REF!</definedName>
    <definedName name="WR" localSheetId="8">#REF!</definedName>
    <definedName name="WR" localSheetId="10">#REF!</definedName>
    <definedName name="WR" localSheetId="29">#REF!</definedName>
    <definedName name="WR">#REF!</definedName>
    <definedName name="wrb" localSheetId="8">#REF!</definedName>
    <definedName name="wrb" localSheetId="10">#REF!</definedName>
    <definedName name="wrb" localSheetId="11">#REF!</definedName>
    <definedName name="wrb" localSheetId="29">#REF!</definedName>
    <definedName name="wrb">#REF!</definedName>
    <definedName name="wrbi" localSheetId="8">#REF!</definedName>
    <definedName name="wrbi" localSheetId="10">#REF!</definedName>
    <definedName name="wrbi" localSheetId="11">#REF!</definedName>
    <definedName name="wrbi" localSheetId="29">#REF!</definedName>
    <definedName name="wrbi">#REF!</definedName>
    <definedName name="wrn.detailed." localSheetId="21" hidden="1">{#N/A,#N/A,FALSE,"no"}</definedName>
    <definedName name="wrn.detailed." localSheetId="14" hidden="1">{#N/A,#N/A,FALSE,"no"}</definedName>
    <definedName name="wrn.detailed." localSheetId="11" hidden="1">{#N/A,#N/A,FALSE,"no"}</definedName>
    <definedName name="wrn.detailed." localSheetId="29" hidden="1">{#N/A,#N/A,FALSE,"no"}</definedName>
    <definedName name="wrn.detailed." localSheetId="31" hidden="1">{#N/A,#N/A,FALSE,"no"}</definedName>
    <definedName name="wrn.detailed." localSheetId="9" hidden="1">{#N/A,#N/A,FALSE,"no"}</definedName>
    <definedName name="wrn.detailed." hidden="1">{#N/A,#N/A,FALSE,"no"}</definedName>
    <definedName name="WRO" localSheetId="14">#REF!</definedName>
    <definedName name="WRO" localSheetId="8">#REF!</definedName>
    <definedName name="WRO" localSheetId="10">#REF!</definedName>
    <definedName name="WRO" localSheetId="29">#REF!</definedName>
    <definedName name="WRO">#REF!</definedName>
    <definedName name="wsw" localSheetId="8">#REF!</definedName>
    <definedName name="wsw" localSheetId="10">#REF!</definedName>
    <definedName name="wsw" localSheetId="11">#REF!</definedName>
    <definedName name="wsw" localSheetId="29">#REF!</definedName>
    <definedName name="wsw">#REF!</definedName>
    <definedName name="wtd" localSheetId="8">#REF!</definedName>
    <definedName name="wtd" localSheetId="10">#REF!</definedName>
    <definedName name="wtd" localSheetId="11">#REF!</definedName>
    <definedName name="wtd" localSheetId="29">#REF!</definedName>
    <definedName name="wtd">#REF!</definedName>
    <definedName name="ww" localSheetId="21">#REF!</definedName>
    <definedName name="ww" localSheetId="5">#REF!</definedName>
    <definedName name="ww" localSheetId="8">#REF!</definedName>
    <definedName name="ww" localSheetId="10">#REF!</definedName>
    <definedName name="ww" localSheetId="11">#REF!</definedName>
    <definedName name="ww" localSheetId="29">#REF!</definedName>
    <definedName name="ww" localSheetId="31">#REF!</definedName>
    <definedName name="ww" localSheetId="35">#REF!</definedName>
    <definedName name="ww" localSheetId="36">#REF!</definedName>
    <definedName name="ww">#REF!</definedName>
    <definedName name="wwi" localSheetId="8">#REF!</definedName>
    <definedName name="wwi" localSheetId="10">#REF!</definedName>
    <definedName name="wwi" localSheetId="11">#REF!</definedName>
    <definedName name="wwi" localSheetId="29">#REF!</definedName>
    <definedName name="wwi">#REF!</definedName>
    <definedName name="WWWW" localSheetId="29">#REF!</definedName>
    <definedName name="wwwwww">#REF!</definedName>
    <definedName name="wz">#REF!</definedName>
    <definedName name="x" localSheetId="5" hidden="1">{#N/A,#N/A,FALSE,"no"}</definedName>
    <definedName name="x" localSheetId="8">#REF!</definedName>
    <definedName name="x" localSheetId="10">#REF!</definedName>
    <definedName name="x" localSheetId="11" hidden="1">{#N/A,#N/A,FALSE,"no"}</definedName>
    <definedName name="x" localSheetId="29">#REF!</definedName>
    <definedName name="x" localSheetId="31">#REF!</definedName>
    <definedName name="x">#REF!</definedName>
    <definedName name="xbb" localSheetId="8">#REF!</definedName>
    <definedName name="xbb" localSheetId="10">#REF!</definedName>
    <definedName name="xbb" localSheetId="29">#REF!</definedName>
    <definedName name="xbb" localSheetId="31">#REF!</definedName>
    <definedName name="xbb">#REF!</definedName>
    <definedName name="xbm" localSheetId="8">#REF!</definedName>
    <definedName name="xbm" localSheetId="10">#REF!</definedName>
    <definedName name="xbm" localSheetId="29">#REF!</definedName>
    <definedName name="xbm" localSheetId="31">#REF!</definedName>
    <definedName name="xbm">#REF!</definedName>
    <definedName name="xcc11534020" localSheetId="8">#REF!</definedName>
    <definedName name="xcc11534020" localSheetId="10">#REF!</definedName>
    <definedName name="xcc11534020" localSheetId="29">#REF!</definedName>
    <definedName name="xcc11534020" localSheetId="31">#REF!</definedName>
    <definedName name="xcc11534020">#REF!</definedName>
    <definedName name="xcc136c" localSheetId="8">#REF!</definedName>
    <definedName name="xcc136c" localSheetId="10">#REF!</definedName>
    <definedName name="xcc136c" localSheetId="29">#REF!</definedName>
    <definedName name="xcc136c" localSheetId="31">#REF!</definedName>
    <definedName name="xcc136c">#REF!</definedName>
    <definedName name="xcf" localSheetId="8">#REF!</definedName>
    <definedName name="xcf" localSheetId="10">#REF!</definedName>
    <definedName name="xcf" localSheetId="29">#REF!</definedName>
    <definedName name="xcf" localSheetId="31">#REF!</definedName>
    <definedName name="xcf">#REF!</definedName>
    <definedName name="xcgi" localSheetId="8">#REF!</definedName>
    <definedName name="xcgi" localSheetId="10">#REF!</definedName>
    <definedName name="xcgi" localSheetId="29">#REF!</definedName>
    <definedName name="xcgi" localSheetId="31">#REF!</definedName>
    <definedName name="xcgi">#REF!</definedName>
    <definedName name="xcrs" localSheetId="8">#REF!</definedName>
    <definedName name="xcrs" localSheetId="10">#REF!</definedName>
    <definedName name="xcrs" localSheetId="29">#REF!</definedName>
    <definedName name="xcrs" localSheetId="31">#REF!</definedName>
    <definedName name="xcrs">#REF!</definedName>
    <definedName name="xew" localSheetId="8">#REF!</definedName>
    <definedName name="xew" localSheetId="10">#REF!</definedName>
    <definedName name="xew" localSheetId="29">#REF!</definedName>
    <definedName name="xew" localSheetId="31">#REF!</definedName>
    <definedName name="xew">#REF!</definedName>
    <definedName name="xew20b" localSheetId="8">#REF!</definedName>
    <definedName name="xew20b" localSheetId="10">#REF!</definedName>
    <definedName name="xew20b" localSheetId="29">#REF!</definedName>
    <definedName name="xew20b" localSheetId="31">#REF!</definedName>
    <definedName name="xew20b">#REF!</definedName>
    <definedName name="xfb" localSheetId="8">#REF!</definedName>
    <definedName name="xfb" localSheetId="10">#REF!</definedName>
    <definedName name="xfb" localSheetId="29">#REF!</definedName>
    <definedName name="xfb" localSheetId="31">#REF!</definedName>
    <definedName name="xfb">#REF!</definedName>
    <definedName name="xfp" localSheetId="8">#REF!</definedName>
    <definedName name="xfp" localSheetId="10">#REF!</definedName>
    <definedName name="xfp" localSheetId="29">#REF!</definedName>
    <definedName name="xfp" localSheetId="31">#REF!</definedName>
    <definedName name="xfp">#REF!</definedName>
    <definedName name="xfpolish" localSheetId="8">#REF!</definedName>
    <definedName name="xfpolish" localSheetId="10">#REF!</definedName>
    <definedName name="xfpolish" localSheetId="29">#REF!</definedName>
    <definedName name="xfpolish" localSheetId="31">#REF!</definedName>
    <definedName name="xfpolish">#REF!</definedName>
    <definedName name="xfprr" localSheetId="8">#REF!</definedName>
    <definedName name="xfprr" localSheetId="10">#REF!</definedName>
    <definedName name="xfprr" localSheetId="29">#REF!</definedName>
    <definedName name="xfprr" localSheetId="31">#REF!</definedName>
    <definedName name="xfprr">#REF!</definedName>
    <definedName name="xfpss" localSheetId="8">#REF!</definedName>
    <definedName name="xfpss" localSheetId="10">#REF!</definedName>
    <definedName name="xfpss" localSheetId="29">#REF!</definedName>
    <definedName name="xfpss" localSheetId="31">#REF!</definedName>
    <definedName name="xfpss">#REF!</definedName>
    <definedName name="xfscc" localSheetId="8">#REF!</definedName>
    <definedName name="xfscc" localSheetId="10">#REF!</definedName>
    <definedName name="xfscc" localSheetId="29">#REF!</definedName>
    <definedName name="xfscc" localSheetId="31">#REF!</definedName>
    <definedName name="xfscc">#REF!</definedName>
    <definedName name="xfss" localSheetId="8">#REF!</definedName>
    <definedName name="xfss" localSheetId="10">#REF!</definedName>
    <definedName name="xfss" localSheetId="29">#REF!</definedName>
    <definedName name="xfss" localSheetId="31">#REF!</definedName>
    <definedName name="xfss">#REF!</definedName>
    <definedName name="xfsscc" localSheetId="8">#REF!</definedName>
    <definedName name="xfsscc" localSheetId="10">#REF!</definedName>
    <definedName name="xfsscc" localSheetId="29">#REF!</definedName>
    <definedName name="xfsscc" localSheetId="31">#REF!</definedName>
    <definedName name="xfsscc">#REF!</definedName>
    <definedName name="xhb11010" localSheetId="8">#REF!</definedName>
    <definedName name="xhb11010" localSheetId="10">#REF!</definedName>
    <definedName name="xhb11010" localSheetId="11">#REF!</definedName>
    <definedName name="xhb11010" localSheetId="29">#REF!</definedName>
    <definedName name="xhb11010">#REF!</definedName>
    <definedName name="xhb1104" localSheetId="8">#REF!</definedName>
    <definedName name="xhb1104" localSheetId="10">#REF!</definedName>
    <definedName name="xhb1104" localSheetId="11">#REF!</definedName>
    <definedName name="xhb1104" localSheetId="29">#REF!</definedName>
    <definedName name="xhb1104">#REF!</definedName>
    <definedName name="xhb1106" localSheetId="8">#REF!</definedName>
    <definedName name="xhb1106" localSheetId="10">#REF!</definedName>
    <definedName name="xhb1106" localSheetId="11">#REF!</definedName>
    <definedName name="xhb1106" localSheetId="29">#REF!</definedName>
    <definedName name="xhb1106">#REF!</definedName>
    <definedName name="xhb1108" localSheetId="8">#REF!</definedName>
    <definedName name="xhb1108" localSheetId="10">#REF!</definedName>
    <definedName name="xhb1108" localSheetId="11">#REF!</definedName>
    <definedName name="xhb1108" localSheetId="29">#REF!</definedName>
    <definedName name="xhb1108">#REF!</definedName>
    <definedName name="xhb12510" localSheetId="8">#REF!</definedName>
    <definedName name="xhb12510" localSheetId="10">#REF!</definedName>
    <definedName name="xhb12510" localSheetId="11">#REF!</definedName>
    <definedName name="xhb12510" localSheetId="29">#REF!</definedName>
    <definedName name="xhb12510">#REF!</definedName>
    <definedName name="xhb1254" localSheetId="8">#REF!</definedName>
    <definedName name="xhb1254" localSheetId="10">#REF!</definedName>
    <definedName name="xhb1254" localSheetId="11">#REF!</definedName>
    <definedName name="xhb1254" localSheetId="29">#REF!</definedName>
    <definedName name="xhb1254">#REF!</definedName>
    <definedName name="xhb1256" localSheetId="8">#REF!</definedName>
    <definedName name="xhb1256" localSheetId="10">#REF!</definedName>
    <definedName name="xhb1256" localSheetId="11">#REF!</definedName>
    <definedName name="xhb1256" localSheetId="29">#REF!</definedName>
    <definedName name="xhb1256">#REF!</definedName>
    <definedName name="xhb1258" localSheetId="8">#REF!</definedName>
    <definedName name="xhb1258" localSheetId="10">#REF!</definedName>
    <definedName name="xhb1258" localSheetId="11">#REF!</definedName>
    <definedName name="xhb1258" localSheetId="29">#REF!</definedName>
    <definedName name="xhb1258">#REF!</definedName>
    <definedName name="xhb14010" localSheetId="8">#REF!</definedName>
    <definedName name="xhb14010" localSheetId="10">#REF!</definedName>
    <definedName name="xhb14010" localSheetId="11">#REF!</definedName>
    <definedName name="xhb14010" localSheetId="29">#REF!</definedName>
    <definedName name="xhb14010">#REF!</definedName>
    <definedName name="xhb1404" localSheetId="8">#REF!</definedName>
    <definedName name="xhb1404" localSheetId="10">#REF!</definedName>
    <definedName name="xhb1404" localSheetId="11">#REF!</definedName>
    <definedName name="xhb1404" localSheetId="29">#REF!</definedName>
    <definedName name="xhb1404">#REF!</definedName>
    <definedName name="xhb1406" localSheetId="8">#REF!</definedName>
    <definedName name="xhb1406" localSheetId="10">#REF!</definedName>
    <definedName name="xhb1406" localSheetId="11">#REF!</definedName>
    <definedName name="xhb1406" localSheetId="29">#REF!</definedName>
    <definedName name="xhb1406">#REF!</definedName>
    <definedName name="xhb1408" localSheetId="8">#REF!</definedName>
    <definedName name="xhb1408" localSheetId="10">#REF!</definedName>
    <definedName name="xhb1408" localSheetId="11">#REF!</definedName>
    <definedName name="xhb1408" localSheetId="29">#REF!</definedName>
    <definedName name="xhb1408">#REF!</definedName>
    <definedName name="xhb16010" localSheetId="8">#REF!</definedName>
    <definedName name="xhb16010" localSheetId="10">#REF!</definedName>
    <definedName name="xhb16010" localSheetId="11">#REF!</definedName>
    <definedName name="xhb16010" localSheetId="29">#REF!</definedName>
    <definedName name="xhb16010">#REF!</definedName>
    <definedName name="xhb1604" localSheetId="8">#REF!</definedName>
    <definedName name="xhb1604" localSheetId="10">#REF!</definedName>
    <definedName name="xhb1604" localSheetId="11">#REF!</definedName>
    <definedName name="xhb1604" localSheetId="29">#REF!</definedName>
    <definedName name="xhb1604">#REF!</definedName>
    <definedName name="xhb1606" localSheetId="8">#REF!</definedName>
    <definedName name="xhb1606" localSheetId="10">#REF!</definedName>
    <definedName name="xhb1606" localSheetId="11">#REF!</definedName>
    <definedName name="xhb1606" localSheetId="29">#REF!</definedName>
    <definedName name="xhb1606">#REF!</definedName>
    <definedName name="xhb1608" localSheetId="8">#REF!</definedName>
    <definedName name="xhb1608" localSheetId="10">#REF!</definedName>
    <definedName name="xhb1608" localSheetId="11">#REF!</definedName>
    <definedName name="xhb1608" localSheetId="29">#REF!</definedName>
    <definedName name="xhb1608">#REF!</definedName>
    <definedName name="xhb18010" localSheetId="8">#REF!</definedName>
    <definedName name="xhb18010" localSheetId="10">#REF!</definedName>
    <definedName name="xhb18010" localSheetId="11">#REF!</definedName>
    <definedName name="xhb18010" localSheetId="29">#REF!</definedName>
    <definedName name="xhb18010">#REF!</definedName>
    <definedName name="xhb1804" localSheetId="8">#REF!</definedName>
    <definedName name="xhb1804" localSheetId="10">#REF!</definedName>
    <definedName name="xhb1804" localSheetId="11">#REF!</definedName>
    <definedName name="xhb1804" localSheetId="29">#REF!</definedName>
    <definedName name="xhb1804">#REF!</definedName>
    <definedName name="xhb1806" localSheetId="8">#REF!</definedName>
    <definedName name="xhb1806" localSheetId="10">#REF!</definedName>
    <definedName name="xhb1806" localSheetId="11">#REF!</definedName>
    <definedName name="xhb1806" localSheetId="29">#REF!</definedName>
    <definedName name="xhb1806">#REF!</definedName>
    <definedName name="xhb1808" localSheetId="8">#REF!</definedName>
    <definedName name="xhb1808" localSheetId="10">#REF!</definedName>
    <definedName name="xhb1808" localSheetId="11">#REF!</definedName>
    <definedName name="xhb1808" localSheetId="29">#REF!</definedName>
    <definedName name="xhb1808">#REF!</definedName>
    <definedName name="xhb20010" localSheetId="8">#REF!</definedName>
    <definedName name="xhb20010" localSheetId="10">#REF!</definedName>
    <definedName name="xhb20010" localSheetId="11">#REF!</definedName>
    <definedName name="xhb20010" localSheetId="29">#REF!</definedName>
    <definedName name="xhb20010">#REF!</definedName>
    <definedName name="xhb2004" localSheetId="8">#REF!</definedName>
    <definedName name="xhb2004" localSheetId="10">#REF!</definedName>
    <definedName name="xhb2004" localSheetId="11">#REF!</definedName>
    <definedName name="xhb2004" localSheetId="29">#REF!</definedName>
    <definedName name="xhb2004">#REF!</definedName>
    <definedName name="xhb2006" localSheetId="8">#REF!</definedName>
    <definedName name="xhb2006" localSheetId="10">#REF!</definedName>
    <definedName name="xhb2006" localSheetId="11">#REF!</definedName>
    <definedName name="xhb2006" localSheetId="29">#REF!</definedName>
    <definedName name="xhb2006">#REF!</definedName>
    <definedName name="xhb2008" localSheetId="8">#REF!</definedName>
    <definedName name="xhb2008" localSheetId="10">#REF!</definedName>
    <definedName name="xhb2008" localSheetId="11">#REF!</definedName>
    <definedName name="xhb2008" localSheetId="29">#REF!</definedName>
    <definedName name="xhb2008">#REF!</definedName>
    <definedName name="xhb22510" localSheetId="8">#REF!</definedName>
    <definedName name="xhb22510" localSheetId="10">#REF!</definedName>
    <definedName name="xhb22510" localSheetId="11">#REF!</definedName>
    <definedName name="xhb22510" localSheetId="29">#REF!</definedName>
    <definedName name="xhb22510">#REF!</definedName>
    <definedName name="xhb2254" localSheetId="8">#REF!</definedName>
    <definedName name="xhb2254" localSheetId="10">#REF!</definedName>
    <definedName name="xhb2254" localSheetId="11">#REF!</definedName>
    <definedName name="xhb2254" localSheetId="29">#REF!</definedName>
    <definedName name="xhb2254">#REF!</definedName>
    <definedName name="xhb2258" localSheetId="8">#REF!</definedName>
    <definedName name="xhb2258" localSheetId="10">#REF!</definedName>
    <definedName name="xhb2258" localSheetId="11">#REF!</definedName>
    <definedName name="xhb2258" localSheetId="29">#REF!</definedName>
    <definedName name="xhb2258">#REF!</definedName>
    <definedName name="xhb25010" localSheetId="8">#REF!</definedName>
    <definedName name="xhb25010" localSheetId="10">#REF!</definedName>
    <definedName name="xhb25010" localSheetId="11">#REF!</definedName>
    <definedName name="xhb25010" localSheetId="29">#REF!</definedName>
    <definedName name="xhb25010">#REF!</definedName>
    <definedName name="xhb2504" localSheetId="8">#REF!</definedName>
    <definedName name="xhb2504" localSheetId="10">#REF!</definedName>
    <definedName name="xhb2504" localSheetId="11">#REF!</definedName>
    <definedName name="xhb2504" localSheetId="29">#REF!</definedName>
    <definedName name="xhb2504">#REF!</definedName>
    <definedName name="xhb2508" localSheetId="8">#REF!</definedName>
    <definedName name="xhb2508" localSheetId="10">#REF!</definedName>
    <definedName name="xhb2508" localSheetId="11">#REF!</definedName>
    <definedName name="xhb2508" localSheetId="29">#REF!</definedName>
    <definedName name="xhb2508">#REF!</definedName>
    <definedName name="xhb28010" localSheetId="8">#REF!</definedName>
    <definedName name="xhb28010" localSheetId="10">#REF!</definedName>
    <definedName name="xhb28010" localSheetId="11">#REF!</definedName>
    <definedName name="xhb28010" localSheetId="29">#REF!</definedName>
    <definedName name="xhb28010">#REF!</definedName>
    <definedName name="xhb2804" localSheetId="8">#REF!</definedName>
    <definedName name="xhb2804" localSheetId="10">#REF!</definedName>
    <definedName name="xhb2804" localSheetId="11">#REF!</definedName>
    <definedName name="xhb2804" localSheetId="29">#REF!</definedName>
    <definedName name="xhb2804">#REF!</definedName>
    <definedName name="xhb2808" localSheetId="8">#REF!</definedName>
    <definedName name="xhb2808" localSheetId="10">#REF!</definedName>
    <definedName name="xhb2808" localSheetId="11">#REF!</definedName>
    <definedName name="xhb2808" localSheetId="29">#REF!</definedName>
    <definedName name="xhb2808">#REF!</definedName>
    <definedName name="xhb31510" localSheetId="8">#REF!</definedName>
    <definedName name="xhb31510" localSheetId="10">#REF!</definedName>
    <definedName name="xhb31510" localSheetId="11">#REF!</definedName>
    <definedName name="xhb31510" localSheetId="29">#REF!</definedName>
    <definedName name="xhb31510">#REF!</definedName>
    <definedName name="xhb3154" localSheetId="8">#REF!</definedName>
    <definedName name="xhb3154" localSheetId="10">#REF!</definedName>
    <definedName name="xhb3154" localSheetId="11">#REF!</definedName>
    <definedName name="xhb3154" localSheetId="29">#REF!</definedName>
    <definedName name="xhb3154">#REF!</definedName>
    <definedName name="xhb3158" localSheetId="8">#REF!</definedName>
    <definedName name="xhb3158" localSheetId="10">#REF!</definedName>
    <definedName name="xhb3158" localSheetId="11">#REF!</definedName>
    <definedName name="xhb3158" localSheetId="29">#REF!</definedName>
    <definedName name="xhb3158">#REF!</definedName>
    <definedName name="xhb6310" localSheetId="8">#REF!</definedName>
    <definedName name="xhb6310" localSheetId="10">#REF!</definedName>
    <definedName name="xhb6310" localSheetId="11">#REF!</definedName>
    <definedName name="xhb6310" localSheetId="29">#REF!</definedName>
    <definedName name="xhb6310">#REF!</definedName>
    <definedName name="xhb636" localSheetId="8">#REF!</definedName>
    <definedName name="xhb636" localSheetId="10">#REF!</definedName>
    <definedName name="xhb636" localSheetId="11">#REF!</definedName>
    <definedName name="xhb636" localSheetId="29">#REF!</definedName>
    <definedName name="xhb636">#REF!</definedName>
    <definedName name="xhb638" localSheetId="8">#REF!</definedName>
    <definedName name="xhb638" localSheetId="10">#REF!</definedName>
    <definedName name="xhb638" localSheetId="11">#REF!</definedName>
    <definedName name="xhb638" localSheetId="29">#REF!</definedName>
    <definedName name="xhb638">#REF!</definedName>
    <definedName name="xhb7510" localSheetId="8">#REF!</definedName>
    <definedName name="xhb7510" localSheetId="10">#REF!</definedName>
    <definedName name="xhb7510" localSheetId="11">#REF!</definedName>
    <definedName name="xhb7510" localSheetId="29">#REF!</definedName>
    <definedName name="xhb7510">#REF!</definedName>
    <definedName name="xhb754" localSheetId="8">#REF!</definedName>
    <definedName name="xhb754" localSheetId="10">#REF!</definedName>
    <definedName name="xhb754" localSheetId="11">#REF!</definedName>
    <definedName name="xhb754" localSheetId="29">#REF!</definedName>
    <definedName name="xhb754">#REF!</definedName>
    <definedName name="xhb756" localSheetId="8">#REF!</definedName>
    <definedName name="xhb756" localSheetId="10">#REF!</definedName>
    <definedName name="xhb756" localSheetId="11">#REF!</definedName>
    <definedName name="xhb756" localSheetId="29">#REF!</definedName>
    <definedName name="xhb756">#REF!</definedName>
    <definedName name="xhb758" localSheetId="8">#REF!</definedName>
    <definedName name="xhb758" localSheetId="10">#REF!</definedName>
    <definedName name="xhb758" localSheetId="11">#REF!</definedName>
    <definedName name="xhb758" localSheetId="29">#REF!</definedName>
    <definedName name="xhb758">#REF!</definedName>
    <definedName name="xhb9010" localSheetId="8">#REF!</definedName>
    <definedName name="xhb9010" localSheetId="10">#REF!</definedName>
    <definedName name="xhb9010" localSheetId="11">#REF!</definedName>
    <definedName name="xhb9010" localSheetId="29">#REF!</definedName>
    <definedName name="xhb9010">#REF!</definedName>
    <definedName name="xhb904" localSheetId="8">#REF!</definedName>
    <definedName name="xhb904" localSheetId="10">#REF!</definedName>
    <definedName name="xhb904" localSheetId="11">#REF!</definedName>
    <definedName name="xhb904" localSheetId="29">#REF!</definedName>
    <definedName name="xhb904">#REF!</definedName>
    <definedName name="xhb906" localSheetId="8">#REF!</definedName>
    <definedName name="xhb906" localSheetId="10">#REF!</definedName>
    <definedName name="xhb906" localSheetId="11">#REF!</definedName>
    <definedName name="xhb906" localSheetId="29">#REF!</definedName>
    <definedName name="xhb906">#REF!</definedName>
    <definedName name="xhb908" localSheetId="8">#REF!</definedName>
    <definedName name="xhb908" localSheetId="10">#REF!</definedName>
    <definedName name="xhb908" localSheetId="11">#REF!</definedName>
    <definedName name="xhb908" localSheetId="29">#REF!</definedName>
    <definedName name="xhb908">#REF!</definedName>
    <definedName name="XI" localSheetId="14">#REF!</definedName>
    <definedName name="XI" localSheetId="8">#REF!</definedName>
    <definedName name="XI" localSheetId="10">#REF!</definedName>
    <definedName name="XI" localSheetId="29">#REF!</definedName>
    <definedName name="XI">#REF!</definedName>
    <definedName name="ximp" localSheetId="8">#REF!</definedName>
    <definedName name="ximp" localSheetId="10">#REF!</definedName>
    <definedName name="ximp" localSheetId="29">#REF!</definedName>
    <definedName name="ximp" localSheetId="31">#REF!</definedName>
    <definedName name="ximp">#REF!</definedName>
    <definedName name="ximp20" localSheetId="8">#REF!</definedName>
    <definedName name="ximp20" localSheetId="10">#REF!</definedName>
    <definedName name="ximp20" localSheetId="29">#REF!</definedName>
    <definedName name="ximp20" localSheetId="31">#REF!</definedName>
    <definedName name="ximp20">#REF!</definedName>
    <definedName name="xlin" localSheetId="8">#REF!</definedName>
    <definedName name="xlin" localSheetId="10">#REF!</definedName>
    <definedName name="xlin" localSheetId="29">#REF!</definedName>
    <definedName name="xlin" localSheetId="31">#REF!</definedName>
    <definedName name="xlin">#REF!</definedName>
    <definedName name="XOTOXSIX" localSheetId="5">#REF!</definedName>
    <definedName name="XOTOXSIX" localSheetId="8">#REF!</definedName>
    <definedName name="XOTOXSIX" localSheetId="10">#REF!</definedName>
    <definedName name="XOTOXSIX" localSheetId="29">#REF!</definedName>
    <definedName name="XOTOXSIX" localSheetId="31">#REF!</definedName>
    <definedName name="XOTOXSIX">#REF!</definedName>
    <definedName name="xpb16010" localSheetId="8">#REF!</definedName>
    <definedName name="xpb16010" localSheetId="10">#REF!</definedName>
    <definedName name="xpb16010" localSheetId="11">#REF!</definedName>
    <definedName name="xpb16010" localSheetId="29">#REF!</definedName>
    <definedName name="xpb16010">#REF!</definedName>
    <definedName name="xpb18010" localSheetId="8">#REF!</definedName>
    <definedName name="xpb18010" localSheetId="10">#REF!</definedName>
    <definedName name="xpb18010" localSheetId="11">#REF!</definedName>
    <definedName name="xpb18010" localSheetId="29">#REF!</definedName>
    <definedName name="xpb18010">#REF!</definedName>
    <definedName name="xpb20010" localSheetId="8">#REF!</definedName>
    <definedName name="xpb20010" localSheetId="10">#REF!</definedName>
    <definedName name="xpb20010" localSheetId="11">#REF!</definedName>
    <definedName name="xpb20010" localSheetId="29">#REF!</definedName>
    <definedName name="xpb20010">#REF!</definedName>
    <definedName name="xpb2004" localSheetId="8">#REF!</definedName>
    <definedName name="xpb2004" localSheetId="10">#REF!</definedName>
    <definedName name="xpb2004" localSheetId="11">#REF!</definedName>
    <definedName name="xpb2004" localSheetId="29">#REF!</definedName>
    <definedName name="xpb2004">#REF!</definedName>
    <definedName name="xpb22510" localSheetId="8">#REF!</definedName>
    <definedName name="xpb22510" localSheetId="10">#REF!</definedName>
    <definedName name="xpb22510" localSheetId="11">#REF!</definedName>
    <definedName name="xpb22510" localSheetId="29">#REF!</definedName>
    <definedName name="xpb22510">#REF!</definedName>
    <definedName name="xpb2254" localSheetId="8">#REF!</definedName>
    <definedName name="xpb2254" localSheetId="10">#REF!</definedName>
    <definedName name="xpb2254" localSheetId="11">#REF!</definedName>
    <definedName name="xpb2254" localSheetId="29">#REF!</definedName>
    <definedName name="xpb2254">#REF!</definedName>
    <definedName name="xpb2256" localSheetId="8">#REF!</definedName>
    <definedName name="xpb2256" localSheetId="10">#REF!</definedName>
    <definedName name="xpb2256" localSheetId="11">#REF!</definedName>
    <definedName name="xpb2256" localSheetId="29">#REF!</definedName>
    <definedName name="xpb2256">#REF!</definedName>
    <definedName name="xpb25010" localSheetId="8">#REF!</definedName>
    <definedName name="xpb25010" localSheetId="10">#REF!</definedName>
    <definedName name="xpb25010" localSheetId="11">#REF!</definedName>
    <definedName name="xpb25010" localSheetId="29">#REF!</definedName>
    <definedName name="xpb25010">#REF!</definedName>
    <definedName name="xpb2504" localSheetId="8">#REF!</definedName>
    <definedName name="xpb2504" localSheetId="10">#REF!</definedName>
    <definedName name="xpb2504" localSheetId="11">#REF!</definedName>
    <definedName name="xpb2504" localSheetId="29">#REF!</definedName>
    <definedName name="xpb2504">#REF!</definedName>
    <definedName name="xpb2506" localSheetId="8">#REF!</definedName>
    <definedName name="xpb2506" localSheetId="10">#REF!</definedName>
    <definedName name="xpb2506" localSheetId="11">#REF!</definedName>
    <definedName name="xpb2506" localSheetId="29">#REF!</definedName>
    <definedName name="xpb2506">#REF!</definedName>
    <definedName name="xpb28010" localSheetId="8">#REF!</definedName>
    <definedName name="xpb28010" localSheetId="10">#REF!</definedName>
    <definedName name="xpb28010" localSheetId="11">#REF!</definedName>
    <definedName name="xpb28010" localSheetId="29">#REF!</definedName>
    <definedName name="xpb28010">#REF!</definedName>
    <definedName name="xpb2804" localSheetId="8">#REF!</definedName>
    <definedName name="xpb2804" localSheetId="10">#REF!</definedName>
    <definedName name="xpb2804" localSheetId="11">#REF!</definedName>
    <definedName name="xpb2804" localSheetId="29">#REF!</definedName>
    <definedName name="xpb2804">#REF!</definedName>
    <definedName name="xpb2806" localSheetId="8">#REF!</definedName>
    <definedName name="xpb2806" localSheetId="10">#REF!</definedName>
    <definedName name="xpb2806" localSheetId="11">#REF!</definedName>
    <definedName name="xpb2806" localSheetId="29">#REF!</definedName>
    <definedName name="xpb2806">#REF!</definedName>
    <definedName name="xpb31510" localSheetId="8">#REF!</definedName>
    <definedName name="xpb31510" localSheetId="10">#REF!</definedName>
    <definedName name="xpb31510" localSheetId="11">#REF!</definedName>
    <definedName name="xpb31510" localSheetId="29">#REF!</definedName>
    <definedName name="xpb31510">#REF!</definedName>
    <definedName name="xpb3154" localSheetId="8">#REF!</definedName>
    <definedName name="xpb3154" localSheetId="10">#REF!</definedName>
    <definedName name="xpb3154" localSheetId="11">#REF!</definedName>
    <definedName name="xpb3154" localSheetId="29">#REF!</definedName>
    <definedName name="xpb3154">#REF!</definedName>
    <definedName name="xpb3156" localSheetId="8">#REF!</definedName>
    <definedName name="xpb3156" localSheetId="10">#REF!</definedName>
    <definedName name="xpb3156" localSheetId="11">#REF!</definedName>
    <definedName name="xpb3156" localSheetId="29">#REF!</definedName>
    <definedName name="xpb3156">#REF!</definedName>
    <definedName name="xpb634" localSheetId="8">#REF!</definedName>
    <definedName name="xpb634" localSheetId="10">#REF!</definedName>
    <definedName name="xpb634" localSheetId="11">#REF!</definedName>
    <definedName name="xpb634" localSheetId="29">#REF!</definedName>
    <definedName name="xpb634">#REF!</definedName>
    <definedName name="xpb9010" localSheetId="8">#REF!</definedName>
    <definedName name="xpb9010" localSheetId="10">#REF!</definedName>
    <definedName name="xpb9010" localSheetId="11">#REF!</definedName>
    <definedName name="xpb9010" localSheetId="29">#REF!</definedName>
    <definedName name="xpb9010">#REF!</definedName>
    <definedName name="xpl121513" localSheetId="8">#REF!</definedName>
    <definedName name="xpl121513" localSheetId="10">#REF!</definedName>
    <definedName name="xpl121513" localSheetId="29">#REF!</definedName>
    <definedName name="xpl121513" localSheetId="31">#REF!</definedName>
    <definedName name="xpl121513">#REF!</definedName>
    <definedName name="xpl1312" localSheetId="8">#REF!</definedName>
    <definedName name="xpl1312" localSheetId="10">#REF!</definedName>
    <definedName name="xpl1312" localSheetId="29">#REF!</definedName>
    <definedName name="xpl1312" localSheetId="31">#REF!</definedName>
    <definedName name="xpl1312">#REF!</definedName>
    <definedName name="xpl1320" localSheetId="8">#REF!</definedName>
    <definedName name="xpl1320" localSheetId="10">#REF!</definedName>
    <definedName name="xpl1320" localSheetId="29">#REF!</definedName>
    <definedName name="xpl1320" localSheetId="31">#REF!</definedName>
    <definedName name="xpl1320">#REF!</definedName>
    <definedName name="xpl1412" localSheetId="8">#REF!</definedName>
    <definedName name="xpl1412" localSheetId="10">#REF!</definedName>
    <definedName name="xpl1412" localSheetId="29">#REF!</definedName>
    <definedName name="xpl1412" localSheetId="31">#REF!</definedName>
    <definedName name="xpl1412">#REF!</definedName>
    <definedName name="xpl1420" localSheetId="8">#REF!</definedName>
    <definedName name="xpl1420" localSheetId="10">#REF!</definedName>
    <definedName name="xpl1420" localSheetId="29">#REF!</definedName>
    <definedName name="xpl1420" localSheetId="31">#REF!</definedName>
    <definedName name="xpl1420">#REF!</definedName>
    <definedName name="xpl201513" localSheetId="8">#REF!</definedName>
    <definedName name="xpl201513" localSheetId="10">#REF!</definedName>
    <definedName name="xpl201513" localSheetId="29">#REF!</definedName>
    <definedName name="xpl201513" localSheetId="31">#REF!</definedName>
    <definedName name="xpl201513">#REF!</definedName>
    <definedName name="xrf" localSheetId="8">#REF!</definedName>
    <definedName name="xrf" localSheetId="10">#REF!</definedName>
    <definedName name="xrf" localSheetId="29">#REF!</definedName>
    <definedName name="xrf" localSheetId="31">#REF!</definedName>
    <definedName name="xrf">#REF!</definedName>
    <definedName name="xrr" localSheetId="8">#REF!</definedName>
    <definedName name="xrr" localSheetId="10">#REF!</definedName>
    <definedName name="xrr" localSheetId="29">#REF!</definedName>
    <definedName name="xrr" localSheetId="31">#REF!</definedName>
    <definedName name="xrr">#REF!</definedName>
    <definedName name="xrs" localSheetId="8">#REF!</definedName>
    <definedName name="xrs" localSheetId="10">#REF!</definedName>
    <definedName name="xrs" localSheetId="29">#REF!</definedName>
    <definedName name="xrs" localSheetId="31">#REF!</definedName>
    <definedName name="xrs">#REF!</definedName>
    <definedName name="xrs112" localSheetId="8">#REF!</definedName>
    <definedName name="xrs112" localSheetId="10">#REF!</definedName>
    <definedName name="xrs112" localSheetId="29">#REF!</definedName>
    <definedName name="xrs112" localSheetId="31">#REF!</definedName>
    <definedName name="xrs112">#REF!</definedName>
    <definedName name="xrs120" localSheetId="8">#REF!</definedName>
    <definedName name="xrs120" localSheetId="10">#REF!</definedName>
    <definedName name="xrs120" localSheetId="29">#REF!</definedName>
    <definedName name="xrs120" localSheetId="31">#REF!</definedName>
    <definedName name="xrs120">#REF!</definedName>
    <definedName name="xrsd225" localSheetId="8">#REF!</definedName>
    <definedName name="xrsd225" localSheetId="10">#REF!</definedName>
    <definedName name="xrsd225" localSheetId="29">#REF!</definedName>
    <definedName name="xrsd225" localSheetId="31">#REF!</definedName>
    <definedName name="xrsd225">#REF!</definedName>
    <definedName name="xsc" localSheetId="8">#REF!</definedName>
    <definedName name="xsc" localSheetId="10">#REF!</definedName>
    <definedName name="xsc" localSheetId="29">#REF!</definedName>
    <definedName name="xsc" localSheetId="31">#REF!</definedName>
    <definedName name="xsc">#REF!</definedName>
    <definedName name="xscp" localSheetId="8">#REF!</definedName>
    <definedName name="xscp" localSheetId="10">#REF!</definedName>
    <definedName name="xscp" localSheetId="29">#REF!</definedName>
    <definedName name="xscp" localSheetId="31">#REF!</definedName>
    <definedName name="xscp">#REF!</definedName>
    <definedName name="xsep" localSheetId="8">#REF!</definedName>
    <definedName name="xsep" localSheetId="10">#REF!</definedName>
    <definedName name="xsep" localSheetId="29">#REF!</definedName>
    <definedName name="xsep" localSheetId="31">#REF!</definedName>
    <definedName name="xsep">#REF!</definedName>
    <definedName name="xsfb" localSheetId="8">#REF!</definedName>
    <definedName name="xsfb" localSheetId="10">#REF!</definedName>
    <definedName name="xsfb" localSheetId="29">#REF!</definedName>
    <definedName name="xsfb" localSheetId="31">#REF!</definedName>
    <definedName name="xsfb">#REF!</definedName>
    <definedName name="XSIXTOXTHIRTEEN" localSheetId="5">#REF!</definedName>
    <definedName name="XSIXTOXTHIRTEEN" localSheetId="8">#REF!</definedName>
    <definedName name="XSIXTOXTHIRTEEN" localSheetId="10">#REF!</definedName>
    <definedName name="XSIXTOXTHIRTEEN" localSheetId="29">#REF!</definedName>
    <definedName name="XSIXTOXTHIRTEEN" localSheetId="31">#REF!</definedName>
    <definedName name="XSIXTOXTHIRTEEN">#REF!</definedName>
    <definedName name="xspread" localSheetId="8">#REF!</definedName>
    <definedName name="xspread" localSheetId="10">#REF!</definedName>
    <definedName name="xspread" localSheetId="29">#REF!</definedName>
    <definedName name="xspread" localSheetId="31">#REF!</definedName>
    <definedName name="xspread">#REF!</definedName>
    <definedName name="xss" localSheetId="8">#REF!</definedName>
    <definedName name="xss" localSheetId="10">#REF!</definedName>
    <definedName name="xss" localSheetId="29">#REF!</definedName>
    <definedName name="xss" localSheetId="31">#REF!</definedName>
    <definedName name="xss">#REF!</definedName>
    <definedName name="xtb" localSheetId="8">#REF!</definedName>
    <definedName name="xtb" localSheetId="10">#REF!</definedName>
    <definedName name="xtb" localSheetId="29">#REF!</definedName>
    <definedName name="xtb" localSheetId="31">#REF!</definedName>
    <definedName name="xtb">#REF!</definedName>
    <definedName name="xvrcc1153" localSheetId="8">#REF!</definedName>
    <definedName name="xvrcc1153" localSheetId="10">#REF!</definedName>
    <definedName name="xvrcc1153" localSheetId="29">#REF!</definedName>
    <definedName name="xvrcc1153" localSheetId="31">#REF!</definedName>
    <definedName name="xvrcc1153">#REF!</definedName>
    <definedName name="xvrcc124" localSheetId="8">#REF!</definedName>
    <definedName name="xvrcc124" localSheetId="10">#REF!</definedName>
    <definedName name="xvrcc124" localSheetId="29">#REF!</definedName>
    <definedName name="xvrcc124" localSheetId="31">#REF!</definedName>
    <definedName name="xvrcc124">#REF!</definedName>
    <definedName name="xww" localSheetId="8">#REF!</definedName>
    <definedName name="xww" localSheetId="10">#REF!</definedName>
    <definedName name="xww" localSheetId="29">#REF!</definedName>
    <definedName name="xww" localSheetId="31">#REF!</definedName>
    <definedName name="xww">#REF!</definedName>
    <definedName name="xx" localSheetId="21" hidden="1">{"'ridftotal'!$A$4:$S$27"}</definedName>
    <definedName name="xx" localSheetId="14" hidden="1">{"'ridftotal'!$A$4:$S$27"}</definedName>
    <definedName name="xx" localSheetId="11" hidden="1">{"'ridftotal'!$A$4:$S$27"}</definedName>
    <definedName name="xx" localSheetId="44" hidden="1">{"'ridftotal'!$A$4:$S$27"}</definedName>
    <definedName name="xx" localSheetId="29" hidden="1">{"'ridftotal'!$A$4:$S$27"}</definedName>
    <definedName name="xx" localSheetId="19" hidden="1">{"'ridftotal'!$A$4:$S$27"}</definedName>
    <definedName name="xx" localSheetId="31" hidden="1">{"'ridftotal'!$A$4:$S$27"}</definedName>
    <definedName name="xx" localSheetId="9" hidden="1">{"'ridftotal'!$A$4:$S$27"}</definedName>
    <definedName name="xx" localSheetId="3" hidden="1">{"'ridftotal'!$A$4:$S$27"}</definedName>
    <definedName name="xx" hidden="1">{"'ridftotal'!$A$4:$S$27"}</definedName>
    <definedName name="xxx" localSheetId="8">#REF!</definedName>
    <definedName name="xxx" localSheetId="10">#REF!</definedName>
    <definedName name="xxx" localSheetId="29">#REF!</definedName>
    <definedName name="xxx" localSheetId="31">#REF!</definedName>
    <definedName name="xxx">#REF!</definedName>
    <definedName name="xxxbxb" localSheetId="21">#REF!</definedName>
    <definedName name="xxxbxb" localSheetId="5">#REF!</definedName>
    <definedName name="xxxbxb" localSheetId="8">#REF!</definedName>
    <definedName name="xxxbxb" localSheetId="10">#REF!</definedName>
    <definedName name="xxxbxb" localSheetId="11">#REF!</definedName>
    <definedName name="xxxbxb" localSheetId="29">#REF!</definedName>
    <definedName name="xxxbxb" localSheetId="31">#REF!</definedName>
    <definedName name="xxxbxb" localSheetId="35">#REF!</definedName>
    <definedName name="xxxbxb" localSheetId="36">#REF!</definedName>
    <definedName name="xxxbxb">#REF!</definedName>
    <definedName name="xxxx" localSheetId="21" hidden="1">{"'ridftotal'!$A$4:$S$27"}</definedName>
    <definedName name="xxxx" localSheetId="14" hidden="1">{"'ridftotal'!$A$4:$S$27"}</definedName>
    <definedName name="xxxx" localSheetId="11" hidden="1">{"'ridftotal'!$A$4:$S$27"}</definedName>
    <definedName name="xxxx" localSheetId="44" hidden="1">{"'ridftotal'!$A$4:$S$27"}</definedName>
    <definedName name="xxxx" localSheetId="29" hidden="1">{"'ridftotal'!$A$4:$S$27"}</definedName>
    <definedName name="xxxx" localSheetId="19" hidden="1">{"'ridftotal'!$A$4:$S$27"}</definedName>
    <definedName name="xxxx" localSheetId="31" hidden="1">{"'ridftotal'!$A$4:$S$27"}</definedName>
    <definedName name="xxxx" localSheetId="9" hidden="1">{"'ridftotal'!$A$4:$S$27"}</definedName>
    <definedName name="xxxx" localSheetId="3" hidden="1">{"'ridftotal'!$A$4:$S$27"}</definedName>
    <definedName name="xxxx" hidden="1">{"'ridftotal'!$A$4:$S$27"}</definedName>
    <definedName name="xz" localSheetId="29">#REF!</definedName>
    <definedName name="y" localSheetId="21">#REF!</definedName>
    <definedName name="y" localSheetId="5">#REF!</definedName>
    <definedName name="y" localSheetId="8">#REF!</definedName>
    <definedName name="y" localSheetId="10">#REF!</definedName>
    <definedName name="y" localSheetId="11">#REF!</definedName>
    <definedName name="y" localSheetId="29">#REF!</definedName>
    <definedName name="y" localSheetId="31">#REF!</definedName>
    <definedName name="y" localSheetId="35">#REF!</definedName>
    <definedName name="y" localSheetId="36">#REF!</definedName>
    <definedName name="y">#REF!</definedName>
    <definedName name="y_43">"$#REF!.$A$2:$L$14"</definedName>
    <definedName name="y_59">"$#REF!.$A$2:$L$14"</definedName>
    <definedName name="y_61">"$#REF!.$A$2:$L$14"</definedName>
    <definedName name="year" localSheetId="5">#REF!</definedName>
    <definedName name="year" localSheetId="8">#REF!</definedName>
    <definedName name="year" localSheetId="10">#REF!</definedName>
    <definedName name="year" localSheetId="11">#REF!</definedName>
    <definedName name="year" localSheetId="29">#REF!</definedName>
    <definedName name="year" localSheetId="31">#REF!</definedName>
    <definedName name="year">#REF!</definedName>
    <definedName name="yeild">#REF!</definedName>
    <definedName name="yes" localSheetId="5">#REF!</definedName>
    <definedName name="ytttyt">#REF!</definedName>
    <definedName name="ytyttyfg">#REF!</definedName>
    <definedName name="yyuydr">#REF!</definedName>
    <definedName name="yyuye">#REF!</definedName>
    <definedName name="yyuyu">#REF!</definedName>
    <definedName name="yyyyy" localSheetId="5">#REF!</definedName>
    <definedName name="yyyyy" localSheetId="8">#REF!</definedName>
    <definedName name="yyyyy" localSheetId="10">#REF!</definedName>
    <definedName name="yyyyy" localSheetId="11">#REF!</definedName>
    <definedName name="yyyyy" localSheetId="29">#REF!</definedName>
    <definedName name="yyyyy" localSheetId="31">#REF!</definedName>
    <definedName name="yyyyy">#REF!</definedName>
    <definedName name="yyyyy_33">"$#REF!.$#REF!$#REF!"</definedName>
    <definedName name="yyyyyyyyyyyyyyyyyyyyyyyyyyyyyyyyyyyyyyyyyyyy">#REF!</definedName>
    <definedName name="z" localSheetId="11">#REF!</definedName>
    <definedName name="z.p.h.s" localSheetId="29">#REF!</definedName>
    <definedName name="zam" localSheetId="5">#REF!</definedName>
    <definedName name="zam" localSheetId="8">#REF!</definedName>
    <definedName name="zam" localSheetId="10">#REF!</definedName>
    <definedName name="zam" localSheetId="11">#REF!</definedName>
    <definedName name="zam" localSheetId="29">#REF!</definedName>
    <definedName name="zam" localSheetId="31">#REF!</definedName>
    <definedName name="zam">#REF!</definedName>
    <definedName name="ZEROTOSIX" localSheetId="5">#REF!</definedName>
    <definedName name="ZEROTOSIX" localSheetId="8">#REF!</definedName>
    <definedName name="ZEROTOSIX" localSheetId="10">#REF!</definedName>
    <definedName name="ZEROTOSIX" localSheetId="29">#REF!</definedName>
    <definedName name="ZEROTOSIX" localSheetId="31">#REF!</definedName>
    <definedName name="ZEROTOSIX">#REF!</definedName>
    <definedName name="Zip" localSheetId="21">#REF!</definedName>
    <definedName name="Zip" localSheetId="5">#REF!</definedName>
    <definedName name="Zip" localSheetId="8">#REF!</definedName>
    <definedName name="Zip" localSheetId="10">#REF!</definedName>
    <definedName name="Zip" localSheetId="11">#REF!</definedName>
    <definedName name="Zip" localSheetId="29">#REF!</definedName>
    <definedName name="Zip" localSheetId="31">#REF!</definedName>
    <definedName name="Zip" localSheetId="35">#REF!</definedName>
    <definedName name="Zip" localSheetId="36">#REF!</definedName>
    <definedName name="Zip">#REF!</definedName>
    <definedName name="ZPHS.">#REF!</definedName>
    <definedName name="zzz" localSheetId="21" hidden="1">{"'ridftotal'!$A$4:$S$27"}</definedName>
    <definedName name="zzz" localSheetId="14" hidden="1">{"'ridftotal'!$A$4:$S$27"}</definedName>
    <definedName name="zzz" localSheetId="29" hidden="1">{"'ridftotal'!$A$4:$S$27"}</definedName>
    <definedName name="zzz" localSheetId="31" hidden="1">{"'ridftotal'!$A$4:$S$27"}</definedName>
    <definedName name="zzz" hidden="1">{"'ridftotal'!$A$4:$S$27"}</definedName>
  </definedNames>
  <calcPr calcId="124519"/>
</workbook>
</file>

<file path=xl/calcChain.xml><?xml version="1.0" encoding="utf-8"?>
<calcChain xmlns="http://schemas.openxmlformats.org/spreadsheetml/2006/main">
  <c r="E39" i="86"/>
  <c r="E40"/>
  <c r="E41" s="1"/>
  <c r="E42" s="1"/>
  <c r="E43" s="1"/>
  <c r="E44" s="1"/>
  <c r="E45" s="1"/>
  <c r="E46" s="1"/>
  <c r="E47" s="1"/>
  <c r="E48" s="1"/>
  <c r="E49" s="1"/>
  <c r="E50" s="1"/>
  <c r="E51" s="1"/>
  <c r="E52" s="1"/>
  <c r="E53" s="1"/>
  <c r="E54" s="1"/>
  <c r="E55" s="1"/>
  <c r="E56" s="1"/>
  <c r="E57" s="1"/>
  <c r="E58" s="1"/>
  <c r="E59" s="1"/>
  <c r="E60" s="1"/>
  <c r="E61" s="1"/>
  <c r="E62" s="1"/>
  <c r="E63" s="1"/>
  <c r="E64" s="1"/>
  <c r="E65" s="1"/>
  <c r="E66" s="1"/>
  <c r="E67" s="1"/>
  <c r="E68" s="1"/>
  <c r="E69" s="1"/>
  <c r="E70" s="1"/>
  <c r="E71" s="1"/>
  <c r="E72" s="1"/>
  <c r="E73" s="1"/>
  <c r="E74" s="1"/>
  <c r="E75" s="1"/>
  <c r="E76" s="1"/>
  <c r="E77" s="1"/>
  <c r="E78" s="1"/>
  <c r="E79" s="1"/>
  <c r="E80" s="1"/>
  <c r="E81" s="1"/>
  <c r="E82" s="1"/>
  <c r="E83" s="1"/>
  <c r="E84" s="1"/>
  <c r="E85" s="1"/>
  <c r="E86" s="1"/>
  <c r="E87" s="1"/>
  <c r="E88" s="1"/>
  <c r="E89" s="1"/>
  <c r="E90" s="1"/>
  <c r="E91" s="1"/>
  <c r="E92" s="1"/>
  <c r="E93" s="1"/>
  <c r="E94" s="1"/>
  <c r="E95" s="1"/>
  <c r="E96" s="1"/>
  <c r="E97" s="1"/>
  <c r="E98" s="1"/>
  <c r="E99" s="1"/>
  <c r="E100" s="1"/>
  <c r="E101" s="1"/>
  <c r="E102" s="1"/>
  <c r="E103" s="1"/>
  <c r="E104" s="1"/>
  <c r="E105" s="1"/>
  <c r="E106" s="1"/>
  <c r="E107" s="1"/>
  <c r="E108" s="1"/>
  <c r="E109" s="1"/>
  <c r="E110" s="1"/>
  <c r="E111" s="1"/>
  <c r="E112" s="1"/>
  <c r="E113" s="1"/>
  <c r="E114" s="1"/>
  <c r="E115" s="1"/>
  <c r="E116" s="1"/>
  <c r="E117" s="1"/>
  <c r="E118" s="1"/>
  <c r="E119" s="1"/>
  <c r="E120" s="1"/>
  <c r="E121" s="1"/>
  <c r="E122" s="1"/>
  <c r="E123" s="1"/>
  <c r="E124" s="1"/>
  <c r="E125" s="1"/>
  <c r="E126" s="1"/>
  <c r="E127" s="1"/>
  <c r="E128" s="1"/>
  <c r="E129" s="1"/>
  <c r="E130" s="1"/>
  <c r="E131" s="1"/>
  <c r="E132" s="1"/>
  <c r="E133" s="1"/>
  <c r="E134" s="1"/>
  <c r="E135" s="1"/>
  <c r="E136" s="1"/>
  <c r="E137" s="1"/>
  <c r="E138" s="1"/>
  <c r="E139" s="1"/>
  <c r="E140" s="1"/>
  <c r="E141" s="1"/>
  <c r="E142" s="1"/>
  <c r="E143" s="1"/>
  <c r="E144" s="1"/>
  <c r="E145" s="1"/>
  <c r="E146" s="1"/>
  <c r="E147" s="1"/>
  <c r="E148" s="1"/>
  <c r="E149" s="1"/>
  <c r="E150" s="1"/>
  <c r="E151" s="1"/>
  <c r="E152" s="1"/>
  <c r="E153" s="1"/>
  <c r="E154" s="1"/>
  <c r="E155" s="1"/>
  <c r="E156" s="1"/>
  <c r="E157" s="1"/>
  <c r="E158" s="1"/>
  <c r="E159" s="1"/>
  <c r="E160" s="1"/>
  <c r="E161" s="1"/>
  <c r="E162" s="1"/>
  <c r="E163" s="1"/>
  <c r="E164" s="1"/>
  <c r="E165" s="1"/>
  <c r="E166" s="1"/>
  <c r="E167" s="1"/>
  <c r="E168" s="1"/>
  <c r="E169" s="1"/>
  <c r="E170" s="1"/>
  <c r="E171" s="1"/>
  <c r="E172" s="1"/>
  <c r="E173" s="1"/>
  <c r="E174" s="1"/>
  <c r="E175" s="1"/>
  <c r="E176" s="1"/>
  <c r="E177" s="1"/>
  <c r="E178" s="1"/>
  <c r="E38"/>
  <c r="E36"/>
  <c r="E37"/>
  <c r="E14"/>
  <c r="E15"/>
  <c r="E16" s="1"/>
  <c r="E17" s="1"/>
  <c r="E18" s="1"/>
  <c r="E19" s="1"/>
  <c r="E20" s="1"/>
  <c r="E21" s="1"/>
  <c r="E22" s="1"/>
  <c r="E23" s="1"/>
  <c r="E24" s="1"/>
  <c r="E25" s="1"/>
  <c r="E26" s="1"/>
  <c r="E27" s="1"/>
  <c r="E28" s="1"/>
  <c r="E29" s="1"/>
  <c r="E30" s="1"/>
  <c r="E31" s="1"/>
  <c r="E32" s="1"/>
  <c r="E33" s="1"/>
  <c r="E34" s="1"/>
  <c r="E35" s="1"/>
  <c r="E13"/>
  <c r="E12"/>
  <c r="E11"/>
  <c r="E10"/>
  <c r="E9"/>
  <c r="Q2"/>
  <c r="R89" i="164"/>
  <c r="E12" i="107"/>
  <c r="E21"/>
  <c r="D237" i="86" l="1"/>
  <c r="D238" s="1"/>
  <c r="D239" s="1"/>
  <c r="D240" s="1"/>
  <c r="D241" s="1"/>
  <c r="D242" s="1"/>
  <c r="D243" s="1"/>
  <c r="D244" s="1"/>
  <c r="D245" s="1"/>
  <c r="D246" s="1"/>
  <c r="D247" s="1"/>
  <c r="D248" s="1"/>
  <c r="D249" s="1"/>
  <c r="D250" s="1"/>
  <c r="D251" s="1"/>
  <c r="C238"/>
  <c r="C239" s="1"/>
  <c r="C240" s="1"/>
  <c r="C241" s="1"/>
  <c r="C242" s="1"/>
  <c r="C243" s="1"/>
  <c r="C244" s="1"/>
  <c r="C245" s="1"/>
  <c r="C246" s="1"/>
  <c r="C247" s="1"/>
  <c r="C248" s="1"/>
  <c r="C249" s="1"/>
  <c r="C250" s="1"/>
  <c r="C251" s="1"/>
  <c r="C252" s="1"/>
  <c r="N183" i="162" l="1"/>
  <c r="N177"/>
  <c r="N176"/>
  <c r="N170"/>
  <c r="N164"/>
  <c r="N163"/>
  <c r="N154"/>
  <c r="N134"/>
  <c r="N113"/>
  <c r="B167" i="94" l="1"/>
  <c r="B100" i="174"/>
  <c r="F89"/>
  <c r="B54" i="187" l="1"/>
  <c r="D141" i="162"/>
  <c r="D120"/>
  <c r="D97" l="1"/>
  <c r="D93"/>
  <c r="D100"/>
  <c r="B46" i="167"/>
  <c r="I40"/>
  <c r="E48" i="162"/>
  <c r="E40"/>
  <c r="B5" i="189"/>
  <c r="B6"/>
  <c r="I3" i="107"/>
  <c r="F49" i="164" l="1"/>
  <c r="I15"/>
  <c r="I11"/>
  <c r="I12" s="1"/>
  <c r="H15" i="107" l="1"/>
  <c r="H16" s="1"/>
  <c r="L129" i="86"/>
  <c r="L95"/>
  <c r="K129" l="1"/>
  <c r="P2" l="1"/>
  <c r="D10" s="1"/>
  <c r="O2"/>
  <c r="C11" s="1"/>
  <c r="C9" l="1"/>
  <c r="C12"/>
  <c r="D11"/>
  <c r="D9"/>
  <c r="C10"/>
  <c r="D12"/>
  <c r="B714" i="94"/>
  <c r="B713"/>
  <c r="B711"/>
  <c r="B709"/>
  <c r="H704"/>
  <c r="H705" s="1"/>
  <c r="H703"/>
  <c r="G616"/>
  <c r="H29" i="198"/>
  <c r="H28"/>
  <c r="H27"/>
  <c r="H26"/>
  <c r="H25"/>
  <c r="B123" i="94" l="1"/>
  <c r="B372" i="113"/>
  <c r="B653" i="119"/>
  <c r="I611"/>
  <c r="B16"/>
  <c r="B17" s="1"/>
  <c r="B669"/>
  <c r="B667"/>
  <c r="B662"/>
  <c r="H633"/>
  <c r="C15" i="184"/>
  <c r="C14"/>
  <c r="C13"/>
  <c r="C12"/>
  <c r="C11"/>
  <c r="F7"/>
  <c r="E7"/>
  <c r="B2"/>
  <c r="H15" i="147"/>
  <c r="G15"/>
  <c r="H14"/>
  <c r="G14"/>
  <c r="H13"/>
  <c r="G13"/>
  <c r="H12"/>
  <c r="G12"/>
  <c r="H11"/>
  <c r="G11"/>
  <c r="H10"/>
  <c r="G10"/>
  <c r="H9"/>
  <c r="G9"/>
  <c r="H8"/>
  <c r="G8"/>
  <c r="A18" i="146"/>
  <c r="A19" s="1"/>
  <c r="A20" s="1"/>
  <c r="A21" s="1"/>
  <c r="A22" s="1"/>
  <c r="A23" s="1"/>
  <c r="A24" s="1"/>
  <c r="A25" s="1"/>
  <c r="A26" s="1"/>
  <c r="A27" s="1"/>
  <c r="A28" s="1"/>
  <c r="A29" s="1"/>
  <c r="A30" s="1"/>
  <c r="A31" s="1"/>
  <c r="A32" s="1"/>
  <c r="N13"/>
  <c r="F13"/>
  <c r="E13"/>
  <c r="N12"/>
  <c r="F12"/>
  <c r="E12"/>
  <c r="N11"/>
  <c r="F11"/>
  <c r="E11"/>
  <c r="N10"/>
  <c r="F10"/>
  <c r="E10"/>
  <c r="N9"/>
  <c r="F9"/>
  <c r="E9"/>
  <c r="N8"/>
  <c r="F8"/>
  <c r="E8"/>
  <c r="P7"/>
  <c r="N7"/>
  <c r="F7"/>
  <c r="E7"/>
  <c r="N6"/>
  <c r="I6"/>
  <c r="K8" i="147" s="1"/>
  <c r="K9" s="1"/>
  <c r="K10" s="1"/>
  <c r="K11" s="1"/>
  <c r="G6" i="146"/>
  <c r="I8" i="147" s="1"/>
  <c r="I9" s="1"/>
  <c r="I10" s="1"/>
  <c r="I11" s="1"/>
  <c r="F6" i="146"/>
  <c r="E6"/>
  <c r="B1"/>
  <c r="C1" i="147" s="1"/>
  <c r="F29" i="7"/>
  <c r="J129" i="86"/>
  <c r="I129"/>
  <c r="H101"/>
  <c r="Q78"/>
  <c r="E692" i="94" s="1"/>
  <c r="G692" s="1"/>
  <c r="P78" i="86"/>
  <c r="Q61"/>
  <c r="Q60"/>
  <c r="Q59"/>
  <c r="I38"/>
  <c r="H38"/>
  <c r="G38"/>
  <c r="B38"/>
  <c r="B39" s="1"/>
  <c r="I37"/>
  <c r="H37"/>
  <c r="G37"/>
  <c r="I36"/>
  <c r="H36"/>
  <c r="G36"/>
  <c r="I35"/>
  <c r="H35"/>
  <c r="G35"/>
  <c r="D13"/>
  <c r="D14" s="1"/>
  <c r="D15" s="1"/>
  <c r="D16" s="1"/>
  <c r="D17" s="1"/>
  <c r="D18" s="1"/>
  <c r="D19" s="1"/>
  <c r="D20" s="1"/>
  <c r="D21" s="1"/>
  <c r="D22" s="1"/>
  <c r="D23" s="1"/>
  <c r="D24" s="1"/>
  <c r="D25" s="1"/>
  <c r="D26" s="1"/>
  <c r="D27" s="1"/>
  <c r="D28" s="1"/>
  <c r="D29" s="1"/>
  <c r="D30" s="1"/>
  <c r="D31" s="1"/>
  <c r="D32" s="1"/>
  <c r="D33" s="1"/>
  <c r="D34" s="1"/>
  <c r="D35" s="1"/>
  <c r="D36" s="1"/>
  <c r="D37" s="1"/>
  <c r="D38" s="1"/>
  <c r="D39" s="1"/>
  <c r="D40" s="1"/>
  <c r="D41" s="1"/>
  <c r="D42" s="1"/>
  <c r="D43" s="1"/>
  <c r="D44" s="1"/>
  <c r="D45" s="1"/>
  <c r="D46" s="1"/>
  <c r="D47" s="1"/>
  <c r="D48" s="1"/>
  <c r="D49" s="1"/>
  <c r="D50" s="1"/>
  <c r="D51" s="1"/>
  <c r="D52" s="1"/>
  <c r="D53" s="1"/>
  <c r="D54" s="1"/>
  <c r="D55" s="1"/>
  <c r="D56" s="1"/>
  <c r="D57" s="1"/>
  <c r="D58" s="1"/>
  <c r="D59" s="1"/>
  <c r="D60" s="1"/>
  <c r="D61" s="1"/>
  <c r="D62" s="1"/>
  <c r="D63" s="1"/>
  <c r="D64" s="1"/>
  <c r="D65" s="1"/>
  <c r="D66" s="1"/>
  <c r="D67" s="1"/>
  <c r="D68" s="1"/>
  <c r="D69" s="1"/>
  <c r="D70" s="1"/>
  <c r="D71" s="1"/>
  <c r="D72" s="1"/>
  <c r="D73" s="1"/>
  <c r="D74" s="1"/>
  <c r="D75" s="1"/>
  <c r="D76" s="1"/>
  <c r="D77" s="1"/>
  <c r="D78" s="1"/>
  <c r="D79" s="1"/>
  <c r="D80" s="1"/>
  <c r="D81" s="1"/>
  <c r="D82" s="1"/>
  <c r="D83" s="1"/>
  <c r="D84" s="1"/>
  <c r="D85" s="1"/>
  <c r="D86" s="1"/>
  <c r="D87" s="1"/>
  <c r="D88" s="1"/>
  <c r="D89" s="1"/>
  <c r="D90" s="1"/>
  <c r="D91" s="1"/>
  <c r="D92" s="1"/>
  <c r="D93" s="1"/>
  <c r="D94" s="1"/>
  <c r="D95" s="1"/>
  <c r="D96" s="1"/>
  <c r="D97" s="1"/>
  <c r="D98" s="1"/>
  <c r="D99" s="1"/>
  <c r="D100" s="1"/>
  <c r="D101" s="1"/>
  <c r="D102" s="1"/>
  <c r="D103" s="1"/>
  <c r="D104" s="1"/>
  <c r="D105" s="1"/>
  <c r="D106" s="1"/>
  <c r="D107" s="1"/>
  <c r="D108" s="1"/>
  <c r="D109" s="1"/>
  <c r="D110" s="1"/>
  <c r="D111" s="1"/>
  <c r="D112" s="1"/>
  <c r="D113" s="1"/>
  <c r="D114" s="1"/>
  <c r="D115" s="1"/>
  <c r="D116" s="1"/>
  <c r="D117" s="1"/>
  <c r="D118" s="1"/>
  <c r="D119" s="1"/>
  <c r="D120" s="1"/>
  <c r="D121" s="1"/>
  <c r="D122" s="1"/>
  <c r="D123" s="1"/>
  <c r="D124" s="1"/>
  <c r="D125" s="1"/>
  <c r="D126" s="1"/>
  <c r="D127" s="1"/>
  <c r="D128" s="1"/>
  <c r="D129" s="1"/>
  <c r="D130" s="1"/>
  <c r="D131" s="1"/>
  <c r="D132" s="1"/>
  <c r="D133" s="1"/>
  <c r="D134" s="1"/>
  <c r="D135" s="1"/>
  <c r="D136" s="1"/>
  <c r="D137" s="1"/>
  <c r="D138" s="1"/>
  <c r="D139" s="1"/>
  <c r="D140" s="1"/>
  <c r="D141" s="1"/>
  <c r="D142" s="1"/>
  <c r="D143" s="1"/>
  <c r="D144" s="1"/>
  <c r="D145" s="1"/>
  <c r="D146" s="1"/>
  <c r="D147" s="1"/>
  <c r="D148" s="1"/>
  <c r="D149" s="1"/>
  <c r="D150" s="1"/>
  <c r="D151" s="1"/>
  <c r="D152" s="1"/>
  <c r="D153" s="1"/>
  <c r="D154" s="1"/>
  <c r="D155" s="1"/>
  <c r="D156" s="1"/>
  <c r="D157" s="1"/>
  <c r="D158" s="1"/>
  <c r="D159" s="1"/>
  <c r="D160" s="1"/>
  <c r="D161" s="1"/>
  <c r="D162" s="1"/>
  <c r="D163" s="1"/>
  <c r="D164" s="1"/>
  <c r="D165" s="1"/>
  <c r="D166" s="1"/>
  <c r="D167" s="1"/>
  <c r="D168" s="1"/>
  <c r="D169" s="1"/>
  <c r="D170" s="1"/>
  <c r="D171" s="1"/>
  <c r="D172" s="1"/>
  <c r="D173" s="1"/>
  <c r="D174" s="1"/>
  <c r="D175" s="1"/>
  <c r="D176" s="1"/>
  <c r="D177" s="1"/>
  <c r="D178" s="1"/>
  <c r="D179" s="1"/>
  <c r="D180" s="1"/>
  <c r="D181" s="1"/>
  <c r="D182" s="1"/>
  <c r="D183" s="1"/>
  <c r="D184" s="1"/>
  <c r="D185" s="1"/>
  <c r="D186" s="1"/>
  <c r="D187" s="1"/>
  <c r="D188" s="1"/>
  <c r="D189" s="1"/>
  <c r="D190" s="1"/>
  <c r="D191" s="1"/>
  <c r="D192" s="1"/>
  <c r="D193" s="1"/>
  <c r="D194" s="1"/>
  <c r="D195" s="1"/>
  <c r="D196" s="1"/>
  <c r="D197" s="1"/>
  <c r="D198" s="1"/>
  <c r="D199" s="1"/>
  <c r="D200" s="1"/>
  <c r="D201" s="1"/>
  <c r="D202" s="1"/>
  <c r="D203" s="1"/>
  <c r="D204" s="1"/>
  <c r="D205" s="1"/>
  <c r="D206" s="1"/>
  <c r="D207" s="1"/>
  <c r="D208" s="1"/>
  <c r="D209" s="1"/>
  <c r="D210" s="1"/>
  <c r="D211" s="1"/>
  <c r="D212" s="1"/>
  <c r="D213" s="1"/>
  <c r="D214" s="1"/>
  <c r="D215" s="1"/>
  <c r="D216" s="1"/>
  <c r="D217" s="1"/>
  <c r="D218" s="1"/>
  <c r="D219" s="1"/>
  <c r="D220" s="1"/>
  <c r="D221" s="1"/>
  <c r="D222" s="1"/>
  <c r="D223" s="1"/>
  <c r="D224" s="1"/>
  <c r="D225" s="1"/>
  <c r="D226" s="1"/>
  <c r="D227" s="1"/>
  <c r="D228" s="1"/>
  <c r="D229" s="1"/>
  <c r="D230" s="1"/>
  <c r="D231" s="1"/>
  <c r="D232" s="1"/>
  <c r="D233" s="1"/>
  <c r="D234" s="1"/>
  <c r="D235" s="1"/>
  <c r="D236" s="1"/>
  <c r="D252" s="1"/>
  <c r="D253" s="1"/>
  <c r="D254" s="1"/>
  <c r="D255" s="1"/>
  <c r="D256" s="1"/>
  <c r="D257" s="1"/>
  <c r="D258" s="1"/>
  <c r="D259" s="1"/>
  <c r="D260" s="1"/>
  <c r="D261" s="1"/>
  <c r="D262" s="1"/>
  <c r="D263" s="1"/>
  <c r="D264" s="1"/>
  <c r="D265" s="1"/>
  <c r="D266" s="1"/>
  <c r="D267" s="1"/>
  <c r="D268" s="1"/>
  <c r="D269" s="1"/>
  <c r="D270" s="1"/>
  <c r="D271" s="1"/>
  <c r="D272" s="1"/>
  <c r="D273" s="1"/>
  <c r="D274" s="1"/>
  <c r="D275" s="1"/>
  <c r="D276" s="1"/>
  <c r="D277" s="1"/>
  <c r="D278" s="1"/>
  <c r="D279" s="1"/>
  <c r="D280" s="1"/>
  <c r="D281" s="1"/>
  <c r="D282" s="1"/>
  <c r="D283" s="1"/>
  <c r="D284" s="1"/>
  <c r="D285" s="1"/>
  <c r="D286" s="1"/>
  <c r="D287" s="1"/>
  <c r="D288" s="1"/>
  <c r="D289" s="1"/>
  <c r="D290" s="1"/>
  <c r="D291" s="1"/>
  <c r="D292" s="1"/>
  <c r="D293" s="1"/>
  <c r="D294" s="1"/>
  <c r="D295" s="1"/>
  <c r="D296" s="1"/>
  <c r="D297" s="1"/>
  <c r="D298" s="1"/>
  <c r="D299" s="1"/>
  <c r="D300" s="1"/>
  <c r="D301" s="1"/>
  <c r="D302" s="1"/>
  <c r="D303" s="1"/>
  <c r="D304" s="1"/>
  <c r="D305" s="1"/>
  <c r="D306" s="1"/>
  <c r="D307" s="1"/>
  <c r="D308" s="1"/>
  <c r="D309" s="1"/>
  <c r="D310" s="1"/>
  <c r="D311" s="1"/>
  <c r="D312" s="1"/>
  <c r="D313" s="1"/>
  <c r="D314" s="1"/>
  <c r="D315" s="1"/>
  <c r="D316" s="1"/>
  <c r="D317" s="1"/>
  <c r="D318" s="1"/>
  <c r="D319" s="1"/>
  <c r="D320" s="1"/>
  <c r="D321" s="1"/>
  <c r="D322" s="1"/>
  <c r="D323" s="1"/>
  <c r="D324" s="1"/>
  <c r="D325" s="1"/>
  <c r="D326" s="1"/>
  <c r="D327" s="1"/>
  <c r="D328" s="1"/>
  <c r="D329" s="1"/>
  <c r="D330" s="1"/>
  <c r="D331" s="1"/>
  <c r="D332" s="1"/>
  <c r="D333" s="1"/>
  <c r="D334" s="1"/>
  <c r="D335" s="1"/>
  <c r="D336" s="1"/>
  <c r="D337" s="1"/>
  <c r="D338" s="1"/>
  <c r="D339" s="1"/>
  <c r="D340" s="1"/>
  <c r="D341" s="1"/>
  <c r="D342" s="1"/>
  <c r="D343" s="1"/>
  <c r="D344" s="1"/>
  <c r="D345" s="1"/>
  <c r="D346" s="1"/>
  <c r="D347" s="1"/>
  <c r="D348" s="1"/>
  <c r="D349" s="1"/>
  <c r="D350" s="1"/>
  <c r="D351" s="1"/>
  <c r="D352" s="1"/>
  <c r="D353" s="1"/>
  <c r="D354" s="1"/>
  <c r="D355" s="1"/>
  <c r="D356" s="1"/>
  <c r="D357" s="1"/>
  <c r="D358" s="1"/>
  <c r="D359" s="1"/>
  <c r="D360" s="1"/>
  <c r="D361" s="1"/>
  <c r="D362" s="1"/>
  <c r="D363" s="1"/>
  <c r="D364" s="1"/>
  <c r="D365" s="1"/>
  <c r="D366" s="1"/>
  <c r="D367" s="1"/>
  <c r="D368" s="1"/>
  <c r="D369" s="1"/>
  <c r="D370" s="1"/>
  <c r="D371" s="1"/>
  <c r="D372" s="1"/>
  <c r="D373" s="1"/>
  <c r="D374" s="1"/>
  <c r="D375" s="1"/>
  <c r="D376" s="1"/>
  <c r="D377" s="1"/>
  <c r="D378" s="1"/>
  <c r="D379" s="1"/>
  <c r="D380" s="1"/>
  <c r="D381" s="1"/>
  <c r="D382" s="1"/>
  <c r="D383" s="1"/>
  <c r="D384" s="1"/>
  <c r="D385" s="1"/>
  <c r="D386" s="1"/>
  <c r="D387" s="1"/>
  <c r="D388" s="1"/>
  <c r="D389" s="1"/>
  <c r="D390" s="1"/>
  <c r="D391" s="1"/>
  <c r="D392" s="1"/>
  <c r="D393" s="1"/>
  <c r="D394" s="1"/>
  <c r="D395" s="1"/>
  <c r="D396" s="1"/>
  <c r="D397" s="1"/>
  <c r="D398" s="1"/>
  <c r="D399" s="1"/>
  <c r="D400" s="1"/>
  <c r="D401" s="1"/>
  <c r="D402" s="1"/>
  <c r="D403" s="1"/>
  <c r="D404" s="1"/>
  <c r="D405" s="1"/>
  <c r="D406" s="1"/>
  <c r="D407" s="1"/>
  <c r="D408" s="1"/>
  <c r="D409" s="1"/>
  <c r="D410" s="1"/>
  <c r="D411" s="1"/>
  <c r="D412" s="1"/>
  <c r="D413" s="1"/>
  <c r="D414" s="1"/>
  <c r="D415" s="1"/>
  <c r="D416" s="1"/>
  <c r="D417" s="1"/>
  <c r="D418" s="1"/>
  <c r="D419" s="1"/>
  <c r="D420" s="1"/>
  <c r="D421" s="1"/>
  <c r="D422" s="1"/>
  <c r="D423" s="1"/>
  <c r="D424" s="1"/>
  <c r="D425" s="1"/>
  <c r="D426" s="1"/>
  <c r="D427" s="1"/>
  <c r="D428" s="1"/>
  <c r="D429" s="1"/>
  <c r="D430" s="1"/>
  <c r="D431" s="1"/>
  <c r="D432" s="1"/>
  <c r="D433" s="1"/>
  <c r="D434" s="1"/>
  <c r="D435" s="1"/>
  <c r="D436" s="1"/>
  <c r="D437" s="1"/>
  <c r="D438" s="1"/>
  <c r="D439" s="1"/>
  <c r="D440" s="1"/>
  <c r="D441" s="1"/>
  <c r="D442" s="1"/>
  <c r="D443" s="1"/>
  <c r="D444" s="1"/>
  <c r="D445" s="1"/>
  <c r="D446" s="1"/>
  <c r="D447" s="1"/>
  <c r="D448" s="1"/>
  <c r="D449" s="1"/>
  <c r="D450" s="1"/>
  <c r="D451" s="1"/>
  <c r="D452" s="1"/>
  <c r="D453" s="1"/>
  <c r="D454" s="1"/>
  <c r="D455" s="1"/>
  <c r="D456" s="1"/>
  <c r="D457" s="1"/>
  <c r="D458" s="1"/>
  <c r="D459" s="1"/>
  <c r="D460" s="1"/>
  <c r="D461" s="1"/>
  <c r="D462" s="1"/>
  <c r="D463" s="1"/>
  <c r="D464" s="1"/>
  <c r="D465" s="1"/>
  <c r="D466" s="1"/>
  <c r="D467" s="1"/>
  <c r="D468" s="1"/>
  <c r="D469" s="1"/>
  <c r="D470" s="1"/>
  <c r="D471" s="1"/>
  <c r="D472" s="1"/>
  <c r="D473" s="1"/>
  <c r="D474" s="1"/>
  <c r="D475" s="1"/>
  <c r="D476" s="1"/>
  <c r="D477" s="1"/>
  <c r="D478" s="1"/>
  <c r="D479" s="1"/>
  <c r="D480" s="1"/>
  <c r="D481" s="1"/>
  <c r="D482" s="1"/>
  <c r="D483" s="1"/>
  <c r="D484" s="1"/>
  <c r="D485" s="1"/>
  <c r="D486" s="1"/>
  <c r="D487" s="1"/>
  <c r="D488" s="1"/>
  <c r="D489" s="1"/>
  <c r="D490" s="1"/>
  <c r="D491" s="1"/>
  <c r="D492" s="1"/>
  <c r="D493" s="1"/>
  <c r="D494" s="1"/>
  <c r="D495" s="1"/>
  <c r="D496" s="1"/>
  <c r="D497" s="1"/>
  <c r="D498" s="1"/>
  <c r="D499" s="1"/>
  <c r="D500" s="1"/>
  <c r="D501" s="1"/>
  <c r="D502" s="1"/>
  <c r="D503" s="1"/>
  <c r="D504" s="1"/>
  <c r="D505" s="1"/>
  <c r="D506" s="1"/>
  <c r="D507" s="1"/>
  <c r="C13"/>
  <c r="C14" s="1"/>
  <c r="C15" s="1"/>
  <c r="C16" s="1"/>
  <c r="C17" s="1"/>
  <c r="C18" s="1"/>
  <c r="C19" s="1"/>
  <c r="C20" s="1"/>
  <c r="C21" s="1"/>
  <c r="C22" s="1"/>
  <c r="C23" s="1"/>
  <c r="C24" s="1"/>
  <c r="C25" s="1"/>
  <c r="C26" s="1"/>
  <c r="C27" s="1"/>
  <c r="C28" s="1"/>
  <c r="C29" s="1"/>
  <c r="C30" s="1"/>
  <c r="C31" s="1"/>
  <c r="C32" s="1"/>
  <c r="C33" s="1"/>
  <c r="C34" s="1"/>
  <c r="C35" s="1"/>
  <c r="C36" s="1"/>
  <c r="C37" s="1"/>
  <c r="C38" s="1"/>
  <c r="C39" s="1"/>
  <c r="C40" s="1"/>
  <c r="C41" s="1"/>
  <c r="C42" s="1"/>
  <c r="C43" s="1"/>
  <c r="C44" s="1"/>
  <c r="C45" s="1"/>
  <c r="C46" s="1"/>
  <c r="C47" s="1"/>
  <c r="C48" s="1"/>
  <c r="C49" s="1"/>
  <c r="C50" s="1"/>
  <c r="C51" s="1"/>
  <c r="C52" s="1"/>
  <c r="C53" s="1"/>
  <c r="C54" s="1"/>
  <c r="C55" s="1"/>
  <c r="C56" s="1"/>
  <c r="C57" s="1"/>
  <c r="C58" s="1"/>
  <c r="C59" s="1"/>
  <c r="C60" s="1"/>
  <c r="C61" s="1"/>
  <c r="C62" s="1"/>
  <c r="C63" s="1"/>
  <c r="C64" s="1"/>
  <c r="C65" s="1"/>
  <c r="C66" s="1"/>
  <c r="C67" s="1"/>
  <c r="C68" s="1"/>
  <c r="C69" s="1"/>
  <c r="C70" s="1"/>
  <c r="C71" s="1"/>
  <c r="C72" s="1"/>
  <c r="C73" s="1"/>
  <c r="C74" s="1"/>
  <c r="C75" s="1"/>
  <c r="C76" s="1"/>
  <c r="C77" s="1"/>
  <c r="C78" s="1"/>
  <c r="C79" s="1"/>
  <c r="C80" s="1"/>
  <c r="C81" s="1"/>
  <c r="C82" s="1"/>
  <c r="C83" s="1"/>
  <c r="C84" s="1"/>
  <c r="C85" s="1"/>
  <c r="C86" s="1"/>
  <c r="C87" s="1"/>
  <c r="C88" s="1"/>
  <c r="C89" s="1"/>
  <c r="C90" s="1"/>
  <c r="C91" s="1"/>
  <c r="C92" s="1"/>
  <c r="C93" s="1"/>
  <c r="C94" s="1"/>
  <c r="C95" s="1"/>
  <c r="C96" s="1"/>
  <c r="C97" s="1"/>
  <c r="C98" s="1"/>
  <c r="C99" s="1"/>
  <c r="C100" s="1"/>
  <c r="C101" s="1"/>
  <c r="C102" s="1"/>
  <c r="C103" s="1"/>
  <c r="C104" s="1"/>
  <c r="C105" s="1"/>
  <c r="C106" s="1"/>
  <c r="C107" s="1"/>
  <c r="C108" s="1"/>
  <c r="C109" s="1"/>
  <c r="C110" s="1"/>
  <c r="C111" s="1"/>
  <c r="C112" s="1"/>
  <c r="C113" s="1"/>
  <c r="C114" s="1"/>
  <c r="C115" s="1"/>
  <c r="C116" s="1"/>
  <c r="C117" s="1"/>
  <c r="C118" s="1"/>
  <c r="C119" s="1"/>
  <c r="C120" s="1"/>
  <c r="C121" s="1"/>
  <c r="C122" s="1"/>
  <c r="C123" s="1"/>
  <c r="C124" s="1"/>
  <c r="C125" s="1"/>
  <c r="C126" s="1"/>
  <c r="C127" s="1"/>
  <c r="C128" s="1"/>
  <c r="C129" s="1"/>
  <c r="C130" s="1"/>
  <c r="C131" s="1"/>
  <c r="C132" s="1"/>
  <c r="C133" s="1"/>
  <c r="C134" s="1"/>
  <c r="C135" s="1"/>
  <c r="C136" s="1"/>
  <c r="C137" s="1"/>
  <c r="C138" s="1"/>
  <c r="C139" s="1"/>
  <c r="C140" s="1"/>
  <c r="C141" s="1"/>
  <c r="C142" s="1"/>
  <c r="C143" s="1"/>
  <c r="C144" s="1"/>
  <c r="C145" s="1"/>
  <c r="C146" s="1"/>
  <c r="C147" s="1"/>
  <c r="C148" s="1"/>
  <c r="C149" s="1"/>
  <c r="C150" s="1"/>
  <c r="C151" s="1"/>
  <c r="C152" s="1"/>
  <c r="C153" s="1"/>
  <c r="C154" s="1"/>
  <c r="C155" s="1"/>
  <c r="C156" s="1"/>
  <c r="C157" s="1"/>
  <c r="C158" s="1"/>
  <c r="C159" s="1"/>
  <c r="C160" s="1"/>
  <c r="C161" s="1"/>
  <c r="C162" s="1"/>
  <c r="C163" s="1"/>
  <c r="C164" s="1"/>
  <c r="C165" s="1"/>
  <c r="C166" s="1"/>
  <c r="C167" s="1"/>
  <c r="C168" s="1"/>
  <c r="C169" s="1"/>
  <c r="C170" s="1"/>
  <c r="C171" s="1"/>
  <c r="C172" s="1"/>
  <c r="C173" s="1"/>
  <c r="C174" s="1"/>
  <c r="C175" s="1"/>
  <c r="C176" s="1"/>
  <c r="C177" s="1"/>
  <c r="C178" s="1"/>
  <c r="C179" s="1"/>
  <c r="C180" s="1"/>
  <c r="C181" s="1"/>
  <c r="C182" s="1"/>
  <c r="C183" s="1"/>
  <c r="C184" s="1"/>
  <c r="C185" s="1"/>
  <c r="C186" s="1"/>
  <c r="C187" s="1"/>
  <c r="C188" s="1"/>
  <c r="C189" s="1"/>
  <c r="C190" s="1"/>
  <c r="C191" s="1"/>
  <c r="C192" s="1"/>
  <c r="C193" s="1"/>
  <c r="C194" s="1"/>
  <c r="C195" s="1"/>
  <c r="C196" s="1"/>
  <c r="C197" s="1"/>
  <c r="C198" s="1"/>
  <c r="C199" s="1"/>
  <c r="C200" s="1"/>
  <c r="C201" s="1"/>
  <c r="C202" s="1"/>
  <c r="C203" s="1"/>
  <c r="C204" s="1"/>
  <c r="C205" s="1"/>
  <c r="C206" s="1"/>
  <c r="C207" s="1"/>
  <c r="C208" s="1"/>
  <c r="C209" s="1"/>
  <c r="C210" s="1"/>
  <c r="C211" s="1"/>
  <c r="C212" s="1"/>
  <c r="C213" s="1"/>
  <c r="C214" s="1"/>
  <c r="C215" s="1"/>
  <c r="C216" s="1"/>
  <c r="C217" s="1"/>
  <c r="C218" s="1"/>
  <c r="C219" s="1"/>
  <c r="C220" s="1"/>
  <c r="C221" s="1"/>
  <c r="C222" s="1"/>
  <c r="C223" s="1"/>
  <c r="C224" s="1"/>
  <c r="C225" s="1"/>
  <c r="C226" s="1"/>
  <c r="C227" s="1"/>
  <c r="C228" s="1"/>
  <c r="C229" s="1"/>
  <c r="C230" s="1"/>
  <c r="C231" s="1"/>
  <c r="C232" s="1"/>
  <c r="C233" s="1"/>
  <c r="C234" s="1"/>
  <c r="C235" s="1"/>
  <c r="C236" s="1"/>
  <c r="C237" s="1"/>
  <c r="C253" s="1"/>
  <c r="C254" s="1"/>
  <c r="C255" s="1"/>
  <c r="C256" s="1"/>
  <c r="C257" s="1"/>
  <c r="C258" s="1"/>
  <c r="C259" s="1"/>
  <c r="C260" s="1"/>
  <c r="C261" s="1"/>
  <c r="C262" s="1"/>
  <c r="C263" s="1"/>
  <c r="C264" s="1"/>
  <c r="C265" s="1"/>
  <c r="C266" s="1"/>
  <c r="C267" s="1"/>
  <c r="C268" s="1"/>
  <c r="C269" s="1"/>
  <c r="C270" s="1"/>
  <c r="C271" s="1"/>
  <c r="C272" s="1"/>
  <c r="C273" s="1"/>
  <c r="C274" s="1"/>
  <c r="C275" s="1"/>
  <c r="C276" s="1"/>
  <c r="C277" s="1"/>
  <c r="C278" s="1"/>
  <c r="C279" s="1"/>
  <c r="C280" s="1"/>
  <c r="C281" s="1"/>
  <c r="C282" s="1"/>
  <c r="C283" s="1"/>
  <c r="C284" s="1"/>
  <c r="C285" s="1"/>
  <c r="C286" s="1"/>
  <c r="C287" s="1"/>
  <c r="C288" s="1"/>
  <c r="C289" s="1"/>
  <c r="C290" s="1"/>
  <c r="C291" s="1"/>
  <c r="C292" s="1"/>
  <c r="C293" s="1"/>
  <c r="C294" s="1"/>
  <c r="C295" s="1"/>
  <c r="C296" s="1"/>
  <c r="C297" s="1"/>
  <c r="C298" s="1"/>
  <c r="C299" s="1"/>
  <c r="C300" s="1"/>
  <c r="C301" s="1"/>
  <c r="C302" s="1"/>
  <c r="C303" s="1"/>
  <c r="C304" s="1"/>
  <c r="C305" s="1"/>
  <c r="C306" s="1"/>
  <c r="C307" s="1"/>
  <c r="C308" s="1"/>
  <c r="C309" s="1"/>
  <c r="C310" s="1"/>
  <c r="C311" s="1"/>
  <c r="C312" s="1"/>
  <c r="C313" s="1"/>
  <c r="C314" s="1"/>
  <c r="C315" s="1"/>
  <c r="C316" s="1"/>
  <c r="C317" s="1"/>
  <c r="C318" s="1"/>
  <c r="C319" s="1"/>
  <c r="C320" s="1"/>
  <c r="C321" s="1"/>
  <c r="C322" s="1"/>
  <c r="C323" s="1"/>
  <c r="C324" s="1"/>
  <c r="C325" s="1"/>
  <c r="C326" s="1"/>
  <c r="C327" s="1"/>
  <c r="C328" s="1"/>
  <c r="C329" s="1"/>
  <c r="C330" s="1"/>
  <c r="C331" s="1"/>
  <c r="C332" s="1"/>
  <c r="C333" s="1"/>
  <c r="C334" s="1"/>
  <c r="C335" s="1"/>
  <c r="C336" s="1"/>
  <c r="C337" s="1"/>
  <c r="C338" s="1"/>
  <c r="C339" s="1"/>
  <c r="C340" s="1"/>
  <c r="C341" s="1"/>
  <c r="C342" s="1"/>
  <c r="C343" s="1"/>
  <c r="C344" s="1"/>
  <c r="C345" s="1"/>
  <c r="C346" s="1"/>
  <c r="C347" s="1"/>
  <c r="C348" s="1"/>
  <c r="C349" s="1"/>
  <c r="C350" s="1"/>
  <c r="C351" s="1"/>
  <c r="C352" s="1"/>
  <c r="C353" s="1"/>
  <c r="C354" s="1"/>
  <c r="C355" s="1"/>
  <c r="C356" s="1"/>
  <c r="C357" s="1"/>
  <c r="C358" s="1"/>
  <c r="C359" s="1"/>
  <c r="C360" s="1"/>
  <c r="C361" s="1"/>
  <c r="C362" s="1"/>
  <c r="C363" s="1"/>
  <c r="C364" s="1"/>
  <c r="C365" s="1"/>
  <c r="C366" s="1"/>
  <c r="C367" s="1"/>
  <c r="C368" s="1"/>
  <c r="C369" s="1"/>
  <c r="C370" s="1"/>
  <c r="C371" s="1"/>
  <c r="C372" s="1"/>
  <c r="C373" s="1"/>
  <c r="C374" s="1"/>
  <c r="C375" s="1"/>
  <c r="C376" s="1"/>
  <c r="C377" s="1"/>
  <c r="C378" s="1"/>
  <c r="C379" s="1"/>
  <c r="C380" s="1"/>
  <c r="C381" s="1"/>
  <c r="C382" s="1"/>
  <c r="C383" s="1"/>
  <c r="C384" s="1"/>
  <c r="C385" s="1"/>
  <c r="C386" s="1"/>
  <c r="C387" s="1"/>
  <c r="C388" s="1"/>
  <c r="C389" s="1"/>
  <c r="C390" s="1"/>
  <c r="C391" s="1"/>
  <c r="C392" s="1"/>
  <c r="C393" s="1"/>
  <c r="C394" s="1"/>
  <c r="C395" s="1"/>
  <c r="C396" s="1"/>
  <c r="C397" s="1"/>
  <c r="C398" s="1"/>
  <c r="C399" s="1"/>
  <c r="C400" s="1"/>
  <c r="C401" s="1"/>
  <c r="C402" s="1"/>
  <c r="C403" s="1"/>
  <c r="C404" s="1"/>
  <c r="C405" s="1"/>
  <c r="C406" s="1"/>
  <c r="C407" s="1"/>
  <c r="C408" s="1"/>
  <c r="C409" s="1"/>
  <c r="C410" s="1"/>
  <c r="C411" s="1"/>
  <c r="C412" s="1"/>
  <c r="C413" s="1"/>
  <c r="C414" s="1"/>
  <c r="C415" s="1"/>
  <c r="C416" s="1"/>
  <c r="C417" s="1"/>
  <c r="C418" s="1"/>
  <c r="C419" s="1"/>
  <c r="C420" s="1"/>
  <c r="C421" s="1"/>
  <c r="C422" s="1"/>
  <c r="C423" s="1"/>
  <c r="C424" s="1"/>
  <c r="C425" s="1"/>
  <c r="C426" s="1"/>
  <c r="C427" s="1"/>
  <c r="C428" s="1"/>
  <c r="C429" s="1"/>
  <c r="C430" s="1"/>
  <c r="C431" s="1"/>
  <c r="C432" s="1"/>
  <c r="C433" s="1"/>
  <c r="C434" s="1"/>
  <c r="C435" s="1"/>
  <c r="C436" s="1"/>
  <c r="C437" s="1"/>
  <c r="C438" s="1"/>
  <c r="C439" s="1"/>
  <c r="C440" s="1"/>
  <c r="C441" s="1"/>
  <c r="C442" s="1"/>
  <c r="C443" s="1"/>
  <c r="C444" s="1"/>
  <c r="C445" s="1"/>
  <c r="C446" s="1"/>
  <c r="C447" s="1"/>
  <c r="C448" s="1"/>
  <c r="C449" s="1"/>
  <c r="C450" s="1"/>
  <c r="C451" s="1"/>
  <c r="C452" s="1"/>
  <c r="C453" s="1"/>
  <c r="C454" s="1"/>
  <c r="C455" s="1"/>
  <c r="C456" s="1"/>
  <c r="C457" s="1"/>
  <c r="C458" s="1"/>
  <c r="C459" s="1"/>
  <c r="C460" s="1"/>
  <c r="C461" s="1"/>
  <c r="C462" s="1"/>
  <c r="C463" s="1"/>
  <c r="C464" s="1"/>
  <c r="C465" s="1"/>
  <c r="C466" s="1"/>
  <c r="C467" s="1"/>
  <c r="C468" s="1"/>
  <c r="C469" s="1"/>
  <c r="C470" s="1"/>
  <c r="C471" s="1"/>
  <c r="C472" s="1"/>
  <c r="C473" s="1"/>
  <c r="C474" s="1"/>
  <c r="C475" s="1"/>
  <c r="C476" s="1"/>
  <c r="C477" s="1"/>
  <c r="C478" s="1"/>
  <c r="C479" s="1"/>
  <c r="C480" s="1"/>
  <c r="C481" s="1"/>
  <c r="C482" s="1"/>
  <c r="C483" s="1"/>
  <c r="C484" s="1"/>
  <c r="C485" s="1"/>
  <c r="C486" s="1"/>
  <c r="C487" s="1"/>
  <c r="C488" s="1"/>
  <c r="C489" s="1"/>
  <c r="C490" s="1"/>
  <c r="C491" s="1"/>
  <c r="C492" s="1"/>
  <c r="C493" s="1"/>
  <c r="C494" s="1"/>
  <c r="C495" s="1"/>
  <c r="C496" s="1"/>
  <c r="C497" s="1"/>
  <c r="C498" s="1"/>
  <c r="C499" s="1"/>
  <c r="C500" s="1"/>
  <c r="C501" s="1"/>
  <c r="C502" s="1"/>
  <c r="C503" s="1"/>
  <c r="C504" s="1"/>
  <c r="C505" s="1"/>
  <c r="C506" s="1"/>
  <c r="C507" s="1"/>
  <c r="D4"/>
  <c r="C4"/>
  <c r="D3"/>
  <c r="C3"/>
  <c r="E352" i="150"/>
  <c r="D352"/>
  <c r="K339"/>
  <c r="J339"/>
  <c r="G339"/>
  <c r="H339" s="1"/>
  <c r="G337"/>
  <c r="H337" s="1"/>
  <c r="G336"/>
  <c r="H336" s="1"/>
  <c r="G335"/>
  <c r="H335" s="1"/>
  <c r="G248"/>
  <c r="G273" s="1"/>
  <c r="G222"/>
  <c r="H222" s="1"/>
  <c r="G221"/>
  <c r="H221" s="1"/>
  <c r="H205"/>
  <c r="H204"/>
  <c r="K186"/>
  <c r="K185"/>
  <c r="F185"/>
  <c r="G182"/>
  <c r="G183" s="1"/>
  <c r="G185" s="1"/>
  <c r="G157"/>
  <c r="G188" s="1"/>
  <c r="G252" s="1"/>
  <c r="H252" s="1"/>
  <c r="K153"/>
  <c r="F152"/>
  <c r="G138"/>
  <c r="G139" s="1"/>
  <c r="G152" s="1"/>
  <c r="H99"/>
  <c r="G96"/>
  <c r="H96" s="1"/>
  <c r="G94"/>
  <c r="H94" s="1"/>
  <c r="G81"/>
  <c r="H81" s="1"/>
  <c r="G80"/>
  <c r="H80" s="1"/>
  <c r="H73"/>
  <c r="F71"/>
  <c r="F70"/>
  <c r="G60"/>
  <c r="H60" s="1"/>
  <c r="G57"/>
  <c r="G56"/>
  <c r="H56" s="1"/>
  <c r="G55"/>
  <c r="F50"/>
  <c r="F49"/>
  <c r="H35"/>
  <c r="G33"/>
  <c r="H33" s="1"/>
  <c r="G32"/>
  <c r="H32" s="1"/>
  <c r="B24"/>
  <c r="B40" s="1"/>
  <c r="B65" s="1"/>
  <c r="B86" s="1"/>
  <c r="B121" s="1"/>
  <c r="B164" s="1"/>
  <c r="B193" s="1"/>
  <c r="B211" s="1"/>
  <c r="B230" s="1"/>
  <c r="B308" s="1"/>
  <c r="G18"/>
  <c r="H18" s="1"/>
  <c r="G17"/>
  <c r="H17" s="1"/>
  <c r="G14"/>
  <c r="H14" s="1"/>
  <c r="F8"/>
  <c r="E300" s="1"/>
  <c r="F7"/>
  <c r="E190" s="1"/>
  <c r="F6"/>
  <c r="A2"/>
  <c r="G91" i="182"/>
  <c r="C91"/>
  <c r="G90"/>
  <c r="C90"/>
  <c r="G89"/>
  <c r="C89"/>
  <c r="G88"/>
  <c r="C88"/>
  <c r="G87"/>
  <c r="C87"/>
  <c r="G86"/>
  <c r="C86"/>
  <c r="G85"/>
  <c r="C85"/>
  <c r="G84"/>
  <c r="C84"/>
  <c r="G83"/>
  <c r="C83"/>
  <c r="G82"/>
  <c r="C82"/>
  <c r="G81"/>
  <c r="C81"/>
  <c r="G80"/>
  <c r="C80"/>
  <c r="G79"/>
  <c r="C79"/>
  <c r="G78"/>
  <c r="C78"/>
  <c r="G77"/>
  <c r="C77"/>
  <c r="G76"/>
  <c r="C76"/>
  <c r="G75"/>
  <c r="G92" s="1"/>
  <c r="G94" s="1"/>
  <c r="C75"/>
  <c r="G74"/>
  <c r="C74"/>
  <c r="L71"/>
  <c r="G71"/>
  <c r="M70"/>
  <c r="G70"/>
  <c r="L61"/>
  <c r="P54"/>
  <c r="G51"/>
  <c r="E45"/>
  <c r="L44"/>
  <c r="A147" s="1"/>
  <c r="L43"/>
  <c r="B33"/>
  <c r="F32"/>
  <c r="F29"/>
  <c r="B26"/>
  <c r="M25"/>
  <c r="L10"/>
  <c r="N9"/>
  <c r="N8" s="1"/>
  <c r="L9"/>
  <c r="K9"/>
  <c r="L8"/>
  <c r="C18" s="1"/>
  <c r="C114" s="1"/>
  <c r="L7"/>
  <c r="I31" s="1"/>
  <c r="P6"/>
  <c r="N6"/>
  <c r="M6"/>
  <c r="L6"/>
  <c r="L5"/>
  <c r="L3"/>
  <c r="G20" i="132"/>
  <c r="F18"/>
  <c r="G17"/>
  <c r="G14"/>
  <c r="G10"/>
  <c r="G6"/>
  <c r="H657" i="119"/>
  <c r="J657" s="1"/>
  <c r="H656"/>
  <c r="J656" s="1"/>
  <c r="H652"/>
  <c r="J652" s="1"/>
  <c r="H651"/>
  <c r="J651" s="1"/>
  <c r="H650"/>
  <c r="J650" s="1"/>
  <c r="B622"/>
  <c r="B621"/>
  <c r="H617"/>
  <c r="J617" s="1"/>
  <c r="H616"/>
  <c r="J616" s="1"/>
  <c r="H610"/>
  <c r="J610" s="1"/>
  <c r="H609"/>
  <c r="J609" s="1"/>
  <c r="B598"/>
  <c r="B597"/>
  <c r="B594"/>
  <c r="B591"/>
  <c r="B588"/>
  <c r="B585"/>
  <c r="B576"/>
  <c r="B575"/>
  <c r="B568"/>
  <c r="H567"/>
  <c r="J567" s="1"/>
  <c r="H566"/>
  <c r="J566" s="1"/>
  <c r="H565"/>
  <c r="J565" s="1"/>
  <c r="B554"/>
  <c r="B553"/>
  <c r="B545"/>
  <c r="H544"/>
  <c r="J544" s="1"/>
  <c r="H543"/>
  <c r="J543" s="1"/>
  <c r="H542"/>
  <c r="J542" s="1"/>
  <c r="B531"/>
  <c r="B530"/>
  <c r="H525"/>
  <c r="J525" s="1"/>
  <c r="H524"/>
  <c r="J524" s="1"/>
  <c r="B520"/>
  <c r="B519"/>
  <c r="B513"/>
  <c r="H512"/>
  <c r="J512" s="1"/>
  <c r="H511"/>
  <c r="J511" s="1"/>
  <c r="H510"/>
  <c r="J510" s="1"/>
  <c r="B500"/>
  <c r="C499"/>
  <c r="B499"/>
  <c r="H494"/>
  <c r="J494" s="1"/>
  <c r="H493"/>
  <c r="J493" s="1"/>
  <c r="B489"/>
  <c r="B488"/>
  <c r="B483"/>
  <c r="H482"/>
  <c r="J482" s="1"/>
  <c r="H481"/>
  <c r="J481" s="1"/>
  <c r="H480"/>
  <c r="J480" s="1"/>
  <c r="D474"/>
  <c r="D475" s="1"/>
  <c r="D473"/>
  <c r="B472"/>
  <c r="B471"/>
  <c r="J467"/>
  <c r="H466"/>
  <c r="J466" s="1"/>
  <c r="J465"/>
  <c r="B464"/>
  <c r="B461"/>
  <c r="H460"/>
  <c r="J460" s="1"/>
  <c r="H459"/>
  <c r="J459" s="1"/>
  <c r="H458"/>
  <c r="J458" s="1"/>
  <c r="H457"/>
  <c r="J457" s="1"/>
  <c r="D450"/>
  <c r="D451" s="1"/>
  <c r="D449"/>
  <c r="B447"/>
  <c r="B446"/>
  <c r="H443"/>
  <c r="J443" s="1"/>
  <c r="B439"/>
  <c r="H438"/>
  <c r="J438" s="1"/>
  <c r="H437"/>
  <c r="J437" s="1"/>
  <c r="H436"/>
  <c r="J436" s="1"/>
  <c r="B424"/>
  <c r="C423"/>
  <c r="B423"/>
  <c r="H418"/>
  <c r="J418" s="1"/>
  <c r="H417"/>
  <c r="J417" s="1"/>
  <c r="B413"/>
  <c r="B412"/>
  <c r="B407"/>
  <c r="H406"/>
  <c r="J406" s="1"/>
  <c r="H405"/>
  <c r="J405" s="1"/>
  <c r="H404"/>
  <c r="J404" s="1"/>
  <c r="B393"/>
  <c r="B392"/>
  <c r="B382"/>
  <c r="B381"/>
  <c r="B376"/>
  <c r="H375"/>
  <c r="J375" s="1"/>
  <c r="H374"/>
  <c r="J374" s="1"/>
  <c r="H373"/>
  <c r="J373" s="1"/>
  <c r="B362"/>
  <c r="B361"/>
  <c r="H356"/>
  <c r="H387" s="1"/>
  <c r="J387" s="1"/>
  <c r="H355"/>
  <c r="B351"/>
  <c r="B350"/>
  <c r="B345"/>
  <c r="H344"/>
  <c r="J344" s="1"/>
  <c r="H343"/>
  <c r="J343" s="1"/>
  <c r="H342"/>
  <c r="J342" s="1"/>
  <c r="B331"/>
  <c r="B330"/>
  <c r="H327"/>
  <c r="J327" s="1"/>
  <c r="J328" s="1"/>
  <c r="B320"/>
  <c r="H319"/>
  <c r="J319" s="1"/>
  <c r="H318"/>
  <c r="J318" s="1"/>
  <c r="H317"/>
  <c r="J317" s="1"/>
  <c r="B308"/>
  <c r="C307"/>
  <c r="B307"/>
  <c r="J303"/>
  <c r="J302"/>
  <c r="H301"/>
  <c r="J301" s="1"/>
  <c r="B298"/>
  <c r="H297"/>
  <c r="J297" s="1"/>
  <c r="H296"/>
  <c r="J296" s="1"/>
  <c r="H295"/>
  <c r="J295" s="1"/>
  <c r="D289"/>
  <c r="D290" s="1"/>
  <c r="D288"/>
  <c r="B285"/>
  <c r="B284"/>
  <c r="H281"/>
  <c r="J281" s="1"/>
  <c r="B277"/>
  <c r="H276"/>
  <c r="J276" s="1"/>
  <c r="H275"/>
  <c r="J275" s="1"/>
  <c r="H274"/>
  <c r="J274" s="1"/>
  <c r="B263"/>
  <c r="B262"/>
  <c r="H257"/>
  <c r="J257" s="1"/>
  <c r="H256"/>
  <c r="J256" s="1"/>
  <c r="B252"/>
  <c r="B251"/>
  <c r="B246"/>
  <c r="H245"/>
  <c r="J245" s="1"/>
  <c r="H244"/>
  <c r="J244" s="1"/>
  <c r="H243"/>
  <c r="J243" s="1"/>
  <c r="B233"/>
  <c r="B232"/>
  <c r="H227"/>
  <c r="J227" s="1"/>
  <c r="H226"/>
  <c r="J226" s="1"/>
  <c r="B222"/>
  <c r="B221"/>
  <c r="B215"/>
  <c r="H214"/>
  <c r="J214" s="1"/>
  <c r="H213"/>
  <c r="J213" s="1"/>
  <c r="H212"/>
  <c r="J212" s="1"/>
  <c r="A208"/>
  <c r="A239" s="1"/>
  <c r="A269" s="1"/>
  <c r="A291" s="1"/>
  <c r="A313" s="1"/>
  <c r="A338" s="1"/>
  <c r="A369" s="1"/>
  <c r="A400" s="1"/>
  <c r="A431" s="1"/>
  <c r="A453" s="1"/>
  <c r="A476" s="1"/>
  <c r="A506" s="1"/>
  <c r="A538" s="1"/>
  <c r="A561" s="1"/>
  <c r="A580" s="1"/>
  <c r="B202"/>
  <c r="B201"/>
  <c r="H196"/>
  <c r="J196" s="1"/>
  <c r="H195"/>
  <c r="J195" s="1"/>
  <c r="B191"/>
  <c r="B190"/>
  <c r="B184"/>
  <c r="H183"/>
  <c r="J183" s="1"/>
  <c r="H182"/>
  <c r="J182" s="1"/>
  <c r="H181"/>
  <c r="J181" s="1"/>
  <c r="D174"/>
  <c r="D175" s="1"/>
  <c r="D173"/>
  <c r="B171"/>
  <c r="B170"/>
  <c r="H167"/>
  <c r="J167" s="1"/>
  <c r="B163"/>
  <c r="H162"/>
  <c r="J162" s="1"/>
  <c r="H161"/>
  <c r="J161" s="1"/>
  <c r="H160"/>
  <c r="J160" s="1"/>
  <c r="B149"/>
  <c r="C148"/>
  <c r="B148"/>
  <c r="H143"/>
  <c r="J143" s="1"/>
  <c r="H142"/>
  <c r="J142" s="1"/>
  <c r="B138"/>
  <c r="B137"/>
  <c r="B132"/>
  <c r="H131"/>
  <c r="J131" s="1"/>
  <c r="H130"/>
  <c r="J130" s="1"/>
  <c r="H129"/>
  <c r="J129" s="1"/>
  <c r="B119"/>
  <c r="C118"/>
  <c r="B118"/>
  <c r="H113"/>
  <c r="J113" s="1"/>
  <c r="H112"/>
  <c r="J112" s="1"/>
  <c r="B108"/>
  <c r="B107"/>
  <c r="B102"/>
  <c r="H101"/>
  <c r="J101" s="1"/>
  <c r="J100"/>
  <c r="H100"/>
  <c r="H99"/>
  <c r="J99" s="1"/>
  <c r="B89"/>
  <c r="B88"/>
  <c r="H83"/>
  <c r="J83" s="1"/>
  <c r="H82"/>
  <c r="J82" s="1"/>
  <c r="B78"/>
  <c r="B77"/>
  <c r="B71"/>
  <c r="H70"/>
  <c r="J70" s="1"/>
  <c r="H69"/>
  <c r="J69" s="1"/>
  <c r="H68"/>
  <c r="J68" s="1"/>
  <c r="B58"/>
  <c r="B57"/>
  <c r="H52"/>
  <c r="J52" s="1"/>
  <c r="H51"/>
  <c r="J51" s="1"/>
  <c r="B47"/>
  <c r="B46"/>
  <c r="B40"/>
  <c r="H39"/>
  <c r="J39" s="1"/>
  <c r="H38"/>
  <c r="J38" s="1"/>
  <c r="H37"/>
  <c r="J37" s="1"/>
  <c r="B27"/>
  <c r="B26"/>
  <c r="H23"/>
  <c r="J23" s="1"/>
  <c r="H22"/>
  <c r="J22" s="1"/>
  <c r="H21"/>
  <c r="J21" s="1"/>
  <c r="B12"/>
  <c r="H11"/>
  <c r="J11" s="1"/>
  <c r="H10"/>
  <c r="J10" s="1"/>
  <c r="H9"/>
  <c r="J9" s="1"/>
  <c r="D2"/>
  <c r="E399" i="113"/>
  <c r="G681" i="119" s="1"/>
  <c r="F359" i="150" s="1"/>
  <c r="D399" i="113"/>
  <c r="C681" i="119" s="1"/>
  <c r="D359" i="150" s="1"/>
  <c r="C387" i="113"/>
  <c r="B387"/>
  <c r="G382"/>
  <c r="G381"/>
  <c r="G378"/>
  <c r="G377"/>
  <c r="G376"/>
  <c r="G375"/>
  <c r="G371"/>
  <c r="G370"/>
  <c r="G369"/>
  <c r="D362"/>
  <c r="D363" s="1"/>
  <c r="D361"/>
  <c r="D359"/>
  <c r="B359"/>
  <c r="E355"/>
  <c r="G355" s="1"/>
  <c r="E354"/>
  <c r="G354" s="1"/>
  <c r="B351"/>
  <c r="E350"/>
  <c r="G350" s="1"/>
  <c r="E349"/>
  <c r="G349" s="1"/>
  <c r="E348"/>
  <c r="G348" s="1"/>
  <c r="D339"/>
  <c r="D340" s="1"/>
  <c r="D338"/>
  <c r="D336"/>
  <c r="B336"/>
  <c r="B333"/>
  <c r="E332"/>
  <c r="G332" s="1"/>
  <c r="E331"/>
  <c r="G331" s="1"/>
  <c r="E330"/>
  <c r="G330" s="1"/>
  <c r="D325"/>
  <c r="D326" s="1"/>
  <c r="D324"/>
  <c r="D322"/>
  <c r="B322"/>
  <c r="B319"/>
  <c r="E318"/>
  <c r="G318" s="1"/>
  <c r="E317"/>
  <c r="G317" s="1"/>
  <c r="E316"/>
  <c r="G316" s="1"/>
  <c r="D312"/>
  <c r="D313" s="1"/>
  <c r="D311"/>
  <c r="D309"/>
  <c r="B309"/>
  <c r="B306"/>
  <c r="E305"/>
  <c r="G305" s="1"/>
  <c r="E304"/>
  <c r="G304" s="1"/>
  <c r="E303"/>
  <c r="G303" s="1"/>
  <c r="D294"/>
  <c r="D295" s="1"/>
  <c r="D293"/>
  <c r="D291"/>
  <c r="B291"/>
  <c r="E287"/>
  <c r="G287" s="1"/>
  <c r="G288" s="1"/>
  <c r="B284"/>
  <c r="E283"/>
  <c r="G283" s="1"/>
  <c r="E282"/>
  <c r="G282" s="1"/>
  <c r="E281"/>
  <c r="G281" s="1"/>
  <c r="D272"/>
  <c r="D273" s="1"/>
  <c r="D271"/>
  <c r="D269"/>
  <c r="B269"/>
  <c r="E265"/>
  <c r="G265" s="1"/>
  <c r="E264"/>
  <c r="G264" s="1"/>
  <c r="B261"/>
  <c r="E260"/>
  <c r="G260" s="1"/>
  <c r="E259"/>
  <c r="G259" s="1"/>
  <c r="E258"/>
  <c r="G258" s="1"/>
  <c r="E252"/>
  <c r="G677" i="119" s="1"/>
  <c r="D250" i="113"/>
  <c r="D251" s="1"/>
  <c r="D249"/>
  <c r="D247"/>
  <c r="B247"/>
  <c r="E243"/>
  <c r="G243" s="1"/>
  <c r="G244" s="1"/>
  <c r="B240"/>
  <c r="E239"/>
  <c r="G239" s="1"/>
  <c r="E238"/>
  <c r="G238" s="1"/>
  <c r="E237"/>
  <c r="G237" s="1"/>
  <c r="B226"/>
  <c r="B225"/>
  <c r="E220"/>
  <c r="G220" s="1"/>
  <c r="E219"/>
  <c r="G219" s="1"/>
  <c r="B215"/>
  <c r="B214"/>
  <c r="B208"/>
  <c r="E207"/>
  <c r="G207" s="1"/>
  <c r="E206"/>
  <c r="G206" s="1"/>
  <c r="E205"/>
  <c r="G205" s="1"/>
  <c r="D195"/>
  <c r="B195"/>
  <c r="B187"/>
  <c r="E186"/>
  <c r="G186" s="1"/>
  <c r="E185"/>
  <c r="G185" s="1"/>
  <c r="E184"/>
  <c r="G184" s="1"/>
  <c r="C173"/>
  <c r="B173"/>
  <c r="E170"/>
  <c r="G170" s="1"/>
  <c r="E169"/>
  <c r="G169" s="1"/>
  <c r="B162"/>
  <c r="E161"/>
  <c r="G161" s="1"/>
  <c r="E160"/>
  <c r="G160" s="1"/>
  <c r="D149"/>
  <c r="B149"/>
  <c r="B143"/>
  <c r="B142"/>
  <c r="B139"/>
  <c r="E138"/>
  <c r="G138" s="1"/>
  <c r="E137"/>
  <c r="G137" s="1"/>
  <c r="E136"/>
  <c r="G136" s="1"/>
  <c r="B124"/>
  <c r="D123"/>
  <c r="B123"/>
  <c r="B117"/>
  <c r="B116"/>
  <c r="B113"/>
  <c r="E112"/>
  <c r="G112" s="1"/>
  <c r="E111"/>
  <c r="G111" s="1"/>
  <c r="E110"/>
  <c r="G110" s="1"/>
  <c r="A105"/>
  <c r="A131" s="1"/>
  <c r="A156" s="1"/>
  <c r="A180" s="1"/>
  <c r="B99"/>
  <c r="C98"/>
  <c r="B98"/>
  <c r="E93"/>
  <c r="G93" s="1"/>
  <c r="E92"/>
  <c r="G92" s="1"/>
  <c r="B88"/>
  <c r="B87"/>
  <c r="B81"/>
  <c r="E80"/>
  <c r="G80" s="1"/>
  <c r="E79"/>
  <c r="G79" s="1"/>
  <c r="E78"/>
  <c r="G78" s="1"/>
  <c r="C67"/>
  <c r="B67"/>
  <c r="B61"/>
  <c r="A55"/>
  <c r="C48"/>
  <c r="B48"/>
  <c r="E46"/>
  <c r="G46" s="1"/>
  <c r="B43"/>
  <c r="C32"/>
  <c r="B32"/>
  <c r="E30"/>
  <c r="G30" s="1"/>
  <c r="B27"/>
  <c r="B16"/>
  <c r="C15"/>
  <c r="B15"/>
  <c r="E13"/>
  <c r="G13" s="1"/>
  <c r="B11"/>
  <c r="E10"/>
  <c r="E60" s="1"/>
  <c r="G60" s="1"/>
  <c r="E9"/>
  <c r="G9" s="1"/>
  <c r="D2"/>
  <c r="E989" i="94"/>
  <c r="E123" i="141" s="1"/>
  <c r="D989" i="94"/>
  <c r="E985"/>
  <c r="E395" i="113" s="1"/>
  <c r="D985" i="94"/>
  <c r="D252" i="113" s="1"/>
  <c r="C677" i="119" s="1"/>
  <c r="D977" i="94"/>
  <c r="B977"/>
  <c r="B969"/>
  <c r="E968"/>
  <c r="G968" s="1"/>
  <c r="E967"/>
  <c r="G967" s="1"/>
  <c r="E966"/>
  <c r="G966" s="1"/>
  <c r="B960"/>
  <c r="B959"/>
  <c r="B955"/>
  <c r="E954"/>
  <c r="G954" s="1"/>
  <c r="E953"/>
  <c r="G953" s="1"/>
  <c r="B942"/>
  <c r="E939"/>
  <c r="G939" s="1"/>
  <c r="G940" s="1"/>
  <c r="B936"/>
  <c r="E935"/>
  <c r="G935" s="1"/>
  <c r="E934"/>
  <c r="G934" s="1"/>
  <c r="B924"/>
  <c r="E921"/>
  <c r="G921" s="1"/>
  <c r="E920"/>
  <c r="G920" s="1"/>
  <c r="B917"/>
  <c r="E916"/>
  <c r="G916" s="1"/>
  <c r="E915"/>
  <c r="G915" s="1"/>
  <c r="B903"/>
  <c r="G898"/>
  <c r="G897"/>
  <c r="G899" s="1"/>
  <c r="B893"/>
  <c r="B892"/>
  <c r="B887"/>
  <c r="E886"/>
  <c r="G886" s="1"/>
  <c r="E885"/>
  <c r="G885" s="1"/>
  <c r="E884"/>
  <c r="G884" s="1"/>
  <c r="B872"/>
  <c r="E867"/>
  <c r="G867" s="1"/>
  <c r="E866"/>
  <c r="G866" s="1"/>
  <c r="B862"/>
  <c r="B861"/>
  <c r="B855"/>
  <c r="E854"/>
  <c r="G854" s="1"/>
  <c r="E853"/>
  <c r="G853" s="1"/>
  <c r="E852"/>
  <c r="G852" s="1"/>
  <c r="D841"/>
  <c r="B841"/>
  <c r="E824"/>
  <c r="G824" s="1"/>
  <c r="E823"/>
  <c r="G823" s="1"/>
  <c r="E822"/>
  <c r="G822" s="1"/>
  <c r="E821"/>
  <c r="G821" s="1"/>
  <c r="E820"/>
  <c r="G820" s="1"/>
  <c r="E819"/>
  <c r="G819" s="1"/>
  <c r="B815"/>
  <c r="E814"/>
  <c r="G814" s="1"/>
  <c r="E813"/>
  <c r="G813" s="1"/>
  <c r="E812"/>
  <c r="G812" s="1"/>
  <c r="B802"/>
  <c r="D801"/>
  <c r="B801"/>
  <c r="E782"/>
  <c r="G782" s="1"/>
  <c r="E781"/>
  <c r="G781" s="1"/>
  <c r="E780"/>
  <c r="G780" s="1"/>
  <c r="E779"/>
  <c r="G779" s="1"/>
  <c r="E778"/>
  <c r="G778" s="1"/>
  <c r="E777"/>
  <c r="G777" s="1"/>
  <c r="E776"/>
  <c r="G776" s="1"/>
  <c r="B773"/>
  <c r="E772"/>
  <c r="G772" s="1"/>
  <c r="E771"/>
  <c r="G771" s="1"/>
  <c r="E770"/>
  <c r="G770" s="1"/>
  <c r="D759"/>
  <c r="B759"/>
  <c r="I757"/>
  <c r="I755"/>
  <c r="J755" s="1"/>
  <c r="K752"/>
  <c r="E741"/>
  <c r="G741" s="1"/>
  <c r="E740"/>
  <c r="G740" s="1"/>
  <c r="E739"/>
  <c r="G739" s="1"/>
  <c r="E738"/>
  <c r="G738" s="1"/>
  <c r="E737"/>
  <c r="G737" s="1"/>
  <c r="E736"/>
  <c r="G736" s="1"/>
  <c r="E735"/>
  <c r="G735" s="1"/>
  <c r="E734"/>
  <c r="G734" s="1"/>
  <c r="B730"/>
  <c r="E729"/>
  <c r="G729" s="1"/>
  <c r="E728"/>
  <c r="G728" s="1"/>
  <c r="E727"/>
  <c r="G727" s="1"/>
  <c r="D717"/>
  <c r="B717"/>
  <c r="I714"/>
  <c r="I706"/>
  <c r="E698"/>
  <c r="G698" s="1"/>
  <c r="E697"/>
  <c r="G697" s="1"/>
  <c r="E696"/>
  <c r="G696" s="1"/>
  <c r="E695"/>
  <c r="G695" s="1"/>
  <c r="E694"/>
  <c r="G694" s="1"/>
  <c r="E693"/>
  <c r="G693" s="1"/>
  <c r="B689"/>
  <c r="E688"/>
  <c r="G688" s="1"/>
  <c r="E687"/>
  <c r="G687" s="1"/>
  <c r="E686"/>
  <c r="G686" s="1"/>
  <c r="C675"/>
  <c r="B675"/>
  <c r="E665"/>
  <c r="G665" s="1"/>
  <c r="E664"/>
  <c r="G664" s="1"/>
  <c r="E663"/>
  <c r="G663" s="1"/>
  <c r="E662"/>
  <c r="G662" s="1"/>
  <c r="E661"/>
  <c r="G661" s="1"/>
  <c r="E660"/>
  <c r="G660" s="1"/>
  <c r="E659"/>
  <c r="G659" s="1"/>
  <c r="B656"/>
  <c r="E655"/>
  <c r="G655" s="1"/>
  <c r="E654"/>
  <c r="G654" s="1"/>
  <c r="E653"/>
  <c r="G653" s="1"/>
  <c r="B642"/>
  <c r="D641"/>
  <c r="B641"/>
  <c r="E635"/>
  <c r="G635" s="1"/>
  <c r="E633"/>
  <c r="G633" s="1"/>
  <c r="G632"/>
  <c r="E631"/>
  <c r="G631" s="1"/>
  <c r="E630"/>
  <c r="G630" s="1"/>
  <c r="E629"/>
  <c r="G629" s="1"/>
  <c r="H626"/>
  <c r="E625"/>
  <c r="G625" s="1"/>
  <c r="H624"/>
  <c r="B623"/>
  <c r="B622"/>
  <c r="J617"/>
  <c r="J618" s="1"/>
  <c r="L618" s="1"/>
  <c r="E615"/>
  <c r="G615" s="1"/>
  <c r="E614"/>
  <c r="G614" s="1"/>
  <c r="E613"/>
  <c r="G613" s="1"/>
  <c r="G612"/>
  <c r="G611"/>
  <c r="E610"/>
  <c r="G610" s="1"/>
  <c r="B607"/>
  <c r="E606"/>
  <c r="G606" s="1"/>
  <c r="E605"/>
  <c r="G605" s="1"/>
  <c r="E604"/>
  <c r="G604" s="1"/>
  <c r="E603"/>
  <c r="G603" s="1"/>
  <c r="E602"/>
  <c r="G602" s="1"/>
  <c r="E601"/>
  <c r="G601" s="1"/>
  <c r="E600"/>
  <c r="G600" s="1"/>
  <c r="D589"/>
  <c r="B589"/>
  <c r="E582"/>
  <c r="G582" s="1"/>
  <c r="E581"/>
  <c r="G581" s="1"/>
  <c r="G580"/>
  <c r="E578"/>
  <c r="G578" s="1"/>
  <c r="E577"/>
  <c r="G577" s="1"/>
  <c r="E576"/>
  <c r="G576" s="1"/>
  <c r="B573"/>
  <c r="E572"/>
  <c r="G572" s="1"/>
  <c r="E571"/>
  <c r="G571" s="1"/>
  <c r="D560"/>
  <c r="B560"/>
  <c r="H557"/>
  <c r="E553"/>
  <c r="G553" s="1"/>
  <c r="E552"/>
  <c r="G552" s="1"/>
  <c r="E551"/>
  <c r="G551" s="1"/>
  <c r="E550"/>
  <c r="G550" s="1"/>
  <c r="E549"/>
  <c r="G549" s="1"/>
  <c r="B546"/>
  <c r="E545"/>
  <c r="G545" s="1"/>
  <c r="E544"/>
  <c r="G544" s="1"/>
  <c r="D532"/>
  <c r="B532"/>
  <c r="E525"/>
  <c r="G525" s="1"/>
  <c r="E524"/>
  <c r="G524" s="1"/>
  <c r="E521"/>
  <c r="G521" s="1"/>
  <c r="E520"/>
  <c r="G520" s="1"/>
  <c r="E519"/>
  <c r="G519" s="1"/>
  <c r="B516"/>
  <c r="E515"/>
  <c r="G515" s="1"/>
  <c r="E514"/>
  <c r="G514" s="1"/>
  <c r="E513"/>
  <c r="G513" s="1"/>
  <c r="B501"/>
  <c r="D500"/>
  <c r="B500"/>
  <c r="H496"/>
  <c r="E493"/>
  <c r="G493" s="1"/>
  <c r="E492"/>
  <c r="G492" s="1"/>
  <c r="E491"/>
  <c r="G491" s="1"/>
  <c r="E490"/>
  <c r="G490" s="1"/>
  <c r="B487"/>
  <c r="E486"/>
  <c r="G486" s="1"/>
  <c r="E485"/>
  <c r="G485" s="1"/>
  <c r="C475"/>
  <c r="B475"/>
  <c r="H471"/>
  <c r="E468"/>
  <c r="G468" s="1"/>
  <c r="E467"/>
  <c r="G467" s="1"/>
  <c r="E466"/>
  <c r="G466" s="1"/>
  <c r="B463"/>
  <c r="E462"/>
  <c r="G462" s="1"/>
  <c r="E461"/>
  <c r="G461" s="1"/>
  <c r="B451"/>
  <c r="C450"/>
  <c r="B450"/>
  <c r="H447"/>
  <c r="E444"/>
  <c r="G444" s="1"/>
  <c r="E443"/>
  <c r="G443" s="1"/>
  <c r="E442"/>
  <c r="G442" s="1"/>
  <c r="B439"/>
  <c r="E438"/>
  <c r="G438" s="1"/>
  <c r="E437"/>
  <c r="G437" s="1"/>
  <c r="A433"/>
  <c r="A457" s="1"/>
  <c r="A481" s="1"/>
  <c r="A507" s="1"/>
  <c r="A566" s="1"/>
  <c r="B427"/>
  <c r="D426"/>
  <c r="B426"/>
  <c r="E415"/>
  <c r="G415" s="1"/>
  <c r="E414"/>
  <c r="G414" s="1"/>
  <c r="E413"/>
  <c r="G413" s="1"/>
  <c r="E412"/>
  <c r="G412" s="1"/>
  <c r="E411"/>
  <c r="G411" s="1"/>
  <c r="E410"/>
  <c r="G410" s="1"/>
  <c r="B407"/>
  <c r="E406"/>
  <c r="G406" s="1"/>
  <c r="E405"/>
  <c r="G405" s="1"/>
  <c r="E404"/>
  <c r="G404" s="1"/>
  <c r="D394"/>
  <c r="B394"/>
  <c r="E379"/>
  <c r="G379" s="1"/>
  <c r="E378"/>
  <c r="G378" s="1"/>
  <c r="E377"/>
  <c r="G377" s="1"/>
  <c r="B374"/>
  <c r="E373"/>
  <c r="G373" s="1"/>
  <c r="E372"/>
  <c r="G372" s="1"/>
  <c r="E371"/>
  <c r="G371" s="1"/>
  <c r="D358"/>
  <c r="B358"/>
  <c r="B355"/>
  <c r="E340"/>
  <c r="G340" s="1"/>
  <c r="E339"/>
  <c r="G339" s="1"/>
  <c r="E338"/>
  <c r="G338" s="1"/>
  <c r="B335"/>
  <c r="E334"/>
  <c r="G334" s="1"/>
  <c r="E333"/>
  <c r="G333" s="1"/>
  <c r="E332"/>
  <c r="G332" s="1"/>
  <c r="A326"/>
  <c r="A365" s="1"/>
  <c r="B320"/>
  <c r="D319"/>
  <c r="B319"/>
  <c r="B316"/>
  <c r="E308"/>
  <c r="G308" s="1"/>
  <c r="E307"/>
  <c r="G307" s="1"/>
  <c r="E306"/>
  <c r="G306" s="1"/>
  <c r="E305"/>
  <c r="G305" s="1"/>
  <c r="B302"/>
  <c r="E301"/>
  <c r="G301" s="1"/>
  <c r="E300"/>
  <c r="G300" s="1"/>
  <c r="E299"/>
  <c r="G299" s="1"/>
  <c r="B287"/>
  <c r="D286"/>
  <c r="B286"/>
  <c r="E283"/>
  <c r="G283" s="1"/>
  <c r="E282"/>
  <c r="G282" s="1"/>
  <c r="E281"/>
  <c r="G281" s="1"/>
  <c r="B278"/>
  <c r="E277"/>
  <c r="G277" s="1"/>
  <c r="E276"/>
  <c r="G276" s="1"/>
  <c r="D267"/>
  <c r="B267"/>
  <c r="E264"/>
  <c r="G264" s="1"/>
  <c r="G265" s="1"/>
  <c r="B261"/>
  <c r="E260"/>
  <c r="G260" s="1"/>
  <c r="E259"/>
  <c r="G259" s="1"/>
  <c r="B249"/>
  <c r="C248"/>
  <c r="B248"/>
  <c r="E243"/>
  <c r="G243" s="1"/>
  <c r="E242"/>
  <c r="G242" s="1"/>
  <c r="E241"/>
  <c r="G241" s="1"/>
  <c r="E240"/>
  <c r="G240" s="1"/>
  <c r="E238"/>
  <c r="D238"/>
  <c r="B238"/>
  <c r="E237"/>
  <c r="G237" s="1"/>
  <c r="B234"/>
  <c r="E233"/>
  <c r="G233" s="1"/>
  <c r="E232"/>
  <c r="G232" s="1"/>
  <c r="D221"/>
  <c r="B221"/>
  <c r="E218"/>
  <c r="G218" s="1"/>
  <c r="E217"/>
  <c r="G217" s="1"/>
  <c r="I216"/>
  <c r="E216"/>
  <c r="G216" s="1"/>
  <c r="E215"/>
  <c r="G215" s="1"/>
  <c r="B212"/>
  <c r="E211"/>
  <c r="G211" s="1"/>
  <c r="E210"/>
  <c r="G210" s="1"/>
  <c r="E203"/>
  <c r="G203" s="1"/>
  <c r="E202"/>
  <c r="G202" s="1"/>
  <c r="B184"/>
  <c r="C183"/>
  <c r="B183"/>
  <c r="G180"/>
  <c r="E176"/>
  <c r="G176" s="1"/>
  <c r="E175"/>
  <c r="G175" s="1"/>
  <c r="E174"/>
  <c r="G174" s="1"/>
  <c r="E173"/>
  <c r="G173" s="1"/>
  <c r="E171"/>
  <c r="D171"/>
  <c r="B171"/>
  <c r="E170"/>
  <c r="G170" s="1"/>
  <c r="E166"/>
  <c r="G166" s="1"/>
  <c r="E165"/>
  <c r="G165" s="1"/>
  <c r="B155"/>
  <c r="C154"/>
  <c r="B154"/>
  <c r="E149"/>
  <c r="G149" s="1"/>
  <c r="E148"/>
  <c r="G148" s="1"/>
  <c r="E147"/>
  <c r="G147" s="1"/>
  <c r="E146"/>
  <c r="G146" s="1"/>
  <c r="B143"/>
  <c r="E142"/>
  <c r="G142" s="1"/>
  <c r="E141"/>
  <c r="G141" s="1"/>
  <c r="B130"/>
  <c r="C129"/>
  <c r="B129"/>
  <c r="E126"/>
  <c r="G126" s="1"/>
  <c r="G127" s="1"/>
  <c r="C109"/>
  <c r="B109"/>
  <c r="E107"/>
  <c r="G107" s="1"/>
  <c r="B103"/>
  <c r="E102"/>
  <c r="G102" s="1"/>
  <c r="E101"/>
  <c r="E121" s="1"/>
  <c r="G121" s="1"/>
  <c r="C92"/>
  <c r="B92"/>
  <c r="E89"/>
  <c r="G89" s="1"/>
  <c r="B86"/>
  <c r="E85"/>
  <c r="G85" s="1"/>
  <c r="E84"/>
  <c r="G84" s="1"/>
  <c r="C75"/>
  <c r="B75"/>
  <c r="E72"/>
  <c r="G72" s="1"/>
  <c r="B69"/>
  <c r="E68"/>
  <c r="G68" s="1"/>
  <c r="E67"/>
  <c r="G67" s="1"/>
  <c r="C59"/>
  <c r="B59"/>
  <c r="E56"/>
  <c r="G56" s="1"/>
  <c r="B53"/>
  <c r="E52"/>
  <c r="G52" s="1"/>
  <c r="E51"/>
  <c r="G51" s="1"/>
  <c r="D43"/>
  <c r="D44" s="1"/>
  <c r="D42"/>
  <c r="D40"/>
  <c r="B40"/>
  <c r="E36"/>
  <c r="G36" s="1"/>
  <c r="E35"/>
  <c r="G35" s="1"/>
  <c r="B32"/>
  <c r="E31"/>
  <c r="G31" s="1"/>
  <c r="E30"/>
  <c r="G30" s="1"/>
  <c r="B19"/>
  <c r="B18"/>
  <c r="E15"/>
  <c r="G15" s="1"/>
  <c r="E14"/>
  <c r="G14" s="1"/>
  <c r="B11"/>
  <c r="E10"/>
  <c r="G10" s="1"/>
  <c r="E9"/>
  <c r="G9" s="1"/>
  <c r="D2"/>
  <c r="I67" i="7"/>
  <c r="G66"/>
  <c r="D66"/>
  <c r="D64"/>
  <c r="C63"/>
  <c r="E634" i="94" s="1"/>
  <c r="G634" s="1"/>
  <c r="D58" i="7"/>
  <c r="D57"/>
  <c r="D56"/>
  <c r="D55"/>
  <c r="D54"/>
  <c r="D53"/>
  <c r="D52"/>
  <c r="D51"/>
  <c r="C51"/>
  <c r="D50"/>
  <c r="E50" s="1"/>
  <c r="D49"/>
  <c r="E49" s="1"/>
  <c r="D48"/>
  <c r="E48" s="1"/>
  <c r="D47"/>
  <c r="E47" s="1"/>
  <c r="D46"/>
  <c r="E46" s="1"/>
  <c r="D45"/>
  <c r="E45" s="1"/>
  <c r="D44"/>
  <c r="E44" s="1"/>
  <c r="D43"/>
  <c r="E43" s="1"/>
  <c r="C43"/>
  <c r="C52" s="1"/>
  <c r="F42"/>
  <c r="F41"/>
  <c r="F40"/>
  <c r="D40"/>
  <c r="E40" s="1"/>
  <c r="E41" s="1"/>
  <c r="C40"/>
  <c r="C41" s="1"/>
  <c r="C42" s="1"/>
  <c r="B40"/>
  <c r="F39"/>
  <c r="J39" s="1"/>
  <c r="J6" i="146" s="1"/>
  <c r="F38" i="7"/>
  <c r="J38" s="1"/>
  <c r="F37"/>
  <c r="J37" s="1"/>
  <c r="H642" i="127" s="1"/>
  <c r="J642" s="1"/>
  <c r="F36" i="7"/>
  <c r="J36" s="1"/>
  <c r="F35"/>
  <c r="D35"/>
  <c r="C35"/>
  <c r="F34"/>
  <c r="D34"/>
  <c r="C34"/>
  <c r="F33"/>
  <c r="F32"/>
  <c r="D32"/>
  <c r="E32" s="1"/>
  <c r="C32"/>
  <c r="F31"/>
  <c r="F30"/>
  <c r="D30"/>
  <c r="E30" s="1"/>
  <c r="C30"/>
  <c r="C31" s="1"/>
  <c r="D29"/>
  <c r="D28"/>
  <c r="F27"/>
  <c r="D27"/>
  <c r="G26"/>
  <c r="G28" s="1"/>
  <c r="F26"/>
  <c r="F25"/>
  <c r="G24"/>
  <c r="F24"/>
  <c r="G23"/>
  <c r="F23"/>
  <c r="F22"/>
  <c r="H22" s="1"/>
  <c r="F21"/>
  <c r="H21" s="1"/>
  <c r="F20"/>
  <c r="F19"/>
  <c r="D19"/>
  <c r="F18"/>
  <c r="D18"/>
  <c r="F17"/>
  <c r="D17"/>
  <c r="F16"/>
  <c r="D16"/>
  <c r="F15"/>
  <c r="D15"/>
  <c r="F14"/>
  <c r="D14"/>
  <c r="J13"/>
  <c r="F12"/>
  <c r="H12" s="1"/>
  <c r="D12"/>
  <c r="F11"/>
  <c r="D11"/>
  <c r="G10"/>
  <c r="G11" s="1"/>
  <c r="F10"/>
  <c r="D10"/>
  <c r="F9"/>
  <c r="D9"/>
  <c r="F8"/>
  <c r="D8"/>
  <c r="F7"/>
  <c r="D7"/>
  <c r="F6"/>
  <c r="D6"/>
  <c r="F5"/>
  <c r="D5"/>
  <c r="I4"/>
  <c r="I14" s="1"/>
  <c r="G4"/>
  <c r="F4"/>
  <c r="H4" s="1"/>
  <c r="D4"/>
  <c r="C4"/>
  <c r="C14" s="1"/>
  <c r="C16" s="1"/>
  <c r="C18" s="1"/>
  <c r="C2"/>
  <c r="C154" i="190"/>
  <c r="B154"/>
  <c r="C149"/>
  <c r="B149"/>
  <c r="F138"/>
  <c r="F137"/>
  <c r="A137"/>
  <c r="A138" s="1"/>
  <c r="D136"/>
  <c r="D137" s="1"/>
  <c r="D138" s="1"/>
  <c r="F134"/>
  <c r="F133"/>
  <c r="F132"/>
  <c r="A132"/>
  <c r="A133" s="1"/>
  <c r="A134" s="1"/>
  <c r="D131"/>
  <c r="D132" s="1"/>
  <c r="D133" s="1"/>
  <c r="F129"/>
  <c r="F128"/>
  <c r="F127"/>
  <c r="F126"/>
  <c r="G126" s="1"/>
  <c r="F125"/>
  <c r="G125" s="1"/>
  <c r="F124"/>
  <c r="F123"/>
  <c r="F122"/>
  <c r="A122"/>
  <c r="A123" s="1"/>
  <c r="A124" s="1"/>
  <c r="A125" s="1"/>
  <c r="A126" s="1"/>
  <c r="A127" s="1"/>
  <c r="A128" s="1"/>
  <c r="D121"/>
  <c r="D122" s="1"/>
  <c r="D123" s="1"/>
  <c r="F119"/>
  <c r="G119" s="1"/>
  <c r="F118"/>
  <c r="G118" s="1"/>
  <c r="F117"/>
  <c r="G117" s="1"/>
  <c r="G116"/>
  <c r="F115"/>
  <c r="G115" s="1"/>
  <c r="F114"/>
  <c r="G114" s="1"/>
  <c r="F113"/>
  <c r="G113" s="1"/>
  <c r="F112"/>
  <c r="G112" s="1"/>
  <c r="F111"/>
  <c r="G111" s="1"/>
  <c r="F110"/>
  <c r="G110" s="1"/>
  <c r="F109"/>
  <c r="G109" s="1"/>
  <c r="G108"/>
  <c r="F108"/>
  <c r="F107"/>
  <c r="G107" s="1"/>
  <c r="F106"/>
  <c r="G106" s="1"/>
  <c r="A106"/>
  <c r="A107" s="1"/>
  <c r="A108" s="1"/>
  <c r="A109" s="1"/>
  <c r="A110" s="1"/>
  <c r="A111" s="1"/>
  <c r="A112" s="1"/>
  <c r="A113" s="1"/>
  <c r="A114" s="1"/>
  <c r="A115" s="1"/>
  <c r="A116" s="1"/>
  <c r="A117" s="1"/>
  <c r="A118" s="1"/>
  <c r="A119" s="1"/>
  <c r="G105"/>
  <c r="D105"/>
  <c r="D106" s="1"/>
  <c r="D107" s="1"/>
  <c r="D108" s="1"/>
  <c r="D109" s="1"/>
  <c r="D110" s="1"/>
  <c r="D111" s="1"/>
  <c r="D112" s="1"/>
  <c r="D113" s="1"/>
  <c r="D114" s="1"/>
  <c r="D115" s="1"/>
  <c r="D116" s="1"/>
  <c r="D117" s="1"/>
  <c r="D118" s="1"/>
  <c r="D119" s="1"/>
  <c r="F103"/>
  <c r="F102"/>
  <c r="F101"/>
  <c r="F100"/>
  <c r="F98"/>
  <c r="G97"/>
  <c r="F97"/>
  <c r="F96"/>
  <c r="F95"/>
  <c r="G95" s="1"/>
  <c r="F94"/>
  <c r="F93"/>
  <c r="F92"/>
  <c r="F91"/>
  <c r="F90"/>
  <c r="F89"/>
  <c r="G89" s="1"/>
  <c r="A89"/>
  <c r="A90" s="1"/>
  <c r="A91" s="1"/>
  <c r="A92" s="1"/>
  <c r="A93" s="1"/>
  <c r="A94" s="1"/>
  <c r="A95" s="1"/>
  <c r="A96" s="1"/>
  <c r="A97" s="1"/>
  <c r="A98" s="1"/>
  <c r="A99" s="1"/>
  <c r="A100" s="1"/>
  <c r="A101" s="1"/>
  <c r="D88"/>
  <c r="D89" s="1"/>
  <c r="D90" s="1"/>
  <c r="F86"/>
  <c r="F85"/>
  <c r="F84"/>
  <c r="F83"/>
  <c r="F81"/>
  <c r="F80"/>
  <c r="G80" s="1"/>
  <c r="F79"/>
  <c r="F78"/>
  <c r="G78" s="1"/>
  <c r="F77"/>
  <c r="F76"/>
  <c r="F75"/>
  <c r="F74"/>
  <c r="F73"/>
  <c r="F72"/>
  <c r="G72" s="1"/>
  <c r="A72"/>
  <c r="A73" s="1"/>
  <c r="A74" s="1"/>
  <c r="A75" s="1"/>
  <c r="A76" s="1"/>
  <c r="A77" s="1"/>
  <c r="A78" s="1"/>
  <c r="A79" s="1"/>
  <c r="A80" s="1"/>
  <c r="A81" s="1"/>
  <c r="A82" s="1"/>
  <c r="A83" s="1"/>
  <c r="A84" s="1"/>
  <c r="D71"/>
  <c r="F69"/>
  <c r="F68"/>
  <c r="F67"/>
  <c r="F66"/>
  <c r="F64"/>
  <c r="F63"/>
  <c r="G63" s="1"/>
  <c r="F62"/>
  <c r="F61"/>
  <c r="G61" s="1"/>
  <c r="F60"/>
  <c r="F59"/>
  <c r="F58"/>
  <c r="F57"/>
  <c r="F56"/>
  <c r="F55"/>
  <c r="G55" s="1"/>
  <c r="A55"/>
  <c r="A56" s="1"/>
  <c r="A57" s="1"/>
  <c r="A58" s="1"/>
  <c r="A59" s="1"/>
  <c r="A60" s="1"/>
  <c r="A61" s="1"/>
  <c r="A62" s="1"/>
  <c r="A63" s="1"/>
  <c r="A64" s="1"/>
  <c r="A65" s="1"/>
  <c r="A66" s="1"/>
  <c r="A67" s="1"/>
  <c r="D54"/>
  <c r="D55" s="1"/>
  <c r="D56" s="1"/>
  <c r="F52"/>
  <c r="F51"/>
  <c r="F50"/>
  <c r="F48"/>
  <c r="F47"/>
  <c r="F46"/>
  <c r="F45"/>
  <c r="F44"/>
  <c r="F43"/>
  <c r="F42"/>
  <c r="F41"/>
  <c r="F40"/>
  <c r="F39"/>
  <c r="A39"/>
  <c r="A40" s="1"/>
  <c r="A41" s="1"/>
  <c r="A42" s="1"/>
  <c r="A43" s="1"/>
  <c r="A44" s="1"/>
  <c r="A45" s="1"/>
  <c r="A46" s="1"/>
  <c r="A47" s="1"/>
  <c r="A48" s="1"/>
  <c r="A49" s="1"/>
  <c r="A50" s="1"/>
  <c r="A51" s="1"/>
  <c r="A52" s="1"/>
  <c r="D38"/>
  <c r="D39" s="1"/>
  <c r="F36"/>
  <c r="F35"/>
  <c r="F34"/>
  <c r="F33"/>
  <c r="A33"/>
  <c r="A34" s="1"/>
  <c r="A35" s="1"/>
  <c r="A36" s="1"/>
  <c r="D32"/>
  <c r="D33" s="1"/>
  <c r="F30"/>
  <c r="F29"/>
  <c r="F28"/>
  <c r="F27"/>
  <c r="A27"/>
  <c r="A28" s="1"/>
  <c r="A29" s="1"/>
  <c r="A30" s="1"/>
  <c r="D26"/>
  <c r="D27" s="1"/>
  <c r="B25"/>
  <c r="F23"/>
  <c r="F22"/>
  <c r="F21"/>
  <c r="F20"/>
  <c r="A20"/>
  <c r="A21" s="1"/>
  <c r="A22" s="1"/>
  <c r="A23" s="1"/>
  <c r="D19"/>
  <c r="D20" s="1"/>
  <c r="H16"/>
  <c r="F16"/>
  <c r="F15"/>
  <c r="F14"/>
  <c r="E14"/>
  <c r="F13"/>
  <c r="G13" s="1"/>
  <c r="F12"/>
  <c r="G12" s="1"/>
  <c r="F11"/>
  <c r="F10"/>
  <c r="A10"/>
  <c r="A12" s="1"/>
  <c r="G8"/>
  <c r="A2"/>
  <c r="F36" i="170"/>
  <c r="B30"/>
  <c r="D175" i="162" s="1"/>
  <c r="I27" i="170"/>
  <c r="I28" s="1"/>
  <c r="B26"/>
  <c r="D174" i="162" s="1"/>
  <c r="E21" i="170"/>
  <c r="E22" s="1"/>
  <c r="E23" s="1"/>
  <c r="B19"/>
  <c r="F15"/>
  <c r="F21" s="1"/>
  <c r="F22" s="1"/>
  <c r="F23" s="1"/>
  <c r="B13"/>
  <c r="I9"/>
  <c r="I10" s="1"/>
  <c r="B6"/>
  <c r="D171" i="162" s="1"/>
  <c r="C2" i="170"/>
  <c r="F32" i="169"/>
  <c r="B25"/>
  <c r="D169" i="162" s="1"/>
  <c r="B21" i="169"/>
  <c r="D168" i="162" s="1"/>
  <c r="B16" i="169"/>
  <c r="D167" i="162" s="1"/>
  <c r="I13" i="169"/>
  <c r="F12"/>
  <c r="F17" s="1"/>
  <c r="F22" s="1"/>
  <c r="B11"/>
  <c r="I7"/>
  <c r="I8" s="1"/>
  <c r="B6"/>
  <c r="C2"/>
  <c r="I67" i="168"/>
  <c r="F67"/>
  <c r="I61"/>
  <c r="I60"/>
  <c r="B59"/>
  <c r="D162" i="162" s="1"/>
  <c r="I56" i="168"/>
  <c r="I55"/>
  <c r="I54"/>
  <c r="B53"/>
  <c r="I50"/>
  <c r="I49"/>
  <c r="I48"/>
  <c r="B47"/>
  <c r="D160" i="162" s="1"/>
  <c r="I44" i="168"/>
  <c r="I45" s="1"/>
  <c r="B43"/>
  <c r="I40"/>
  <c r="I39"/>
  <c r="I38"/>
  <c r="I37"/>
  <c r="I35"/>
  <c r="I34"/>
  <c r="B32"/>
  <c r="I28"/>
  <c r="I27"/>
  <c r="I26"/>
  <c r="I25"/>
  <c r="I23"/>
  <c r="I22"/>
  <c r="I21"/>
  <c r="B20"/>
  <c r="I16"/>
  <c r="I15"/>
  <c r="I14"/>
  <c r="B13"/>
  <c r="D156" i="162" s="1"/>
  <c r="I9" i="168"/>
  <c r="I8"/>
  <c r="I7"/>
  <c r="B6"/>
  <c r="C2"/>
  <c r="I118" i="187"/>
  <c r="I37" i="169" s="1"/>
  <c r="I41" i="170" s="1"/>
  <c r="F112" i="187"/>
  <c r="B105"/>
  <c r="B102"/>
  <c r="B98"/>
  <c r="I94"/>
  <c r="I93"/>
  <c r="I92"/>
  <c r="B91"/>
  <c r="D148" i="162" s="1"/>
  <c r="I88" i="187"/>
  <c r="I89" s="1"/>
  <c r="B87"/>
  <c r="I84"/>
  <c r="I85" s="1"/>
  <c r="B83"/>
  <c r="I80"/>
  <c r="I81" s="1"/>
  <c r="B79"/>
  <c r="I76"/>
  <c r="I77" s="1"/>
  <c r="B75"/>
  <c r="F72"/>
  <c r="I72" s="1"/>
  <c r="I73" s="1"/>
  <c r="B71"/>
  <c r="I68"/>
  <c r="I69" s="1"/>
  <c r="B149" i="162" s="1"/>
  <c r="B67" i="187"/>
  <c r="I64"/>
  <c r="I65" s="1"/>
  <c r="B63"/>
  <c r="I60"/>
  <c r="I61" s="1"/>
  <c r="B59"/>
  <c r="I56"/>
  <c r="I57" s="1"/>
  <c r="B141" i="162" s="1"/>
  <c r="I50" i="187"/>
  <c r="I49"/>
  <c r="E47"/>
  <c r="I47" s="1"/>
  <c r="F46"/>
  <c r="B45"/>
  <c r="I41"/>
  <c r="I40"/>
  <c r="E39"/>
  <c r="I39" s="1"/>
  <c r="I38"/>
  <c r="E37"/>
  <c r="E46" s="1"/>
  <c r="B36"/>
  <c r="I33"/>
  <c r="I32"/>
  <c r="I31"/>
  <c r="F29"/>
  <c r="I28"/>
  <c r="F25"/>
  <c r="I25" s="1"/>
  <c r="I24"/>
  <c r="B22"/>
  <c r="I19"/>
  <c r="I18"/>
  <c r="I17"/>
  <c r="B16"/>
  <c r="I13"/>
  <c r="I14" s="1"/>
  <c r="B12"/>
  <c r="I9"/>
  <c r="I8"/>
  <c r="I7"/>
  <c r="B6"/>
  <c r="F2"/>
  <c r="C31" i="203"/>
  <c r="B31"/>
  <c r="I25"/>
  <c r="I26" s="1"/>
  <c r="I20"/>
  <c r="I22" s="1"/>
  <c r="L22" s="1"/>
  <c r="I10"/>
  <c r="I8"/>
  <c r="E29" i="171"/>
  <c r="H36" i="203" s="1"/>
  <c r="B29" i="171"/>
  <c r="H31" i="203" s="1"/>
  <c r="D25" i="171"/>
  <c r="E356" i="150" s="1"/>
  <c r="B25" i="171"/>
  <c r="D356" i="150" s="1"/>
  <c r="E15" i="171"/>
  <c r="E16" s="1"/>
  <c r="G16" s="1"/>
  <c r="B11"/>
  <c r="B9"/>
  <c r="B7"/>
  <c r="D180" i="162" s="1"/>
  <c r="B4" i="171"/>
  <c r="A2"/>
  <c r="A2" i="203" s="1"/>
  <c r="B105" i="186"/>
  <c r="B102"/>
  <c r="B98"/>
  <c r="I94"/>
  <c r="I93"/>
  <c r="I92"/>
  <c r="B91"/>
  <c r="D128" i="162" s="1"/>
  <c r="I88" i="186"/>
  <c r="I89" s="1"/>
  <c r="B87"/>
  <c r="I84"/>
  <c r="I85" s="1"/>
  <c r="B83"/>
  <c r="I80"/>
  <c r="I81" s="1"/>
  <c r="B79"/>
  <c r="I76"/>
  <c r="I77" s="1"/>
  <c r="B75"/>
  <c r="F72"/>
  <c r="I72" s="1"/>
  <c r="I73" s="1"/>
  <c r="B71"/>
  <c r="I68"/>
  <c r="I69" s="1"/>
  <c r="B129" i="162" s="1"/>
  <c r="B67" i="186"/>
  <c r="I64"/>
  <c r="I63"/>
  <c r="B62"/>
  <c r="I59"/>
  <c r="I60" s="1"/>
  <c r="B58"/>
  <c r="I55"/>
  <c r="B53"/>
  <c r="I49"/>
  <c r="I50" s="1"/>
  <c r="B120" i="162" s="1"/>
  <c r="B47" i="186"/>
  <c r="I44"/>
  <c r="I43"/>
  <c r="I41"/>
  <c r="B40"/>
  <c r="I36"/>
  <c r="I35"/>
  <c r="E34"/>
  <c r="I34" s="1"/>
  <c r="B33"/>
  <c r="I30"/>
  <c r="I29"/>
  <c r="I28"/>
  <c r="I27"/>
  <c r="I26"/>
  <c r="F23"/>
  <c r="I22"/>
  <c r="B20"/>
  <c r="I17"/>
  <c r="I16"/>
  <c r="B15"/>
  <c r="I12"/>
  <c r="I13" s="1"/>
  <c r="B11"/>
  <c r="I8"/>
  <c r="I7"/>
  <c r="B6"/>
  <c r="F2"/>
  <c r="B97" i="167"/>
  <c r="D110" i="162" s="1"/>
  <c r="B94" i="167"/>
  <c r="D109" i="162" s="1"/>
  <c r="B90" i="167"/>
  <c r="I86"/>
  <c r="I85"/>
  <c r="I84"/>
  <c r="B83"/>
  <c r="I80"/>
  <c r="I81" s="1"/>
  <c r="B79"/>
  <c r="D111" i="162" s="1"/>
  <c r="I76" i="167"/>
  <c r="I77" s="1"/>
  <c r="B75"/>
  <c r="I72"/>
  <c r="I73" s="1"/>
  <c r="B71"/>
  <c r="D106" i="162" s="1"/>
  <c r="I68" i="167"/>
  <c r="I69" s="1"/>
  <c r="B67"/>
  <c r="F64"/>
  <c r="I64" s="1"/>
  <c r="I65" s="1"/>
  <c r="B63"/>
  <c r="I60"/>
  <c r="I61" s="1"/>
  <c r="B59"/>
  <c r="I56"/>
  <c r="I57" s="1"/>
  <c r="B55"/>
  <c r="I52"/>
  <c r="I53" s="1"/>
  <c r="B51"/>
  <c r="I48"/>
  <c r="I49" s="1"/>
  <c r="B100" i="162" s="1"/>
  <c r="D70"/>
  <c r="I42" i="167"/>
  <c r="I41"/>
  <c r="F39"/>
  <c r="B38"/>
  <c r="I34"/>
  <c r="I33"/>
  <c r="E32"/>
  <c r="I32" s="1"/>
  <c r="B31"/>
  <c r="I28"/>
  <c r="I27"/>
  <c r="I26"/>
  <c r="F23"/>
  <c r="I23" s="1"/>
  <c r="I22"/>
  <c r="B20"/>
  <c r="I17"/>
  <c r="I16"/>
  <c r="B15"/>
  <c r="D58" i="162" s="1"/>
  <c r="I12" i="167"/>
  <c r="I13" s="1"/>
  <c r="B95" i="162" s="1"/>
  <c r="B11" i="167"/>
  <c r="D57" i="162" s="1"/>
  <c r="I8" i="167"/>
  <c r="I9" s="1"/>
  <c r="I7"/>
  <c r="B6"/>
  <c r="F2"/>
  <c r="I47" i="165"/>
  <c r="B46"/>
  <c r="I33"/>
  <c r="B32"/>
  <c r="D39" i="162" s="1"/>
  <c r="I29" i="165"/>
  <c r="B26"/>
  <c r="D68" i="162" s="1"/>
  <c r="B21" i="165"/>
  <c r="I18"/>
  <c r="B16"/>
  <c r="D43" i="162" s="1"/>
  <c r="I13" i="165"/>
  <c r="F12"/>
  <c r="B11"/>
  <c r="D34" i="162" s="1"/>
  <c r="I8" i="165"/>
  <c r="I7"/>
  <c r="B6"/>
  <c r="F2"/>
  <c r="I33" i="199"/>
  <c r="B32"/>
  <c r="I29"/>
  <c r="B26"/>
  <c r="B21"/>
  <c r="I18"/>
  <c r="B16"/>
  <c r="D35" i="162" s="1"/>
  <c r="I13" i="199"/>
  <c r="F12"/>
  <c r="F17" s="1"/>
  <c r="I17" s="1"/>
  <c r="I19" s="1"/>
  <c r="B35" i="162" s="1"/>
  <c r="B11" i="199"/>
  <c r="I8"/>
  <c r="I7"/>
  <c r="B6"/>
  <c r="B18" i="190"/>
  <c r="F2" i="199"/>
  <c r="D123" i="141"/>
  <c r="E118"/>
  <c r="D118"/>
  <c r="B110"/>
  <c r="D109"/>
  <c r="B109"/>
  <c r="E92"/>
  <c r="G92" s="1"/>
  <c r="E91"/>
  <c r="G91" s="1"/>
  <c r="E89"/>
  <c r="G89" s="1"/>
  <c r="G86"/>
  <c r="E86"/>
  <c r="E85"/>
  <c r="G85" s="1"/>
  <c r="E84"/>
  <c r="G84" s="1"/>
  <c r="B75"/>
  <c r="D74"/>
  <c r="B74"/>
  <c r="E64"/>
  <c r="G64" s="1"/>
  <c r="E63"/>
  <c r="G63" s="1"/>
  <c r="E61"/>
  <c r="G61" s="1"/>
  <c r="E58"/>
  <c r="G58" s="1"/>
  <c r="E57"/>
  <c r="G57" s="1"/>
  <c r="E56"/>
  <c r="G56" s="1"/>
  <c r="B47"/>
  <c r="D46"/>
  <c r="B46"/>
  <c r="E42"/>
  <c r="G42" s="1"/>
  <c r="E40"/>
  <c r="B40"/>
  <c r="E39"/>
  <c r="G39" s="1"/>
  <c r="E36"/>
  <c r="G36" s="1"/>
  <c r="E35"/>
  <c r="G35" s="1"/>
  <c r="B23"/>
  <c r="D22"/>
  <c r="B22"/>
  <c r="E18"/>
  <c r="G18" s="1"/>
  <c r="E16"/>
  <c r="B16"/>
  <c r="E15"/>
  <c r="G15" s="1"/>
  <c r="E12"/>
  <c r="G12" s="1"/>
  <c r="E11"/>
  <c r="G11" s="1"/>
  <c r="A5"/>
  <c r="A27" s="1"/>
  <c r="A50" s="1"/>
  <c r="A78" s="1"/>
  <c r="A2"/>
  <c r="E303" i="202"/>
  <c r="D303"/>
  <c r="E297"/>
  <c r="D297"/>
  <c r="D289"/>
  <c r="B289"/>
  <c r="B282"/>
  <c r="E280"/>
  <c r="E281" s="1"/>
  <c r="G281" s="1"/>
  <c r="A272"/>
  <c r="B269"/>
  <c r="D268"/>
  <c r="B268"/>
  <c r="E264"/>
  <c r="E285" s="1"/>
  <c r="G285" s="1"/>
  <c r="G286" s="1"/>
  <c r="B262"/>
  <c r="E261"/>
  <c r="G261" s="1"/>
  <c r="B258"/>
  <c r="E257"/>
  <c r="G257" s="1"/>
  <c r="E256"/>
  <c r="G256" s="1"/>
  <c r="A248"/>
  <c r="B244"/>
  <c r="D243"/>
  <c r="B243"/>
  <c r="E239"/>
  <c r="G239" s="1"/>
  <c r="E237"/>
  <c r="E262" s="1"/>
  <c r="E236"/>
  <c r="G236" s="1"/>
  <c r="B233"/>
  <c r="E232"/>
  <c r="G232" s="1"/>
  <c r="E231"/>
  <c r="G231" s="1"/>
  <c r="B222"/>
  <c r="D221"/>
  <c r="B221"/>
  <c r="E204"/>
  <c r="G204" s="1"/>
  <c r="E203"/>
  <c r="G203" s="1"/>
  <c r="E202"/>
  <c r="G202" s="1"/>
  <c r="E201"/>
  <c r="G201" s="1"/>
  <c r="B198"/>
  <c r="E197"/>
  <c r="G197" s="1"/>
  <c r="E196"/>
  <c r="G196" s="1"/>
  <c r="E195"/>
  <c r="G195" s="1"/>
  <c r="A190"/>
  <c r="G159"/>
  <c r="E156"/>
  <c r="G154"/>
  <c r="G143"/>
  <c r="J138"/>
  <c r="J135"/>
  <c r="K135" s="1"/>
  <c r="B114"/>
  <c r="E91"/>
  <c r="F163" s="1"/>
  <c r="G163" s="1"/>
  <c r="E90"/>
  <c r="G90" s="1"/>
  <c r="E89"/>
  <c r="G89" s="1"/>
  <c r="B85"/>
  <c r="E84"/>
  <c r="E113" s="1"/>
  <c r="G113" s="1"/>
  <c r="G65"/>
  <c r="E62"/>
  <c r="F162" s="1"/>
  <c r="G162" s="1"/>
  <c r="B59"/>
  <c r="E37"/>
  <c r="G37" s="1"/>
  <c r="G36"/>
  <c r="E35"/>
  <c r="G35" s="1"/>
  <c r="E34"/>
  <c r="F160" s="1"/>
  <c r="G160" s="1"/>
  <c r="B31"/>
  <c r="E30"/>
  <c r="E58" s="1"/>
  <c r="E83" s="1"/>
  <c r="G29"/>
  <c r="P20"/>
  <c r="P15"/>
  <c r="P10"/>
  <c r="G10"/>
  <c r="G11" s="1"/>
  <c r="G12" s="1"/>
  <c r="G9"/>
  <c r="I9" s="1"/>
  <c r="B10" i="163"/>
  <c r="N191" i="162"/>
  <c r="N190"/>
  <c r="N187"/>
  <c r="G186"/>
  <c r="D186"/>
  <c r="G185"/>
  <c r="D185"/>
  <c r="G184"/>
  <c r="D184"/>
  <c r="D182"/>
  <c r="B182"/>
  <c r="D181"/>
  <c r="B181"/>
  <c r="B180"/>
  <c r="B179"/>
  <c r="B178"/>
  <c r="K177"/>
  <c r="D173"/>
  <c r="D172"/>
  <c r="B175"/>
  <c r="D166"/>
  <c r="D165"/>
  <c r="B166"/>
  <c r="B162"/>
  <c r="D161"/>
  <c r="B161"/>
  <c r="B160"/>
  <c r="D159"/>
  <c r="B159"/>
  <c r="D158"/>
  <c r="B158"/>
  <c r="D157"/>
  <c r="B157"/>
  <c r="B156"/>
  <c r="D155"/>
  <c r="B155"/>
  <c r="D154"/>
  <c r="K142"/>
  <c r="H136"/>
  <c r="N136" s="1"/>
  <c r="B152"/>
  <c r="H125"/>
  <c r="N125" s="1"/>
  <c r="K121"/>
  <c r="H115"/>
  <c r="N115" s="1"/>
  <c r="B132"/>
  <c r="D112"/>
  <c r="D108"/>
  <c r="D107"/>
  <c r="D105"/>
  <c r="D104"/>
  <c r="D103"/>
  <c r="D102"/>
  <c r="K101"/>
  <c r="D101"/>
  <c r="D99"/>
  <c r="D98"/>
  <c r="D96"/>
  <c r="D95"/>
  <c r="D94"/>
  <c r="N93"/>
  <c r="N92"/>
  <c r="D91"/>
  <c r="B91"/>
  <c r="D90"/>
  <c r="B90"/>
  <c r="D89"/>
  <c r="B89"/>
  <c r="D88"/>
  <c r="B88"/>
  <c r="D87"/>
  <c r="B87"/>
  <c r="D86"/>
  <c r="B86"/>
  <c r="D85"/>
  <c r="B85"/>
  <c r="D84"/>
  <c r="B84"/>
  <c r="D83"/>
  <c r="B83"/>
  <c r="K82"/>
  <c r="D82"/>
  <c r="B82"/>
  <c r="D81"/>
  <c r="B81"/>
  <c r="D80"/>
  <c r="B80"/>
  <c r="D79"/>
  <c r="B79"/>
  <c r="D78"/>
  <c r="B78"/>
  <c r="D77"/>
  <c r="B77"/>
  <c r="D76"/>
  <c r="B76"/>
  <c r="D75"/>
  <c r="B75"/>
  <c r="N74"/>
  <c r="D74"/>
  <c r="B73"/>
  <c r="H73" s="1"/>
  <c r="N73" s="1"/>
  <c r="D72"/>
  <c r="B72"/>
  <c r="B71"/>
  <c r="B70"/>
  <c r="D69"/>
  <c r="B69"/>
  <c r="B68"/>
  <c r="B67"/>
  <c r="D66"/>
  <c r="B66"/>
  <c r="D65"/>
  <c r="B65"/>
  <c r="D64"/>
  <c r="B64"/>
  <c r="N63"/>
  <c r="D63"/>
  <c r="B62"/>
  <c r="B61"/>
  <c r="D60"/>
  <c r="B60"/>
  <c r="D59"/>
  <c r="B59"/>
  <c r="B58"/>
  <c r="B57"/>
  <c r="D56"/>
  <c r="B56"/>
  <c r="N55"/>
  <c r="D55"/>
  <c r="D54"/>
  <c r="D53"/>
  <c r="B53"/>
  <c r="D52"/>
  <c r="D50"/>
  <c r="D49"/>
  <c r="N48"/>
  <c r="D48"/>
  <c r="M90" i="174" s="1"/>
  <c r="D47" i="162"/>
  <c r="B47"/>
  <c r="D46"/>
  <c r="B46"/>
  <c r="D41"/>
  <c r="N40"/>
  <c r="D40"/>
  <c r="M89" i="174" s="1"/>
  <c r="D38" i="162"/>
  <c r="D37"/>
  <c r="D33"/>
  <c r="N32"/>
  <c r="E32"/>
  <c r="D32"/>
  <c r="M88" i="174" s="1"/>
  <c r="B88" s="1"/>
  <c r="N31" i="162"/>
  <c r="N11"/>
  <c r="H4"/>
  <c r="B2" i="179" s="1"/>
  <c r="D3" i="162"/>
  <c r="A1" i="179" s="1"/>
  <c r="C78" i="140"/>
  <c r="I78" s="1"/>
  <c r="L78" s="1"/>
  <c r="C77"/>
  <c r="I77" s="1"/>
  <c r="L77" s="1"/>
  <c r="I69"/>
  <c r="L69" s="1"/>
  <c r="L75" s="1"/>
  <c r="C66"/>
  <c r="I66" s="1"/>
  <c r="L66" s="1"/>
  <c r="N66" s="1"/>
  <c r="I65"/>
  <c r="I64"/>
  <c r="I61"/>
  <c r="L61" s="1"/>
  <c r="N61" s="1"/>
  <c r="L59"/>
  <c r="I59"/>
  <c r="I58"/>
  <c r="H58"/>
  <c r="H57"/>
  <c r="F57"/>
  <c r="F55"/>
  <c r="C55"/>
  <c r="L55" s="1"/>
  <c r="R55" s="1"/>
  <c r="C53"/>
  <c r="L53" s="1"/>
  <c r="P53" s="1"/>
  <c r="K51"/>
  <c r="C51"/>
  <c r="K49"/>
  <c r="C49"/>
  <c r="C46"/>
  <c r="C45"/>
  <c r="C44"/>
  <c r="C43"/>
  <c r="C42"/>
  <c r="C39"/>
  <c r="C38"/>
  <c r="C37"/>
  <c r="C36"/>
  <c r="D35"/>
  <c r="D36" s="1"/>
  <c r="D37" s="1"/>
  <c r="D38" s="1"/>
  <c r="D39" s="1"/>
  <c r="D42" s="1"/>
  <c r="D43" s="1"/>
  <c r="D44" s="1"/>
  <c r="D45" s="1"/>
  <c r="C35"/>
  <c r="I35" s="1"/>
  <c r="C31"/>
  <c r="C30"/>
  <c r="C29"/>
  <c r="C28"/>
  <c r="D27"/>
  <c r="D31" s="1"/>
  <c r="C27"/>
  <c r="C24"/>
  <c r="C23"/>
  <c r="C22"/>
  <c r="C20"/>
  <c r="C19"/>
  <c r="C18"/>
  <c r="C17"/>
  <c r="D16"/>
  <c r="D20" s="1"/>
  <c r="C16"/>
  <c r="S11"/>
  <c r="S10"/>
  <c r="S9"/>
  <c r="C8"/>
  <c r="S6"/>
  <c r="S5"/>
  <c r="S4"/>
  <c r="O2"/>
  <c r="A2"/>
  <c r="E3" i="139"/>
  <c r="E4" s="1"/>
  <c r="A2"/>
  <c r="C31" i="189"/>
  <c r="B31"/>
  <c r="C26"/>
  <c r="B26"/>
  <c r="C17"/>
  <c r="E13"/>
  <c r="E12"/>
  <c r="A11"/>
  <c r="A15" s="1"/>
  <c r="A9"/>
  <c r="E8"/>
  <c r="A8"/>
  <c r="A12" s="1"/>
  <c r="A13" s="1"/>
  <c r="A14" s="1"/>
  <c r="E7"/>
  <c r="A2"/>
  <c r="E97" i="164"/>
  <c r="B89"/>
  <c r="D30" i="162" s="1"/>
  <c r="B84" i="164"/>
  <c r="D29" i="162" s="1"/>
  <c r="I81" i="164"/>
  <c r="I82" s="1"/>
  <c r="B28" i="162" s="1"/>
  <c r="F81" i="174" s="1"/>
  <c r="M81" s="1"/>
  <c r="B80" i="164"/>
  <c r="D28" i="162" s="1"/>
  <c r="G77" i="164"/>
  <c r="F77"/>
  <c r="B76"/>
  <c r="D27" i="162" s="1"/>
  <c r="I73" i="164"/>
  <c r="I74" s="1"/>
  <c r="B26" i="162" s="1"/>
  <c r="F79" i="174" s="1"/>
  <c r="M79" s="1"/>
  <c r="B73" i="164"/>
  <c r="B81" s="1"/>
  <c r="B72"/>
  <c r="D26" i="162" s="1"/>
  <c r="I70" i="164"/>
  <c r="B25" i="162" s="1"/>
  <c r="F78" i="174" s="1"/>
  <c r="B68" i="164"/>
  <c r="D25" i="162" s="1"/>
  <c r="I66" i="164"/>
  <c r="B24" i="162" s="1"/>
  <c r="F77" i="174" s="1"/>
  <c r="M77" s="1"/>
  <c r="G65" i="164"/>
  <c r="G69" s="1"/>
  <c r="F65"/>
  <c r="F69" s="1"/>
  <c r="B65"/>
  <c r="B69" s="1"/>
  <c r="B64"/>
  <c r="D24" i="162" s="1"/>
  <c r="B59" i="164"/>
  <c r="D23" i="162" s="1"/>
  <c r="G56" i="164"/>
  <c r="C56"/>
  <c r="C61" s="1"/>
  <c r="C86" s="1"/>
  <c r="G55"/>
  <c r="G60" s="1"/>
  <c r="G85" s="1"/>
  <c r="C55"/>
  <c r="C60" s="1"/>
  <c r="C85" s="1"/>
  <c r="B54"/>
  <c r="D22" i="162" s="1"/>
  <c r="I49" i="164"/>
  <c r="B48"/>
  <c r="D21" i="162" s="1"/>
  <c r="I44" i="164"/>
  <c r="I46" s="1"/>
  <c r="B20" i="162" s="1"/>
  <c r="F73" i="174" s="1"/>
  <c r="M73" s="1"/>
  <c r="B43" i="164"/>
  <c r="D20" i="162" s="1"/>
  <c r="I40" i="164"/>
  <c r="I39"/>
  <c r="B38"/>
  <c r="D19" i="162" s="1"/>
  <c r="F35" i="164"/>
  <c r="B35"/>
  <c r="B56" s="1"/>
  <c r="B61" s="1"/>
  <c r="B86" s="1"/>
  <c r="B34"/>
  <c r="B50" s="1"/>
  <c r="B90" s="1"/>
  <c r="I33"/>
  <c r="B33"/>
  <c r="B49" s="1"/>
  <c r="B55" s="1"/>
  <c r="B60" s="1"/>
  <c r="B85" s="1"/>
  <c r="B32"/>
  <c r="D18" i="162" s="1"/>
  <c r="I27" i="164"/>
  <c r="B26"/>
  <c r="D17" i="162" s="1"/>
  <c r="I23" i="164"/>
  <c r="I24" s="1"/>
  <c r="B16" i="162" s="1"/>
  <c r="B22" i="164"/>
  <c r="D16" i="162" s="1"/>
  <c r="I19" i="164"/>
  <c r="I20" s="1"/>
  <c r="E9" i="190" s="1"/>
  <c r="G9" s="1"/>
  <c r="B18" i="164"/>
  <c r="D15" i="162" s="1"/>
  <c r="I16" i="164"/>
  <c r="B14" i="162" s="1"/>
  <c r="F67" i="174" s="1"/>
  <c r="M67" s="1"/>
  <c r="B14" i="164"/>
  <c r="D14" i="162" s="1"/>
  <c r="B13"/>
  <c r="F70" i="174" s="1"/>
  <c r="B11" i="164"/>
  <c r="B15" s="1"/>
  <c r="B10"/>
  <c r="D13" i="162" s="1"/>
  <c r="I6" i="164"/>
  <c r="B5"/>
  <c r="D12" i="162" s="1"/>
  <c r="C2" i="164"/>
  <c r="C38" i="133"/>
  <c r="B38"/>
  <c r="L86" i="185" s="1"/>
  <c r="C35" i="133"/>
  <c r="F86" i="185" s="1"/>
  <c r="B35" i="133"/>
  <c r="B86" i="185" s="1"/>
  <c r="K18" i="133"/>
  <c r="A13"/>
  <c r="A14" s="1"/>
  <c r="A15" s="1"/>
  <c r="A16" s="1"/>
  <c r="A17" s="1"/>
  <c r="I9"/>
  <c r="I8"/>
  <c r="B2"/>
  <c r="H30" i="128"/>
  <c r="H29"/>
  <c r="H28"/>
  <c r="H27"/>
  <c r="H26"/>
  <c r="C16"/>
  <c r="E36" i="197"/>
  <c r="G36" s="1"/>
  <c r="H20"/>
  <c r="G20"/>
  <c r="F20"/>
  <c r="E20"/>
  <c r="D20"/>
  <c r="C20"/>
  <c r="M7"/>
  <c r="G7"/>
  <c r="M6"/>
  <c r="G6"/>
  <c r="B4"/>
  <c r="C3" i="191"/>
  <c r="C2"/>
  <c r="F1"/>
  <c r="Q30" i="175"/>
  <c r="R30" s="1"/>
  <c r="R31" s="1"/>
  <c r="R35" s="1"/>
  <c r="R36" s="1"/>
  <c r="L10"/>
  <c r="L11" s="1"/>
  <c r="D20" i="191" s="1"/>
  <c r="L4" i="197" s="1"/>
  <c r="K10" i="175"/>
  <c r="K11" s="1"/>
  <c r="J10"/>
  <c r="J11" s="1"/>
  <c r="I10"/>
  <c r="I11" s="1"/>
  <c r="H10"/>
  <c r="H11" s="1"/>
  <c r="I30" i="185" s="1"/>
  <c r="G10" i="175"/>
  <c r="G11" s="1"/>
  <c r="D11" i="191" s="1"/>
  <c r="C4" i="197" s="1"/>
  <c r="F10" i="175"/>
  <c r="F11" s="1"/>
  <c r="E10"/>
  <c r="E11" s="1"/>
  <c r="D10"/>
  <c r="D11" s="1"/>
  <c r="D14" i="191" s="1"/>
  <c r="F4" i="197" s="1"/>
  <c r="C10" i="175"/>
  <c r="C11" s="1"/>
  <c r="B10"/>
  <c r="B11" s="1"/>
  <c r="M9"/>
  <c r="M8"/>
  <c r="M7"/>
  <c r="A3"/>
  <c r="A2" i="195"/>
  <c r="G42" i="201"/>
  <c r="G37"/>
  <c r="C4"/>
  <c r="L85" i="185"/>
  <c r="B85"/>
  <c r="O48"/>
  <c r="F48"/>
  <c r="R37"/>
  <c r="Q37"/>
  <c r="B37"/>
  <c r="R36"/>
  <c r="Q36"/>
  <c r="B36"/>
  <c r="E30"/>
  <c r="K22"/>
  <c r="O14"/>
  <c r="L14"/>
  <c r="J14"/>
  <c r="D3"/>
  <c r="C3"/>
  <c r="E2"/>
  <c r="E10" i="200"/>
  <c r="C178" i="174"/>
  <c r="N168"/>
  <c r="B158"/>
  <c r="B159" s="1"/>
  <c r="B160" s="1"/>
  <c r="B161" s="1"/>
  <c r="B162" s="1"/>
  <c r="B153"/>
  <c r="B154" s="1"/>
  <c r="B155" s="1"/>
  <c r="C149"/>
  <c r="I127"/>
  <c r="M125"/>
  <c r="M124"/>
  <c r="N123"/>
  <c r="I126" s="1"/>
  <c r="M123"/>
  <c r="N122"/>
  <c r="H125" s="1"/>
  <c r="M122"/>
  <c r="I125" s="1"/>
  <c r="L121"/>
  <c r="B121" s="1"/>
  <c r="N119"/>
  <c r="H115" s="1"/>
  <c r="H116" s="1"/>
  <c r="H117" s="1"/>
  <c r="E117"/>
  <c r="E116"/>
  <c r="N115"/>
  <c r="H122" s="1"/>
  <c r="M115"/>
  <c r="I122" s="1"/>
  <c r="I115"/>
  <c r="E115"/>
  <c r="B115"/>
  <c r="N114"/>
  <c r="H120" s="1"/>
  <c r="M114"/>
  <c r="I120" s="1"/>
  <c r="E114"/>
  <c r="N113"/>
  <c r="H124" s="1"/>
  <c r="M113"/>
  <c r="I124" s="1"/>
  <c r="E113"/>
  <c r="N112"/>
  <c r="H123" s="1"/>
  <c r="M112"/>
  <c r="I123" s="1"/>
  <c r="H106"/>
  <c r="H105"/>
  <c r="E105"/>
  <c r="P103"/>
  <c r="O103"/>
  <c r="S102"/>
  <c r="S101"/>
  <c r="S99"/>
  <c r="B99"/>
  <c r="B98"/>
  <c r="B97"/>
  <c r="B96"/>
  <c r="B95"/>
  <c r="A95"/>
  <c r="A96" s="1"/>
  <c r="A97" s="1"/>
  <c r="A98" s="1"/>
  <c r="A99" s="1"/>
  <c r="A100" s="1"/>
  <c r="A101" s="1"/>
  <c r="A102" s="1"/>
  <c r="E91"/>
  <c r="N90"/>
  <c r="N89"/>
  <c r="N88"/>
  <c r="E88" s="1"/>
  <c r="F88"/>
  <c r="M84"/>
  <c r="L84" s="1"/>
  <c r="K84" s="1"/>
  <c r="E83"/>
  <c r="E82"/>
  <c r="H62"/>
  <c r="G62"/>
  <c r="F62"/>
  <c r="H61"/>
  <c r="G61"/>
  <c r="F61"/>
  <c r="K56"/>
  <c r="U36"/>
  <c r="L35"/>
  <c r="H35"/>
  <c r="E35"/>
  <c r="B62" s="1"/>
  <c r="B35"/>
  <c r="I35" s="1"/>
  <c r="H34"/>
  <c r="E34"/>
  <c r="B61" s="1"/>
  <c r="B34"/>
  <c r="I34" s="1"/>
  <c r="N32"/>
  <c r="D61" s="1"/>
  <c r="A32"/>
  <c r="A31"/>
  <c r="A30"/>
  <c r="A29"/>
  <c r="A28"/>
  <c r="A27"/>
  <c r="A26"/>
  <c r="A25"/>
  <c r="J22"/>
  <c r="I22"/>
  <c r="H22"/>
  <c r="F22"/>
  <c r="C22"/>
  <c r="J21"/>
  <c r="I21"/>
  <c r="H21"/>
  <c r="F21"/>
  <c r="C21"/>
  <c r="O15"/>
  <c r="N15"/>
  <c r="O14"/>
  <c r="N14"/>
  <c r="L11"/>
  <c r="F10"/>
  <c r="L8"/>
  <c r="F11" s="1"/>
  <c r="N7"/>
  <c r="L130" s="1"/>
  <c r="L7"/>
  <c r="L5"/>
  <c r="F12" s="1"/>
  <c r="Q4"/>
  <c r="L3"/>
  <c r="F13" s="1"/>
  <c r="L1"/>
  <c r="B129" s="1"/>
  <c r="L23" i="198"/>
  <c r="M22"/>
  <c r="C17"/>
  <c r="H27" i="107"/>
  <c r="B39" i="7" s="1"/>
  <c r="H26" i="107"/>
  <c r="B38" i="7" s="1"/>
  <c r="H25" i="107"/>
  <c r="B37" i="7" s="1"/>
  <c r="H24" i="107"/>
  <c r="B36" i="7" s="1"/>
  <c r="D21" i="107"/>
  <c r="M117" i="174" s="1"/>
  <c r="M118" s="1"/>
  <c r="I119" s="1"/>
  <c r="N121"/>
  <c r="H121" s="1"/>
  <c r="D12" i="107"/>
  <c r="M121" i="174" s="1"/>
  <c r="I121" s="1"/>
  <c r="J6" i="107"/>
  <c r="E13" i="200" s="1"/>
  <c r="J4" i="107"/>
  <c r="L4" i="182" s="1"/>
  <c r="H20" i="179"/>
  <c r="F7"/>
  <c r="E7"/>
  <c r="C1476" i="127"/>
  <c r="B1476"/>
  <c r="H1471"/>
  <c r="J1471" s="1"/>
  <c r="H1470"/>
  <c r="J1470" s="1"/>
  <c r="H1467"/>
  <c r="J1467" s="1"/>
  <c r="B1460"/>
  <c r="H1459"/>
  <c r="J1459" s="1"/>
  <c r="H1458"/>
  <c r="J1458" s="1"/>
  <c r="H1457"/>
  <c r="J1457" s="1"/>
  <c r="C1445"/>
  <c r="B1445"/>
  <c r="B1436"/>
  <c r="H1435"/>
  <c r="J1435" s="1"/>
  <c r="H1434"/>
  <c r="J1434" s="1"/>
  <c r="H1433"/>
  <c r="J1433" s="1"/>
  <c r="D1427"/>
  <c r="D1428" s="1"/>
  <c r="D1426"/>
  <c r="H1419"/>
  <c r="J1419" s="1"/>
  <c r="B1415"/>
  <c r="H1414"/>
  <c r="J1414" s="1"/>
  <c r="H1415" s="1"/>
  <c r="H1413"/>
  <c r="J1413" s="1"/>
  <c r="H1412"/>
  <c r="J1412" s="1"/>
  <c r="C1400"/>
  <c r="H1395"/>
  <c r="J1395" s="1"/>
  <c r="J1394"/>
  <c r="H1393"/>
  <c r="J1393" s="1"/>
  <c r="H1392"/>
  <c r="J1392" s="1"/>
  <c r="H1391"/>
  <c r="J1391" s="1"/>
  <c r="H1390"/>
  <c r="J1390" s="1"/>
  <c r="H1387"/>
  <c r="J1387" s="1"/>
  <c r="B1381"/>
  <c r="H1380"/>
  <c r="J1380" s="1"/>
  <c r="J1379"/>
  <c r="H1378"/>
  <c r="J1378" s="1"/>
  <c r="C1367"/>
  <c r="B1367"/>
  <c r="J1364"/>
  <c r="J1365" s="1"/>
  <c r="B1361"/>
  <c r="H1360"/>
  <c r="J1360" s="1"/>
  <c r="H1359"/>
  <c r="J1359" s="1"/>
  <c r="H1358"/>
  <c r="J1358" s="1"/>
  <c r="C1346"/>
  <c r="B1346"/>
  <c r="H1341"/>
  <c r="J1341" s="1"/>
  <c r="H1339"/>
  <c r="J1339" s="1"/>
  <c r="H1338"/>
  <c r="J1338" s="1"/>
  <c r="H1337"/>
  <c r="J1337" s="1"/>
  <c r="H1336"/>
  <c r="J1336" s="1"/>
  <c r="H1333"/>
  <c r="J1333" s="1"/>
  <c r="B1327"/>
  <c r="H1326"/>
  <c r="J1326" s="1"/>
  <c r="H1325"/>
  <c r="J1325" s="1"/>
  <c r="H1324"/>
  <c r="J1324" s="1"/>
  <c r="C1312"/>
  <c r="B1312"/>
  <c r="H1307"/>
  <c r="J1307" s="1"/>
  <c r="J1305"/>
  <c r="H1305"/>
  <c r="H1304"/>
  <c r="J1304" s="1"/>
  <c r="H1303"/>
  <c r="J1303" s="1"/>
  <c r="H1302"/>
  <c r="J1302" s="1"/>
  <c r="H1299"/>
  <c r="J1299" s="1"/>
  <c r="B1293"/>
  <c r="H1292"/>
  <c r="J1292" s="1"/>
  <c r="H1291"/>
  <c r="J1291" s="1"/>
  <c r="H1290"/>
  <c r="J1290" s="1"/>
  <c r="C1278"/>
  <c r="B1278"/>
  <c r="H1273"/>
  <c r="J1273" s="1"/>
  <c r="H1271"/>
  <c r="J1271" s="1"/>
  <c r="H1270"/>
  <c r="J1270" s="1"/>
  <c r="H1269"/>
  <c r="J1269" s="1"/>
  <c r="H1268"/>
  <c r="J1268" s="1"/>
  <c r="H1265"/>
  <c r="J1265" s="1"/>
  <c r="B1259"/>
  <c r="H1258"/>
  <c r="J1258" s="1"/>
  <c r="J1257"/>
  <c r="H1257"/>
  <c r="H1256"/>
  <c r="J1256" s="1"/>
  <c r="C1241"/>
  <c r="B1241"/>
  <c r="J1237"/>
  <c r="B1234"/>
  <c r="H1233"/>
  <c r="J1233" s="1"/>
  <c r="J1232"/>
  <c r="H1232"/>
  <c r="C1219"/>
  <c r="B1219"/>
  <c r="J1216"/>
  <c r="H1216"/>
  <c r="H1215"/>
  <c r="J1215" s="1"/>
  <c r="J1217" s="1"/>
  <c r="B1208"/>
  <c r="H1207"/>
  <c r="J1207" s="1"/>
  <c r="H1206"/>
  <c r="J1206" s="1"/>
  <c r="H1205"/>
  <c r="J1205" s="1"/>
  <c r="C1192"/>
  <c r="B1192"/>
  <c r="H1187"/>
  <c r="J1187" s="1"/>
  <c r="H1186"/>
  <c r="J1186" s="1"/>
  <c r="H1183"/>
  <c r="J1183" s="1"/>
  <c r="B1177"/>
  <c r="H1176"/>
  <c r="J1176" s="1"/>
  <c r="H1175"/>
  <c r="J1175" s="1"/>
  <c r="H1174"/>
  <c r="J1174" s="1"/>
  <c r="B1161"/>
  <c r="H1156"/>
  <c r="J1156" s="1"/>
  <c r="H1155"/>
  <c r="J1155" s="1"/>
  <c r="H1152"/>
  <c r="J1152" s="1"/>
  <c r="B1146"/>
  <c r="H1145"/>
  <c r="J1145" s="1"/>
  <c r="H1144"/>
  <c r="J1144" s="1"/>
  <c r="H1143"/>
  <c r="J1143" s="1"/>
  <c r="C1129"/>
  <c r="B1129"/>
  <c r="J1126"/>
  <c r="J1127" s="1"/>
  <c r="B1123"/>
  <c r="H1122"/>
  <c r="J1122" s="1"/>
  <c r="H1121"/>
  <c r="J1121" s="1"/>
  <c r="H1120"/>
  <c r="J1120" s="1"/>
  <c r="C1108"/>
  <c r="B1108"/>
  <c r="H1105"/>
  <c r="J1105" s="1"/>
  <c r="H1104"/>
  <c r="J1104" s="1"/>
  <c r="H1103"/>
  <c r="J1103" s="1"/>
  <c r="H1100"/>
  <c r="J1100" s="1"/>
  <c r="B1095"/>
  <c r="H1094"/>
  <c r="J1094" s="1"/>
  <c r="H1093"/>
  <c r="J1093" s="1"/>
  <c r="H1092"/>
  <c r="J1092" s="1"/>
  <c r="C1077"/>
  <c r="B1077"/>
  <c r="H1072"/>
  <c r="J1072" s="1"/>
  <c r="J1071"/>
  <c r="H1070"/>
  <c r="J1070" s="1"/>
  <c r="H1069"/>
  <c r="J1069" s="1"/>
  <c r="H1068"/>
  <c r="J1068" s="1"/>
  <c r="H1067"/>
  <c r="J1067" s="1"/>
  <c r="H1064"/>
  <c r="J1064" s="1"/>
  <c r="B1058"/>
  <c r="H1057"/>
  <c r="J1057" s="1"/>
  <c r="J1056"/>
  <c r="H1055"/>
  <c r="J1055" s="1"/>
  <c r="D1027"/>
  <c r="B1027"/>
  <c r="B1021"/>
  <c r="H1020"/>
  <c r="J1020" s="1"/>
  <c r="H1019"/>
  <c r="J1019" s="1"/>
  <c r="H1018"/>
  <c r="J1018" s="1"/>
  <c r="D1007"/>
  <c r="D1008" s="1"/>
  <c r="D1006"/>
  <c r="J999"/>
  <c r="B995"/>
  <c r="J995" s="1"/>
  <c r="H994"/>
  <c r="J994" s="1"/>
  <c r="H993"/>
  <c r="J993" s="1"/>
  <c r="B982"/>
  <c r="H977"/>
  <c r="J977" s="1"/>
  <c r="J976"/>
  <c r="H975"/>
  <c r="J975" s="1"/>
  <c r="H974"/>
  <c r="J974" s="1"/>
  <c r="H973"/>
  <c r="J973" s="1"/>
  <c r="H972"/>
  <c r="J972" s="1"/>
  <c r="J968"/>
  <c r="H967"/>
  <c r="J967" s="1"/>
  <c r="B961"/>
  <c r="H960"/>
  <c r="J960" s="1"/>
  <c r="H959"/>
  <c r="J959" s="1"/>
  <c r="H958"/>
  <c r="J958" s="1"/>
  <c r="D944"/>
  <c r="D945" s="1"/>
  <c r="D943"/>
  <c r="B941"/>
  <c r="J941" s="1"/>
  <c r="D936"/>
  <c r="B936"/>
  <c r="B932"/>
  <c r="H930"/>
  <c r="J930" s="1"/>
  <c r="J929"/>
  <c r="H928"/>
  <c r="J928" s="1"/>
  <c r="J923"/>
  <c r="J922"/>
  <c r="J921"/>
  <c r="B915"/>
  <c r="H914"/>
  <c r="J914" s="1"/>
  <c r="H913"/>
  <c r="J913" s="1"/>
  <c r="K908"/>
  <c r="K907"/>
  <c r="H907"/>
  <c r="J907" s="1"/>
  <c r="D893"/>
  <c r="B893"/>
  <c r="H888"/>
  <c r="J888" s="1"/>
  <c r="H887"/>
  <c r="J887" s="1"/>
  <c r="H884"/>
  <c r="J884" s="1"/>
  <c r="B877"/>
  <c r="H876"/>
  <c r="J876" s="1"/>
  <c r="H875"/>
  <c r="J875" s="1"/>
  <c r="H874"/>
  <c r="J874" s="1"/>
  <c r="D863"/>
  <c r="B863"/>
  <c r="H858"/>
  <c r="J858" s="1"/>
  <c r="H857"/>
  <c r="J857" s="1"/>
  <c r="H854"/>
  <c r="J854" s="1"/>
  <c r="B847"/>
  <c r="H846"/>
  <c r="J846" s="1"/>
  <c r="H845"/>
  <c r="J845" s="1"/>
  <c r="H844"/>
  <c r="J844" s="1"/>
  <c r="D838"/>
  <c r="D839" s="1"/>
  <c r="D837"/>
  <c r="D833"/>
  <c r="B833"/>
  <c r="J829"/>
  <c r="J828"/>
  <c r="J827"/>
  <c r="B826"/>
  <c r="J826" s="1"/>
  <c r="B823"/>
  <c r="H822"/>
  <c r="J822" s="1"/>
  <c r="H821"/>
  <c r="J821" s="1"/>
  <c r="H820"/>
  <c r="J820" s="1"/>
  <c r="H819"/>
  <c r="J819" s="1"/>
  <c r="H817"/>
  <c r="J817" s="1"/>
  <c r="H816"/>
  <c r="J816" s="1"/>
  <c r="H815"/>
  <c r="J815" s="1"/>
  <c r="H814"/>
  <c r="J814" s="1"/>
  <c r="C802"/>
  <c r="B802"/>
  <c r="H797"/>
  <c r="J797" s="1"/>
  <c r="H796"/>
  <c r="J796" s="1"/>
  <c r="H795"/>
  <c r="J795" s="1"/>
  <c r="H792"/>
  <c r="J792" s="1"/>
  <c r="B788"/>
  <c r="H787"/>
  <c r="J787" s="1"/>
  <c r="H786"/>
  <c r="J786" s="1"/>
  <c r="H785"/>
  <c r="J785" s="1"/>
  <c r="C777"/>
  <c r="H772"/>
  <c r="J772" s="1"/>
  <c r="H771"/>
  <c r="J771" s="1"/>
  <c r="H770"/>
  <c r="J770" s="1"/>
  <c r="H767"/>
  <c r="J767" s="1"/>
  <c r="B761"/>
  <c r="H760"/>
  <c r="J760" s="1"/>
  <c r="H759"/>
  <c r="J759" s="1"/>
  <c r="H758"/>
  <c r="J758" s="1"/>
  <c r="B746"/>
  <c r="H741"/>
  <c r="J741" s="1"/>
  <c r="H740"/>
  <c r="J740" s="1"/>
  <c r="J737"/>
  <c r="H732"/>
  <c r="J732" s="1"/>
  <c r="H731"/>
  <c r="J731" s="1"/>
  <c r="H730"/>
  <c r="J730" s="1"/>
  <c r="C719"/>
  <c r="B719"/>
  <c r="H716"/>
  <c r="J716" s="1"/>
  <c r="H715"/>
  <c r="J715" s="1"/>
  <c r="H714"/>
  <c r="J714" s="1"/>
  <c r="H713"/>
  <c r="J713" s="1"/>
  <c r="H711"/>
  <c r="J711" s="1"/>
  <c r="J710"/>
  <c r="O708"/>
  <c r="B707"/>
  <c r="H706"/>
  <c r="J706" s="1"/>
  <c r="H705"/>
  <c r="J705" s="1"/>
  <c r="D695"/>
  <c r="D696" s="1"/>
  <c r="D694"/>
  <c r="B690"/>
  <c r="H687"/>
  <c r="J687" s="1"/>
  <c r="B683"/>
  <c r="H682"/>
  <c r="J682" s="1"/>
  <c r="H683" s="1"/>
  <c r="H681"/>
  <c r="J681" s="1"/>
  <c r="H680"/>
  <c r="J680" s="1"/>
  <c r="D673"/>
  <c r="D674" s="1"/>
  <c r="D672"/>
  <c r="B668"/>
  <c r="H665"/>
  <c r="J665" s="1"/>
  <c r="B661"/>
  <c r="H660"/>
  <c r="J660" s="1"/>
  <c r="H661" s="1"/>
  <c r="H659"/>
  <c r="J659" s="1"/>
  <c r="H658"/>
  <c r="J658" s="1"/>
  <c r="D651"/>
  <c r="D652" s="1"/>
  <c r="D650"/>
  <c r="B646"/>
  <c r="H643"/>
  <c r="J643" s="1"/>
  <c r="B639"/>
  <c r="H638"/>
  <c r="J638" s="1"/>
  <c r="H639" s="1"/>
  <c r="H637"/>
  <c r="J637" s="1"/>
  <c r="H636"/>
  <c r="J636" s="1"/>
  <c r="C623"/>
  <c r="B623"/>
  <c r="H618"/>
  <c r="J618" s="1"/>
  <c r="J617"/>
  <c r="H616"/>
  <c r="J616" s="1"/>
  <c r="H615"/>
  <c r="J615" s="1"/>
  <c r="H614"/>
  <c r="J614" s="1"/>
  <c r="H613"/>
  <c r="J613" s="1"/>
  <c r="H610"/>
  <c r="J610" s="1"/>
  <c r="B604"/>
  <c r="H603"/>
  <c r="J603" s="1"/>
  <c r="H602"/>
  <c r="J602" s="1"/>
  <c r="H601"/>
  <c r="J601" s="1"/>
  <c r="C590"/>
  <c r="B590"/>
  <c r="H585"/>
  <c r="J585" s="1"/>
  <c r="J584"/>
  <c r="H583"/>
  <c r="J583" s="1"/>
  <c r="H582"/>
  <c r="J582" s="1"/>
  <c r="H581"/>
  <c r="J581" s="1"/>
  <c r="H580"/>
  <c r="J580" s="1"/>
  <c r="H577"/>
  <c r="J577" s="1"/>
  <c r="B571"/>
  <c r="H570"/>
  <c r="J570" s="1"/>
  <c r="H569"/>
  <c r="J569" s="1"/>
  <c r="H568"/>
  <c r="J568" s="1"/>
  <c r="C557"/>
  <c r="B557"/>
  <c r="H552"/>
  <c r="J552" s="1"/>
  <c r="J551"/>
  <c r="H550"/>
  <c r="J550" s="1"/>
  <c r="H549"/>
  <c r="J549" s="1"/>
  <c r="H548"/>
  <c r="J548" s="1"/>
  <c r="H547"/>
  <c r="J547" s="1"/>
  <c r="H544"/>
  <c r="J544" s="1"/>
  <c r="B538"/>
  <c r="H537"/>
  <c r="J537" s="1"/>
  <c r="H536"/>
  <c r="J536" s="1"/>
  <c r="H535"/>
  <c r="J535" s="1"/>
  <c r="C520"/>
  <c r="C503"/>
  <c r="H498"/>
  <c r="J498" s="1"/>
  <c r="H497"/>
  <c r="J497" s="1"/>
  <c r="H494"/>
  <c r="J494" s="1"/>
  <c r="B488"/>
  <c r="H486"/>
  <c r="J486" s="1"/>
  <c r="H485"/>
  <c r="J485" s="1"/>
  <c r="H484"/>
  <c r="J484" s="1"/>
  <c r="C473"/>
  <c r="B473"/>
  <c r="H468"/>
  <c r="J468" s="1"/>
  <c r="H467"/>
  <c r="J467" s="1"/>
  <c r="H464"/>
  <c r="J464" s="1"/>
  <c r="B458"/>
  <c r="H457"/>
  <c r="J457" s="1"/>
  <c r="H456"/>
  <c r="J456" s="1"/>
  <c r="H455"/>
  <c r="J455" s="1"/>
  <c r="D444"/>
  <c r="B444"/>
  <c r="H439"/>
  <c r="J439" s="1"/>
  <c r="H438"/>
  <c r="J438" s="1"/>
  <c r="H435"/>
  <c r="J435" s="1"/>
  <c r="B428"/>
  <c r="H427"/>
  <c r="J427" s="1"/>
  <c r="H426"/>
  <c r="J426" s="1"/>
  <c r="H425"/>
  <c r="J425" s="1"/>
  <c r="D414"/>
  <c r="B414"/>
  <c r="H409"/>
  <c r="J409" s="1"/>
  <c r="H408"/>
  <c r="J408" s="1"/>
  <c r="H405"/>
  <c r="J405" s="1"/>
  <c r="B398"/>
  <c r="H397"/>
  <c r="J397" s="1"/>
  <c r="H396"/>
  <c r="J396" s="1"/>
  <c r="H395"/>
  <c r="J395" s="1"/>
  <c r="C384"/>
  <c r="B384"/>
  <c r="H379"/>
  <c r="J379" s="1"/>
  <c r="H378"/>
  <c r="J378" s="1"/>
  <c r="H375"/>
  <c r="J375" s="1"/>
  <c r="B368"/>
  <c r="H367"/>
  <c r="J367" s="1"/>
  <c r="H366"/>
  <c r="J366" s="1"/>
  <c r="H365"/>
  <c r="J365" s="1"/>
  <c r="C354"/>
  <c r="B354"/>
  <c r="H349"/>
  <c r="J349" s="1"/>
  <c r="H348"/>
  <c r="J348" s="1"/>
  <c r="H345"/>
  <c r="J345" s="1"/>
  <c r="B338"/>
  <c r="H337"/>
  <c r="J337" s="1"/>
  <c r="H336"/>
  <c r="J336" s="1"/>
  <c r="H335"/>
  <c r="J335" s="1"/>
  <c r="C323"/>
  <c r="B323"/>
  <c r="H320"/>
  <c r="J320" s="1"/>
  <c r="J321" s="1"/>
  <c r="B313"/>
  <c r="H312"/>
  <c r="J312" s="1"/>
  <c r="H311"/>
  <c r="J311" s="1"/>
  <c r="H310"/>
  <c r="J310" s="1"/>
  <c r="C298"/>
  <c r="B298"/>
  <c r="H295"/>
  <c r="J295" s="1"/>
  <c r="H294"/>
  <c r="J294" s="1"/>
  <c r="B287"/>
  <c r="H286"/>
  <c r="J286" s="1"/>
  <c r="H285"/>
  <c r="J285" s="1"/>
  <c r="C272"/>
  <c r="B272"/>
  <c r="J269"/>
  <c r="J270" s="1"/>
  <c r="B265"/>
  <c r="H264"/>
  <c r="J264" s="1"/>
  <c r="H263"/>
  <c r="J263" s="1"/>
  <c r="H262"/>
  <c r="J262" s="1"/>
  <c r="B258"/>
  <c r="C250"/>
  <c r="B250"/>
  <c r="B243"/>
  <c r="H242"/>
  <c r="J242" s="1"/>
  <c r="H241"/>
  <c r="J241" s="1"/>
  <c r="H240"/>
  <c r="J240" s="1"/>
  <c r="C230"/>
  <c r="B230"/>
  <c r="B222"/>
  <c r="H221"/>
  <c r="J221" s="1"/>
  <c r="H220"/>
  <c r="J220" s="1"/>
  <c r="H219"/>
  <c r="J219" s="1"/>
  <c r="C207"/>
  <c r="B207"/>
  <c r="B200"/>
  <c r="H199"/>
  <c r="J199" s="1"/>
  <c r="H198"/>
  <c r="J198" s="1"/>
  <c r="H197"/>
  <c r="J197" s="1"/>
  <c r="D185"/>
  <c r="B185"/>
  <c r="B179"/>
  <c r="H178"/>
  <c r="J178" s="1"/>
  <c r="H177"/>
  <c r="J177" s="1"/>
  <c r="H176"/>
  <c r="J176" s="1"/>
  <c r="B162"/>
  <c r="H157"/>
  <c r="J157" s="1"/>
  <c r="H156"/>
  <c r="J156" s="1"/>
  <c r="H155"/>
  <c r="J155" s="1"/>
  <c r="H152"/>
  <c r="J152" s="1"/>
  <c r="B147"/>
  <c r="H146"/>
  <c r="J146" s="1"/>
  <c r="H145"/>
  <c r="J145" s="1"/>
  <c r="H144"/>
  <c r="J144" s="1"/>
  <c r="D133"/>
  <c r="B133"/>
  <c r="H128"/>
  <c r="J128" s="1"/>
  <c r="H127"/>
  <c r="J127" s="1"/>
  <c r="H124"/>
  <c r="J124" s="1"/>
  <c r="B117"/>
  <c r="H116"/>
  <c r="J116" s="1"/>
  <c r="H115"/>
  <c r="J115" s="1"/>
  <c r="H114"/>
  <c r="J114" s="1"/>
  <c r="C102"/>
  <c r="B102"/>
  <c r="H99"/>
  <c r="J99" s="1"/>
  <c r="H98"/>
  <c r="J98" s="1"/>
  <c r="B91"/>
  <c r="H90"/>
  <c r="J90" s="1"/>
  <c r="H89"/>
  <c r="J89" s="1"/>
  <c r="B77"/>
  <c r="H72"/>
  <c r="J72" s="1"/>
  <c r="H71"/>
  <c r="J71" s="1"/>
  <c r="H70"/>
  <c r="J70" s="1"/>
  <c r="H67"/>
  <c r="J67" s="1"/>
  <c r="B60"/>
  <c r="H59"/>
  <c r="J59" s="1"/>
  <c r="H58"/>
  <c r="J58" s="1"/>
  <c r="H57"/>
  <c r="J57" s="1"/>
  <c r="C43"/>
  <c r="B43"/>
  <c r="J40"/>
  <c r="H39"/>
  <c r="J39" s="1"/>
  <c r="B36"/>
  <c r="H35"/>
  <c r="J35" s="1"/>
  <c r="H34"/>
  <c r="J34" s="1"/>
  <c r="D28"/>
  <c r="D29" s="1"/>
  <c r="D27"/>
  <c r="D23"/>
  <c r="B23"/>
  <c r="H19"/>
  <c r="J19" s="1"/>
  <c r="H18"/>
  <c r="J18" s="1"/>
  <c r="B14"/>
  <c r="H13"/>
  <c r="J13" s="1"/>
  <c r="H12"/>
  <c r="J12" s="1"/>
  <c r="H11"/>
  <c r="J11" s="1"/>
  <c r="D2"/>
  <c r="D31" i="7" l="1"/>
  <c r="E31" s="1"/>
  <c r="J30"/>
  <c r="N55" i="140"/>
  <c r="D45" i="162"/>
  <c r="I17" i="168"/>
  <c r="E122" i="190" s="1"/>
  <c r="G122" s="1"/>
  <c r="I62" i="168"/>
  <c r="B39" i="162"/>
  <c r="E34" i="7"/>
  <c r="J34" s="1"/>
  <c r="E390" i="94" s="1"/>
  <c r="G390" s="1"/>
  <c r="E35" i="7"/>
  <c r="J35" s="1"/>
  <c r="E166" i="113" s="1"/>
  <c r="G166" s="1"/>
  <c r="G167" s="1"/>
  <c r="H998" i="127"/>
  <c r="J998" s="1"/>
  <c r="J1000" s="1"/>
  <c r="E90" i="141"/>
  <c r="G90" s="1"/>
  <c r="G93" s="1"/>
  <c r="G439" i="94"/>
  <c r="G440" s="1"/>
  <c r="E733"/>
  <c r="G733" s="1"/>
  <c r="E818"/>
  <c r="G818" s="1"/>
  <c r="E62" i="141"/>
  <c r="G62" s="1"/>
  <c r="G65" s="1"/>
  <c r="G13"/>
  <c r="G40"/>
  <c r="E41" s="1"/>
  <c r="G41" s="1"/>
  <c r="J661" i="127"/>
  <c r="J662" s="1"/>
  <c r="D42" i="162"/>
  <c r="I95" i="187"/>
  <c r="I23" i="170"/>
  <c r="G143" i="94"/>
  <c r="G144" s="1"/>
  <c r="G167"/>
  <c r="G868"/>
  <c r="J830" i="127"/>
  <c r="D62" i="162"/>
  <c r="A11" i="190"/>
  <c r="A13" s="1"/>
  <c r="A14" s="1"/>
  <c r="A15" s="1"/>
  <c r="A16" s="1"/>
  <c r="A17" s="1"/>
  <c r="J32" i="7"/>
  <c r="E64" i="113" s="1"/>
  <c r="G64" s="1"/>
  <c r="G463" i="94"/>
  <c r="G464" s="1"/>
  <c r="H138" i="150"/>
  <c r="E240" i="113"/>
  <c r="H1361" i="127"/>
  <c r="J1361" s="1"/>
  <c r="J1362" s="1"/>
  <c r="H1367" s="1"/>
  <c r="J1367" s="1"/>
  <c r="J1368" s="1"/>
  <c r="J1472"/>
  <c r="O3" i="185"/>
  <c r="S36"/>
  <c r="G262" i="202"/>
  <c r="E263" s="1"/>
  <c r="G263" s="1"/>
  <c r="F22" i="199"/>
  <c r="I18" i="167"/>
  <c r="I65" i="186"/>
  <c r="I95"/>
  <c r="I51" i="168"/>
  <c r="E131" i="190"/>
  <c r="G131" s="1"/>
  <c r="D41" i="7"/>
  <c r="D42" s="1"/>
  <c r="G238" i="94"/>
  <c r="G239" s="1"/>
  <c r="G617"/>
  <c r="H152" i="150"/>
  <c r="H368" i="127"/>
  <c r="J368" s="1"/>
  <c r="H538"/>
  <c r="J538" s="1"/>
  <c r="J539" s="1"/>
  <c r="J639"/>
  <c r="J640" s="1"/>
  <c r="J683"/>
  <c r="J684" s="1"/>
  <c r="H1146"/>
  <c r="N4" i="174"/>
  <c r="I114"/>
  <c r="R14" i="185"/>
  <c r="G30" i="202"/>
  <c r="I12" i="199"/>
  <c r="I14" s="1"/>
  <c r="I46" i="187"/>
  <c r="E136" i="190"/>
  <c r="G136" s="1"/>
  <c r="G14"/>
  <c r="G23" i="132"/>
  <c r="B49" i="182"/>
  <c r="I87" i="167"/>
  <c r="J619" i="94"/>
  <c r="G95" i="182"/>
  <c r="E86" i="94"/>
  <c r="G86" s="1"/>
  <c r="G61" i="164"/>
  <c r="G86" s="1"/>
  <c r="I77"/>
  <c r="I78" s="1"/>
  <c r="B27" i="162" s="1"/>
  <c r="F80" i="174" s="1"/>
  <c r="M80" s="1"/>
  <c r="E85"/>
  <c r="H107"/>
  <c r="S103"/>
  <c r="O16"/>
  <c r="N77" i="140"/>
  <c r="R77"/>
  <c r="B40" i="86"/>
  <c r="B41" s="1"/>
  <c r="B42" s="1"/>
  <c r="B43" s="1"/>
  <c r="B44" s="1"/>
  <c r="B45" s="1"/>
  <c r="B46" s="1"/>
  <c r="B47" s="1"/>
  <c r="B48" s="1"/>
  <c r="B49" s="1"/>
  <c r="B50" s="1"/>
  <c r="B51" s="1"/>
  <c r="B52" s="1"/>
  <c r="B53" s="1"/>
  <c r="B54" s="1"/>
  <c r="B55" s="1"/>
  <c r="B56" s="1"/>
  <c r="B57" s="1"/>
  <c r="B58" s="1"/>
  <c r="B59" s="1"/>
  <c r="B60" s="1"/>
  <c r="B61" s="1"/>
  <c r="B62" s="1"/>
  <c r="B63" s="1"/>
  <c r="B64" s="1"/>
  <c r="B65" s="1"/>
  <c r="B66" s="1"/>
  <c r="B67" s="1"/>
  <c r="B68" s="1"/>
  <c r="B69" s="1"/>
  <c r="B70" s="1"/>
  <c r="B71" s="1"/>
  <c r="B72" s="1"/>
  <c r="B73" s="1"/>
  <c r="B74" s="1"/>
  <c r="B75" s="1"/>
  <c r="B76" s="1"/>
  <c r="B77" s="1"/>
  <c r="B78" s="1"/>
  <c r="B79" s="1"/>
  <c r="B80" s="1"/>
  <c r="B81" s="1"/>
  <c r="B82" s="1"/>
  <c r="B83" s="1"/>
  <c r="B84" s="1"/>
  <c r="B85" s="1"/>
  <c r="B86" s="1"/>
  <c r="B87" s="1"/>
  <c r="B88" s="1"/>
  <c r="B89" s="1"/>
  <c r="B90" s="1"/>
  <c r="B91" s="1"/>
  <c r="B92" s="1"/>
  <c r="B93" s="1"/>
  <c r="B94" s="1"/>
  <c r="B95" s="1"/>
  <c r="B96" s="1"/>
  <c r="B97" s="1"/>
  <c r="B98" s="1"/>
  <c r="B99" s="1"/>
  <c r="B100" s="1"/>
  <c r="B101" s="1"/>
  <c r="B102" s="1"/>
  <c r="B103" s="1"/>
  <c r="B104" s="1"/>
  <c r="B105" s="1"/>
  <c r="B106" s="1"/>
  <c r="B107" s="1"/>
  <c r="B108" s="1"/>
  <c r="B109" s="1"/>
  <c r="B110" s="1"/>
  <c r="B111" s="1"/>
  <c r="B112" s="1"/>
  <c r="B113" s="1"/>
  <c r="B114" s="1"/>
  <c r="B115" s="1"/>
  <c r="B116" s="1"/>
  <c r="B117" s="1"/>
  <c r="B118" s="1"/>
  <c r="B119" s="1"/>
  <c r="B120" s="1"/>
  <c r="B121" s="1"/>
  <c r="B122" s="1"/>
  <c r="B123" s="1"/>
  <c r="B124" s="1"/>
  <c r="B125" s="1"/>
  <c r="B126" s="1"/>
  <c r="B127" s="1"/>
  <c r="B128" s="1"/>
  <c r="B129" s="1"/>
  <c r="B130" s="1"/>
  <c r="B131" s="1"/>
  <c r="B132" s="1"/>
  <c r="B133" s="1"/>
  <c r="B134" s="1"/>
  <c r="B135" s="1"/>
  <c r="B136" s="1"/>
  <c r="B137" s="1"/>
  <c r="B138" s="1"/>
  <c r="B139" s="1"/>
  <c r="B140" s="1"/>
  <c r="B141" s="1"/>
  <c r="B142" s="1"/>
  <c r="B143" s="1"/>
  <c r="B144" s="1"/>
  <c r="B145" s="1"/>
  <c r="B146" s="1"/>
  <c r="B147" s="1"/>
  <c r="B148" s="1"/>
  <c r="B149" s="1"/>
  <c r="B150" s="1"/>
  <c r="B151" s="1"/>
  <c r="B152" s="1"/>
  <c r="B153" s="1"/>
  <c r="B154" s="1"/>
  <c r="B155" s="1"/>
  <c r="B156" s="1"/>
  <c r="B157" s="1"/>
  <c r="B158" s="1"/>
  <c r="B159" s="1"/>
  <c r="B160" s="1"/>
  <c r="B161" s="1"/>
  <c r="B162" s="1"/>
  <c r="B163" s="1"/>
  <c r="B164" s="1"/>
  <c r="B165" s="1"/>
  <c r="B166" s="1"/>
  <c r="B167" s="1"/>
  <c r="B168" s="1"/>
  <c r="B169" s="1"/>
  <c r="B170" s="1"/>
  <c r="B171" s="1"/>
  <c r="B172" s="1"/>
  <c r="B173" s="1"/>
  <c r="B174" s="1"/>
  <c r="B175" s="1"/>
  <c r="B176" s="1"/>
  <c r="B177" s="1"/>
  <c r="B178" s="1"/>
  <c r="B179" s="1"/>
  <c r="B180" s="1"/>
  <c r="B181" s="1"/>
  <c r="B182" s="1"/>
  <c r="B183" s="1"/>
  <c r="B184" s="1"/>
  <c r="B185" s="1"/>
  <c r="B186" s="1"/>
  <c r="B187" s="1"/>
  <c r="B188" s="1"/>
  <c r="B189" s="1"/>
  <c r="B190" s="1"/>
  <c r="B191" s="1"/>
  <c r="B192" s="1"/>
  <c r="B193" s="1"/>
  <c r="B194" s="1"/>
  <c r="B195" s="1"/>
  <c r="B196" s="1"/>
  <c r="B197" s="1"/>
  <c r="B198" s="1"/>
  <c r="B199" s="1"/>
  <c r="B200" s="1"/>
  <c r="B201" s="1"/>
  <c r="B202" s="1"/>
  <c r="B203" s="1"/>
  <c r="B204" s="1"/>
  <c r="B205" s="1"/>
  <c r="B206" s="1"/>
  <c r="B207" s="1"/>
  <c r="B208" s="1"/>
  <c r="B209" s="1"/>
  <c r="B210" s="1"/>
  <c r="B211" s="1"/>
  <c r="B212" s="1"/>
  <c r="B213" s="1"/>
  <c r="B214" s="1"/>
  <c r="B215" s="1"/>
  <c r="B216" s="1"/>
  <c r="B217" s="1"/>
  <c r="B218" s="1"/>
  <c r="B219" s="1"/>
  <c r="B220" s="1"/>
  <c r="B221" s="1"/>
  <c r="B222" s="1"/>
  <c r="B223" s="1"/>
  <c r="B224" s="1"/>
  <c r="B225" s="1"/>
  <c r="B226" s="1"/>
  <c r="B227" s="1"/>
  <c r="B228" s="1"/>
  <c r="B229" s="1"/>
  <c r="B230" s="1"/>
  <c r="B231" s="1"/>
  <c r="B232" s="1"/>
  <c r="B233" s="1"/>
  <c r="B234" s="1"/>
  <c r="B235" s="1"/>
  <c r="B236" s="1"/>
  <c r="B237" s="1"/>
  <c r="B238" s="1"/>
  <c r="B239" s="1"/>
  <c r="B240" s="1"/>
  <c r="B241" s="1"/>
  <c r="B242" s="1"/>
  <c r="B243" s="1"/>
  <c r="B244" s="1"/>
  <c r="B245" s="1"/>
  <c r="B246" s="1"/>
  <c r="B247" s="1"/>
  <c r="B248" s="1"/>
  <c r="B249" s="1"/>
  <c r="B250" s="1"/>
  <c r="B251" s="1"/>
  <c r="B252" s="1"/>
  <c r="B253" s="1"/>
  <c r="B254" s="1"/>
  <c r="B255" s="1"/>
  <c r="B256" s="1"/>
  <c r="B257" s="1"/>
  <c r="B258" s="1"/>
  <c r="B259" s="1"/>
  <c r="B260" s="1"/>
  <c r="B261" s="1"/>
  <c r="B262" s="1"/>
  <c r="B263" s="1"/>
  <c r="B264" s="1"/>
  <c r="B265" s="1"/>
  <c r="B266" s="1"/>
  <c r="B267" s="1"/>
  <c r="B268" s="1"/>
  <c r="B269" s="1"/>
  <c r="B270" s="1"/>
  <c r="B271" s="1"/>
  <c r="B272" s="1"/>
  <c r="B273" s="1"/>
  <c r="B274" s="1"/>
  <c r="B275" s="1"/>
  <c r="B276" s="1"/>
  <c r="B277" s="1"/>
  <c r="B278" s="1"/>
  <c r="B279" s="1"/>
  <c r="B280" s="1"/>
  <c r="B281" s="1"/>
  <c r="B282" s="1"/>
  <c r="B283" s="1"/>
  <c r="B284" s="1"/>
  <c r="B285" s="1"/>
  <c r="B286" s="1"/>
  <c r="B287" s="1"/>
  <c r="B288" s="1"/>
  <c r="B289" s="1"/>
  <c r="B290" s="1"/>
  <c r="B291" s="1"/>
  <c r="B292" s="1"/>
  <c r="B293" s="1"/>
  <c r="B294" s="1"/>
  <c r="B295" s="1"/>
  <c r="B296" s="1"/>
  <c r="B297" s="1"/>
  <c r="B298" s="1"/>
  <c r="B299" s="1"/>
  <c r="B300" s="1"/>
  <c r="B301" s="1"/>
  <c r="B302" s="1"/>
  <c r="B303" s="1"/>
  <c r="B304" s="1"/>
  <c r="B305" s="1"/>
  <c r="B306" s="1"/>
  <c r="B307" s="1"/>
  <c r="B308" s="1"/>
  <c r="B309" s="1"/>
  <c r="B310" s="1"/>
  <c r="B311" s="1"/>
  <c r="B312" s="1"/>
  <c r="B313" s="1"/>
  <c r="B314" s="1"/>
  <c r="B315" s="1"/>
  <c r="B316" s="1"/>
  <c r="B317" s="1"/>
  <c r="B318" s="1"/>
  <c r="B319" s="1"/>
  <c r="B320" s="1"/>
  <c r="B321" s="1"/>
  <c r="B322" s="1"/>
  <c r="B323" s="1"/>
  <c r="B324" s="1"/>
  <c r="B325" s="1"/>
  <c r="B326" s="1"/>
  <c r="B327" s="1"/>
  <c r="B328" s="1"/>
  <c r="B329" s="1"/>
  <c r="B330" s="1"/>
  <c r="B331" s="1"/>
  <c r="B332" s="1"/>
  <c r="B333" s="1"/>
  <c r="B334" s="1"/>
  <c r="B335" s="1"/>
  <c r="B336" s="1"/>
  <c r="B337" s="1"/>
  <c r="B338" s="1"/>
  <c r="B339" s="1"/>
  <c r="B340" s="1"/>
  <c r="B341" s="1"/>
  <c r="B342" s="1"/>
  <c r="B343" s="1"/>
  <c r="B344" s="1"/>
  <c r="B345" s="1"/>
  <c r="B346" s="1"/>
  <c r="B347" s="1"/>
  <c r="B348" s="1"/>
  <c r="B349" s="1"/>
  <c r="B350" s="1"/>
  <c r="B351" s="1"/>
  <c r="B352" s="1"/>
  <c r="B353" s="1"/>
  <c r="B354" s="1"/>
  <c r="B355" s="1"/>
  <c r="B356" s="1"/>
  <c r="B357" s="1"/>
  <c r="B358" s="1"/>
  <c r="B359" s="1"/>
  <c r="B360" s="1"/>
  <c r="B361" s="1"/>
  <c r="B362" s="1"/>
  <c r="B363" s="1"/>
  <c r="B364" s="1"/>
  <c r="B365" s="1"/>
  <c r="B366" s="1"/>
  <c r="B367" s="1"/>
  <c r="B368" s="1"/>
  <c r="B369" s="1"/>
  <c r="B370" s="1"/>
  <c r="B371" s="1"/>
  <c r="B372" s="1"/>
  <c r="B373" s="1"/>
  <c r="B374" s="1"/>
  <c r="B375" s="1"/>
  <c r="B376" s="1"/>
  <c r="B377" s="1"/>
  <c r="B378" s="1"/>
  <c r="B379" s="1"/>
  <c r="B380" s="1"/>
  <c r="B381" s="1"/>
  <c r="B382" s="1"/>
  <c r="B383" s="1"/>
  <c r="B384" s="1"/>
  <c r="B385" s="1"/>
  <c r="B386" s="1"/>
  <c r="B387" s="1"/>
  <c r="B388" s="1"/>
  <c r="B389" s="1"/>
  <c r="B390" s="1"/>
  <c r="B391" s="1"/>
  <c r="B392" s="1"/>
  <c r="B393" s="1"/>
  <c r="B394" s="1"/>
  <c r="B395" s="1"/>
  <c r="B396" s="1"/>
  <c r="B397" s="1"/>
  <c r="B398" s="1"/>
  <c r="B399" s="1"/>
  <c r="B400" s="1"/>
  <c r="B401" s="1"/>
  <c r="B402" s="1"/>
  <c r="B403" s="1"/>
  <c r="B404" s="1"/>
  <c r="B405" s="1"/>
  <c r="B406" s="1"/>
  <c r="B407" s="1"/>
  <c r="B408" s="1"/>
  <c r="B409" s="1"/>
  <c r="B410" s="1"/>
  <c r="B411" s="1"/>
  <c r="B412" s="1"/>
  <c r="B413" s="1"/>
  <c r="B414" s="1"/>
  <c r="B415" s="1"/>
  <c r="B416" s="1"/>
  <c r="B417" s="1"/>
  <c r="B418" s="1"/>
  <c r="B419" s="1"/>
  <c r="B420" s="1"/>
  <c r="B421" s="1"/>
  <c r="B422" s="1"/>
  <c r="B423" s="1"/>
  <c r="B424" s="1"/>
  <c r="B425" s="1"/>
  <c r="B426" s="1"/>
  <c r="B427" s="1"/>
  <c r="B428" s="1"/>
  <c r="B429" s="1"/>
  <c r="B430" s="1"/>
  <c r="B431" s="1"/>
  <c r="B432" s="1"/>
  <c r="B433" s="1"/>
  <c r="B434" s="1"/>
  <c r="B435" s="1"/>
  <c r="B436" s="1"/>
  <c r="B437" s="1"/>
  <c r="B438" s="1"/>
  <c r="B439" s="1"/>
  <c r="B440" s="1"/>
  <c r="B441" s="1"/>
  <c r="B442" s="1"/>
  <c r="B443" s="1"/>
  <c r="B444" s="1"/>
  <c r="B445" s="1"/>
  <c r="B446" s="1"/>
  <c r="B447" s="1"/>
  <c r="B448" s="1"/>
  <c r="B449" s="1"/>
  <c r="B450" s="1"/>
  <c r="B451" s="1"/>
  <c r="B452" s="1"/>
  <c r="B453" s="1"/>
  <c r="B454" s="1"/>
  <c r="B455" s="1"/>
  <c r="B456" s="1"/>
  <c r="B457" s="1"/>
  <c r="B458" s="1"/>
  <c r="B459" s="1"/>
  <c r="B460" s="1"/>
  <c r="B461" s="1"/>
  <c r="B462" s="1"/>
  <c r="B463" s="1"/>
  <c r="B464" s="1"/>
  <c r="B465" s="1"/>
  <c r="B466" s="1"/>
  <c r="B467" s="1"/>
  <c r="B468" s="1"/>
  <c r="B469" s="1"/>
  <c r="B470" s="1"/>
  <c r="B471" s="1"/>
  <c r="B472" s="1"/>
  <c r="B473" s="1"/>
  <c r="B474" s="1"/>
  <c r="B475" s="1"/>
  <c r="B476" s="1"/>
  <c r="B477" s="1"/>
  <c r="B478" s="1"/>
  <c r="B479" s="1"/>
  <c r="B480" s="1"/>
  <c r="B481" s="1"/>
  <c r="B482" s="1"/>
  <c r="B483" s="1"/>
  <c r="B484" s="1"/>
  <c r="B485" s="1"/>
  <c r="B486" s="1"/>
  <c r="B487" s="1"/>
  <c r="B488" s="1"/>
  <c r="B489" s="1"/>
  <c r="B490" s="1"/>
  <c r="B491" s="1"/>
  <c r="B492" s="1"/>
  <c r="B493" s="1"/>
  <c r="B494" s="1"/>
  <c r="B495" s="1"/>
  <c r="B496" s="1"/>
  <c r="B497" s="1"/>
  <c r="B498" s="1"/>
  <c r="B499" s="1"/>
  <c r="B500" s="1"/>
  <c r="B501" s="1"/>
  <c r="B502" s="1"/>
  <c r="B503" s="1"/>
  <c r="B504" s="1"/>
  <c r="B505" s="1"/>
  <c r="B506" s="1"/>
  <c r="B507" s="1"/>
  <c r="E28" i="7"/>
  <c r="J28" s="1"/>
  <c r="E972" i="94" s="1"/>
  <c r="G972" s="1"/>
  <c r="H488" i="127"/>
  <c r="J488" s="1"/>
  <c r="J489" s="1"/>
  <c r="J499"/>
  <c r="H1058"/>
  <c r="J1058" s="1"/>
  <c r="J1059" s="1"/>
  <c r="F4" i="162"/>
  <c r="J14" i="198"/>
  <c r="H36" i="174"/>
  <c r="N78" i="140"/>
  <c r="R78"/>
  <c r="I10" i="202"/>
  <c r="I11" s="1"/>
  <c r="I12" s="1"/>
  <c r="E5" i="7"/>
  <c r="E9"/>
  <c r="H733" i="127"/>
  <c r="J733" s="1"/>
  <c r="J734" s="1"/>
  <c r="F14" i="174"/>
  <c r="E12" i="200"/>
  <c r="D20" i="7"/>
  <c r="D21" s="1"/>
  <c r="D22" s="1"/>
  <c r="N117" i="174"/>
  <c r="N118" s="1"/>
  <c r="H119" s="1"/>
  <c r="J100" i="127"/>
  <c r="H398"/>
  <c r="J398" s="1"/>
  <c r="J399" s="1"/>
  <c r="E16" i="7"/>
  <c r="I20" i="140"/>
  <c r="F24" i="167"/>
  <c r="I24" s="1"/>
  <c r="I29" i="168"/>
  <c r="E15" i="7"/>
  <c r="D33"/>
  <c r="E33" s="1"/>
  <c r="E887" i="94"/>
  <c r="E351" i="113"/>
  <c r="G351" s="1"/>
  <c r="G352" s="1"/>
  <c r="N4" i="182"/>
  <c r="L2" s="1"/>
  <c r="B110" s="1"/>
  <c r="B8" i="150"/>
  <c r="D275" s="1"/>
  <c r="A30" i="133"/>
  <c r="I7" i="164"/>
  <c r="I8" s="1"/>
  <c r="B12" i="162" s="1"/>
  <c r="F66" i="174" s="1"/>
  <c r="M66" s="1"/>
  <c r="L66" s="1"/>
  <c r="I41" i="164"/>
  <c r="B19" i="162" s="1"/>
  <c r="F72" i="174" s="1"/>
  <c r="M72" s="1"/>
  <c r="I27" i="140"/>
  <c r="I42"/>
  <c r="C4" i="162"/>
  <c r="D2" i="179" s="1"/>
  <c r="G16" i="141"/>
  <c r="E17" s="1"/>
  <c r="G17" s="1"/>
  <c r="I35" i="167"/>
  <c r="E39"/>
  <c r="I39" s="1"/>
  <c r="I43" s="1"/>
  <c r="I18" i="186"/>
  <c r="I10" i="187"/>
  <c r="I10" i="168"/>
  <c r="E121" i="190" s="1"/>
  <c r="G121" s="1"/>
  <c r="I57" i="168"/>
  <c r="E4" i="7"/>
  <c r="J4" s="1"/>
  <c r="E6"/>
  <c r="E8"/>
  <c r="E11"/>
  <c r="E17"/>
  <c r="E19"/>
  <c r="M10" i="175"/>
  <c r="I31" i="140"/>
  <c r="I38"/>
  <c r="E119" i="202"/>
  <c r="G119" s="1"/>
  <c r="E10" i="7"/>
  <c r="E14"/>
  <c r="J14" s="1"/>
  <c r="C44"/>
  <c r="C53" s="1"/>
  <c r="G204" i="94"/>
  <c r="I707"/>
  <c r="E187" i="113"/>
  <c r="G187" s="1"/>
  <c r="G188" s="1"/>
  <c r="G379"/>
  <c r="G383"/>
  <c r="C16" i="182"/>
  <c r="C112" s="1"/>
  <c r="H188" i="150"/>
  <c r="G7" i="146"/>
  <c r="G8" s="1"/>
  <c r="G9" s="1"/>
  <c r="G10" s="1"/>
  <c r="J158" i="127"/>
  <c r="J1188"/>
  <c r="N16" i="174"/>
  <c r="S37" i="185"/>
  <c r="I16" i="140"/>
  <c r="I36"/>
  <c r="L58"/>
  <c r="P58" s="1"/>
  <c r="R61"/>
  <c r="G31" i="202"/>
  <c r="G32" s="1"/>
  <c r="G264"/>
  <c r="I9" i="199"/>
  <c r="B33" i="162" s="1"/>
  <c r="I9" i="165"/>
  <c r="B41" i="162" s="1"/>
  <c r="I9" i="186"/>
  <c r="I12" i="203"/>
  <c r="B184" i="162" s="1"/>
  <c r="H184" s="1"/>
  <c r="N184" s="1"/>
  <c r="I20" i="187"/>
  <c r="I41" i="168"/>
  <c r="E7" i="7"/>
  <c r="E12"/>
  <c r="E18"/>
  <c r="E27"/>
  <c r="J27" s="1"/>
  <c r="E798" i="94" s="1"/>
  <c r="G798" s="1"/>
  <c r="E29" i="7"/>
  <c r="J29" s="1"/>
  <c r="E973" i="94" s="1"/>
  <c r="G973" s="1"/>
  <c r="G150"/>
  <c r="G171"/>
  <c r="G172" s="1"/>
  <c r="G445"/>
  <c r="E917"/>
  <c r="G917" s="1"/>
  <c r="G918" s="1"/>
  <c r="E936"/>
  <c r="G936" s="1"/>
  <c r="G937" s="1"/>
  <c r="E942" s="1"/>
  <c r="G942" s="1"/>
  <c r="G94" i="113"/>
  <c r="E372"/>
  <c r="G372" s="1"/>
  <c r="G373" s="1"/>
  <c r="G385" s="1"/>
  <c r="E387" s="1"/>
  <c r="G387" s="1"/>
  <c r="G388" s="1"/>
  <c r="G389" s="1"/>
  <c r="G390" s="1"/>
  <c r="G391" s="1"/>
  <c r="G199" i="150"/>
  <c r="H199" s="1"/>
  <c r="E25" i="113"/>
  <c r="G25" s="1"/>
  <c r="H215" i="119"/>
  <c r="J215" s="1"/>
  <c r="J216" s="1"/>
  <c r="H246"/>
  <c r="J246" s="1"/>
  <c r="J247" s="1"/>
  <c r="J356"/>
  <c r="J419"/>
  <c r="J495"/>
  <c r="J53"/>
  <c r="J197"/>
  <c r="H483"/>
  <c r="J483" s="1"/>
  <c r="J484" s="1"/>
  <c r="H611"/>
  <c r="J611" s="1"/>
  <c r="J612" s="1"/>
  <c r="J658"/>
  <c r="J228"/>
  <c r="J84"/>
  <c r="H184"/>
  <c r="D46" i="140"/>
  <c r="I46" s="1"/>
  <c r="I45"/>
  <c r="G30" i="185"/>
  <c r="D16" i="191"/>
  <c r="H4" i="197" s="1"/>
  <c r="D18" i="191"/>
  <c r="J4" i="197" s="1"/>
  <c r="K30" i="185"/>
  <c r="D9" i="191"/>
  <c r="A4" i="197" s="1"/>
  <c r="C30" i="185"/>
  <c r="M11" i="175"/>
  <c r="G12" s="1"/>
  <c r="I22" i="199"/>
  <c r="F27"/>
  <c r="I27" s="1"/>
  <c r="F23"/>
  <c r="F17" i="174"/>
  <c r="K17" s="1"/>
  <c r="N5"/>
  <c r="K10" i="191"/>
  <c r="D12"/>
  <c r="D4" i="197" s="1"/>
  <c r="D24" i="140"/>
  <c r="I24" s="1"/>
  <c r="D19"/>
  <c r="I19" s="1"/>
  <c r="D23"/>
  <c r="D18"/>
  <c r="I18" s="1"/>
  <c r="D22"/>
  <c r="I22" s="1"/>
  <c r="D17"/>
  <c r="I17" s="1"/>
  <c r="D30"/>
  <c r="D29"/>
  <c r="I29" s="1"/>
  <c r="D57"/>
  <c r="I57" s="1"/>
  <c r="D28"/>
  <c r="I28" s="1"/>
  <c r="Q53"/>
  <c r="R53"/>
  <c r="N53"/>
  <c r="L54"/>
  <c r="O53"/>
  <c r="O74"/>
  <c r="Q74"/>
  <c r="B165" i="162"/>
  <c r="G91" i="202"/>
  <c r="E120"/>
  <c r="G120" s="1"/>
  <c r="I23" i="186"/>
  <c r="F24"/>
  <c r="H686" i="127"/>
  <c r="J686" s="1"/>
  <c r="J688" s="1"/>
  <c r="H664"/>
  <c r="J664" s="1"/>
  <c r="J666" s="1"/>
  <c r="H1418"/>
  <c r="J1418" s="1"/>
  <c r="J1420" s="1"/>
  <c r="H514"/>
  <c r="J129"/>
  <c r="H338"/>
  <c r="J338" s="1"/>
  <c r="J339" s="1"/>
  <c r="H428"/>
  <c r="J428" s="1"/>
  <c r="J429" s="1"/>
  <c r="H458"/>
  <c r="J458" s="1"/>
  <c r="J459" s="1"/>
  <c r="H847"/>
  <c r="J847" s="1"/>
  <c r="J848" s="1"/>
  <c r="H1095"/>
  <c r="J1095" s="1"/>
  <c r="J1096" s="1"/>
  <c r="L85" i="174"/>
  <c r="K85" s="1"/>
  <c r="I113"/>
  <c r="N11" i="175"/>
  <c r="L32" i="174" s="1"/>
  <c r="B38" s="1"/>
  <c r="L22" i="128"/>
  <c r="S7" i="140"/>
  <c r="I7" s="1"/>
  <c r="C64" s="1"/>
  <c r="S12"/>
  <c r="S13" s="1"/>
  <c r="I8" s="1"/>
  <c r="C65" s="1"/>
  <c r="H65" s="1"/>
  <c r="I30"/>
  <c r="I37"/>
  <c r="I39"/>
  <c r="R66"/>
  <c r="G37" i="141"/>
  <c r="I37" i="186"/>
  <c r="I45"/>
  <c r="I22" i="170"/>
  <c r="F30" i="185"/>
  <c r="D15" i="191"/>
  <c r="G4" i="197" s="1"/>
  <c r="R59" i="140"/>
  <c r="N59"/>
  <c r="O59"/>
  <c r="P59"/>
  <c r="F22" i="165"/>
  <c r="F17"/>
  <c r="I17" s="1"/>
  <c r="I19" s="1"/>
  <c r="B43" i="162" s="1"/>
  <c r="I12" i="165"/>
  <c r="I14" s="1"/>
  <c r="B42" i="162" s="1"/>
  <c r="D17" i="191"/>
  <c r="I4" i="197" s="1"/>
  <c r="D30" i="185"/>
  <c r="H30"/>
  <c r="D19" i="191"/>
  <c r="K4" i="197" s="1"/>
  <c r="M28" s="1"/>
  <c r="L30" i="185"/>
  <c r="L56" i="140"/>
  <c r="O55"/>
  <c r="P55"/>
  <c r="Q55"/>
  <c r="L62"/>
  <c r="O61"/>
  <c r="P61"/>
  <c r="Q61"/>
  <c r="L79"/>
  <c r="O77"/>
  <c r="P77"/>
  <c r="Q77"/>
  <c r="O78"/>
  <c r="P78"/>
  <c r="Q78"/>
  <c r="L26" i="203"/>
  <c r="B186" i="162"/>
  <c r="H186" s="1"/>
  <c r="N186" s="1"/>
  <c r="I29" i="187"/>
  <c r="F30"/>
  <c r="I30" s="1"/>
  <c r="E71" i="190"/>
  <c r="G71" s="1"/>
  <c r="D72"/>
  <c r="D73" s="1"/>
  <c r="D74" s="1"/>
  <c r="H243" i="127"/>
  <c r="J243" s="1"/>
  <c r="J244" s="1"/>
  <c r="J553"/>
  <c r="J707"/>
  <c r="J708" s="1"/>
  <c r="J1342"/>
  <c r="I44" i="140"/>
  <c r="G205" i="202"/>
  <c r="G59" i="141"/>
  <c r="I21" i="170"/>
  <c r="J30" i="185"/>
  <c r="D13" i="191"/>
  <c r="E4" i="197" s="1"/>
  <c r="D51" i="162"/>
  <c r="D36"/>
  <c r="D67"/>
  <c r="F34" i="164"/>
  <c r="I28"/>
  <c r="I30" s="1"/>
  <c r="I35"/>
  <c r="N58" i="140"/>
  <c r="O58"/>
  <c r="O66"/>
  <c r="P66"/>
  <c r="Q66"/>
  <c r="D71" i="162"/>
  <c r="D61"/>
  <c r="F26" i="169"/>
  <c r="I26" s="1"/>
  <c r="I27" s="1"/>
  <c r="B169" i="162" s="1"/>
  <c r="I22" i="169"/>
  <c r="I23" s="1"/>
  <c r="B168" i="162" s="1"/>
  <c r="J355" i="119"/>
  <c r="H386"/>
  <c r="J386" s="1"/>
  <c r="J388" s="1"/>
  <c r="B77" i="164"/>
  <c r="I23" i="140"/>
  <c r="J1396" i="127"/>
  <c r="I118" i="174"/>
  <c r="F55" i="164"/>
  <c r="I43" i="140"/>
  <c r="Q59"/>
  <c r="L65"/>
  <c r="E118" i="202"/>
  <c r="G118" s="1"/>
  <c r="G87" i="141"/>
  <c r="E26" i="113"/>
  <c r="E42" s="1"/>
  <c r="G42" s="1"/>
  <c r="G10"/>
  <c r="E11" s="1"/>
  <c r="G11" s="1"/>
  <c r="G12" s="1"/>
  <c r="A5" i="119"/>
  <c r="A33" s="1"/>
  <c r="A64" s="1"/>
  <c r="A95" s="1"/>
  <c r="A125" s="1"/>
  <c r="A155" s="1"/>
  <c r="A232" i="113"/>
  <c r="A253" s="1"/>
  <c r="A276" s="1"/>
  <c r="J859" i="127"/>
  <c r="J889"/>
  <c r="J1073"/>
  <c r="H1123"/>
  <c r="J1123" s="1"/>
  <c r="J1124" s="1"/>
  <c r="J1146"/>
  <c r="J1147" s="1"/>
  <c r="H1436"/>
  <c r="J1436" s="1"/>
  <c r="J1437" s="1"/>
  <c r="L4" i="174"/>
  <c r="G150" s="1"/>
  <c r="I23"/>
  <c r="G11" i="200"/>
  <c r="M21" i="128"/>
  <c r="C3" i="133"/>
  <c r="L51" i="140"/>
  <c r="Q51" s="1"/>
  <c r="B15" i="162"/>
  <c r="F68" i="174" s="1"/>
  <c r="M68" s="1"/>
  <c r="E64" i="202"/>
  <c r="G64" s="1"/>
  <c r="E198"/>
  <c r="G198" s="1"/>
  <c r="G199" s="1"/>
  <c r="F25" i="167"/>
  <c r="I25" s="1"/>
  <c r="I29" s="1"/>
  <c r="B97" i="162" s="1"/>
  <c r="F26" i="187"/>
  <c r="E48"/>
  <c r="I48" s="1"/>
  <c r="I51" s="1"/>
  <c r="B140" i="162" s="1"/>
  <c r="I15" i="170"/>
  <c r="I16" s="1"/>
  <c r="E137" i="190" s="1"/>
  <c r="G137" s="1"/>
  <c r="D22"/>
  <c r="E54"/>
  <c r="G54" s="1"/>
  <c r="C20" i="7"/>
  <c r="C33"/>
  <c r="E113" i="113"/>
  <c r="H40" i="119"/>
  <c r="H71" s="1"/>
  <c r="J71" s="1"/>
  <c r="J72" s="1"/>
  <c r="H340" i="150"/>
  <c r="H1327" i="127"/>
  <c r="J1327" s="1"/>
  <c r="J1328" s="1"/>
  <c r="C4" i="174"/>
  <c r="C176" s="1"/>
  <c r="B112" i="162"/>
  <c r="G62" i="202"/>
  <c r="G84"/>
  <c r="G280"/>
  <c r="I37" i="187"/>
  <c r="I42" s="1"/>
  <c r="B139" i="162" s="1"/>
  <c r="I17" i="169"/>
  <c r="I18" s="1"/>
  <c r="B167" i="162" s="1"/>
  <c r="E32" i="190"/>
  <c r="G32" s="1"/>
  <c r="G309" i="94"/>
  <c r="K619"/>
  <c r="H277" i="119"/>
  <c r="J277" s="1"/>
  <c r="J278" s="1"/>
  <c r="H461"/>
  <c r="J461" s="1"/>
  <c r="J462" s="1"/>
  <c r="H932" i="127"/>
  <c r="J932" s="1"/>
  <c r="J933" s="1"/>
  <c r="J1157"/>
  <c r="J350"/>
  <c r="J469"/>
  <c r="J798"/>
  <c r="J978"/>
  <c r="H1293"/>
  <c r="J1293" s="1"/>
  <c r="J1294" s="1"/>
  <c r="H1381"/>
  <c r="J1381" s="1"/>
  <c r="J1382" s="1"/>
  <c r="J1415"/>
  <c r="J1416" s="1"/>
  <c r="F15" i="174"/>
  <c r="L49" i="140"/>
  <c r="N49" s="1"/>
  <c r="E88" i="190"/>
  <c r="G88" s="1"/>
  <c r="H163" i="119"/>
  <c r="H320"/>
  <c r="J320" s="1"/>
  <c r="J321" s="1"/>
  <c r="H345"/>
  <c r="J345" s="1"/>
  <c r="J346" s="1"/>
  <c r="B95" i="182"/>
  <c r="G37" i="94"/>
  <c r="G212"/>
  <c r="G213" s="1"/>
  <c r="E59" i="113"/>
  <c r="G59" s="1"/>
  <c r="E61" s="1"/>
  <c r="G61" s="1"/>
  <c r="G62" s="1"/>
  <c r="G266"/>
  <c r="J144" i="119"/>
  <c r="H407"/>
  <c r="J407" s="1"/>
  <c r="J408" s="1"/>
  <c r="B118" i="182"/>
  <c r="C17"/>
  <c r="C113" s="1"/>
  <c r="H185" i="150"/>
  <c r="H186" s="1"/>
  <c r="H248"/>
  <c r="E279"/>
  <c r="G374" i="94"/>
  <c r="G375" s="1"/>
  <c r="G526"/>
  <c r="G922"/>
  <c r="G171" i="113"/>
  <c r="E284"/>
  <c r="G284" s="1"/>
  <c r="G285" s="1"/>
  <c r="G289" s="1"/>
  <c r="E306"/>
  <c r="G306" s="1"/>
  <c r="G307" s="1"/>
  <c r="H102" i="119"/>
  <c r="J114"/>
  <c r="H223" i="150"/>
  <c r="E254"/>
  <c r="G341" i="94"/>
  <c r="G356" i="113"/>
  <c r="E78" i="150"/>
  <c r="E159"/>
  <c r="H183"/>
  <c r="D333"/>
  <c r="H653" i="119"/>
  <c r="J653" s="1"/>
  <c r="J654" s="1"/>
  <c r="D19" i="150"/>
  <c r="H139"/>
  <c r="H140" s="1"/>
  <c r="H182"/>
  <c r="D219"/>
  <c r="E250"/>
  <c r="I7" i="146"/>
  <c r="I8" s="1"/>
  <c r="I9" s="1"/>
  <c r="I11" s="1"/>
  <c r="I12" s="1"/>
  <c r="I13" s="1"/>
  <c r="H265" i="127"/>
  <c r="J265" s="1"/>
  <c r="J266" s="1"/>
  <c r="H313"/>
  <c r="J313" s="1"/>
  <c r="J314" s="1"/>
  <c r="H36"/>
  <c r="J36" s="1"/>
  <c r="J37" s="1"/>
  <c r="J619"/>
  <c r="J20"/>
  <c r="H604"/>
  <c r="J604" s="1"/>
  <c r="J605" s="1"/>
  <c r="J644"/>
  <c r="J73"/>
  <c r="J410"/>
  <c r="H571"/>
  <c r="J571" s="1"/>
  <c r="J572" s="1"/>
  <c r="H823"/>
  <c r="J823" s="1"/>
  <c r="J824" s="1"/>
  <c r="J831" s="1"/>
  <c r="H147"/>
  <c r="J147" s="1"/>
  <c r="J148" s="1"/>
  <c r="H14"/>
  <c r="J14" s="1"/>
  <c r="J15" s="1"/>
  <c r="H117"/>
  <c r="J117" s="1"/>
  <c r="J118" s="1"/>
  <c r="H200"/>
  <c r="J200" s="1"/>
  <c r="J201" s="1"/>
  <c r="J712"/>
  <c r="J717" s="1"/>
  <c r="J296"/>
  <c r="J440"/>
  <c r="J586"/>
  <c r="J742"/>
  <c r="J773"/>
  <c r="J380"/>
  <c r="H222"/>
  <c r="J222" s="1"/>
  <c r="J223" s="1"/>
  <c r="H179"/>
  <c r="J179" s="1"/>
  <c r="J180" s="1"/>
  <c r="J369"/>
  <c r="H517"/>
  <c r="J517" s="1"/>
  <c r="H761"/>
  <c r="J761" s="1"/>
  <c r="J762" s="1"/>
  <c r="H788"/>
  <c r="J788" s="1"/>
  <c r="J789" s="1"/>
  <c r="J1308"/>
  <c r="H1021"/>
  <c r="J1021" s="1"/>
  <c r="J1022" s="1"/>
  <c r="H1177"/>
  <c r="J1177" s="1"/>
  <c r="J1178" s="1"/>
  <c r="H60"/>
  <c r="J60" s="1"/>
  <c r="J61" s="1"/>
  <c r="H91"/>
  <c r="J91" s="1"/>
  <c r="J92" s="1"/>
  <c r="H961"/>
  <c r="J961" s="1"/>
  <c r="J962" s="1"/>
  <c r="H1234"/>
  <c r="J1234" s="1"/>
  <c r="J1235" s="1"/>
  <c r="H1259"/>
  <c r="J1259" s="1"/>
  <c r="J1260" s="1"/>
  <c r="J1274"/>
  <c r="H1460"/>
  <c r="J1460" s="1"/>
  <c r="J1461" s="1"/>
  <c r="J996"/>
  <c r="J1106"/>
  <c r="H877"/>
  <c r="J877" s="1"/>
  <c r="J878" s="1"/>
  <c r="D18" i="139"/>
  <c r="E5"/>
  <c r="E986" i="94"/>
  <c r="D67" i="7"/>
  <c r="I68" i="168"/>
  <c r="J105" i="167"/>
  <c r="F113" i="186" s="1"/>
  <c r="I113" i="187" s="1"/>
  <c r="I33" i="169" s="1"/>
  <c r="I37" i="170" s="1"/>
  <c r="E274" i="113" s="1"/>
  <c r="H40" i="165"/>
  <c r="H40" i="199"/>
  <c r="E298" i="202" s="1"/>
  <c r="G83"/>
  <c r="E82"/>
  <c r="D40" i="190"/>
  <c r="E39"/>
  <c r="G39" s="1"/>
  <c r="D134"/>
  <c r="H915" i="127"/>
  <c r="J915" s="1"/>
  <c r="J917" s="1"/>
  <c r="H1208"/>
  <c r="J1208" s="1"/>
  <c r="J1209" s="1"/>
  <c r="C5" i="174"/>
  <c r="C177" s="1"/>
  <c r="M70"/>
  <c r="M78"/>
  <c r="B169"/>
  <c r="I98" i="164"/>
  <c r="C27" i="189" s="1"/>
  <c r="B34" i="162"/>
  <c r="B38"/>
  <c r="B101"/>
  <c r="B127"/>
  <c r="B133"/>
  <c r="B144"/>
  <c r="B147"/>
  <c r="B151"/>
  <c r="D986" i="94"/>
  <c r="B67" i="7"/>
  <c r="F105" i="167"/>
  <c r="B113" i="186" s="1"/>
  <c r="F113" i="187" s="1"/>
  <c r="F33" i="169" s="1"/>
  <c r="F37" i="170" s="1"/>
  <c r="D274" i="113" s="1"/>
  <c r="F68" i="168"/>
  <c r="E258" i="202"/>
  <c r="G258" s="1"/>
  <c r="G259" s="1"/>
  <c r="D57" i="190"/>
  <c r="E56"/>
  <c r="G56" s="1"/>
  <c r="B195" i="174"/>
  <c r="E98" i="164"/>
  <c r="B27" i="189"/>
  <c r="B94" i="162"/>
  <c r="B96"/>
  <c r="B98"/>
  <c r="B99"/>
  <c r="B118"/>
  <c r="B121"/>
  <c r="B122"/>
  <c r="B128"/>
  <c r="B130"/>
  <c r="B135"/>
  <c r="B137"/>
  <c r="B146"/>
  <c r="B150"/>
  <c r="B153"/>
  <c r="E282" i="202"/>
  <c r="G282" s="1"/>
  <c r="G283" s="1"/>
  <c r="G287" s="1"/>
  <c r="E400" i="113"/>
  <c r="E990" i="94"/>
  <c r="E124" i="141" s="1"/>
  <c r="H45" i="199"/>
  <c r="C155" i="190"/>
  <c r="I73" i="168"/>
  <c r="J110" i="167"/>
  <c r="H45" i="165"/>
  <c r="E20" i="190"/>
  <c r="G20" s="1"/>
  <c r="D23"/>
  <c r="E23" s="1"/>
  <c r="G23" s="1"/>
  <c r="D34"/>
  <c r="E33"/>
  <c r="G33" s="1"/>
  <c r="A24" i="174"/>
  <c r="B189"/>
  <c r="I102" i="164"/>
  <c r="B119" i="162"/>
  <c r="B123"/>
  <c r="B131"/>
  <c r="B145"/>
  <c r="B174"/>
  <c r="D990" i="94"/>
  <c r="G67" i="7"/>
  <c r="F73" i="168"/>
  <c r="F110" i="167"/>
  <c r="J113" i="186" s="1"/>
  <c r="F118" i="187" s="1"/>
  <c r="F37" i="169" s="1"/>
  <c r="F41" i="170" s="1"/>
  <c r="D400" i="113" s="1"/>
  <c r="A1" i="184"/>
  <c r="A4" i="163"/>
  <c r="E233" i="202"/>
  <c r="G233" s="1"/>
  <c r="G234" s="1"/>
  <c r="D29" i="190"/>
  <c r="D91"/>
  <c r="E90"/>
  <c r="G90" s="1"/>
  <c r="E102" i="164"/>
  <c r="B32" i="189" s="1"/>
  <c r="B102" i="162"/>
  <c r="B103"/>
  <c r="B104"/>
  <c r="B105"/>
  <c r="B106"/>
  <c r="B107"/>
  <c r="B108"/>
  <c r="B109"/>
  <c r="B110"/>
  <c r="B111"/>
  <c r="B114"/>
  <c r="B116"/>
  <c r="B124"/>
  <c r="B126"/>
  <c r="B142"/>
  <c r="B143"/>
  <c r="B148"/>
  <c r="B171"/>
  <c r="H464" i="119"/>
  <c r="J464" s="1"/>
  <c r="J468" s="1"/>
  <c r="E627" i="94"/>
  <c r="G627" s="1"/>
  <c r="G487"/>
  <c r="G488" s="1"/>
  <c r="E607"/>
  <c r="G607" s="1"/>
  <c r="G608" s="1"/>
  <c r="G34" i="202"/>
  <c r="G38" s="1"/>
  <c r="E38" i="190"/>
  <c r="G38" s="1"/>
  <c r="C5" i="7"/>
  <c r="I5"/>
  <c r="I9"/>
  <c r="G469" i="94"/>
  <c r="G494"/>
  <c r="G656"/>
  <c r="G657" s="1"/>
  <c r="G742"/>
  <c r="G783"/>
  <c r="D124" i="190"/>
  <c r="E123"/>
  <c r="G123" s="1"/>
  <c r="I33" i="7"/>
  <c r="I21"/>
  <c r="I10"/>
  <c r="I24"/>
  <c r="I20"/>
  <c r="I18"/>
  <c r="I16"/>
  <c r="I23"/>
  <c r="I12"/>
  <c r="I22"/>
  <c r="I19"/>
  <c r="I17"/>
  <c r="I15"/>
  <c r="H643" i="119"/>
  <c r="J643" s="1"/>
  <c r="H253"/>
  <c r="J253" s="1"/>
  <c r="H223"/>
  <c r="J223" s="1"/>
  <c r="H109"/>
  <c r="J109" s="1"/>
  <c r="H79"/>
  <c r="J79" s="1"/>
  <c r="H6" i="146"/>
  <c r="J8" i="147" s="1"/>
  <c r="G48" i="150"/>
  <c r="H48" i="119"/>
  <c r="J48" s="1"/>
  <c r="E144" i="113"/>
  <c r="G144" s="1"/>
  <c r="E89"/>
  <c r="G89" s="1"/>
  <c r="E958" i="94"/>
  <c r="G958" s="1"/>
  <c r="H383" i="119"/>
  <c r="J383" s="1"/>
  <c r="E216" i="113"/>
  <c r="G216" s="1"/>
  <c r="E118"/>
  <c r="G118" s="1"/>
  <c r="E863" i="94"/>
  <c r="H414" i="119"/>
  <c r="J414" s="1"/>
  <c r="H352"/>
  <c r="J352" s="1"/>
  <c r="H192"/>
  <c r="J192" s="1"/>
  <c r="H139"/>
  <c r="J139" s="1"/>
  <c r="H18"/>
  <c r="J18" s="1"/>
  <c r="H521"/>
  <c r="J521" s="1"/>
  <c r="H490"/>
  <c r="J490" s="1"/>
  <c r="E624" i="94"/>
  <c r="G624" s="1"/>
  <c r="E42" i="7"/>
  <c r="J42" s="1"/>
  <c r="J41"/>
  <c r="E69" i="94"/>
  <c r="G69" s="1"/>
  <c r="G70" s="1"/>
  <c r="G234"/>
  <c r="G235" s="1"/>
  <c r="E773"/>
  <c r="G773" s="1"/>
  <c r="G774" s="1"/>
  <c r="E63" i="202"/>
  <c r="G63" s="1"/>
  <c r="F161"/>
  <c r="G161" s="1"/>
  <c r="G164" s="1"/>
  <c r="I8" i="7"/>
  <c r="G302" i="94"/>
  <c r="G303" s="1"/>
  <c r="G335"/>
  <c r="G336" s="1"/>
  <c r="G168"/>
  <c r="E546"/>
  <c r="G546" s="1"/>
  <c r="G547" s="1"/>
  <c r="G58" i="202"/>
  <c r="E88"/>
  <c r="G88" s="1"/>
  <c r="G237"/>
  <c r="E238" s="1"/>
  <c r="G238" s="1"/>
  <c r="E19" i="190"/>
  <c r="G19" s="1"/>
  <c r="D21"/>
  <c r="E26"/>
  <c r="G26" s="1"/>
  <c r="D28"/>
  <c r="I7" i="7"/>
  <c r="G219" i="94"/>
  <c r="G284"/>
  <c r="G380"/>
  <c r="G407"/>
  <c r="G408" s="1"/>
  <c r="G416"/>
  <c r="G554"/>
  <c r="E573"/>
  <c r="G573" s="1"/>
  <c r="G574" s="1"/>
  <c r="G583"/>
  <c r="G699"/>
  <c r="E11"/>
  <c r="G11" s="1"/>
  <c r="G12" s="1"/>
  <c r="G261"/>
  <c r="G262" s="1"/>
  <c r="E267" s="1"/>
  <c r="G267" s="1"/>
  <c r="E117" i="202"/>
  <c r="G117" s="1"/>
  <c r="I6" i="7"/>
  <c r="I11"/>
  <c r="G87" i="94"/>
  <c r="E92" s="1"/>
  <c r="G92" s="1"/>
  <c r="G666"/>
  <c r="E139" i="113"/>
  <c r="G139" s="1"/>
  <c r="G140" s="1"/>
  <c r="H298" i="119"/>
  <c r="J298" s="1"/>
  <c r="J299" s="1"/>
  <c r="E32" i="94"/>
  <c r="G32" s="1"/>
  <c r="G33" s="1"/>
  <c r="E53"/>
  <c r="G53" s="1"/>
  <c r="G54" s="1"/>
  <c r="G278"/>
  <c r="G279" s="1"/>
  <c r="E391"/>
  <c r="G391" s="1"/>
  <c r="E516"/>
  <c r="G516" s="1"/>
  <c r="G517" s="1"/>
  <c r="E689"/>
  <c r="G689" s="1"/>
  <c r="G690" s="1"/>
  <c r="E730"/>
  <c r="G730" s="1"/>
  <c r="G731" s="1"/>
  <c r="E815"/>
  <c r="G815" s="1"/>
  <c r="G816" s="1"/>
  <c r="G887"/>
  <c r="G888" s="1"/>
  <c r="G240" i="113"/>
  <c r="G241" s="1"/>
  <c r="G245" s="1"/>
  <c r="E333"/>
  <c r="G333" s="1"/>
  <c r="G334" s="1"/>
  <c r="H132" i="119"/>
  <c r="J132" s="1"/>
  <c r="J133" s="1"/>
  <c r="C45" i="7"/>
  <c r="G101" i="94"/>
  <c r="E122"/>
  <c r="G122" s="1"/>
  <c r="G123" s="1"/>
  <c r="E315"/>
  <c r="G315" s="1"/>
  <c r="E354"/>
  <c r="G354" s="1"/>
  <c r="E423"/>
  <c r="G423" s="1"/>
  <c r="G825"/>
  <c r="J40" i="119"/>
  <c r="J41" s="1"/>
  <c r="H442"/>
  <c r="J442" s="1"/>
  <c r="J444" s="1"/>
  <c r="H166"/>
  <c r="J166" s="1"/>
  <c r="J168" s="1"/>
  <c r="G13" i="150"/>
  <c r="H13" s="1"/>
  <c r="H591" i="119"/>
  <c r="J591" s="1"/>
  <c r="H280"/>
  <c r="J280" s="1"/>
  <c r="J282" s="1"/>
  <c r="G969" i="94"/>
  <c r="G970" s="1"/>
  <c r="E261" i="113"/>
  <c r="G261" s="1"/>
  <c r="G262" s="1"/>
  <c r="H12" i="119"/>
  <c r="J12" s="1"/>
  <c r="J13" s="1"/>
  <c r="H439"/>
  <c r="J439" s="1"/>
  <c r="J440" s="1"/>
  <c r="I12" i="147"/>
  <c r="I13"/>
  <c r="I14" s="1"/>
  <c r="I15" s="1"/>
  <c r="J40" i="7"/>
  <c r="E497" i="94"/>
  <c r="G497" s="1"/>
  <c r="E955"/>
  <c r="G955" s="1"/>
  <c r="G956" s="1"/>
  <c r="E81" i="113"/>
  <c r="G81" s="1"/>
  <c r="G82" s="1"/>
  <c r="E162"/>
  <c r="G162" s="1"/>
  <c r="G163" s="1"/>
  <c r="K12" i="147"/>
  <c r="K13"/>
  <c r="K14" s="1"/>
  <c r="K15" s="1"/>
  <c r="E152" i="94"/>
  <c r="G152" s="1"/>
  <c r="E179"/>
  <c r="G179" s="1"/>
  <c r="G181" s="1"/>
  <c r="E246"/>
  <c r="G246" s="1"/>
  <c r="G113" i="113"/>
  <c r="G114" s="1"/>
  <c r="G221"/>
  <c r="E319"/>
  <c r="G319" s="1"/>
  <c r="G320" s="1"/>
  <c r="J24" i="119"/>
  <c r="J258"/>
  <c r="H513"/>
  <c r="J513" s="1"/>
  <c r="J514" s="1"/>
  <c r="E303" i="150"/>
  <c r="E189"/>
  <c r="E278"/>
  <c r="E253"/>
  <c r="G298"/>
  <c r="H298" s="1"/>
  <c r="H273"/>
  <c r="J163" i="119"/>
  <c r="J164" s="1"/>
  <c r="E158" i="150"/>
  <c r="G77"/>
  <c r="H77" s="1"/>
  <c r="H57"/>
  <c r="E855" i="94"/>
  <c r="G855" s="1"/>
  <c r="G856" s="1"/>
  <c r="E208" i="113"/>
  <c r="G208" s="1"/>
  <c r="G209" s="1"/>
  <c r="D395"/>
  <c r="H376" i="119"/>
  <c r="J376" s="1"/>
  <c r="J377" s="1"/>
  <c r="J526"/>
  <c r="C111" i="182"/>
  <c r="H545" i="119"/>
  <c r="J545" s="1"/>
  <c r="J546" s="1"/>
  <c r="I10" i="146"/>
  <c r="J102" i="119"/>
  <c r="J103" s="1"/>
  <c r="J184"/>
  <c r="J185" s="1"/>
  <c r="G134" i="150"/>
  <c r="H134" s="1"/>
  <c r="G277"/>
  <c r="H568" i="119"/>
  <c r="J568" s="1"/>
  <c r="J569" s="1"/>
  <c r="B138" i="182"/>
  <c r="B47"/>
  <c r="I30"/>
  <c r="C15"/>
  <c r="G75" i="150"/>
  <c r="H55"/>
  <c r="G178"/>
  <c r="G217"/>
  <c r="H217" s="1"/>
  <c r="E343"/>
  <c r="D34"/>
  <c r="D97"/>
  <c r="D135"/>
  <c r="D179"/>
  <c r="E275"/>
  <c r="D300"/>
  <c r="E344"/>
  <c r="E19"/>
  <c r="H19" s="1"/>
  <c r="H20" s="1"/>
  <c r="G76"/>
  <c r="H76" s="1"/>
  <c r="D78"/>
  <c r="E202"/>
  <c r="E219"/>
  <c r="E304"/>
  <c r="E333"/>
  <c r="E34"/>
  <c r="H34" s="1"/>
  <c r="H36" s="1"/>
  <c r="H37" s="1"/>
  <c r="E58"/>
  <c r="E97"/>
  <c r="E135"/>
  <c r="H157"/>
  <c r="E179"/>
  <c r="L2" i="174" l="1"/>
  <c r="B2" s="1"/>
  <c r="J31" i="7"/>
  <c r="E892" i="94" s="1"/>
  <c r="G892" s="1"/>
  <c r="E73" i="190"/>
  <c r="G73" s="1"/>
  <c r="D250" i="150"/>
  <c r="D58"/>
  <c r="D202"/>
  <c r="E20" i="7"/>
  <c r="B14" i="182"/>
  <c r="B174" i="174"/>
  <c r="J17" i="7"/>
  <c r="H646" i="119" s="1"/>
  <c r="J646" s="1"/>
  <c r="H614"/>
  <c r="J614" s="1"/>
  <c r="J618" s="1"/>
  <c r="J619" s="1"/>
  <c r="H621" s="1"/>
  <c r="J621" s="1"/>
  <c r="H622" s="1"/>
  <c r="J622" s="1"/>
  <c r="J15" i="7"/>
  <c r="J9"/>
  <c r="E351" i="94" s="1"/>
  <c r="G351" s="1"/>
  <c r="J689" i="127"/>
  <c r="H690" s="1"/>
  <c r="J690" s="1"/>
  <c r="H692" s="1"/>
  <c r="J692" s="1"/>
  <c r="E41" i="113"/>
  <c r="G41" s="1"/>
  <c r="J6" i="7"/>
  <c r="G92" i="202"/>
  <c r="L50" i="140"/>
  <c r="G244" i="94"/>
  <c r="E248" s="1"/>
  <c r="J18" i="7"/>
  <c r="H250" i="119" s="1"/>
  <c r="J250" s="1"/>
  <c r="J21" i="127"/>
  <c r="H23" s="1"/>
  <c r="G267" i="113"/>
  <c r="E269" s="1"/>
  <c r="G269" s="1"/>
  <c r="G271" s="1"/>
  <c r="G272" s="1"/>
  <c r="G273" s="1"/>
  <c r="G38" i="94"/>
  <c r="E40" s="1"/>
  <c r="G40" s="1"/>
  <c r="G42" s="1"/>
  <c r="G43" s="1"/>
  <c r="G44" s="1"/>
  <c r="J19" i="7"/>
  <c r="J16"/>
  <c r="H379" i="119" s="1"/>
  <c r="J379" s="1"/>
  <c r="J10" i="7"/>
  <c r="J5"/>
  <c r="E385" i="94" s="1"/>
  <c r="G385" s="1"/>
  <c r="G43" i="141"/>
  <c r="G44" s="1"/>
  <c r="E46" s="1"/>
  <c r="G46" s="1"/>
  <c r="E47" s="1"/>
  <c r="G47" s="1"/>
  <c r="G265" i="202"/>
  <c r="G266" s="1"/>
  <c r="E268" s="1"/>
  <c r="N51" i="140"/>
  <c r="H58" i="150"/>
  <c r="J12" i="7"/>
  <c r="E422" i="94" s="1"/>
  <c r="G422" s="1"/>
  <c r="J1421" i="127"/>
  <c r="H1422" s="1"/>
  <c r="J1422" s="1"/>
  <c r="H1424" s="1"/>
  <c r="J1424" s="1"/>
  <c r="E924" i="94"/>
  <c r="G924" s="1"/>
  <c r="G925" s="1"/>
  <c r="G926" s="1"/>
  <c r="G927" s="1"/>
  <c r="G928" s="1"/>
  <c r="E27" i="190"/>
  <c r="G27" s="1"/>
  <c r="I24" i="170"/>
  <c r="S62" i="140"/>
  <c r="S56"/>
  <c r="G26" i="113"/>
  <c r="R51" i="140"/>
  <c r="J357" i="119"/>
  <c r="J11" i="7"/>
  <c r="J8"/>
  <c r="J33"/>
  <c r="H645" i="119" s="1"/>
  <c r="J645" s="1"/>
  <c r="J7" i="7"/>
  <c r="E349" i="94" s="1"/>
  <c r="G349" s="1"/>
  <c r="G177"/>
  <c r="E183" s="1"/>
  <c r="H118" i="174"/>
  <c r="K66"/>
  <c r="A66" s="1"/>
  <c r="L67"/>
  <c r="K67" s="1"/>
  <c r="A67" s="1"/>
  <c r="H719" i="127"/>
  <c r="J719" s="1"/>
  <c r="J720" s="1"/>
  <c r="E21" i="7"/>
  <c r="J21" s="1"/>
  <c r="E347" i="94" s="1"/>
  <c r="G347" s="1"/>
  <c r="L52" i="140"/>
  <c r="P51"/>
  <c r="G11" i="146"/>
  <c r="G12" s="1"/>
  <c r="G13" s="1"/>
  <c r="Q58" i="140"/>
  <c r="C2" i="184"/>
  <c r="L12" i="203"/>
  <c r="J20" i="7"/>
  <c r="H324" i="119" s="1"/>
  <c r="J324" s="1"/>
  <c r="S79" i="140"/>
  <c r="G121" i="202"/>
  <c r="E132" i="190"/>
  <c r="G132" s="1"/>
  <c r="B172" i="162"/>
  <c r="E133" i="190"/>
  <c r="G133" s="1"/>
  <c r="O51" i="140"/>
  <c r="R58"/>
  <c r="S75"/>
  <c r="G19" i="141"/>
  <c r="G20" s="1"/>
  <c r="E22" s="1"/>
  <c r="G22" s="1"/>
  <c r="J283" i="119"/>
  <c r="H284" s="1"/>
  <c r="J284" s="1"/>
  <c r="H285" s="1"/>
  <c r="J285" s="1"/>
  <c r="J445"/>
  <c r="J469"/>
  <c r="H470" s="1"/>
  <c r="J470" s="1"/>
  <c r="H471" s="1"/>
  <c r="J471" s="1"/>
  <c r="H472" s="1"/>
  <c r="J472" s="1"/>
  <c r="J473" s="1"/>
  <c r="J474" s="1"/>
  <c r="J475" s="1"/>
  <c r="B17" i="162"/>
  <c r="F69" i="174" s="1"/>
  <c r="M69" s="1"/>
  <c r="E17" i="190"/>
  <c r="G17" s="1"/>
  <c r="H1212" i="127"/>
  <c r="J1212" s="1"/>
  <c r="J1213" s="1"/>
  <c r="H1219" s="1"/>
  <c r="J1219" s="1"/>
  <c r="J1220" s="1"/>
  <c r="H291"/>
  <c r="J291" s="1"/>
  <c r="J292" s="1"/>
  <c r="H204"/>
  <c r="J204" s="1"/>
  <c r="J205" s="1"/>
  <c r="H207" s="1"/>
  <c r="J207" s="1"/>
  <c r="H95"/>
  <c r="J95" s="1"/>
  <c r="J96" s="1"/>
  <c r="H102" s="1"/>
  <c r="J102" s="1"/>
  <c r="E959" i="94"/>
  <c r="G959" s="1"/>
  <c r="H908" i="127"/>
  <c r="J908" s="1"/>
  <c r="F27" i="187"/>
  <c r="I27" s="1"/>
  <c r="I26"/>
  <c r="I34" i="164"/>
  <c r="I36" s="1"/>
  <c r="F50"/>
  <c r="C67" i="140"/>
  <c r="I67" s="1"/>
  <c r="L67" s="1"/>
  <c r="H64"/>
  <c r="L64" s="1"/>
  <c r="G357" i="113"/>
  <c r="E359" s="1"/>
  <c r="G359" s="1"/>
  <c r="G361" s="1"/>
  <c r="G362" s="1"/>
  <c r="G363" s="1"/>
  <c r="O49" i="140"/>
  <c r="Q30" i="185"/>
  <c r="S54" i="140"/>
  <c r="M4" i="197"/>
  <c r="M8" s="1"/>
  <c r="M9" s="1"/>
  <c r="M10" s="1"/>
  <c r="M11" s="1"/>
  <c r="K12" s="1"/>
  <c r="K16" s="1"/>
  <c r="F56" i="164"/>
  <c r="I23" i="199"/>
  <c r="I24" s="1"/>
  <c r="E21" i="190" s="1"/>
  <c r="F28" i="199"/>
  <c r="I28" s="1"/>
  <c r="I30" s="1"/>
  <c r="E221" i="94"/>
  <c r="G221" s="1"/>
  <c r="G222" s="1"/>
  <c r="G223" s="1"/>
  <c r="G224" s="1"/>
  <c r="G225" s="1"/>
  <c r="H550" i="119"/>
  <c r="J550" s="1"/>
  <c r="P49" i="140"/>
  <c r="R49"/>
  <c r="J667" i="127"/>
  <c r="H668" s="1"/>
  <c r="J668" s="1"/>
  <c r="H670" s="1"/>
  <c r="J670" s="1"/>
  <c r="O30" i="185"/>
  <c r="E169" i="174"/>
  <c r="F16"/>
  <c r="I22" i="165"/>
  <c r="F27"/>
  <c r="I27" s="1"/>
  <c r="F23"/>
  <c r="I24" i="186"/>
  <c r="F25"/>
  <c r="I25" s="1"/>
  <c r="O65" i="140"/>
  <c r="P65"/>
  <c r="Q65"/>
  <c r="N65"/>
  <c r="R65"/>
  <c r="I55" i="164"/>
  <c r="F60"/>
  <c r="G13" i="175"/>
  <c r="G16" s="1"/>
  <c r="K8" i="191"/>
  <c r="G14" i="175"/>
  <c r="J169" i="119"/>
  <c r="H170" s="1"/>
  <c r="J170" s="1"/>
  <c r="H171" s="1"/>
  <c r="J171" s="1"/>
  <c r="H135" i="150"/>
  <c r="E353" i="94"/>
  <c r="G353" s="1"/>
  <c r="C3" i="174"/>
  <c r="K102"/>
  <c r="E134" i="190"/>
  <c r="G134" s="1"/>
  <c r="Q49" i="140"/>
  <c r="C175" i="174"/>
  <c r="E75" i="94"/>
  <c r="G75" s="1"/>
  <c r="G76" s="1"/>
  <c r="G77" s="1"/>
  <c r="G78" s="1"/>
  <c r="G265" i="150"/>
  <c r="H265" s="1"/>
  <c r="G240"/>
  <c r="H240" s="1"/>
  <c r="G313"/>
  <c r="H313" s="1"/>
  <c r="G171"/>
  <c r="H171" s="1"/>
  <c r="G127"/>
  <c r="H127" s="1"/>
  <c r="G290"/>
  <c r="H290" s="1"/>
  <c r="E336" i="113"/>
  <c r="G336" s="1"/>
  <c r="G338" s="1"/>
  <c r="G339" s="1"/>
  <c r="G340" s="1"/>
  <c r="H1129" i="127"/>
  <c r="J1129" s="1"/>
  <c r="J1130" s="1"/>
  <c r="E289" i="202"/>
  <c r="E173" i="113"/>
  <c r="G173" s="1"/>
  <c r="G174" s="1"/>
  <c r="G175" s="1"/>
  <c r="G176" s="1"/>
  <c r="G177" s="1"/>
  <c r="E59" i="94"/>
  <c r="G59" s="1"/>
  <c r="G60" s="1"/>
  <c r="G61" s="1"/>
  <c r="G62" s="1"/>
  <c r="G16"/>
  <c r="E18"/>
  <c r="H1241" i="127"/>
  <c r="J1241" s="1"/>
  <c r="J1242" s="1"/>
  <c r="H43"/>
  <c r="J43" s="1"/>
  <c r="J44" s="1"/>
  <c r="G302" i="150"/>
  <c r="H277"/>
  <c r="E309" i="113"/>
  <c r="G309" s="1"/>
  <c r="G311" s="1"/>
  <c r="G312" s="1"/>
  <c r="G313" s="1"/>
  <c r="E43"/>
  <c r="G43" s="1"/>
  <c r="G44" s="1"/>
  <c r="C54" i="7"/>
  <c r="C46"/>
  <c r="H7" i="146"/>
  <c r="K6"/>
  <c r="D125" i="190"/>
  <c r="D126" s="1"/>
  <c r="D127" s="1"/>
  <c r="E124"/>
  <c r="G124" s="1"/>
  <c r="B45" i="199"/>
  <c r="D124" i="141"/>
  <c r="B45" i="165"/>
  <c r="D396" i="113"/>
  <c r="B40" i="165"/>
  <c r="D119" i="141"/>
  <c r="B40" i="199"/>
  <c r="D298" i="202" s="1"/>
  <c r="D75" i="190"/>
  <c r="E15" i="113"/>
  <c r="H585" i="119" s="1"/>
  <c r="E27" i="113"/>
  <c r="G27" s="1"/>
  <c r="G28" s="1"/>
  <c r="E286" i="94"/>
  <c r="J645" i="127"/>
  <c r="H178" i="150"/>
  <c r="H179" s="1"/>
  <c r="G201"/>
  <c r="E103" i="94"/>
  <c r="G103" s="1"/>
  <c r="G104" s="1"/>
  <c r="E388"/>
  <c r="G388" s="1"/>
  <c r="D30" i="190"/>
  <c r="E30" s="1"/>
  <c r="G30" s="1"/>
  <c r="E894" i="94"/>
  <c r="G894" s="1"/>
  <c r="G863"/>
  <c r="H48" i="150"/>
  <c r="G69"/>
  <c r="H69" s="1"/>
  <c r="J7" i="146"/>
  <c r="L6"/>
  <c r="L8" i="147"/>
  <c r="G682" i="119"/>
  <c r="D26" i="171"/>
  <c r="E357" i="150" s="1"/>
  <c r="G43" i="201"/>
  <c r="G82" i="202"/>
  <c r="E111"/>
  <c r="G678" i="119"/>
  <c r="E34" i="175" s="1"/>
  <c r="D36" i="191" s="1"/>
  <c r="D22" i="171"/>
  <c r="C150" i="190"/>
  <c r="J1369" i="127"/>
  <c r="J1370" s="1"/>
  <c r="J1371" s="1"/>
  <c r="J1372" s="1"/>
  <c r="F12" i="197"/>
  <c r="F16" s="1"/>
  <c r="F24" s="1"/>
  <c r="I12"/>
  <c r="I16" s="1"/>
  <c r="H833" i="127"/>
  <c r="J833" s="1"/>
  <c r="H835" s="1"/>
  <c r="J835" s="1"/>
  <c r="H832"/>
  <c r="J832" s="1"/>
  <c r="H272"/>
  <c r="J272" s="1"/>
  <c r="J273" s="1"/>
  <c r="E322" i="113"/>
  <c r="G322" s="1"/>
  <c r="G324" s="1"/>
  <c r="G325" s="1"/>
  <c r="G326" s="1"/>
  <c r="E828" i="94"/>
  <c r="G828" s="1"/>
  <c r="E785"/>
  <c r="G785" s="1"/>
  <c r="E585"/>
  <c r="G585" s="1"/>
  <c r="E744"/>
  <c r="G744" s="1"/>
  <c r="E701"/>
  <c r="G701" s="1"/>
  <c r="E628"/>
  <c r="G628" s="1"/>
  <c r="E556"/>
  <c r="G556" s="1"/>
  <c r="E528"/>
  <c r="G528" s="1"/>
  <c r="E668"/>
  <c r="G668" s="1"/>
  <c r="E207" i="202"/>
  <c r="G207" s="1"/>
  <c r="E41"/>
  <c r="E95" i="141"/>
  <c r="G95" s="1"/>
  <c r="E69"/>
  <c r="G69" s="1"/>
  <c r="E291" i="113"/>
  <c r="G291" s="1"/>
  <c r="G293" s="1"/>
  <c r="G294" s="1"/>
  <c r="G295" s="1"/>
  <c r="G65"/>
  <c r="E67" s="1"/>
  <c r="H218" i="119"/>
  <c r="J218" s="1"/>
  <c r="H74"/>
  <c r="J74" s="1"/>
  <c r="G51" i="150"/>
  <c r="H516" i="119"/>
  <c r="J516" s="1"/>
  <c r="H187"/>
  <c r="J187" s="1"/>
  <c r="H43"/>
  <c r="J43" s="1"/>
  <c r="E84" i="113"/>
  <c r="G84" s="1"/>
  <c r="E211"/>
  <c r="G211" s="1"/>
  <c r="E858" i="94"/>
  <c r="G858" s="1"/>
  <c r="H15" i="119"/>
  <c r="J15" s="1"/>
  <c r="H1463" i="127"/>
  <c r="J1463" s="1"/>
  <c r="H880"/>
  <c r="J880" s="1"/>
  <c r="H850"/>
  <c r="J850" s="1"/>
  <c r="H1098"/>
  <c r="J1098" s="1"/>
  <c r="H431"/>
  <c r="J431" s="1"/>
  <c r="H401"/>
  <c r="J401" s="1"/>
  <c r="H371"/>
  <c r="J371" s="1"/>
  <c r="H341"/>
  <c r="J341" s="1"/>
  <c r="H150"/>
  <c r="J150" s="1"/>
  <c r="H120"/>
  <c r="J120" s="1"/>
  <c r="H764"/>
  <c r="J764" s="1"/>
  <c r="H63"/>
  <c r="J63" s="1"/>
  <c r="E471" i="94"/>
  <c r="G471" s="1"/>
  <c r="G473" s="1"/>
  <c r="E475" s="1"/>
  <c r="G475" s="1"/>
  <c r="E447"/>
  <c r="G447" s="1"/>
  <c r="G448" s="1"/>
  <c r="E450" s="1"/>
  <c r="E208" i="202"/>
  <c r="G208" s="1"/>
  <c r="E40"/>
  <c r="E96" i="141"/>
  <c r="G96" s="1"/>
  <c r="E70"/>
  <c r="G70" s="1"/>
  <c r="F168" i="202"/>
  <c r="G168" s="1"/>
  <c r="D92" i="190"/>
  <c r="D35"/>
  <c r="E34"/>
  <c r="G34" s="1"/>
  <c r="D58"/>
  <c r="E57"/>
  <c r="G57" s="1"/>
  <c r="C678" i="119"/>
  <c r="B34" i="175" s="1"/>
  <c r="B36" i="191" s="1"/>
  <c r="B150" i="190"/>
  <c r="B22" i="171"/>
  <c r="D41" i="190"/>
  <c r="E40"/>
  <c r="G40" s="1"/>
  <c r="E396" i="113"/>
  <c r="E119" i="141"/>
  <c r="G943" i="94"/>
  <c r="G944" s="1"/>
  <c r="G945" s="1"/>
  <c r="G124"/>
  <c r="G93" i="150"/>
  <c r="H93" s="1"/>
  <c r="H75"/>
  <c r="H78" s="1"/>
  <c r="E247" i="113"/>
  <c r="G247" s="1"/>
  <c r="G249" s="1"/>
  <c r="G250" s="1"/>
  <c r="G251" s="1"/>
  <c r="E22" i="7"/>
  <c r="J22" s="1"/>
  <c r="E346" i="94" s="1"/>
  <c r="G346" s="1"/>
  <c r="D23" i="7"/>
  <c r="G59" i="202"/>
  <c r="H487" i="119"/>
  <c r="J487" s="1"/>
  <c r="H411"/>
  <c r="J411" s="1"/>
  <c r="H1385" i="127"/>
  <c r="J1385" s="1"/>
  <c r="H433"/>
  <c r="J433" s="1"/>
  <c r="H462"/>
  <c r="J462" s="1"/>
  <c r="E496" i="94"/>
  <c r="G496" s="1"/>
  <c r="G498" s="1"/>
  <c r="E500" s="1"/>
  <c r="F165" i="202"/>
  <c r="G165" s="1"/>
  <c r="E838" i="94"/>
  <c r="G838" s="1"/>
  <c r="E314"/>
  <c r="G314" s="1"/>
  <c r="H1264" i="127"/>
  <c r="J1264" s="1"/>
  <c r="H1151"/>
  <c r="J1151" s="1"/>
  <c r="H883"/>
  <c r="J883" s="1"/>
  <c r="H463"/>
  <c r="J463" s="1"/>
  <c r="H404"/>
  <c r="J404" s="1"/>
  <c r="H151"/>
  <c r="J151" s="1"/>
  <c r="H123"/>
  <c r="J123" s="1"/>
  <c r="C15" i="7"/>
  <c r="C17" s="1"/>
  <c r="C19" s="1"/>
  <c r="C21" s="1"/>
  <c r="C22" s="1"/>
  <c r="C6"/>
  <c r="C7" s="1"/>
  <c r="C8" s="1"/>
  <c r="C9" s="1"/>
  <c r="C10" s="1"/>
  <c r="C11" s="1"/>
  <c r="C12" s="1"/>
  <c r="C682" i="119"/>
  <c r="B155" i="190"/>
  <c r="B26" i="171"/>
  <c r="D357" i="150" s="1"/>
  <c r="G38" i="201"/>
  <c r="Q86" i="185"/>
  <c r="C32" i="189"/>
  <c r="E30" i="171"/>
  <c r="H37" i="203" s="1"/>
  <c r="E304" i="202"/>
  <c r="I48" i="165"/>
  <c r="C22" i="139"/>
  <c r="H21" i="150"/>
  <c r="G93" i="94"/>
  <c r="G94" s="1"/>
  <c r="G95" s="1"/>
  <c r="G268"/>
  <c r="G269" s="1"/>
  <c r="G270" s="1"/>
  <c r="J12" i="164" s="1"/>
  <c r="E154" i="94"/>
  <c r="G240" i="202"/>
  <c r="G241" s="1"/>
  <c r="H351" i="119" l="1"/>
  <c r="J351" s="1"/>
  <c r="H46"/>
  <c r="J46" s="1"/>
  <c r="G70" i="150"/>
  <c r="H70" s="1"/>
  <c r="H1262" i="127"/>
  <c r="J1262" s="1"/>
  <c r="H403"/>
  <c r="J403" s="1"/>
  <c r="H189" i="119"/>
  <c r="J189" s="1"/>
  <c r="H372" i="127"/>
  <c r="J372" s="1"/>
  <c r="G49" i="150"/>
  <c r="H49" s="1"/>
  <c r="H137" i="119"/>
  <c r="J137" s="1"/>
  <c r="H221"/>
  <c r="J221" s="1"/>
  <c r="H65" i="127"/>
  <c r="J65" s="1"/>
  <c r="H1181"/>
  <c r="J1181" s="1"/>
  <c r="H349" i="119"/>
  <c r="J349" s="1"/>
  <c r="H188"/>
  <c r="J188" s="1"/>
  <c r="H381"/>
  <c r="J381" s="1"/>
  <c r="H16"/>
  <c r="J16" s="1"/>
  <c r="E116" i="113"/>
  <c r="G116" s="1"/>
  <c r="H77" i="119"/>
  <c r="J77" s="1"/>
  <c r="H251"/>
  <c r="J251" s="1"/>
  <c r="H412"/>
  <c r="J412" s="1"/>
  <c r="H350"/>
  <c r="J350" s="1"/>
  <c r="H519"/>
  <c r="J519" s="1"/>
  <c r="E214" i="113"/>
  <c r="G214" s="1"/>
  <c r="E622" i="94"/>
  <c r="G622" s="1"/>
  <c r="E87" i="113"/>
  <c r="G87" s="1"/>
  <c r="E142"/>
  <c r="G142" s="1"/>
  <c r="H644" i="119"/>
  <c r="J644" s="1"/>
  <c r="H488"/>
  <c r="J488" s="1"/>
  <c r="E861" i="94"/>
  <c r="G861" s="1"/>
  <c r="H107" i="119"/>
  <c r="J107" s="1"/>
  <c r="H190"/>
  <c r="J190" s="1"/>
  <c r="E117" i="113"/>
  <c r="G117" s="1"/>
  <c r="E312" i="94"/>
  <c r="H413" i="119"/>
  <c r="J413" s="1"/>
  <c r="I50" i="164"/>
  <c r="I52" s="1"/>
  <c r="F90"/>
  <c r="I90" s="1"/>
  <c r="I91" s="1"/>
  <c r="H853" i="127"/>
  <c r="J853" s="1"/>
  <c r="H66"/>
  <c r="J66" s="1"/>
  <c r="H1099"/>
  <c r="J1099" s="1"/>
  <c r="E103" i="141"/>
  <c r="G103" s="1"/>
  <c r="H608" i="127"/>
  <c r="J608" s="1"/>
  <c r="H1297"/>
  <c r="J1297" s="1"/>
  <c r="H1465"/>
  <c r="J1465" s="1"/>
  <c r="E213" i="113"/>
  <c r="G213" s="1"/>
  <c r="H220" i="119"/>
  <c r="J220" s="1"/>
  <c r="H108"/>
  <c r="J108" s="1"/>
  <c r="H493" i="127"/>
  <c r="J493" s="1"/>
  <c r="H434"/>
  <c r="J434" s="1"/>
  <c r="H1332"/>
  <c r="J1332" s="1"/>
  <c r="E215" i="202"/>
  <c r="G215" s="1"/>
  <c r="H542" i="127"/>
  <c r="J542" s="1"/>
  <c r="H1150"/>
  <c r="J1150" s="1"/>
  <c r="H1331"/>
  <c r="J1331" s="1"/>
  <c r="E860" i="94"/>
  <c r="G860" s="1"/>
  <c r="H106" i="119"/>
  <c r="J106" s="1"/>
  <c r="H382"/>
  <c r="J382" s="1"/>
  <c r="E797" i="94"/>
  <c r="G797" s="1"/>
  <c r="M6" i="146"/>
  <c r="G31" s="1"/>
  <c r="L31" s="1"/>
  <c r="F50" i="7" s="1"/>
  <c r="J50" s="1"/>
  <c r="J694" i="127"/>
  <c r="J695" s="1"/>
  <c r="J696" s="1"/>
  <c r="H541"/>
  <c r="J541" s="1"/>
  <c r="H1061"/>
  <c r="J1061" s="1"/>
  <c r="E135" i="202"/>
  <c r="G135" s="1"/>
  <c r="H1384" i="127"/>
  <c r="J1384" s="1"/>
  <c r="H44" i="119"/>
  <c r="J44" s="1"/>
  <c r="H410"/>
  <c r="J410" s="1"/>
  <c r="H851" i="127"/>
  <c r="J851" s="1"/>
  <c r="H75" i="119"/>
  <c r="J75" s="1"/>
  <c r="F177" i="202"/>
  <c r="G177" s="1"/>
  <c r="E893" i="94"/>
  <c r="G893" s="1"/>
  <c r="E960"/>
  <c r="G960" s="1"/>
  <c r="G961" s="1"/>
  <c r="G962" s="1"/>
  <c r="E974" s="1"/>
  <c r="G974" s="1"/>
  <c r="G975" s="1"/>
  <c r="E977" s="1"/>
  <c r="G977" s="1"/>
  <c r="G978" s="1"/>
  <c r="G979" s="1"/>
  <c r="G980" s="1"/>
  <c r="G981" s="1"/>
  <c r="H47" i="119"/>
  <c r="J47" s="1"/>
  <c r="H78"/>
  <c r="J78" s="1"/>
  <c r="H252"/>
  <c r="J252" s="1"/>
  <c r="H191"/>
  <c r="J191" s="1"/>
  <c r="H491" i="127"/>
  <c r="J491" s="1"/>
  <c r="H574"/>
  <c r="J574" s="1"/>
  <c r="H1464"/>
  <c r="J1464" s="1"/>
  <c r="E212" i="113"/>
  <c r="G212" s="1"/>
  <c r="H219" i="119"/>
  <c r="J219" s="1"/>
  <c r="E795" i="94"/>
  <c r="G795" s="1"/>
  <c r="E862"/>
  <c r="G862" s="1"/>
  <c r="H17" i="119"/>
  <c r="J17" s="1"/>
  <c r="H121" i="127"/>
  <c r="J121" s="1"/>
  <c r="H1330"/>
  <c r="J1330" s="1"/>
  <c r="H486" i="119"/>
  <c r="J486" s="1"/>
  <c r="E101" i="141"/>
  <c r="G101" s="1"/>
  <c r="H342" i="127"/>
  <c r="J342" s="1"/>
  <c r="H1180"/>
  <c r="J1180" s="1"/>
  <c r="H964"/>
  <c r="J964" s="1"/>
  <c r="E85" i="113"/>
  <c r="G85" s="1"/>
  <c r="H135" i="119"/>
  <c r="J135" s="1"/>
  <c r="H222"/>
  <c r="J222" s="1"/>
  <c r="E143" i="113"/>
  <c r="G143" s="1"/>
  <c r="G50" i="150"/>
  <c r="H50" s="1"/>
  <c r="H138" i="119"/>
  <c r="J138" s="1"/>
  <c r="E95" i="202"/>
  <c r="G95" s="1"/>
  <c r="E711" i="94"/>
  <c r="G711" s="1"/>
  <c r="H432" i="127"/>
  <c r="J432" s="1"/>
  <c r="H461"/>
  <c r="J461" s="1"/>
  <c r="H1296"/>
  <c r="J1296" s="1"/>
  <c r="E859" i="94"/>
  <c r="E890" s="1"/>
  <c r="G890" s="1"/>
  <c r="G52" i="150"/>
  <c r="H52" s="1"/>
  <c r="H105" i="119"/>
  <c r="J105" s="1"/>
  <c r="E623" i="94"/>
  <c r="G623" s="1"/>
  <c r="E215" i="113"/>
  <c r="G215" s="1"/>
  <c r="E88"/>
  <c r="G88" s="1"/>
  <c r="H520" i="119"/>
  <c r="J520" s="1"/>
  <c r="H489"/>
  <c r="J489" s="1"/>
  <c r="G71" i="150"/>
  <c r="H71" s="1"/>
  <c r="E68" i="141"/>
  <c r="G68" s="1"/>
  <c r="H607" i="127"/>
  <c r="J607" s="1"/>
  <c r="H402"/>
  <c r="J402" s="1"/>
  <c r="J406" s="1"/>
  <c r="H64"/>
  <c r="J64" s="1"/>
  <c r="H881"/>
  <c r="J881" s="1"/>
  <c r="H1149"/>
  <c r="J1149" s="1"/>
  <c r="E620" i="94"/>
  <c r="G620" s="1"/>
  <c r="H348" i="119"/>
  <c r="J348" s="1"/>
  <c r="J353" s="1"/>
  <c r="H249"/>
  <c r="J249" s="1"/>
  <c r="H517"/>
  <c r="J517" s="1"/>
  <c r="E754" i="94"/>
  <c r="G754" s="1"/>
  <c r="S52" i="140"/>
  <c r="J103" i="127"/>
  <c r="J104" s="1"/>
  <c r="J105" s="1"/>
  <c r="J106" s="1"/>
  <c r="J107" s="1"/>
  <c r="E836" i="94"/>
  <c r="G836" s="1"/>
  <c r="E43" i="202"/>
  <c r="G43" s="1"/>
  <c r="S50" i="140"/>
  <c r="E213" i="202"/>
  <c r="G213" s="1"/>
  <c r="H609" i="127"/>
  <c r="J609" s="1"/>
  <c r="H374"/>
  <c r="J374" s="1"/>
  <c r="H576"/>
  <c r="J576" s="1"/>
  <c r="H1386"/>
  <c r="J1386" s="1"/>
  <c r="H1063"/>
  <c r="J1063" s="1"/>
  <c r="H966"/>
  <c r="J966" s="1"/>
  <c r="E138" i="202"/>
  <c r="G138" s="1"/>
  <c r="E714" i="94"/>
  <c r="G714" s="1"/>
  <c r="H575" i="127"/>
  <c r="J575" s="1"/>
  <c r="H492"/>
  <c r="J492" s="1"/>
  <c r="J495" s="1"/>
  <c r="H373"/>
  <c r="J373" s="1"/>
  <c r="H1062"/>
  <c r="J1062" s="1"/>
  <c r="H1263"/>
  <c r="J1263" s="1"/>
  <c r="H882"/>
  <c r="J882" s="1"/>
  <c r="H136" i="119"/>
  <c r="J136" s="1"/>
  <c r="H518"/>
  <c r="J518" s="1"/>
  <c r="H45"/>
  <c r="J45" s="1"/>
  <c r="H76"/>
  <c r="J76" s="1"/>
  <c r="H647"/>
  <c r="J647" s="1"/>
  <c r="J648" s="1"/>
  <c r="J659" s="1"/>
  <c r="J660" s="1"/>
  <c r="H662" s="1"/>
  <c r="J662" s="1"/>
  <c r="H663" s="1"/>
  <c r="J663" s="1"/>
  <c r="J664" s="1"/>
  <c r="H543" i="127"/>
  <c r="J543" s="1"/>
  <c r="H344"/>
  <c r="J344" s="1"/>
  <c r="H766"/>
  <c r="J766" s="1"/>
  <c r="H1182"/>
  <c r="J1182" s="1"/>
  <c r="H1466"/>
  <c r="J1466" s="1"/>
  <c r="H1298"/>
  <c r="J1298" s="1"/>
  <c r="E44" i="202"/>
  <c r="G44" s="1"/>
  <c r="H122" i="127"/>
  <c r="J122" s="1"/>
  <c r="H343"/>
  <c r="J343" s="1"/>
  <c r="H765"/>
  <c r="J765" s="1"/>
  <c r="H965"/>
  <c r="J965" s="1"/>
  <c r="H852"/>
  <c r="J852" s="1"/>
  <c r="E621" i="94"/>
  <c r="G621" s="1"/>
  <c r="H380" i="119"/>
  <c r="J380" s="1"/>
  <c r="E86" i="113"/>
  <c r="G86" s="1"/>
  <c r="G53" i="150"/>
  <c r="H53" s="1"/>
  <c r="B36" i="162"/>
  <c r="G21" i="190"/>
  <c r="B173" i="162"/>
  <c r="E138" i="190"/>
  <c r="G138" s="1"/>
  <c r="E137" i="202"/>
  <c r="G137" s="1"/>
  <c r="E313" i="94"/>
  <c r="G313" s="1"/>
  <c r="E837"/>
  <c r="G837" s="1"/>
  <c r="E557"/>
  <c r="G557" s="1"/>
  <c r="G558" s="1"/>
  <c r="E560" s="1"/>
  <c r="G560" s="1"/>
  <c r="G561" s="1"/>
  <c r="G562" s="1"/>
  <c r="G563" s="1"/>
  <c r="G564" s="1"/>
  <c r="E756"/>
  <c r="G756" s="1"/>
  <c r="E418"/>
  <c r="G418" s="1"/>
  <c r="E386"/>
  <c r="G386" s="1"/>
  <c r="G392" s="1"/>
  <c r="E394" s="1"/>
  <c r="G394" s="1"/>
  <c r="E586"/>
  <c r="G586" s="1"/>
  <c r="G587" s="1"/>
  <c r="E214" i="202"/>
  <c r="G214" s="1"/>
  <c r="E713" i="94"/>
  <c r="G713" s="1"/>
  <c r="F179" i="202"/>
  <c r="G179" s="1"/>
  <c r="E102" i="141"/>
  <c r="G102" s="1"/>
  <c r="F180" i="202"/>
  <c r="G180" s="1"/>
  <c r="E348" i="94"/>
  <c r="G348" s="1"/>
  <c r="G356" s="1"/>
  <c r="H317" i="127"/>
  <c r="J317" s="1"/>
  <c r="E67" i="141"/>
  <c r="G67" s="1"/>
  <c r="E709" i="94"/>
  <c r="G709" s="1"/>
  <c r="G312"/>
  <c r="E420"/>
  <c r="G420" s="1"/>
  <c r="E752"/>
  <c r="G752" s="1"/>
  <c r="E133" i="202"/>
  <c r="G133" s="1"/>
  <c r="E212"/>
  <c r="G212" s="1"/>
  <c r="E670" i="94"/>
  <c r="G670" s="1"/>
  <c r="F178" i="202"/>
  <c r="G178" s="1"/>
  <c r="E94"/>
  <c r="G94" s="1"/>
  <c r="E793" i="94"/>
  <c r="G793" s="1"/>
  <c r="G671"/>
  <c r="G672" s="1"/>
  <c r="E675" s="1"/>
  <c r="G675" s="1"/>
  <c r="G676" s="1"/>
  <c r="G677" s="1"/>
  <c r="G678" s="1"/>
  <c r="G679" s="1"/>
  <c r="E100" i="141"/>
  <c r="G100" s="1"/>
  <c r="E529" i="94"/>
  <c r="G529" s="1"/>
  <c r="G530" s="1"/>
  <c r="E532" s="1"/>
  <c r="G532" s="1"/>
  <c r="G533" s="1"/>
  <c r="G534" s="1"/>
  <c r="G535" s="1"/>
  <c r="G536" s="1"/>
  <c r="J66" i="164" s="1"/>
  <c r="C12" i="197"/>
  <c r="C16" s="1"/>
  <c r="C24" s="1"/>
  <c r="L68" i="174"/>
  <c r="K68" s="1"/>
  <c r="A68" s="1"/>
  <c r="E12" i="197"/>
  <c r="E16" s="1"/>
  <c r="E24" s="1"/>
  <c r="L12"/>
  <c r="L16" s="1"/>
  <c r="B12"/>
  <c r="B16" s="1"/>
  <c r="H446" i="119"/>
  <c r="J446" s="1"/>
  <c r="H447" s="1"/>
  <c r="J447" s="1"/>
  <c r="H665"/>
  <c r="J665" s="1"/>
  <c r="D12" i="197"/>
  <c r="D16" s="1"/>
  <c r="D24" s="1"/>
  <c r="G12"/>
  <c r="G16" s="1"/>
  <c r="G24" s="1"/>
  <c r="J12"/>
  <c r="J16" s="1"/>
  <c r="J1101" i="127"/>
  <c r="H1108" s="1"/>
  <c r="J1108" s="1"/>
  <c r="J1109" s="1"/>
  <c r="J1110" s="1"/>
  <c r="J1111" s="1"/>
  <c r="J1112" s="1"/>
  <c r="J1113" s="1"/>
  <c r="A12" i="197"/>
  <c r="A16" s="1"/>
  <c r="H12"/>
  <c r="H16" s="1"/>
  <c r="H24" s="1"/>
  <c r="J173" i="119"/>
  <c r="J174" s="1"/>
  <c r="J175" s="1"/>
  <c r="J99" i="187" s="1"/>
  <c r="L99" s="1"/>
  <c r="J288" i="119"/>
  <c r="J289" s="1"/>
  <c r="J290" s="1"/>
  <c r="B37" i="162"/>
  <c r="E22" i="190"/>
  <c r="G22" s="1"/>
  <c r="F61" i="164"/>
  <c r="I56"/>
  <c r="I57" s="1"/>
  <c r="B22" i="162" s="1"/>
  <c r="F75" i="174" s="1"/>
  <c r="M75" s="1"/>
  <c r="O67" i="140"/>
  <c r="P67"/>
  <c r="Q67"/>
  <c r="R67"/>
  <c r="N67"/>
  <c r="F28" i="165"/>
  <c r="I28" s="1"/>
  <c r="I30" s="1"/>
  <c r="I23"/>
  <c r="L68" i="140"/>
  <c r="P64"/>
  <c r="Q64"/>
  <c r="R64"/>
  <c r="N64"/>
  <c r="O64"/>
  <c r="J1426" i="127"/>
  <c r="J1427" s="1"/>
  <c r="J1428" s="1"/>
  <c r="H1441" s="1"/>
  <c r="J1441" s="1"/>
  <c r="J1442" s="1"/>
  <c r="J208"/>
  <c r="J209" s="1"/>
  <c r="J210" s="1"/>
  <c r="J211" s="1"/>
  <c r="J212" s="1"/>
  <c r="I34" i="187"/>
  <c r="I60" i="164"/>
  <c r="F85"/>
  <c r="I85" s="1"/>
  <c r="E10" i="190"/>
  <c r="G10" s="1"/>
  <c r="B18" i="162"/>
  <c r="F71" i="174" s="1"/>
  <c r="M71" s="1"/>
  <c r="G97" i="141"/>
  <c r="I31" i="186"/>
  <c r="G18" i="175"/>
  <c r="L8" i="191"/>
  <c r="J911" i="127"/>
  <c r="J910"/>
  <c r="J918" s="1"/>
  <c r="H924" s="1"/>
  <c r="J924" s="1"/>
  <c r="J925" s="1"/>
  <c r="J934" s="1"/>
  <c r="I24" i="165"/>
  <c r="E28" i="190" s="1"/>
  <c r="J45" i="127"/>
  <c r="J46" s="1"/>
  <c r="J47" s="1"/>
  <c r="J49" s="1"/>
  <c r="J50" s="1"/>
  <c r="J1131"/>
  <c r="J1132" s="1"/>
  <c r="J1133" s="1"/>
  <c r="J1134" s="1"/>
  <c r="E243" i="202"/>
  <c r="J837" i="127"/>
  <c r="J838" s="1"/>
  <c r="J839" s="1"/>
  <c r="J1222"/>
  <c r="J1223" s="1"/>
  <c r="J1224" s="1"/>
  <c r="J1221"/>
  <c r="E129" i="94"/>
  <c r="E48" i="113"/>
  <c r="G48" s="1"/>
  <c r="G49" s="1"/>
  <c r="G50" s="1"/>
  <c r="G51" s="1"/>
  <c r="G52" s="1"/>
  <c r="G53" s="1"/>
  <c r="J51" i="168"/>
  <c r="G85" i="162"/>
  <c r="H85" s="1"/>
  <c r="N85" s="1"/>
  <c r="G263" i="150"/>
  <c r="H263" s="1"/>
  <c r="G238"/>
  <c r="H238" s="1"/>
  <c r="G288"/>
  <c r="H288" s="1"/>
  <c r="D24" i="7"/>
  <c r="E23"/>
  <c r="J23" s="1"/>
  <c r="E67" i="202"/>
  <c r="E124"/>
  <c r="G124" s="1"/>
  <c r="G40"/>
  <c r="G13" i="162"/>
  <c r="H13" s="1"/>
  <c r="N13" s="1"/>
  <c r="L12" i="164"/>
  <c r="D360" i="150"/>
  <c r="H34" i="175"/>
  <c r="H36" i="191" s="1"/>
  <c r="H51" i="150"/>
  <c r="G72"/>
  <c r="H72" s="1"/>
  <c r="E112" i="202"/>
  <c r="G111"/>
  <c r="H201" i="150"/>
  <c r="G218"/>
  <c r="G248" i="94"/>
  <c r="D76" i="190"/>
  <c r="E75"/>
  <c r="G75" s="1"/>
  <c r="H8" i="146"/>
  <c r="K7"/>
  <c r="C55" i="7"/>
  <c r="C47"/>
  <c r="G18" i="94"/>
  <c r="E19" s="1"/>
  <c r="G19" s="1"/>
  <c r="G20" s="1"/>
  <c r="G22" s="1"/>
  <c r="H97" i="150"/>
  <c r="H100" s="1"/>
  <c r="H101" s="1"/>
  <c r="H102" s="1"/>
  <c r="G48" i="141"/>
  <c r="G49" s="1"/>
  <c r="K27" i="140" s="1"/>
  <c r="J153" i="127"/>
  <c r="G209" i="202"/>
  <c r="J672" i="127"/>
  <c r="J673" s="1"/>
  <c r="J674" s="1"/>
  <c r="H736" s="1"/>
  <c r="J736" s="1"/>
  <c r="J738" s="1"/>
  <c r="J465"/>
  <c r="C24" i="7"/>
  <c r="C26" s="1"/>
  <c r="C28" s="1"/>
  <c r="C23"/>
  <c r="C25" s="1"/>
  <c r="C27" s="1"/>
  <c r="C29" s="1"/>
  <c r="D93" i="190"/>
  <c r="E92"/>
  <c r="G92" s="1"/>
  <c r="J48" i="150"/>
  <c r="J721" i="127"/>
  <c r="J722" s="1"/>
  <c r="J723" s="1"/>
  <c r="J724" s="1"/>
  <c r="G154" i="94"/>
  <c r="E155" s="1"/>
  <c r="G155" s="1"/>
  <c r="E891"/>
  <c r="G891" s="1"/>
  <c r="D353" i="150"/>
  <c r="B32" i="203"/>
  <c r="D59" i="190"/>
  <c r="E58"/>
  <c r="G58" s="1"/>
  <c r="D36"/>
  <c r="E36" s="1"/>
  <c r="G36" s="1"/>
  <c r="E35"/>
  <c r="G35" s="1"/>
  <c r="G450" i="94"/>
  <c r="E451" s="1"/>
  <c r="G451" s="1"/>
  <c r="G452" s="1"/>
  <c r="G453" s="1"/>
  <c r="G454" s="1"/>
  <c r="G455" s="1"/>
  <c r="J62" i="164" s="1"/>
  <c r="G41" i="202"/>
  <c r="E42"/>
  <c r="G42" s="1"/>
  <c r="E66"/>
  <c r="L7" i="146"/>
  <c r="J8"/>
  <c r="B47" i="165"/>
  <c r="D304" i="202"/>
  <c r="B30" i="171"/>
  <c r="H32" i="203" s="1"/>
  <c r="J9" i="147"/>
  <c r="M8"/>
  <c r="G289" i="202"/>
  <c r="E290" s="1"/>
  <c r="G290" s="1"/>
  <c r="J623" i="119"/>
  <c r="J624" s="1"/>
  <c r="J625" s="1"/>
  <c r="E23" i="141"/>
  <c r="G23" s="1"/>
  <c r="G24" s="1"/>
  <c r="G25" s="1"/>
  <c r="K35" i="140" s="1"/>
  <c r="G476" i="94"/>
  <c r="G477" s="1"/>
  <c r="G478" s="1"/>
  <c r="G479" s="1"/>
  <c r="J78" i="164" s="1"/>
  <c r="J1153" i="127"/>
  <c r="J384" i="119"/>
  <c r="G67" i="113"/>
  <c r="G68" s="1"/>
  <c r="G69" s="1"/>
  <c r="G70" s="1"/>
  <c r="G71" s="1"/>
  <c r="G72" s="1"/>
  <c r="J274" i="127"/>
  <c r="J275" s="1"/>
  <c r="J276" s="1"/>
  <c r="J277" s="1"/>
  <c r="E353" i="150"/>
  <c r="C32" i="203"/>
  <c r="F360" i="150"/>
  <c r="K34" i="175"/>
  <c r="K36" i="191" s="1"/>
  <c r="J99" i="186"/>
  <c r="L99" s="1"/>
  <c r="H646" i="127"/>
  <c r="J646" s="1"/>
  <c r="H648" s="1"/>
  <c r="J648" s="1"/>
  <c r="G286" i="94"/>
  <c r="E287" s="1"/>
  <c r="G287" s="1"/>
  <c r="G15" i="113"/>
  <c r="E32"/>
  <c r="G32" s="1"/>
  <c r="G33" s="1"/>
  <c r="G34" s="1"/>
  <c r="G35" s="1"/>
  <c r="G36" s="1"/>
  <c r="D42" i="190"/>
  <c r="E41"/>
  <c r="G41" s="1"/>
  <c r="G500" i="94"/>
  <c r="E85" i="202"/>
  <c r="G85" s="1"/>
  <c r="G86" s="1"/>
  <c r="L9" i="147"/>
  <c r="N8"/>
  <c r="E109" i="94"/>
  <c r="G109" s="1"/>
  <c r="G110" s="1"/>
  <c r="G111" s="1"/>
  <c r="G112" s="1"/>
  <c r="G113" s="1"/>
  <c r="G114" s="1"/>
  <c r="G183"/>
  <c r="E184" s="1"/>
  <c r="G184" s="1"/>
  <c r="D129" i="190"/>
  <c r="E129" s="1"/>
  <c r="G129" s="1"/>
  <c r="D128"/>
  <c r="E128" s="1"/>
  <c r="G128" s="1"/>
  <c r="E127"/>
  <c r="G127" s="1"/>
  <c r="G342" i="150"/>
  <c r="H342" s="1"/>
  <c r="H302"/>
  <c r="J23" i="127"/>
  <c r="J1243"/>
  <c r="J1244" s="1"/>
  <c r="J1245" s="1"/>
  <c r="J1247" s="1"/>
  <c r="J1248" s="1"/>
  <c r="G268" i="202"/>
  <c r="J1266" i="127" l="1"/>
  <c r="J522" i="119"/>
  <c r="J1388" i="127"/>
  <c r="J436"/>
  <c r="J19" i="119"/>
  <c r="J26" s="1"/>
  <c r="J125" i="127"/>
  <c r="J140" i="119"/>
  <c r="J193"/>
  <c r="H199" s="1"/>
  <c r="J199" s="1"/>
  <c r="J80"/>
  <c r="H86" s="1"/>
  <c r="J86" s="1"/>
  <c r="J110"/>
  <c r="J91" i="167"/>
  <c r="G102" i="162" s="1"/>
  <c r="H102" s="1"/>
  <c r="N102" s="1"/>
  <c r="E105" i="141"/>
  <c r="G105" s="1"/>
  <c r="G106" s="1"/>
  <c r="G71"/>
  <c r="G72" s="1"/>
  <c r="E74" s="1"/>
  <c r="J855" i="127"/>
  <c r="J861" s="1"/>
  <c r="H863" s="1"/>
  <c r="J863" s="1"/>
  <c r="J864" s="1"/>
  <c r="J865" s="1"/>
  <c r="J866" s="1"/>
  <c r="J867" s="1"/>
  <c r="J868" s="1"/>
  <c r="J68"/>
  <c r="H75" s="1"/>
  <c r="J75" s="1"/>
  <c r="H77" s="1"/>
  <c r="J77" s="1"/>
  <c r="G217" i="113"/>
  <c r="J415" i="119"/>
  <c r="H421" s="1"/>
  <c r="J421" s="1"/>
  <c r="H423" s="1"/>
  <c r="J423" s="1"/>
  <c r="H424" s="1"/>
  <c r="J424" s="1"/>
  <c r="G424" i="94"/>
  <c r="G839"/>
  <c r="E841" s="1"/>
  <c r="G841" s="1"/>
  <c r="J491" i="119"/>
  <c r="H497" s="1"/>
  <c r="J497" s="1"/>
  <c r="H499" s="1"/>
  <c r="J499" s="1"/>
  <c r="H500" s="1"/>
  <c r="J500" s="1"/>
  <c r="J1468" i="127"/>
  <c r="H1474" s="1"/>
  <c r="J1474" s="1"/>
  <c r="H1476" s="1"/>
  <c r="J1476" s="1"/>
  <c r="J254" i="119"/>
  <c r="H260" s="1"/>
  <c r="J260" s="1"/>
  <c r="E16" i="190"/>
  <c r="G16" s="1"/>
  <c r="B30" i="162"/>
  <c r="F83" i="174" s="1"/>
  <c r="M83" s="1"/>
  <c r="M7" i="146"/>
  <c r="G29" s="1"/>
  <c r="L29" s="1"/>
  <c r="F49" i="7" s="1"/>
  <c r="J49" s="1"/>
  <c r="O8" i="147"/>
  <c r="G32" i="146" s="1"/>
  <c r="L32" s="1"/>
  <c r="F58" i="7" s="1"/>
  <c r="J58" s="1"/>
  <c r="J611" i="127"/>
  <c r="H621" s="1"/>
  <c r="J621" s="1"/>
  <c r="H623" s="1"/>
  <c r="J623" s="1"/>
  <c r="J224" i="119"/>
  <c r="H230" s="1"/>
  <c r="J230" s="1"/>
  <c r="J1334" i="127"/>
  <c r="H1344" s="1"/>
  <c r="J1344" s="1"/>
  <c r="H1346" s="1"/>
  <c r="J1346" s="1"/>
  <c r="J49" i="119"/>
  <c r="H55" s="1"/>
  <c r="J55" s="1"/>
  <c r="J545" i="127"/>
  <c r="H555" s="1"/>
  <c r="J555" s="1"/>
  <c r="H557" s="1"/>
  <c r="J557" s="1"/>
  <c r="G637" i="94"/>
  <c r="G638" s="1"/>
  <c r="G639" s="1"/>
  <c r="E641" s="1"/>
  <c r="G90" i="113"/>
  <c r="G96" s="1"/>
  <c r="E98" s="1"/>
  <c r="E70" i="202"/>
  <c r="G70" s="1"/>
  <c r="J1184" i="127"/>
  <c r="H1190" s="1"/>
  <c r="J1190" s="1"/>
  <c r="H1192" s="1"/>
  <c r="J1192" s="1"/>
  <c r="G799" i="94"/>
  <c r="J1300" i="127"/>
  <c r="H1310" s="1"/>
  <c r="J1310" s="1"/>
  <c r="H1312" s="1"/>
  <c r="J1312" s="1"/>
  <c r="G859" i="94"/>
  <c r="G864" s="1"/>
  <c r="G870" s="1"/>
  <c r="E872" s="1"/>
  <c r="G872" s="1"/>
  <c r="G873" s="1"/>
  <c r="G874" s="1"/>
  <c r="G875" s="1"/>
  <c r="G876" s="1"/>
  <c r="G144" i="162"/>
  <c r="H144" s="1"/>
  <c r="N144" s="1"/>
  <c r="J768" i="127"/>
  <c r="H775" s="1"/>
  <c r="J775" s="1"/>
  <c r="H777" s="1"/>
  <c r="J777" s="1"/>
  <c r="J346"/>
  <c r="J352" s="1"/>
  <c r="H354" s="1"/>
  <c r="J354" s="1"/>
  <c r="J355" s="1"/>
  <c r="J1065"/>
  <c r="H1075" s="1"/>
  <c r="J1075" s="1"/>
  <c r="H1077" s="1"/>
  <c r="J1077" s="1"/>
  <c r="G123" i="162"/>
  <c r="H123" s="1"/>
  <c r="N123" s="1"/>
  <c r="H82" i="150"/>
  <c r="H83" s="1"/>
  <c r="H84" s="1"/>
  <c r="J970" i="127"/>
  <c r="H980" s="1"/>
  <c r="J980" s="1"/>
  <c r="H982" s="1"/>
  <c r="J885"/>
  <c r="J891" s="1"/>
  <c r="H893" s="1"/>
  <c r="J893" s="1"/>
  <c r="J894" s="1"/>
  <c r="E69" i="202"/>
  <c r="G69" s="1"/>
  <c r="J376" i="127"/>
  <c r="J382" s="1"/>
  <c r="H384" s="1"/>
  <c r="J384" s="1"/>
  <c r="J385" s="1"/>
  <c r="J449" i="119"/>
  <c r="J450" s="1"/>
  <c r="J451" s="1"/>
  <c r="J106" i="187" s="1"/>
  <c r="L106" s="1"/>
  <c r="G757" i="94"/>
  <c r="E759" s="1"/>
  <c r="G759" s="1"/>
  <c r="G760" s="1"/>
  <c r="G761" s="1"/>
  <c r="G762" s="1"/>
  <c r="G763" s="1"/>
  <c r="J578" i="127"/>
  <c r="H588" s="1"/>
  <c r="J588" s="1"/>
  <c r="H590" s="1"/>
  <c r="J590" s="1"/>
  <c r="H61" i="150"/>
  <c r="H62" s="1"/>
  <c r="H63" s="1"/>
  <c r="H64" s="1"/>
  <c r="G91" i="162"/>
  <c r="H91" s="1"/>
  <c r="N91" s="1"/>
  <c r="G715" i="94"/>
  <c r="E717" s="1"/>
  <c r="G717" s="1"/>
  <c r="G718" s="1"/>
  <c r="G719" s="1"/>
  <c r="G720" s="1"/>
  <c r="G721" s="1"/>
  <c r="J74" i="164" s="1"/>
  <c r="L74" s="1"/>
  <c r="I24" i="197"/>
  <c r="M24" s="1"/>
  <c r="M26" s="1"/>
  <c r="M30" s="1"/>
  <c r="M32" s="1"/>
  <c r="J926" i="127"/>
  <c r="E217" i="202"/>
  <c r="G217" s="1"/>
  <c r="G218" s="1"/>
  <c r="G219" s="1"/>
  <c r="E221" s="1"/>
  <c r="G317" i="94"/>
  <c r="E319" s="1"/>
  <c r="H304" i="119"/>
  <c r="J304" s="1"/>
  <c r="J305" s="1"/>
  <c r="H307" s="1"/>
  <c r="J307" s="1"/>
  <c r="H308" s="1"/>
  <c r="J308" s="1"/>
  <c r="G395" i="94"/>
  <c r="G396" s="1"/>
  <c r="G397" s="1"/>
  <c r="G398" s="1"/>
  <c r="J46" i="164" s="1"/>
  <c r="E358" i="94"/>
  <c r="G358" s="1"/>
  <c r="G359" s="1"/>
  <c r="G360" s="1"/>
  <c r="G361" s="1"/>
  <c r="G362" s="1"/>
  <c r="L69" i="174"/>
  <c r="G107" i="141"/>
  <c r="E109" s="1"/>
  <c r="S68" i="140"/>
  <c r="J201" i="119"/>
  <c r="B117" i="162"/>
  <c r="E74" i="190"/>
  <c r="G74" s="1"/>
  <c r="B138" i="162"/>
  <c r="E91" i="190"/>
  <c r="G91" s="1"/>
  <c r="B45" i="162"/>
  <c r="E29" i="190"/>
  <c r="G29" s="1"/>
  <c r="J650" i="127"/>
  <c r="J651" s="1"/>
  <c r="J652" s="1"/>
  <c r="B44" i="162"/>
  <c r="G28" i="190"/>
  <c r="K12" i="191"/>
  <c r="G21" i="175"/>
  <c r="G23"/>
  <c r="G24"/>
  <c r="G20"/>
  <c r="G25"/>
  <c r="G22"/>
  <c r="F86" i="164"/>
  <c r="I61"/>
  <c r="I62" s="1"/>
  <c r="E11" i="190"/>
  <c r="G11" s="1"/>
  <c r="B21" i="162"/>
  <c r="F74" i="174" s="1"/>
  <c r="M74" s="1"/>
  <c r="J16" i="170"/>
  <c r="J13" i="169"/>
  <c r="J17" i="168"/>
  <c r="J14" i="199"/>
  <c r="L14" s="1"/>
  <c r="J13" i="186"/>
  <c r="J13" i="167"/>
  <c r="J14" i="165"/>
  <c r="J14" i="187"/>
  <c r="L14" s="1"/>
  <c r="G95" i="162"/>
  <c r="H95" s="1"/>
  <c r="N95" s="1"/>
  <c r="G76"/>
  <c r="H76" s="1"/>
  <c r="N76" s="1"/>
  <c r="L35" i="140"/>
  <c r="K45"/>
  <c r="L45" s="1"/>
  <c r="Q45" s="1"/>
  <c r="K43"/>
  <c r="L43" s="1"/>
  <c r="O43" s="1"/>
  <c r="K38"/>
  <c r="L38" s="1"/>
  <c r="Q38" s="1"/>
  <c r="K36"/>
  <c r="L36" s="1"/>
  <c r="O36" s="1"/>
  <c r="K46"/>
  <c r="L46" s="1"/>
  <c r="R46" s="1"/>
  <c r="K44"/>
  <c r="L44" s="1"/>
  <c r="P44" s="1"/>
  <c r="K42"/>
  <c r="L42" s="1"/>
  <c r="K39"/>
  <c r="L39" s="1"/>
  <c r="R39" s="1"/>
  <c r="K37"/>
  <c r="L37" s="1"/>
  <c r="P37" s="1"/>
  <c r="G23" i="162"/>
  <c r="G24"/>
  <c r="L66" i="164"/>
  <c r="K57" i="140"/>
  <c r="L57" s="1"/>
  <c r="J8" i="164"/>
  <c r="H501" i="127"/>
  <c r="J501" s="1"/>
  <c r="H503" s="1"/>
  <c r="J503" s="1"/>
  <c r="G27" i="162"/>
  <c r="L78" i="164"/>
  <c r="E223" i="113"/>
  <c r="G223" s="1"/>
  <c r="K36" i="197"/>
  <c r="H45"/>
  <c r="K25" i="191" s="1"/>
  <c r="H42" i="197"/>
  <c r="H41"/>
  <c r="H43"/>
  <c r="K23" i="191" s="1"/>
  <c r="H44" i="197"/>
  <c r="D94" i="190"/>
  <c r="E93"/>
  <c r="G93" s="1"/>
  <c r="L27" i="140"/>
  <c r="K30"/>
  <c r="L30" s="1"/>
  <c r="Q30" s="1"/>
  <c r="K28"/>
  <c r="L28" s="1"/>
  <c r="O28" s="1"/>
  <c r="K31"/>
  <c r="L31" s="1"/>
  <c r="R31" s="1"/>
  <c r="K29"/>
  <c r="L29" s="1"/>
  <c r="P29" s="1"/>
  <c r="D77" i="190"/>
  <c r="E76"/>
  <c r="G76" s="1"/>
  <c r="H202" i="150"/>
  <c r="H209" s="1"/>
  <c r="H210" s="1"/>
  <c r="J666" i="119"/>
  <c r="G243" i="202"/>
  <c r="E244" s="1"/>
  <c r="G244" s="1"/>
  <c r="H359" i="119"/>
  <c r="J359" s="1"/>
  <c r="H361" s="1"/>
  <c r="J361" s="1"/>
  <c r="H362" s="1"/>
  <c r="J362" s="1"/>
  <c r="H146"/>
  <c r="J146" s="1"/>
  <c r="H148" s="1"/>
  <c r="J148" s="1"/>
  <c r="H149" s="1"/>
  <c r="J149" s="1"/>
  <c r="H1276" i="127"/>
  <c r="J1276" s="1"/>
  <c r="H1278" s="1"/>
  <c r="J1278" s="1"/>
  <c r="J528" i="119"/>
  <c r="H530" s="1"/>
  <c r="J530" s="1"/>
  <c r="H531" s="1"/>
  <c r="J531" s="1"/>
  <c r="J131" i="127"/>
  <c r="H133" s="1"/>
  <c r="J133" s="1"/>
  <c r="J134" s="1"/>
  <c r="M9" i="147"/>
  <c r="J10"/>
  <c r="E97" i="202"/>
  <c r="G97" s="1"/>
  <c r="G66"/>
  <c r="E123"/>
  <c r="E68"/>
  <c r="G68" s="1"/>
  <c r="D60" i="190"/>
  <c r="E59"/>
  <c r="G59" s="1"/>
  <c r="E801" i="94"/>
  <c r="H162" i="127"/>
  <c r="J162" s="1"/>
  <c r="J163" s="1"/>
  <c r="H160"/>
  <c r="G249" i="150"/>
  <c r="H218"/>
  <c r="D25" i="7"/>
  <c r="E24"/>
  <c r="J24" s="1"/>
  <c r="G160" i="162"/>
  <c r="H160" s="1"/>
  <c r="N160" s="1"/>
  <c r="L51" i="168"/>
  <c r="E269" i="202"/>
  <c r="G269" s="1"/>
  <c r="G270" s="1"/>
  <c r="G271" s="1"/>
  <c r="H25" i="127"/>
  <c r="J25" s="1"/>
  <c r="J27" s="1"/>
  <c r="J28" s="1"/>
  <c r="J29" s="1"/>
  <c r="E501" i="94"/>
  <c r="G501" s="1"/>
  <c r="G502" s="1"/>
  <c r="G503" s="1"/>
  <c r="G504" s="1"/>
  <c r="G505" s="1"/>
  <c r="J57" i="164" s="1"/>
  <c r="G288" i="94"/>
  <c r="G289" s="1"/>
  <c r="G290" s="1"/>
  <c r="J24" i="164" s="1"/>
  <c r="G895" i="94"/>
  <c r="G45" i="202"/>
  <c r="G46" s="1"/>
  <c r="H27" i="119"/>
  <c r="J27" s="1"/>
  <c r="J28" s="1"/>
  <c r="J29" s="1"/>
  <c r="J30" s="1"/>
  <c r="J31" s="1"/>
  <c r="H390"/>
  <c r="J390" s="1"/>
  <c r="H392" s="1"/>
  <c r="J392" s="1"/>
  <c r="H393" s="1"/>
  <c r="J393" s="1"/>
  <c r="H1159" i="127"/>
  <c r="J1159" s="1"/>
  <c r="H1161" s="1"/>
  <c r="J1161" s="1"/>
  <c r="E589" i="94"/>
  <c r="G589" s="1"/>
  <c r="G590" s="1"/>
  <c r="G591" s="1"/>
  <c r="G592" s="1"/>
  <c r="G593" s="1"/>
  <c r="J70" i="164" s="1"/>
  <c r="J412" i="127"/>
  <c r="H414" s="1"/>
  <c r="J414" s="1"/>
  <c r="J415" s="1"/>
  <c r="J60" i="186"/>
  <c r="L60" s="1"/>
  <c r="J53" i="167"/>
  <c r="J61" i="187"/>
  <c r="L61" s="1"/>
  <c r="G143" i="162"/>
  <c r="H143" s="1"/>
  <c r="N143" s="1"/>
  <c r="G122"/>
  <c r="H122" s="1"/>
  <c r="N122" s="1"/>
  <c r="H744" i="127"/>
  <c r="J744" s="1"/>
  <c r="H746" s="1"/>
  <c r="J746" s="1"/>
  <c r="J442"/>
  <c r="H444" s="1"/>
  <c r="J444" s="1"/>
  <c r="J445" s="1"/>
  <c r="G269" i="150"/>
  <c r="H269" s="1"/>
  <c r="G244"/>
  <c r="H244" s="1"/>
  <c r="G329"/>
  <c r="H329" s="1"/>
  <c r="G294"/>
  <c r="H294" s="1"/>
  <c r="K8" i="146"/>
  <c r="H9"/>
  <c r="G112" i="202"/>
  <c r="E114" s="1"/>
  <c r="G114" s="1"/>
  <c r="G115" s="1"/>
  <c r="F155"/>
  <c r="G155" s="1"/>
  <c r="H571" i="119"/>
  <c r="J571" s="1"/>
  <c r="H549"/>
  <c r="J549" s="1"/>
  <c r="J551" s="1"/>
  <c r="E191" i="113"/>
  <c r="G191" s="1"/>
  <c r="H246" i="127"/>
  <c r="J246" s="1"/>
  <c r="H226"/>
  <c r="J226" s="1"/>
  <c r="H936"/>
  <c r="J936" s="1"/>
  <c r="H938" s="1"/>
  <c r="J938" s="1"/>
  <c r="G129" i="94"/>
  <c r="G185"/>
  <c r="G186" s="1"/>
  <c r="G187" s="1"/>
  <c r="G188" s="1"/>
  <c r="N9" i="147"/>
  <c r="L10"/>
  <c r="D43" i="190"/>
  <c r="E42"/>
  <c r="G42" s="1"/>
  <c r="H1398" i="127"/>
  <c r="J1398" s="1"/>
  <c r="H1400" s="1"/>
  <c r="J1400" s="1"/>
  <c r="J103" i="187"/>
  <c r="L103" s="1"/>
  <c r="J95" i="167"/>
  <c r="J103" i="186"/>
  <c r="L103" s="1"/>
  <c r="G151" i="162"/>
  <c r="H151" s="1"/>
  <c r="N151" s="1"/>
  <c r="G131"/>
  <c r="H131" s="1"/>
  <c r="N131" s="1"/>
  <c r="J9" i="146"/>
  <c r="L8"/>
  <c r="K48" i="150"/>
  <c r="L48" s="1"/>
  <c r="M48" s="1"/>
  <c r="N48" s="1"/>
  <c r="H116" i="119"/>
  <c r="J116" s="1"/>
  <c r="H118" s="1"/>
  <c r="H471" i="127"/>
  <c r="J471" s="1"/>
  <c r="H473" s="1"/>
  <c r="J473" s="1"/>
  <c r="E426" i="94"/>
  <c r="C56" i="7"/>
  <c r="C48"/>
  <c r="E96" i="202"/>
  <c r="G96" s="1"/>
  <c r="G67"/>
  <c r="E16" i="113"/>
  <c r="G16" s="1"/>
  <c r="G17" s="1"/>
  <c r="G18" s="1"/>
  <c r="G19" s="1"/>
  <c r="G20" s="1"/>
  <c r="G291" i="202"/>
  <c r="G292" s="1"/>
  <c r="G156" i="94"/>
  <c r="G157" s="1"/>
  <c r="G158" s="1"/>
  <c r="G159" s="1"/>
  <c r="E249"/>
  <c r="G249" s="1"/>
  <c r="G250" s="1"/>
  <c r="G251" s="1"/>
  <c r="G252" s="1"/>
  <c r="G253" s="1"/>
  <c r="J30" i="164" s="1"/>
  <c r="L91" i="167" l="1"/>
  <c r="J78" i="127"/>
  <c r="J79" s="1"/>
  <c r="J80" s="1"/>
  <c r="J81" s="1"/>
  <c r="J82" s="1"/>
  <c r="G842" i="94"/>
  <c r="G843" s="1"/>
  <c r="G844" s="1"/>
  <c r="G845" s="1"/>
  <c r="J82" i="164" s="1"/>
  <c r="L82" s="1"/>
  <c r="J232" i="119"/>
  <c r="H233" s="1"/>
  <c r="J233" s="1"/>
  <c r="J234" s="1"/>
  <c r="J235" s="1"/>
  <c r="J236" s="1"/>
  <c r="J237" s="1"/>
  <c r="M8" i="146"/>
  <c r="G27" s="1"/>
  <c r="L27" s="1"/>
  <c r="F48" i="7" s="1"/>
  <c r="J48" s="1"/>
  <c r="G132" i="162"/>
  <c r="H132" s="1"/>
  <c r="N132" s="1"/>
  <c r="J778" i="127"/>
  <c r="J779" s="1"/>
  <c r="J780" s="1"/>
  <c r="J781" s="1"/>
  <c r="J782" s="1"/>
  <c r="G152" i="162"/>
  <c r="H152" s="1"/>
  <c r="N152" s="1"/>
  <c r="G84"/>
  <c r="H84" s="1"/>
  <c r="N84" s="1"/>
  <c r="J31" i="170"/>
  <c r="L31" s="1"/>
  <c r="J98" i="167"/>
  <c r="G110" i="162" s="1"/>
  <c r="H110" s="1"/>
  <c r="N110" s="1"/>
  <c r="J106" i="186"/>
  <c r="L106" s="1"/>
  <c r="E19" i="202"/>
  <c r="G19" s="1"/>
  <c r="G20" s="1"/>
  <c r="G21" s="1"/>
  <c r="G22" s="1"/>
  <c r="G98"/>
  <c r="G99" s="1"/>
  <c r="G72" i="162"/>
  <c r="H72" s="1"/>
  <c r="N72" s="1"/>
  <c r="G26"/>
  <c r="G79" i="174" s="1"/>
  <c r="H79" s="1"/>
  <c r="E14" i="202"/>
  <c r="G14" s="1"/>
  <c r="J41" i="164"/>
  <c r="K69" i="174"/>
  <c r="A69" s="1"/>
  <c r="L70"/>
  <c r="J474" i="127"/>
  <c r="J475" s="1"/>
  <c r="J476" s="1"/>
  <c r="J477" s="1"/>
  <c r="J478" s="1"/>
  <c r="G62" i="162"/>
  <c r="H62" s="1"/>
  <c r="N62" s="1"/>
  <c r="H202" i="119"/>
  <c r="J202" s="1"/>
  <c r="J203" s="1"/>
  <c r="J204" s="1"/>
  <c r="J205" s="1"/>
  <c r="J206" s="1"/>
  <c r="B23" i="162"/>
  <c r="F76" i="174" s="1"/>
  <c r="M76" s="1"/>
  <c r="L62" i="164"/>
  <c r="I86"/>
  <c r="I87" s="1"/>
  <c r="G29" i="175"/>
  <c r="G30" s="1"/>
  <c r="L10" i="191"/>
  <c r="J309" i="119"/>
  <c r="J310" s="1"/>
  <c r="J311" s="1"/>
  <c r="J312" s="1"/>
  <c r="J85" i="186" s="1"/>
  <c r="L85" s="1"/>
  <c r="J1477" i="127"/>
  <c r="J1478" s="1"/>
  <c r="J1479" s="1"/>
  <c r="J1480" s="1"/>
  <c r="J1481" s="1"/>
  <c r="J747"/>
  <c r="J748" s="1"/>
  <c r="J624"/>
  <c r="J625" s="1"/>
  <c r="J626" s="1"/>
  <c r="J627" s="1"/>
  <c r="J628" s="1"/>
  <c r="J1401"/>
  <c r="J1402" s="1"/>
  <c r="J1403" s="1"/>
  <c r="J1404" s="1"/>
  <c r="J1405" s="1"/>
  <c r="H1439" s="1"/>
  <c r="J1439" s="1"/>
  <c r="O9" i="147"/>
  <c r="G30" i="146" s="1"/>
  <c r="L30" s="1"/>
  <c r="F57" i="7" s="1"/>
  <c r="J57" s="1"/>
  <c r="J394" i="119"/>
  <c r="J395" s="1"/>
  <c r="J396" s="1"/>
  <c r="J397" s="1"/>
  <c r="J28" i="170" s="1"/>
  <c r="F28" i="175"/>
  <c r="J386" i="127"/>
  <c r="J387" s="1"/>
  <c r="J388" s="1"/>
  <c r="J389" s="1"/>
  <c r="J585" i="119"/>
  <c r="J10" i="168"/>
  <c r="J9" i="186"/>
  <c r="L9" s="1"/>
  <c r="J9" i="167"/>
  <c r="J9" i="199"/>
  <c r="L9" s="1"/>
  <c r="J10" i="170"/>
  <c r="J10" i="187"/>
  <c r="L10" s="1"/>
  <c r="J8" i="169"/>
  <c r="J9" i="165"/>
  <c r="G94" i="162"/>
  <c r="H94" s="1"/>
  <c r="G114"/>
  <c r="H114" s="1"/>
  <c r="N114" s="1"/>
  <c r="G135"/>
  <c r="H135" s="1"/>
  <c r="N135" s="1"/>
  <c r="G75"/>
  <c r="H75" s="1"/>
  <c r="J135" i="127"/>
  <c r="J136" s="1"/>
  <c r="G17" i="162"/>
  <c r="L30" i="164"/>
  <c r="J18" i="167"/>
  <c r="J19" i="165"/>
  <c r="J18" i="169"/>
  <c r="J20" i="187"/>
  <c r="L20" s="1"/>
  <c r="J19" i="199"/>
  <c r="J29" i="168"/>
  <c r="J18" i="186"/>
  <c r="L18" s="1"/>
  <c r="G96" i="162"/>
  <c r="H96" s="1"/>
  <c r="N96" s="1"/>
  <c r="G116"/>
  <c r="H116" s="1"/>
  <c r="N116" s="1"/>
  <c r="G137"/>
  <c r="H137" s="1"/>
  <c r="N137" s="1"/>
  <c r="G77"/>
  <c r="H77" s="1"/>
  <c r="N77" s="1"/>
  <c r="G22"/>
  <c r="L57" i="164"/>
  <c r="G236" i="150"/>
  <c r="G129"/>
  <c r="H129" s="1"/>
  <c r="G173"/>
  <c r="H173" s="1"/>
  <c r="G74" i="141"/>
  <c r="J11" i="146"/>
  <c r="L9"/>
  <c r="J10"/>
  <c r="L10" s="1"/>
  <c r="J895" i="127"/>
  <c r="J896" s="1"/>
  <c r="J897" s="1"/>
  <c r="J898" s="1"/>
  <c r="J69" i="186"/>
  <c r="L69" s="1"/>
  <c r="J69" i="187"/>
  <c r="L69" s="1"/>
  <c r="G149" i="162"/>
  <c r="H149" s="1"/>
  <c r="N149" s="1"/>
  <c r="J61" i="167"/>
  <c r="L61" s="1"/>
  <c r="G129" i="162"/>
  <c r="H129" s="1"/>
  <c r="N129" s="1"/>
  <c r="G89"/>
  <c r="H89" s="1"/>
  <c r="N89" s="1"/>
  <c r="G107"/>
  <c r="H107" s="1"/>
  <c r="N107" s="1"/>
  <c r="J20" i="164"/>
  <c r="G47" i="202"/>
  <c r="E48" s="1"/>
  <c r="G48" s="1"/>
  <c r="H219" i="150"/>
  <c r="H225" s="1"/>
  <c r="G801" i="94"/>
  <c r="E802" s="1"/>
  <c r="G802" s="1"/>
  <c r="F170" i="202"/>
  <c r="G170" s="1"/>
  <c r="G181" s="1"/>
  <c r="G123"/>
  <c r="G139" s="1"/>
  <c r="G140" s="1"/>
  <c r="H667" i="119"/>
  <c r="D78" i="190"/>
  <c r="D79" s="1"/>
  <c r="E77"/>
  <c r="G77" s="1"/>
  <c r="G109" i="141"/>
  <c r="E110" s="1"/>
  <c r="G110" s="1"/>
  <c r="G12" i="162"/>
  <c r="L8" i="164"/>
  <c r="G76" i="174"/>
  <c r="N42" i="140"/>
  <c r="S47" s="1"/>
  <c r="L47"/>
  <c r="L13" i="167"/>
  <c r="G57" i="162"/>
  <c r="H57" s="1"/>
  <c r="N57" s="1"/>
  <c r="G65"/>
  <c r="H65" s="1"/>
  <c r="N65" s="1"/>
  <c r="G166"/>
  <c r="H166" s="1"/>
  <c r="N166" s="1"/>
  <c r="L13" i="169"/>
  <c r="J943" i="127"/>
  <c r="J944" s="1"/>
  <c r="J945" s="1"/>
  <c r="J501" i="119"/>
  <c r="J502" s="1"/>
  <c r="J503" s="1"/>
  <c r="J504" s="1"/>
  <c r="J1162" i="127"/>
  <c r="J558"/>
  <c r="J57" i="119"/>
  <c r="H58" s="1"/>
  <c r="J58" s="1"/>
  <c r="J59" s="1"/>
  <c r="J60" s="1"/>
  <c r="J61" s="1"/>
  <c r="J62" s="1"/>
  <c r="G97" i="162" s="1"/>
  <c r="G225" i="113"/>
  <c r="E226" s="1"/>
  <c r="G226" s="1"/>
  <c r="J504" i="127"/>
  <c r="G426" i="94"/>
  <c r="E427" s="1"/>
  <c r="G427" s="1"/>
  <c r="G641"/>
  <c r="E642" s="1"/>
  <c r="G642" s="1"/>
  <c r="L11" i="147"/>
  <c r="N10"/>
  <c r="G156" i="202"/>
  <c r="G157" s="1"/>
  <c r="J446" i="127"/>
  <c r="J447" s="1"/>
  <c r="J448" s="1"/>
  <c r="J449" s="1"/>
  <c r="G16" i="162"/>
  <c r="L24" i="164"/>
  <c r="D26" i="7"/>
  <c r="E26" s="1"/>
  <c r="J26" s="1"/>
  <c r="E25"/>
  <c r="J25" s="1"/>
  <c r="M10" i="147"/>
  <c r="J11"/>
  <c r="D95" i="190"/>
  <c r="D96" s="1"/>
  <c r="E94"/>
  <c r="G94" s="1"/>
  <c r="G77" i="174"/>
  <c r="H77" s="1"/>
  <c r="H24" i="162"/>
  <c r="N24" s="1"/>
  <c r="N35" i="140"/>
  <c r="S40" s="1"/>
  <c r="L40"/>
  <c r="L48" s="1"/>
  <c r="L14" i="165"/>
  <c r="G42" i="162"/>
  <c r="H42" s="1"/>
  <c r="N42" s="1"/>
  <c r="G50"/>
  <c r="H50" s="1"/>
  <c r="N50" s="1"/>
  <c r="G34"/>
  <c r="H34" s="1"/>
  <c r="N34" s="1"/>
  <c r="L17" i="168"/>
  <c r="G156" i="162"/>
  <c r="H156" s="1"/>
  <c r="N156" s="1"/>
  <c r="G221" i="202"/>
  <c r="E222" s="1"/>
  <c r="G222" s="1"/>
  <c r="J88" i="119"/>
  <c r="H89" s="1"/>
  <c r="J89" s="1"/>
  <c r="J1078" i="127"/>
  <c r="C57" i="7"/>
  <c r="C49"/>
  <c r="D44" i="190"/>
  <c r="E43"/>
  <c r="G43" s="1"/>
  <c r="J356" i="127"/>
  <c r="J357" s="1"/>
  <c r="J358" s="1"/>
  <c r="J359" s="1"/>
  <c r="L53" i="167"/>
  <c r="G103" i="162"/>
  <c r="H103" s="1"/>
  <c r="N103" s="1"/>
  <c r="G25"/>
  <c r="L70" i="164"/>
  <c r="D61" i="190"/>
  <c r="D62" s="1"/>
  <c r="E60"/>
  <c r="G60" s="1"/>
  <c r="G319" i="94"/>
  <c r="E320" s="1"/>
  <c r="G320" s="1"/>
  <c r="H594" i="119"/>
  <c r="J594" s="1"/>
  <c r="G267" i="150"/>
  <c r="H267" s="1"/>
  <c r="G242"/>
  <c r="H242" s="1"/>
  <c r="G292"/>
  <c r="H292" s="1"/>
  <c r="G80" i="174"/>
  <c r="H80" s="1"/>
  <c r="H27" i="162"/>
  <c r="N27" s="1"/>
  <c r="J1313" i="127"/>
  <c r="J262" i="119"/>
  <c r="H263" s="1"/>
  <c r="J263" s="1"/>
  <c r="J591" i="127"/>
  <c r="J1193"/>
  <c r="H47" i="197"/>
  <c r="K29" i="191" s="1"/>
  <c r="E61" i="174" s="1"/>
  <c r="G98" i="113"/>
  <c r="E99" s="1"/>
  <c r="G99" s="1"/>
  <c r="H588" i="119"/>
  <c r="J588" s="1"/>
  <c r="J118"/>
  <c r="G20" i="162"/>
  <c r="L46" i="164"/>
  <c r="L95" i="167"/>
  <c r="G109" i="162"/>
  <c r="H109" s="1"/>
  <c r="N109" s="1"/>
  <c r="H553" i="119"/>
  <c r="J553" s="1"/>
  <c r="H554" s="1"/>
  <c r="J554" s="1"/>
  <c r="K9" i="146"/>
  <c r="H10"/>
  <c r="K10" s="1"/>
  <c r="H11"/>
  <c r="J416" i="127"/>
  <c r="J417" s="1"/>
  <c r="J418" s="1"/>
  <c r="J419" s="1"/>
  <c r="G901" i="94"/>
  <c r="E903" s="1"/>
  <c r="G903" s="1"/>
  <c r="G904" s="1"/>
  <c r="G905" s="1"/>
  <c r="G906" s="1"/>
  <c r="G907" s="1"/>
  <c r="G274" i="150"/>
  <c r="H249"/>
  <c r="J164" i="127"/>
  <c r="J165" s="1"/>
  <c r="J166" s="1"/>
  <c r="J167" s="1"/>
  <c r="N27" i="140"/>
  <c r="S32" s="1"/>
  <c r="L32"/>
  <c r="P57"/>
  <c r="Q57"/>
  <c r="L60"/>
  <c r="R57"/>
  <c r="N57"/>
  <c r="O57"/>
  <c r="G172" i="162"/>
  <c r="H172" s="1"/>
  <c r="N172" s="1"/>
  <c r="L16" i="170"/>
  <c r="E130" i="94"/>
  <c r="G130" s="1"/>
  <c r="G131" s="1"/>
  <c r="G132" s="1"/>
  <c r="G133" s="1"/>
  <c r="G134" s="1"/>
  <c r="J16" i="164" s="1"/>
  <c r="J425" i="119"/>
  <c r="J426" s="1"/>
  <c r="J427" s="1"/>
  <c r="J428" s="1"/>
  <c r="E72" i="202"/>
  <c r="J532" i="119"/>
  <c r="J533" s="1"/>
  <c r="J534" s="1"/>
  <c r="J535" s="1"/>
  <c r="J1279" i="127"/>
  <c r="J150" i="119"/>
  <c r="J151" s="1"/>
  <c r="J152" s="1"/>
  <c r="J153" s="1"/>
  <c r="J363"/>
  <c r="J364" s="1"/>
  <c r="J365" s="1"/>
  <c r="J366" s="1"/>
  <c r="G245" i="202"/>
  <c r="G246" s="1"/>
  <c r="J1347" i="127"/>
  <c r="J983"/>
  <c r="J985" s="1"/>
  <c r="J986" s="1"/>
  <c r="J987" s="1"/>
  <c r="H991" s="1"/>
  <c r="J991" s="1"/>
  <c r="J1001" s="1"/>
  <c r="L19" i="199" l="1"/>
  <c r="G35" i="162"/>
  <c r="H35" s="1"/>
  <c r="N35" s="1"/>
  <c r="G28"/>
  <c r="H28" s="1"/>
  <c r="N28" s="1"/>
  <c r="I19" i="202"/>
  <c r="I20" s="1"/>
  <c r="I21" s="1"/>
  <c r="I22" s="1"/>
  <c r="J50" i="186"/>
  <c r="L50" s="1"/>
  <c r="G141" i="162"/>
  <c r="H141" s="1"/>
  <c r="N141" s="1"/>
  <c r="G120"/>
  <c r="H120" s="1"/>
  <c r="N120" s="1"/>
  <c r="J57" i="187"/>
  <c r="L57" s="1"/>
  <c r="J49" i="167"/>
  <c r="G100" i="162"/>
  <c r="H100" s="1"/>
  <c r="N100" s="1"/>
  <c r="H23"/>
  <c r="N23" s="1"/>
  <c r="H791" i="127"/>
  <c r="J791" s="1"/>
  <c r="J793" s="1"/>
  <c r="H800" s="1"/>
  <c r="J800" s="1"/>
  <c r="H802" s="1"/>
  <c r="J802" s="1"/>
  <c r="L98" i="167"/>
  <c r="G175" i="162"/>
  <c r="H175" s="1"/>
  <c r="N175" s="1"/>
  <c r="G81" i="174"/>
  <c r="H81" s="1"/>
  <c r="E100" i="202"/>
  <c r="G100" s="1"/>
  <c r="G102" s="1"/>
  <c r="G104" s="1"/>
  <c r="H26" i="162"/>
  <c r="N26" s="1"/>
  <c r="J77" i="167"/>
  <c r="L77" s="1"/>
  <c r="G19" i="162"/>
  <c r="L41" i="164"/>
  <c r="G15" i="202"/>
  <c r="G16" s="1"/>
  <c r="G17" s="1"/>
  <c r="I14"/>
  <c r="I15" s="1"/>
  <c r="I16" s="1"/>
  <c r="I17" s="1"/>
  <c r="L71" i="174"/>
  <c r="K70"/>
  <c r="A70" s="1"/>
  <c r="G133" i="162"/>
  <c r="H133" s="1"/>
  <c r="N133" s="1"/>
  <c r="J85" i="187"/>
  <c r="L85" s="1"/>
  <c r="G153" i="162"/>
  <c r="H153" s="1"/>
  <c r="N153" s="1"/>
  <c r="G112"/>
  <c r="H112" s="1"/>
  <c r="N112" s="1"/>
  <c r="G49" i="202"/>
  <c r="G50" s="1"/>
  <c r="G51" s="1"/>
  <c r="J667" i="119"/>
  <c r="J668" s="1"/>
  <c r="H669" s="1"/>
  <c r="J669" s="1"/>
  <c r="J670" s="1"/>
  <c r="J671" s="1"/>
  <c r="J672" s="1"/>
  <c r="J673" s="1"/>
  <c r="J42" i="187"/>
  <c r="L42" s="1"/>
  <c r="G98" i="162"/>
  <c r="H98" s="1"/>
  <c r="N98" s="1"/>
  <c r="J37" i="186"/>
  <c r="L37" s="1"/>
  <c r="G79" i="162"/>
  <c r="H79" s="1"/>
  <c r="N79" s="1"/>
  <c r="J35" i="167"/>
  <c r="L35" s="1"/>
  <c r="G118" i="162"/>
  <c r="H118" s="1"/>
  <c r="N118" s="1"/>
  <c r="J27" i="169"/>
  <c r="G139" i="162"/>
  <c r="H139" s="1"/>
  <c r="N139" s="1"/>
  <c r="J597" i="119"/>
  <c r="K14" i="191"/>
  <c r="K16" s="1"/>
  <c r="M32" i="174" s="1"/>
  <c r="G38" s="1"/>
  <c r="O7" i="175"/>
  <c r="F38" i="174"/>
  <c r="N17" i="203"/>
  <c r="F17" s="1"/>
  <c r="I17" s="1"/>
  <c r="I16"/>
  <c r="G81" i="162"/>
  <c r="H81" s="1"/>
  <c r="N81" s="1"/>
  <c r="J56" i="186"/>
  <c r="L56" s="1"/>
  <c r="G60" i="162"/>
  <c r="H60" s="1"/>
  <c r="N60" s="1"/>
  <c r="B29"/>
  <c r="F82" i="174" s="1"/>
  <c r="M82" s="1"/>
  <c r="E15" i="190"/>
  <c r="G15" s="1"/>
  <c r="H76" i="174"/>
  <c r="J76" s="1"/>
  <c r="G14" i="162"/>
  <c r="L16" i="164"/>
  <c r="H226" i="150"/>
  <c r="J23" i="169"/>
  <c r="J24" i="170"/>
  <c r="J41" i="168"/>
  <c r="J34" i="187"/>
  <c r="L34" s="1"/>
  <c r="J29" i="167"/>
  <c r="L29" s="1"/>
  <c r="J31" i="186"/>
  <c r="L31" s="1"/>
  <c r="G117" i="162"/>
  <c r="H117" s="1"/>
  <c r="N117" s="1"/>
  <c r="H97"/>
  <c r="N97" s="1"/>
  <c r="G83"/>
  <c r="H83" s="1"/>
  <c r="N83" s="1"/>
  <c r="G138"/>
  <c r="H138" s="1"/>
  <c r="N138" s="1"/>
  <c r="G78"/>
  <c r="H78" s="1"/>
  <c r="N78" s="1"/>
  <c r="J137" i="127"/>
  <c r="J138" s="1"/>
  <c r="H1002"/>
  <c r="J1002" s="1"/>
  <c r="H1004" s="1"/>
  <c r="J1004" s="1"/>
  <c r="J1006" s="1"/>
  <c r="J1007" s="1"/>
  <c r="J1008" s="1"/>
  <c r="H250" i="150"/>
  <c r="K11" i="146"/>
  <c r="H12"/>
  <c r="J1194" i="127"/>
  <c r="J1195" s="1"/>
  <c r="J1196" s="1"/>
  <c r="J1197" s="1"/>
  <c r="J1314"/>
  <c r="J1315" s="1"/>
  <c r="J1316" s="1"/>
  <c r="J1317" s="1"/>
  <c r="J1079"/>
  <c r="J1080" s="1"/>
  <c r="J1081" s="1"/>
  <c r="J1082" s="1"/>
  <c r="J13" i="147"/>
  <c r="J12"/>
  <c r="M12" s="1"/>
  <c r="M11"/>
  <c r="J559" i="127"/>
  <c r="J560" s="1"/>
  <c r="J561" s="1"/>
  <c r="J562" s="1"/>
  <c r="E142" i="202"/>
  <c r="G142" s="1"/>
  <c r="G144" s="1"/>
  <c r="G145" s="1"/>
  <c r="G146" s="1"/>
  <c r="G147" s="1"/>
  <c r="G75" i="174"/>
  <c r="H75" s="1"/>
  <c r="J75" s="1"/>
  <c r="H22" i="162"/>
  <c r="N22" s="1"/>
  <c r="O10" i="147"/>
  <c r="G28" i="146" s="1"/>
  <c r="L28" s="1"/>
  <c r="F56" i="7" s="1"/>
  <c r="J56" s="1"/>
  <c r="G227" i="113"/>
  <c r="G228" s="1"/>
  <c r="G229" s="1"/>
  <c r="G230" s="1"/>
  <c r="J65" i="187"/>
  <c r="L65" s="1"/>
  <c r="J62" i="168"/>
  <c r="J57" i="167"/>
  <c r="J65" i="186"/>
  <c r="L65" s="1"/>
  <c r="G82" i="162"/>
  <c r="H82" s="1"/>
  <c r="N82" s="1"/>
  <c r="G142"/>
  <c r="H142" s="1"/>
  <c r="N142" s="1"/>
  <c r="G101"/>
  <c r="H101" s="1"/>
  <c r="N101" s="1"/>
  <c r="G121"/>
  <c r="H121" s="1"/>
  <c r="N121" s="1"/>
  <c r="G72" i="202"/>
  <c r="E73" s="1"/>
  <c r="H119" i="119"/>
  <c r="J119" s="1"/>
  <c r="J120" s="1"/>
  <c r="J121" s="1"/>
  <c r="J122" s="1"/>
  <c r="J123" s="1"/>
  <c r="D63" i="190"/>
  <c r="D64" s="1"/>
  <c r="E62"/>
  <c r="G62" s="1"/>
  <c r="G174" i="162"/>
  <c r="H174" s="1"/>
  <c r="N174" s="1"/>
  <c r="L28" i="170"/>
  <c r="G78" i="174"/>
  <c r="H78" s="1"/>
  <c r="H25" i="162"/>
  <c r="N25" s="1"/>
  <c r="D45" i="190"/>
  <c r="E44"/>
  <c r="G44" s="1"/>
  <c r="H323" i="119"/>
  <c r="J323" s="1"/>
  <c r="J325" s="1"/>
  <c r="H316" i="127"/>
  <c r="J316" s="1"/>
  <c r="J318" s="1"/>
  <c r="J505"/>
  <c r="J506" s="1"/>
  <c r="J507" s="1"/>
  <c r="J508" s="1"/>
  <c r="H513" s="1"/>
  <c r="J513" s="1"/>
  <c r="J515" s="1"/>
  <c r="J77" i="187"/>
  <c r="L77" s="1"/>
  <c r="J69" i="167"/>
  <c r="L69" s="1"/>
  <c r="J77" i="186"/>
  <c r="L77" s="1"/>
  <c r="G147" i="162"/>
  <c r="H147" s="1"/>
  <c r="N147" s="1"/>
  <c r="G127"/>
  <c r="H127" s="1"/>
  <c r="N127" s="1"/>
  <c r="G88"/>
  <c r="H88" s="1"/>
  <c r="N88" s="1"/>
  <c r="G105"/>
  <c r="H105" s="1"/>
  <c r="N105" s="1"/>
  <c r="L11" i="146"/>
  <c r="M11" s="1"/>
  <c r="G21" s="1"/>
  <c r="L21" s="1"/>
  <c r="F45" i="7" s="1"/>
  <c r="J45" s="1"/>
  <c r="E145" i="113" s="1"/>
  <c r="G145" s="1"/>
  <c r="J12" i="146"/>
  <c r="L18" i="167"/>
  <c r="G58" i="162"/>
  <c r="H58" s="1"/>
  <c r="N58" s="1"/>
  <c r="G66"/>
  <c r="H66" s="1"/>
  <c r="N66" s="1"/>
  <c r="L8" i="169"/>
  <c r="G165" i="162"/>
  <c r="H165" s="1"/>
  <c r="N165" s="1"/>
  <c r="L9" i="167"/>
  <c r="G56" i="162"/>
  <c r="H56" s="1"/>
  <c r="G64"/>
  <c r="H64" s="1"/>
  <c r="S60" i="140"/>
  <c r="J555" i="119"/>
  <c r="J557" s="1"/>
  <c r="J558" s="1"/>
  <c r="J559" s="1"/>
  <c r="G148" i="162" s="1"/>
  <c r="J90" i="119"/>
  <c r="J91" s="1"/>
  <c r="J92" s="1"/>
  <c r="J93" s="1"/>
  <c r="G111" i="141"/>
  <c r="G112" s="1"/>
  <c r="K22" i="140" s="1"/>
  <c r="G803" i="94"/>
  <c r="G804" s="1"/>
  <c r="G805" s="1"/>
  <c r="G806" s="1"/>
  <c r="J87" i="164" s="1"/>
  <c r="J1348" i="127"/>
  <c r="J1349" s="1"/>
  <c r="J1350" s="1"/>
  <c r="J1351" s="1"/>
  <c r="J1280"/>
  <c r="J1281" s="1"/>
  <c r="J1282" s="1"/>
  <c r="J1283" s="1"/>
  <c r="J65" i="167"/>
  <c r="L65" s="1"/>
  <c r="G146" i="162"/>
  <c r="H146" s="1"/>
  <c r="N146" s="1"/>
  <c r="J73" i="186"/>
  <c r="L73" s="1"/>
  <c r="J73" i="187"/>
  <c r="L73" s="1"/>
  <c r="G126" i="162"/>
  <c r="H126" s="1"/>
  <c r="N126" s="1"/>
  <c r="G87"/>
  <c r="H87" s="1"/>
  <c r="N87" s="1"/>
  <c r="G104"/>
  <c r="H104" s="1"/>
  <c r="N104" s="1"/>
  <c r="G73" i="174"/>
  <c r="H73" s="1"/>
  <c r="H20" i="162"/>
  <c r="N20" s="1"/>
  <c r="E192" i="113"/>
  <c r="G192" s="1"/>
  <c r="G193" s="1"/>
  <c r="H572" i="119"/>
  <c r="J572" s="1"/>
  <c r="J573" s="1"/>
  <c r="H247" i="127"/>
  <c r="J247" s="1"/>
  <c r="J248" s="1"/>
  <c r="H227"/>
  <c r="J227" s="1"/>
  <c r="J228" s="1"/>
  <c r="G261" i="150"/>
  <c r="H236"/>
  <c r="L29" i="168"/>
  <c r="G157" i="162"/>
  <c r="H157" s="1"/>
  <c r="N157" s="1"/>
  <c r="L19" i="165"/>
  <c r="G43" i="162"/>
  <c r="H43" s="1"/>
  <c r="N43" s="1"/>
  <c r="N75"/>
  <c r="L9" i="165"/>
  <c r="G41" i="162"/>
  <c r="H41" s="1"/>
  <c r="G33"/>
  <c r="H33" s="1"/>
  <c r="G49"/>
  <c r="H49" s="1"/>
  <c r="G100" i="113"/>
  <c r="G101" s="1"/>
  <c r="G102" s="1"/>
  <c r="G103" s="1"/>
  <c r="G643" i="94"/>
  <c r="G644" s="1"/>
  <c r="G645" s="1"/>
  <c r="G646" s="1"/>
  <c r="J91" i="164" s="1"/>
  <c r="M9" i="146"/>
  <c r="G25" s="1"/>
  <c r="L25" s="1"/>
  <c r="F47" i="7" s="1"/>
  <c r="J47" s="1"/>
  <c r="J264" i="119"/>
  <c r="J265" s="1"/>
  <c r="J266" s="1"/>
  <c r="J267" s="1"/>
  <c r="J595"/>
  <c r="H274" i="150"/>
  <c r="G299"/>
  <c r="J592" i="127"/>
  <c r="J593" s="1"/>
  <c r="J594" s="1"/>
  <c r="J595" s="1"/>
  <c r="C58" i="7"/>
  <c r="C50"/>
  <c r="D97" i="190"/>
  <c r="D98" s="1"/>
  <c r="E96"/>
  <c r="G96" s="1"/>
  <c r="G70" i="174"/>
  <c r="H70" s="1"/>
  <c r="H16" i="162"/>
  <c r="N16" s="1"/>
  <c r="L13" i="147"/>
  <c r="N11"/>
  <c r="L12"/>
  <c r="N12" s="1"/>
  <c r="J1163" i="127"/>
  <c r="J1164" s="1"/>
  <c r="J1165" s="1"/>
  <c r="J1166" s="1"/>
  <c r="H749" s="1"/>
  <c r="J749" s="1"/>
  <c r="J750" s="1"/>
  <c r="J751" s="1"/>
  <c r="J752" s="1"/>
  <c r="G66" i="174"/>
  <c r="H66" s="1"/>
  <c r="H12" i="162"/>
  <c r="D80" i="190"/>
  <c r="D81" s="1"/>
  <c r="E79"/>
  <c r="G79" s="1"/>
  <c r="G15" i="162"/>
  <c r="L20" i="164"/>
  <c r="J1440" i="127"/>
  <c r="J1443" s="1"/>
  <c r="G167" i="162"/>
  <c r="H167" s="1"/>
  <c r="N167" s="1"/>
  <c r="L18" i="169"/>
  <c r="G69" i="174"/>
  <c r="H69" s="1"/>
  <c r="J69" s="1"/>
  <c r="H17" i="162"/>
  <c r="N17" s="1"/>
  <c r="N94"/>
  <c r="G171"/>
  <c r="H171" s="1"/>
  <c r="N171" s="1"/>
  <c r="L10" i="170"/>
  <c r="G155" i="162"/>
  <c r="H155" s="1"/>
  <c r="N155" s="1"/>
  <c r="L10" i="168"/>
  <c r="G321" i="94"/>
  <c r="G322" s="1"/>
  <c r="G323" s="1"/>
  <c r="G324" s="1"/>
  <c r="J36" i="164" s="1"/>
  <c r="G223" i="202"/>
  <c r="G224" s="1"/>
  <c r="G428" i="94"/>
  <c r="G429" s="1"/>
  <c r="G430" s="1"/>
  <c r="G431" s="1"/>
  <c r="J52" i="164" s="1"/>
  <c r="E183" i="202"/>
  <c r="M10" i="146"/>
  <c r="G23" s="1"/>
  <c r="L23" s="1"/>
  <c r="F46" i="7" s="1"/>
  <c r="J46" s="1"/>
  <c r="E75" i="141"/>
  <c r="G75" s="1"/>
  <c r="G76" s="1"/>
  <c r="G77" s="1"/>
  <c r="K16" i="140" s="1"/>
  <c r="O11" i="147" l="1"/>
  <c r="G26" i="146" s="1"/>
  <c r="L26" s="1"/>
  <c r="F55" i="7" s="1"/>
  <c r="J55" s="1"/>
  <c r="I18" i="203"/>
  <c r="L18" s="1"/>
  <c r="L28" s="1"/>
  <c r="E10" i="133" s="1"/>
  <c r="O12" i="147"/>
  <c r="G24" i="146" s="1"/>
  <c r="L24" s="1"/>
  <c r="F54" i="7" s="1"/>
  <c r="J54" s="1"/>
  <c r="H253" i="150"/>
  <c r="H254" s="1"/>
  <c r="H256" s="1"/>
  <c r="G72" i="174"/>
  <c r="H72" s="1"/>
  <c r="H19" i="162"/>
  <c r="N19" s="1"/>
  <c r="K71" i="174"/>
  <c r="A71" s="1"/>
  <c r="L72"/>
  <c r="H598" i="119"/>
  <c r="J598" s="1"/>
  <c r="J599" s="1"/>
  <c r="J600" s="1"/>
  <c r="J601" s="1"/>
  <c r="G90" i="162" s="1"/>
  <c r="H90" s="1"/>
  <c r="N90" s="1"/>
  <c r="L27" i="169"/>
  <c r="G169" i="162"/>
  <c r="H169" s="1"/>
  <c r="N169" s="1"/>
  <c r="G70"/>
  <c r="H70" s="1"/>
  <c r="N70" s="1"/>
  <c r="J803" i="127"/>
  <c r="J804" s="1"/>
  <c r="J805" s="1"/>
  <c r="J806" s="1"/>
  <c r="J807" s="1"/>
  <c r="L49" i="167"/>
  <c r="H520" i="127"/>
  <c r="J520" s="1"/>
  <c r="J521" s="1"/>
  <c r="H1445"/>
  <c r="J1445" s="1"/>
  <c r="J1446" s="1"/>
  <c r="G73" i="202"/>
  <c r="G74" s="1"/>
  <c r="G75" s="1"/>
  <c r="K20" i="140"/>
  <c r="L20" s="1"/>
  <c r="R20" s="1"/>
  <c r="K18"/>
  <c r="L18" s="1"/>
  <c r="P18" s="1"/>
  <c r="L16"/>
  <c r="K19"/>
  <c r="L19" s="1"/>
  <c r="Q19" s="1"/>
  <c r="K17"/>
  <c r="L17" s="1"/>
  <c r="O17" s="1"/>
  <c r="O80" s="1"/>
  <c r="G11" i="139" s="1"/>
  <c r="D11" s="1"/>
  <c r="G68" i="174"/>
  <c r="H68" s="1"/>
  <c r="J68" s="1"/>
  <c r="H15" i="162"/>
  <c r="N15" s="1"/>
  <c r="G30"/>
  <c r="L91" i="164"/>
  <c r="N49" i="162"/>
  <c r="J81" i="186"/>
  <c r="L81" s="1"/>
  <c r="J81" i="187"/>
  <c r="L81" s="1"/>
  <c r="G145" i="162"/>
  <c r="H145" s="1"/>
  <c r="N145" s="1"/>
  <c r="J73" i="167"/>
  <c r="L73" s="1"/>
  <c r="G124" i="162"/>
  <c r="H124" s="1"/>
  <c r="N124" s="1"/>
  <c r="G106"/>
  <c r="H106" s="1"/>
  <c r="N106" s="1"/>
  <c r="H575" i="119"/>
  <c r="J575" s="1"/>
  <c r="H576" s="1"/>
  <c r="J576" s="1"/>
  <c r="G173" i="162"/>
  <c r="H173" s="1"/>
  <c r="N173" s="1"/>
  <c r="L24" i="170"/>
  <c r="L33" s="1"/>
  <c r="D16" i="189" s="1"/>
  <c r="E16" s="1"/>
  <c r="J176" i="162" s="1"/>
  <c r="N12"/>
  <c r="M12" s="1"/>
  <c r="H261" i="150"/>
  <c r="G286"/>
  <c r="H250" i="127"/>
  <c r="J250" s="1"/>
  <c r="J251" s="1"/>
  <c r="L22" i="140"/>
  <c r="P22" s="1"/>
  <c r="K23"/>
  <c r="J57" i="168"/>
  <c r="J87" i="167"/>
  <c r="J95" i="186"/>
  <c r="J95" i="187"/>
  <c r="L95" s="1"/>
  <c r="G86" i="162"/>
  <c r="H86" s="1"/>
  <c r="N86" s="1"/>
  <c r="G38"/>
  <c r="H38" s="1"/>
  <c r="N38" s="1"/>
  <c r="G53"/>
  <c r="H53" s="1"/>
  <c r="N53" s="1"/>
  <c r="G46"/>
  <c r="H46" s="1"/>
  <c r="N46" s="1"/>
  <c r="J13" i="146"/>
  <c r="L13" s="1"/>
  <c r="L12"/>
  <c r="H330" i="119"/>
  <c r="J330" s="1"/>
  <c r="H331" s="1"/>
  <c r="J331" s="1"/>
  <c r="D65" i="190"/>
  <c r="E64"/>
  <c r="G64" s="1"/>
  <c r="M13" i="147"/>
  <c r="J14"/>
  <c r="G158" i="162"/>
  <c r="H158" s="1"/>
  <c r="N158" s="1"/>
  <c r="L41" i="168"/>
  <c r="G67" i="174"/>
  <c r="H67" s="1"/>
  <c r="H14" i="162"/>
  <c r="N14" s="1"/>
  <c r="J66" i="174"/>
  <c r="H299" i="150"/>
  <c r="H300" s="1"/>
  <c r="G332"/>
  <c r="H332" s="1"/>
  <c r="H333" s="1"/>
  <c r="G183" i="202"/>
  <c r="D82" i="190"/>
  <c r="E81"/>
  <c r="G81" s="1"/>
  <c r="J24" i="165"/>
  <c r="J24" i="199"/>
  <c r="L24" s="1"/>
  <c r="N41" i="162"/>
  <c r="H230" i="127"/>
  <c r="J230" s="1"/>
  <c r="J231" s="1"/>
  <c r="G29" i="162"/>
  <c r="L87" i="164"/>
  <c r="N56" i="162"/>
  <c r="H323" i="127"/>
  <c r="J323" s="1"/>
  <c r="J324" s="1"/>
  <c r="G162" i="162"/>
  <c r="H162" s="1"/>
  <c r="N162" s="1"/>
  <c r="L62" i="168"/>
  <c r="J30" i="165"/>
  <c r="J30" i="199"/>
  <c r="L30" s="1"/>
  <c r="E101" i="202"/>
  <c r="G101" s="1"/>
  <c r="G21" i="162"/>
  <c r="L52" i="164"/>
  <c r="G18" i="162"/>
  <c r="L36" i="164"/>
  <c r="N13" i="147"/>
  <c r="O13" s="1"/>
  <c r="G22" i="146" s="1"/>
  <c r="L22" s="1"/>
  <c r="F53" i="7" s="1"/>
  <c r="J53" s="1"/>
  <c r="E146" i="113" s="1"/>
  <c r="G146" s="1"/>
  <c r="G147" s="1"/>
  <c r="L14" i="147"/>
  <c r="D99" i="190"/>
  <c r="E98"/>
  <c r="G98" s="1"/>
  <c r="H275" i="150"/>
  <c r="J43" i="167"/>
  <c r="L43" s="1"/>
  <c r="J51" i="187"/>
  <c r="L51" s="1"/>
  <c r="J45" i="186"/>
  <c r="L45" s="1"/>
  <c r="G140" i="162"/>
  <c r="G99"/>
  <c r="G119"/>
  <c r="G80"/>
  <c r="G69"/>
  <c r="H69" s="1"/>
  <c r="N69" s="1"/>
  <c r="N33"/>
  <c r="E195" i="113"/>
  <c r="G195" s="1"/>
  <c r="G196" s="1"/>
  <c r="G197" s="1"/>
  <c r="G198" s="1"/>
  <c r="N64" i="162"/>
  <c r="D46" i="190"/>
  <c r="E45"/>
  <c r="G45" s="1"/>
  <c r="L57" i="167"/>
  <c r="G61" i="162"/>
  <c r="H61" s="1"/>
  <c r="N61" s="1"/>
  <c r="G71"/>
  <c r="H71" s="1"/>
  <c r="N71" s="1"/>
  <c r="K12" i="146"/>
  <c r="H13"/>
  <c r="K13" s="1"/>
  <c r="G168" i="162"/>
  <c r="H168" s="1"/>
  <c r="N168" s="1"/>
  <c r="L23" i="169"/>
  <c r="G319" i="150"/>
  <c r="H319" s="1"/>
  <c r="G175"/>
  <c r="H175" s="1"/>
  <c r="G131"/>
  <c r="H131" s="1"/>
  <c r="L29" i="169" l="1"/>
  <c r="D15" i="189" s="1"/>
  <c r="E15" s="1"/>
  <c r="J170" i="162" s="1"/>
  <c r="L95" i="186"/>
  <c r="G128" i="162"/>
  <c r="B185"/>
  <c r="H185" s="1"/>
  <c r="N185" s="1"/>
  <c r="L73" i="174"/>
  <c r="K72"/>
  <c r="A72" s="1"/>
  <c r="J577" i="119"/>
  <c r="J579" s="1"/>
  <c r="L93" i="164"/>
  <c r="J31" i="162" s="1"/>
  <c r="I176"/>
  <c r="K176" s="1"/>
  <c r="F155" i="174"/>
  <c r="H93"/>
  <c r="E149" i="113"/>
  <c r="G149" s="1"/>
  <c r="G150" s="1"/>
  <c r="G151" s="1"/>
  <c r="G152" s="1"/>
  <c r="G153" s="1"/>
  <c r="J232" i="127"/>
  <c r="J233" s="1"/>
  <c r="J234" s="1"/>
  <c r="J252"/>
  <c r="J253" s="1"/>
  <c r="J254" s="1"/>
  <c r="J255" s="1"/>
  <c r="J1447"/>
  <c r="J1448" s="1"/>
  <c r="J1449" s="1"/>
  <c r="J1450" s="1"/>
  <c r="H189" i="150"/>
  <c r="H191" s="1"/>
  <c r="H192" s="1"/>
  <c r="E10" i="171" s="1"/>
  <c r="H158" i="150"/>
  <c r="K140" i="162"/>
  <c r="H140"/>
  <c r="N140" s="1"/>
  <c r="L15" i="147"/>
  <c r="N15" s="1"/>
  <c r="N14"/>
  <c r="J325" i="127"/>
  <c r="J326" s="1"/>
  <c r="J327" s="1"/>
  <c r="J328" s="1"/>
  <c r="D66" i="190"/>
  <c r="E65"/>
  <c r="G65" s="1"/>
  <c r="L87" i="167"/>
  <c r="G108" i="162"/>
  <c r="H108" s="1"/>
  <c r="N108" s="1"/>
  <c r="M13" i="146"/>
  <c r="G17" s="1"/>
  <c r="L17" s="1"/>
  <c r="F43" i="7" s="1"/>
  <c r="J43" s="1"/>
  <c r="I170" i="162"/>
  <c r="K170" s="1"/>
  <c r="P80" i="140"/>
  <c r="G12" i="139" s="1"/>
  <c r="D12" s="1"/>
  <c r="K99" i="162"/>
  <c r="H99"/>
  <c r="D100" i="190"/>
  <c r="E99"/>
  <c r="G99" s="1"/>
  <c r="G74" i="174"/>
  <c r="H74" s="1"/>
  <c r="J74" s="1"/>
  <c r="H21" i="162"/>
  <c r="N21" s="1"/>
  <c r="L24" i="165"/>
  <c r="G51" i="162"/>
  <c r="H51" s="1"/>
  <c r="G36"/>
  <c r="H36" s="1"/>
  <c r="G67"/>
  <c r="H67" s="1"/>
  <c r="G44"/>
  <c r="H44" s="1"/>
  <c r="H278" i="150"/>
  <c r="H279" s="1"/>
  <c r="H280" s="1"/>
  <c r="H281" s="1"/>
  <c r="E5" i="171" s="1"/>
  <c r="N16" i="140"/>
  <c r="M12" i="146"/>
  <c r="G19" s="1"/>
  <c r="L19" s="1"/>
  <c r="F44" i="7" s="1"/>
  <c r="J44" s="1"/>
  <c r="K119" i="162"/>
  <c r="H119"/>
  <c r="N119" s="1"/>
  <c r="L23" i="140"/>
  <c r="Q23" s="1"/>
  <c r="Q80" s="1"/>
  <c r="G13" i="139" s="1"/>
  <c r="D13" s="1"/>
  <c r="K24" i="140"/>
  <c r="L24" s="1"/>
  <c r="R24" s="1"/>
  <c r="R80" s="1"/>
  <c r="G14" i="139" s="1"/>
  <c r="D14" s="1"/>
  <c r="H286" i="150"/>
  <c r="G315"/>
  <c r="H315" s="1"/>
  <c r="J578" i="119"/>
  <c r="E184" i="202"/>
  <c r="G184" s="1"/>
  <c r="G185" s="1"/>
  <c r="G186" s="1"/>
  <c r="G187" s="1"/>
  <c r="G188" s="1"/>
  <c r="D47" i="190"/>
  <c r="E46"/>
  <c r="G46" s="1"/>
  <c r="H80" i="162"/>
  <c r="K80"/>
  <c r="G71" i="174"/>
  <c r="H71" s="1"/>
  <c r="H18" i="162"/>
  <c r="N18" s="1"/>
  <c r="L30" i="165"/>
  <c r="G59" i="162"/>
  <c r="H59" s="1"/>
  <c r="G37"/>
  <c r="H37" s="1"/>
  <c r="N37" s="1"/>
  <c r="G68"/>
  <c r="H68" s="1"/>
  <c r="N68" s="1"/>
  <c r="G52"/>
  <c r="H52" s="1"/>
  <c r="N52" s="1"/>
  <c r="G45"/>
  <c r="H45" s="1"/>
  <c r="N45" s="1"/>
  <c r="G82" i="174"/>
  <c r="H82" s="1"/>
  <c r="H29" i="162"/>
  <c r="N29" s="1"/>
  <c r="D83" i="190"/>
  <c r="E82"/>
  <c r="G82" s="1"/>
  <c r="M14" i="147"/>
  <c r="J15"/>
  <c r="M15" s="1"/>
  <c r="L57" i="168"/>
  <c r="G161" i="162"/>
  <c r="H161" s="1"/>
  <c r="N161" s="1"/>
  <c r="L12"/>
  <c r="A12" s="1"/>
  <c r="M13"/>
  <c r="L13" s="1"/>
  <c r="A13" s="1"/>
  <c r="G83" i="174"/>
  <c r="H83" s="1"/>
  <c r="H30" i="162"/>
  <c r="N30" s="1"/>
  <c r="F11" i="139"/>
  <c r="J332" i="119"/>
  <c r="J333" s="1"/>
  <c r="J334" s="1"/>
  <c r="J335" s="1"/>
  <c r="M14" i="162" l="1"/>
  <c r="L14" s="1"/>
  <c r="A14" s="1"/>
  <c r="K73" i="174"/>
  <c r="A73" s="1"/>
  <c r="L74"/>
  <c r="E7" i="133"/>
  <c r="F152" i="174" s="1"/>
  <c r="G5" i="171"/>
  <c r="G178" i="162"/>
  <c r="H178" s="1"/>
  <c r="N178" s="1"/>
  <c r="F13" i="139"/>
  <c r="H303" i="150"/>
  <c r="H304" s="1"/>
  <c r="N67" i="162"/>
  <c r="I73"/>
  <c r="N99"/>
  <c r="D68" i="190"/>
  <c r="E68" s="1"/>
  <c r="G68" s="1"/>
  <c r="D67"/>
  <c r="E66"/>
  <c r="G66" s="1"/>
  <c r="L25" i="140"/>
  <c r="L80" s="1"/>
  <c r="L5" s="1"/>
  <c r="L6" s="1"/>
  <c r="O15" i="147"/>
  <c r="G18" i="146" s="1"/>
  <c r="L18" s="1"/>
  <c r="F51" i="7" s="1"/>
  <c r="J51" s="1"/>
  <c r="J81" i="167"/>
  <c r="J89" i="186"/>
  <c r="L89" s="1"/>
  <c r="L108" s="1"/>
  <c r="D10" i="189" s="1"/>
  <c r="E10" s="1"/>
  <c r="J133" i="162" s="1"/>
  <c r="J89" i="187"/>
  <c r="L89" s="1"/>
  <c r="L108" s="1"/>
  <c r="D11" i="189" s="1"/>
  <c r="E11" s="1"/>
  <c r="J153" i="162" s="1"/>
  <c r="G150"/>
  <c r="H150" s="1"/>
  <c r="N150" s="1"/>
  <c r="G130"/>
  <c r="H130" s="1"/>
  <c r="N130" s="1"/>
  <c r="D84" i="190"/>
  <c r="E83"/>
  <c r="G83" s="1"/>
  <c r="D85"/>
  <c r="E85" s="1"/>
  <c r="G85" s="1"/>
  <c r="N80" i="162"/>
  <c r="I91"/>
  <c r="K91" s="1"/>
  <c r="H343" i="150"/>
  <c r="N80" i="140"/>
  <c r="G10" i="139" s="1"/>
  <c r="S25" i="140"/>
  <c r="S80" s="1"/>
  <c r="N44" i="162"/>
  <c r="D102" i="190"/>
  <c r="E102" s="1"/>
  <c r="G102" s="1"/>
  <c r="D101"/>
  <c r="E100"/>
  <c r="G100" s="1"/>
  <c r="O14" i="147"/>
  <c r="G20" i="146" s="1"/>
  <c r="L20" s="1"/>
  <c r="F52" i="7" s="1"/>
  <c r="J52" s="1"/>
  <c r="E120" i="113" s="1"/>
  <c r="G120" s="1"/>
  <c r="H159" i="150"/>
  <c r="N59" i="162"/>
  <c r="I62"/>
  <c r="K62" s="1"/>
  <c r="H148"/>
  <c r="N148" s="1"/>
  <c r="H128"/>
  <c r="N128" s="1"/>
  <c r="N51"/>
  <c r="F12" i="139"/>
  <c r="G181" i="162"/>
  <c r="H181" s="1"/>
  <c r="N181" s="1"/>
  <c r="G10" i="171"/>
  <c r="I31" i="162"/>
  <c r="K31" s="1"/>
  <c r="F14" i="139"/>
  <c r="J71" i="174"/>
  <c r="H85"/>
  <c r="D48" i="190"/>
  <c r="E47"/>
  <c r="G47" s="1"/>
  <c r="E119" i="113"/>
  <c r="G119" s="1"/>
  <c r="H1024" i="127"/>
  <c r="J1024" s="1"/>
  <c r="J1025" s="1"/>
  <c r="H182"/>
  <c r="J182" s="1"/>
  <c r="N36" i="162"/>
  <c r="M15" l="1"/>
  <c r="M16" s="1"/>
  <c r="L75" i="174"/>
  <c r="K74"/>
  <c r="A74" s="1"/>
  <c r="I153" i="162"/>
  <c r="K153" s="1"/>
  <c r="G121" i="113"/>
  <c r="E123" s="1"/>
  <c r="H1027" i="127"/>
  <c r="J1027" s="1"/>
  <c r="J1028" s="1"/>
  <c r="E67" i="190"/>
  <c r="G67" s="1"/>
  <c r="D69"/>
  <c r="E69" s="1"/>
  <c r="G69" s="1"/>
  <c r="I133" i="162"/>
  <c r="K133" s="1"/>
  <c r="H344" i="150"/>
  <c r="H345" s="1"/>
  <c r="E8" i="171" s="1"/>
  <c r="H160" i="150"/>
  <c r="E12" i="171" s="1"/>
  <c r="J183" i="127"/>
  <c r="D49" i="190"/>
  <c r="E48"/>
  <c r="G48" s="1"/>
  <c r="G15" i="139"/>
  <c r="D10"/>
  <c r="H305" i="150"/>
  <c r="H306" s="1"/>
  <c r="E6" i="171" s="1"/>
  <c r="E101" i="190"/>
  <c r="G101" s="1"/>
  <c r="D103"/>
  <c r="E103" s="1"/>
  <c r="G103" s="1"/>
  <c r="L81" i="167"/>
  <c r="L100" s="1"/>
  <c r="D9" i="189" s="1"/>
  <c r="E9" s="1"/>
  <c r="J112" i="162" s="1"/>
  <c r="G111"/>
  <c r="H111" s="1"/>
  <c r="N111" s="1"/>
  <c r="E84" i="190"/>
  <c r="G84" s="1"/>
  <c r="D86"/>
  <c r="E86" s="1"/>
  <c r="G86" s="1"/>
  <c r="L15" i="162" l="1"/>
  <c r="A15" s="1"/>
  <c r="L76" i="174"/>
  <c r="K75"/>
  <c r="A75" s="1"/>
  <c r="G8" i="171"/>
  <c r="G180" i="162"/>
  <c r="H180" s="1"/>
  <c r="N180" s="1"/>
  <c r="F10" i="139"/>
  <c r="D15"/>
  <c r="G6" i="171"/>
  <c r="G179" i="162"/>
  <c r="H179" s="1"/>
  <c r="N179" s="1"/>
  <c r="E49" i="190"/>
  <c r="G49" s="1"/>
  <c r="D50"/>
  <c r="L16" i="162"/>
  <c r="A16" s="1"/>
  <c r="M17"/>
  <c r="G123" i="113"/>
  <c r="E124" s="1"/>
  <c r="G124" s="1"/>
  <c r="G12" i="171"/>
  <c r="G182" i="162"/>
  <c r="H182" s="1"/>
  <c r="N182" s="1"/>
  <c r="J1029" i="127"/>
  <c r="J1030" s="1"/>
  <c r="J1031" s="1"/>
  <c r="J1032" s="1"/>
  <c r="I112" i="162"/>
  <c r="K112" s="1"/>
  <c r="H185" i="127"/>
  <c r="J185" s="1"/>
  <c r="J186" s="1"/>
  <c r="H190" i="150"/>
  <c r="K76" i="174" l="1"/>
  <c r="A76" s="1"/>
  <c r="L77"/>
  <c r="G125" i="113"/>
  <c r="G126" s="1"/>
  <c r="G127" s="1"/>
  <c r="G128" s="1"/>
  <c r="J45" i="168" s="1"/>
  <c r="J187" i="127"/>
  <c r="J188" s="1"/>
  <c r="J189" s="1"/>
  <c r="J190" s="1"/>
  <c r="L17" i="162"/>
  <c r="A17" s="1"/>
  <c r="M18"/>
  <c r="I182"/>
  <c r="I187"/>
  <c r="E7" i="139"/>
  <c r="D16"/>
  <c r="E25" i="133" s="1"/>
  <c r="E24"/>
  <c r="D51" i="190"/>
  <c r="E50"/>
  <c r="G50" s="1"/>
  <c r="G18" i="171"/>
  <c r="K77" i="174" l="1"/>
  <c r="A77" s="1"/>
  <c r="L78"/>
  <c r="G54" i="162"/>
  <c r="H54" s="1"/>
  <c r="N54" s="1"/>
  <c r="J33" i="199"/>
  <c r="J33" i="165"/>
  <c r="L33" s="1"/>
  <c r="L35" s="1"/>
  <c r="D6" i="189" s="1"/>
  <c r="G47" i="162"/>
  <c r="H47" s="1"/>
  <c r="I47" s="1"/>
  <c r="L190" i="127"/>
  <c r="H287"/>
  <c r="J287" s="1"/>
  <c r="J288" s="1"/>
  <c r="D17" i="139"/>
  <c r="F7"/>
  <c r="E11"/>
  <c r="E12"/>
  <c r="E14"/>
  <c r="E13"/>
  <c r="E10"/>
  <c r="J187" i="162"/>
  <c r="K187" s="1"/>
  <c r="E9" i="133"/>
  <c r="D52" i="190"/>
  <c r="E52" s="1"/>
  <c r="G52" s="1"/>
  <c r="E51"/>
  <c r="G51" s="1"/>
  <c r="G159" i="162"/>
  <c r="H159" s="1"/>
  <c r="N159" s="1"/>
  <c r="L45" i="168"/>
  <c r="L64" s="1"/>
  <c r="D14" i="189" s="1"/>
  <c r="E14" s="1"/>
  <c r="L18" i="162"/>
  <c r="A18" s="1"/>
  <c r="M19"/>
  <c r="E6" i="189" l="1"/>
  <c r="J47" i="162" s="1"/>
  <c r="K47" s="1"/>
  <c r="G89" i="174"/>
  <c r="H89" s="1"/>
  <c r="L33" i="199"/>
  <c r="L35" s="1"/>
  <c r="D5" i="189" s="1"/>
  <c r="G88" i="174" s="1"/>
  <c r="H88" s="1"/>
  <c r="G39" i="162"/>
  <c r="H39" s="1"/>
  <c r="N47"/>
  <c r="K78" i="174"/>
  <c r="A78" s="1"/>
  <c r="L79"/>
  <c r="E15" i="139"/>
  <c r="G141" i="190"/>
  <c r="E14" i="133" s="1"/>
  <c r="I54" i="162"/>
  <c r="O90" i="174" s="1"/>
  <c r="H92"/>
  <c r="F154"/>
  <c r="O89"/>
  <c r="E26" i="133"/>
  <c r="E27" s="1"/>
  <c r="L4" i="140"/>
  <c r="H298" i="127"/>
  <c r="J298" s="1"/>
  <c r="J299" s="1"/>
  <c r="L19" i="162"/>
  <c r="A19" s="1"/>
  <c r="M20"/>
  <c r="I163"/>
  <c r="K163" s="1"/>
  <c r="H91" i="174" l="1"/>
  <c r="H94" s="1"/>
  <c r="E5" i="189"/>
  <c r="J39" i="162" s="1"/>
  <c r="H188"/>
  <c r="L10" i="174" s="1"/>
  <c r="I39" i="162"/>
  <c r="I188" s="1"/>
  <c r="N39"/>
  <c r="E6" i="163"/>
  <c r="E17" i="133"/>
  <c r="H100" i="174" s="1"/>
  <c r="L80"/>
  <c r="K79"/>
  <c r="A79" s="1"/>
  <c r="H97"/>
  <c r="H17" i="133"/>
  <c r="E15"/>
  <c r="H98" i="174" s="1"/>
  <c r="E16" i="133"/>
  <c r="F161" i="174" s="1"/>
  <c r="F159"/>
  <c r="J300" i="127"/>
  <c r="J301" s="1"/>
  <c r="J302" s="1"/>
  <c r="J303" s="1"/>
  <c r="L20" i="162"/>
  <c r="A20" s="1"/>
  <c r="M21"/>
  <c r="E17" i="189" l="1"/>
  <c r="E8" i="133" s="1"/>
  <c r="E11" s="1"/>
  <c r="I189" i="162" s="1"/>
  <c r="N188"/>
  <c r="H189"/>
  <c r="L11" i="182" s="1"/>
  <c r="O88" i="174"/>
  <c r="F162"/>
  <c r="E10" i="163"/>
  <c r="F160" i="174"/>
  <c r="E7" i="163"/>
  <c r="E8"/>
  <c r="L81" i="174"/>
  <c r="K80"/>
  <c r="A80" s="1"/>
  <c r="H99"/>
  <c r="L21" i="162"/>
  <c r="A21" s="1"/>
  <c r="M22"/>
  <c r="G169" i="174"/>
  <c r="L12"/>
  <c r="F153" l="1"/>
  <c r="F156" s="1"/>
  <c r="E12" i="133"/>
  <c r="F157" i="174" s="1"/>
  <c r="E13" i="133"/>
  <c r="G8"/>
  <c r="J188" i="162"/>
  <c r="K188" s="1"/>
  <c r="I169" i="174"/>
  <c r="N189" i="162"/>
  <c r="M189" s="1"/>
  <c r="L189" s="1"/>
  <c r="L13" i="174"/>
  <c r="M12" s="1"/>
  <c r="B3" i="179"/>
  <c r="C3" s="1"/>
  <c r="B3" i="184"/>
  <c r="C4" s="1"/>
  <c r="J189" i="162"/>
  <c r="K81" i="174"/>
  <c r="A81" s="1"/>
  <c r="L82"/>
  <c r="L22" i="162"/>
  <c r="A22" s="1"/>
  <c r="M23"/>
  <c r="E35" i="182"/>
  <c r="I95"/>
  <c r="B96" s="1"/>
  <c r="C4" i="179" l="1"/>
  <c r="B6"/>
  <c r="C7" s="1"/>
  <c r="C3" i="184"/>
  <c r="C9" s="1"/>
  <c r="C17" s="1"/>
  <c r="E18" i="133"/>
  <c r="F163" i="174" s="1"/>
  <c r="H95"/>
  <c r="H96"/>
  <c r="E5" i="163"/>
  <c r="F158" i="174"/>
  <c r="M190" i="162"/>
  <c r="M191" s="1"/>
  <c r="L191" s="1"/>
  <c r="K82" i="174"/>
  <c r="A82" s="1"/>
  <c r="L83"/>
  <c r="K83" s="1"/>
  <c r="A83" s="1"/>
  <c r="E26" i="179"/>
  <c r="D5"/>
  <c r="E21"/>
  <c r="D4"/>
  <c r="C9"/>
  <c r="C17" s="1"/>
  <c r="E4"/>
  <c r="C21"/>
  <c r="L23" i="162"/>
  <c r="A23" s="1"/>
  <c r="M24"/>
  <c r="B100" i="182"/>
  <c r="B98"/>
  <c r="E36"/>
  <c r="E37" s="1"/>
  <c r="E38" s="1"/>
  <c r="E39" s="1"/>
  <c r="E40" s="1"/>
  <c r="E41" s="1"/>
  <c r="E42" s="1"/>
  <c r="E43" s="1"/>
  <c r="B105"/>
  <c r="B25"/>
  <c r="C12" i="179" l="1"/>
  <c r="E19" i="133"/>
  <c r="F164" i="174" s="1"/>
  <c r="C15" i="179"/>
  <c r="C11"/>
  <c r="C14"/>
  <c r="C13"/>
  <c r="C7" i="184"/>
  <c r="C8" i="179"/>
  <c r="D4" i="184"/>
  <c r="E21"/>
  <c r="E23" s="1"/>
  <c r="F23" s="1"/>
  <c r="C8"/>
  <c r="K103" i="174"/>
  <c r="C21" i="184"/>
  <c r="C25" s="1"/>
  <c r="D5"/>
  <c r="E4"/>
  <c r="L190" i="162"/>
  <c r="L24"/>
  <c r="A24" s="1"/>
  <c r="M25"/>
  <c r="C18" i="184"/>
  <c r="C19"/>
  <c r="C22" i="179"/>
  <c r="D21"/>
  <c r="C25"/>
  <c r="E28"/>
  <c r="F28" s="1"/>
  <c r="E27"/>
  <c r="F27" s="1"/>
  <c r="F26"/>
  <c r="G26" s="1"/>
  <c r="F4"/>
  <c r="D17"/>
  <c r="C19"/>
  <c r="D19" s="1"/>
  <c r="C18"/>
  <c r="D18" s="1"/>
  <c r="E22"/>
  <c r="F22" s="1"/>
  <c r="F21"/>
  <c r="G21" s="1"/>
  <c r="E23"/>
  <c r="F23" s="1"/>
  <c r="G20" i="133" l="1"/>
  <c r="E20" s="1"/>
  <c r="H102" i="174" s="1"/>
  <c r="E9" i="163"/>
  <c r="E11" s="1"/>
  <c r="H169" i="174" s="1"/>
  <c r="H101"/>
  <c r="D21" i="184"/>
  <c r="E22"/>
  <c r="F22" s="1"/>
  <c r="F21"/>
  <c r="F4"/>
  <c r="C23"/>
  <c r="D23" s="1"/>
  <c r="C22"/>
  <c r="D22" s="1"/>
  <c r="H103" i="174"/>
  <c r="E106" s="1"/>
  <c r="E107" s="1"/>
  <c r="E18" i="179"/>
  <c r="H26"/>
  <c r="D20"/>
  <c r="E17"/>
  <c r="H25"/>
  <c r="G22"/>
  <c r="C23"/>
  <c r="D22"/>
  <c r="G27"/>
  <c r="E19"/>
  <c r="H27"/>
  <c r="L25" i="162"/>
  <c r="A25" s="1"/>
  <c r="M26"/>
  <c r="H20" i="133" l="1"/>
  <c r="F165" i="174"/>
  <c r="E21" i="133"/>
  <c r="F166" i="174" s="1"/>
  <c r="L166" s="1"/>
  <c r="B180" s="1"/>
  <c r="G21" i="133"/>
  <c r="H28" i="179"/>
  <c r="G23"/>
  <c r="G28"/>
  <c r="D23"/>
  <c r="L26" i="162"/>
  <c r="A26" s="1"/>
  <c r="M27"/>
  <c r="B144" i="174" l="1"/>
  <c r="E28" i="133"/>
  <c r="L9" i="174"/>
  <c r="L180" s="1"/>
  <c r="L27" i="162"/>
  <c r="A27" s="1"/>
  <c r="M28"/>
  <c r="A32" i="133" l="1"/>
  <c r="F169" i="174"/>
  <c r="L28" i="162"/>
  <c r="A28" s="1"/>
  <c r="M29"/>
  <c r="L29" l="1"/>
  <c r="A29" s="1"/>
  <c r="M30"/>
  <c r="M31" l="1"/>
  <c r="L30"/>
  <c r="A30" s="1"/>
  <c r="M32" l="1"/>
  <c r="L31"/>
  <c r="A31" s="1"/>
  <c r="L32" l="1"/>
  <c r="A32" s="1"/>
  <c r="M33"/>
  <c r="L33" l="1"/>
  <c r="A33" s="1"/>
  <c r="M34"/>
  <c r="M35" s="1"/>
  <c r="L35" l="1"/>
  <c r="A35" s="1"/>
  <c r="M36"/>
  <c r="L36" s="1"/>
  <c r="L34"/>
  <c r="A34" s="1"/>
  <c r="A36" l="1"/>
  <c r="M37"/>
  <c r="L37" l="1"/>
  <c r="A37" s="1"/>
  <c r="M38"/>
  <c r="L38" l="1"/>
  <c r="A38" s="1"/>
  <c r="M39"/>
  <c r="L39" l="1"/>
  <c r="A39" s="1"/>
  <c r="M40"/>
  <c r="L40" l="1"/>
  <c r="A40" s="1"/>
  <c r="M41"/>
  <c r="L41" l="1"/>
  <c r="A41" s="1"/>
  <c r="M42"/>
  <c r="L42" l="1"/>
  <c r="A42" s="1"/>
  <c r="M43"/>
  <c r="L43" l="1"/>
  <c r="A43" s="1"/>
  <c r="M44"/>
  <c r="L44" l="1"/>
  <c r="A44" s="1"/>
  <c r="M45"/>
  <c r="L45" l="1"/>
  <c r="A45" s="1"/>
  <c r="M46"/>
  <c r="L46" l="1"/>
  <c r="A46" s="1"/>
  <c r="M47"/>
  <c r="L47" l="1"/>
  <c r="A47" s="1"/>
  <c r="M48"/>
  <c r="L48" l="1"/>
  <c r="A48" s="1"/>
  <c r="M49"/>
  <c r="L49" l="1"/>
  <c r="A49" s="1"/>
  <c r="M50"/>
  <c r="L50" l="1"/>
  <c r="A50" s="1"/>
  <c r="M51"/>
  <c r="L51" l="1"/>
  <c r="A51" s="1"/>
  <c r="M52"/>
  <c r="L52" l="1"/>
  <c r="A52" s="1"/>
  <c r="M53"/>
  <c r="L53" l="1"/>
  <c r="A53" s="1"/>
  <c r="M54"/>
  <c r="L54" l="1"/>
  <c r="A54" s="1"/>
  <c r="M55"/>
  <c r="L55" l="1"/>
  <c r="A55" s="1"/>
  <c r="M56"/>
  <c r="L56" l="1"/>
  <c r="A56" s="1"/>
  <c r="M57"/>
  <c r="L57" l="1"/>
  <c r="A57" s="1"/>
  <c r="M58"/>
  <c r="L58" l="1"/>
  <c r="A58" s="1"/>
  <c r="M59"/>
  <c r="L59" l="1"/>
  <c r="A59" s="1"/>
  <c r="M60"/>
  <c r="L60" l="1"/>
  <c r="A60" s="1"/>
  <c r="M61"/>
  <c r="L61" l="1"/>
  <c r="A61" s="1"/>
  <c r="M62"/>
  <c r="L62" l="1"/>
  <c r="A62" s="1"/>
  <c r="M63"/>
  <c r="L63" l="1"/>
  <c r="A63" s="1"/>
  <c r="M64"/>
  <c r="L64" l="1"/>
  <c r="A64" s="1"/>
  <c r="M65"/>
  <c r="L65" l="1"/>
  <c r="A65" s="1"/>
  <c r="M66"/>
  <c r="L66" l="1"/>
  <c r="A66" s="1"/>
  <c r="M67"/>
  <c r="L67" l="1"/>
  <c r="A67" s="1"/>
  <c r="M68"/>
  <c r="L68" l="1"/>
  <c r="A68" s="1"/>
  <c r="M69"/>
  <c r="L69" l="1"/>
  <c r="A69" s="1"/>
  <c r="M70"/>
  <c r="L70" l="1"/>
  <c r="A70" s="1"/>
  <c r="M71"/>
  <c r="L71" l="1"/>
  <c r="A71" s="1"/>
  <c r="M72"/>
  <c r="L72" l="1"/>
  <c r="A72" s="1"/>
  <c r="M73"/>
  <c r="L73" l="1"/>
  <c r="A73" s="1"/>
  <c r="M74"/>
  <c r="L74" l="1"/>
  <c r="A74" s="1"/>
  <c r="M75"/>
  <c r="L75" l="1"/>
  <c r="A75" s="1"/>
  <c r="M76"/>
  <c r="L76" l="1"/>
  <c r="A76" s="1"/>
  <c r="M77"/>
  <c r="L77" l="1"/>
  <c r="A77" s="1"/>
  <c r="M78"/>
  <c r="L78" l="1"/>
  <c r="A78" s="1"/>
  <c r="M79"/>
  <c r="L79" l="1"/>
  <c r="A79" s="1"/>
  <c r="M80"/>
  <c r="L80" l="1"/>
  <c r="A80" s="1"/>
  <c r="M81"/>
  <c r="L81" l="1"/>
  <c r="A81" s="1"/>
  <c r="M82"/>
  <c r="L82" l="1"/>
  <c r="A82" s="1"/>
  <c r="M83"/>
  <c r="L83" l="1"/>
  <c r="A83" s="1"/>
  <c r="M84"/>
  <c r="L84" l="1"/>
  <c r="A84" s="1"/>
  <c r="M85"/>
  <c r="L85" l="1"/>
  <c r="A85" s="1"/>
  <c r="M86"/>
  <c r="L86" l="1"/>
  <c r="A86" s="1"/>
  <c r="M87"/>
  <c r="L87" l="1"/>
  <c r="A87" s="1"/>
  <c r="M88"/>
  <c r="L88" l="1"/>
  <c r="A88" s="1"/>
  <c r="M89"/>
  <c r="L89" l="1"/>
  <c r="A89" s="1"/>
  <c r="M90"/>
  <c r="L90" l="1"/>
  <c r="A90" s="1"/>
  <c r="M91"/>
  <c r="L91" l="1"/>
  <c r="A91" s="1"/>
  <c r="M92"/>
  <c r="L92" l="1"/>
  <c r="A92" s="1"/>
  <c r="M93"/>
  <c r="L93" l="1"/>
  <c r="A93" s="1"/>
  <c r="M94"/>
  <c r="L94" l="1"/>
  <c r="A94" s="1"/>
  <c r="M95"/>
  <c r="L95" l="1"/>
  <c r="A95" s="1"/>
  <c r="M96"/>
  <c r="L96" l="1"/>
  <c r="A96" s="1"/>
  <c r="M97"/>
  <c r="L97" l="1"/>
  <c r="A97" s="1"/>
  <c r="M98"/>
  <c r="L98" l="1"/>
  <c r="A98" s="1"/>
  <c r="M99"/>
  <c r="L99" l="1"/>
  <c r="A99" s="1"/>
  <c r="M100"/>
  <c r="L100" l="1"/>
  <c r="A100" s="1"/>
  <c r="M101"/>
  <c r="M102" s="1"/>
  <c r="M103" l="1"/>
  <c r="L102"/>
  <c r="L101"/>
  <c r="A101" s="1"/>
  <c r="L103" l="1"/>
  <c r="M104"/>
  <c r="A102"/>
  <c r="L104" l="1"/>
  <c r="M105"/>
  <c r="A103"/>
  <c r="M106" l="1"/>
  <c r="L105"/>
  <c r="A104"/>
  <c r="M107" l="1"/>
  <c r="L106"/>
  <c r="A105"/>
  <c r="L107" l="1"/>
  <c r="M108"/>
  <c r="A106"/>
  <c r="M109" l="1"/>
  <c r="L108"/>
  <c r="A107"/>
  <c r="M110" l="1"/>
  <c r="L109"/>
  <c r="A108"/>
  <c r="M111" l="1"/>
  <c r="L110"/>
  <c r="A109"/>
  <c r="M112" l="1"/>
  <c r="L111"/>
  <c r="A110"/>
  <c r="L112" l="1"/>
  <c r="M113"/>
  <c r="A111"/>
  <c r="L113" l="1"/>
  <c r="M114"/>
  <c r="A112"/>
  <c r="L114" l="1"/>
  <c r="M115"/>
  <c r="A113"/>
  <c r="M116" l="1"/>
  <c r="L115"/>
  <c r="A114"/>
  <c r="M117" l="1"/>
  <c r="L116"/>
  <c r="A115"/>
  <c r="M118" l="1"/>
  <c r="L117"/>
  <c r="A116"/>
  <c r="M119" l="1"/>
  <c r="L118"/>
  <c r="A117"/>
  <c r="M120" l="1"/>
  <c r="L119"/>
  <c r="A118"/>
  <c r="M121" l="1"/>
  <c r="L120"/>
  <c r="A119"/>
  <c r="M122" l="1"/>
  <c r="L121"/>
  <c r="A120"/>
  <c r="L122" l="1"/>
  <c r="M123"/>
  <c r="A121"/>
  <c r="M124" l="1"/>
  <c r="L123"/>
  <c r="A122"/>
  <c r="M125" l="1"/>
  <c r="L124"/>
  <c r="A123"/>
  <c r="M126" l="1"/>
  <c r="L125"/>
  <c r="A124"/>
  <c r="M127" l="1"/>
  <c r="L126"/>
  <c r="A125"/>
  <c r="M128" l="1"/>
  <c r="L127"/>
  <c r="A126"/>
  <c r="M129" l="1"/>
  <c r="L128"/>
  <c r="A127"/>
  <c r="M130" l="1"/>
  <c r="L129"/>
  <c r="A128"/>
  <c r="M131" l="1"/>
  <c r="L130"/>
  <c r="A129"/>
  <c r="M132" l="1"/>
  <c r="L131"/>
  <c r="A130"/>
  <c r="M133" l="1"/>
  <c r="L132"/>
  <c r="A131"/>
  <c r="L133" l="1"/>
  <c r="M134"/>
  <c r="A132"/>
  <c r="L134" l="1"/>
  <c r="M135"/>
  <c r="A133"/>
  <c r="M136" l="1"/>
  <c r="L135"/>
  <c r="A134"/>
  <c r="M137" l="1"/>
  <c r="L136"/>
  <c r="A135"/>
  <c r="M138" l="1"/>
  <c r="L137"/>
  <c r="A136"/>
  <c r="L138" l="1"/>
  <c r="M139"/>
  <c r="A137"/>
  <c r="M140" l="1"/>
  <c r="L139"/>
  <c r="A138"/>
  <c r="M141" l="1"/>
  <c r="L140"/>
  <c r="A139"/>
  <c r="L141" l="1"/>
  <c r="M142"/>
  <c r="A140"/>
  <c r="M143" l="1"/>
  <c r="L142"/>
  <c r="A141"/>
  <c r="L143" l="1"/>
  <c r="M144"/>
  <c r="A142"/>
  <c r="L144" l="1"/>
  <c r="M145"/>
  <c r="A143"/>
  <c r="L145" l="1"/>
  <c r="M146"/>
  <c r="A144"/>
  <c r="M147" l="1"/>
  <c r="L146"/>
  <c r="A145"/>
  <c r="M148" l="1"/>
  <c r="L147"/>
  <c r="A146"/>
  <c r="M149" l="1"/>
  <c r="L148"/>
  <c r="A147"/>
  <c r="M150" l="1"/>
  <c r="L149"/>
  <c r="A148"/>
  <c r="L150" l="1"/>
  <c r="M151"/>
  <c r="A149"/>
  <c r="L151" l="1"/>
  <c r="M152"/>
  <c r="A150"/>
  <c r="M153" l="1"/>
  <c r="L152"/>
  <c r="A151"/>
  <c r="M154" l="1"/>
  <c r="L153"/>
  <c r="A152"/>
  <c r="L154" l="1"/>
  <c r="M155"/>
  <c r="A153"/>
  <c r="L155" l="1"/>
  <c r="M156"/>
  <c r="A154"/>
  <c r="L156" l="1"/>
  <c r="M157"/>
  <c r="A155"/>
  <c r="L157" l="1"/>
  <c r="M158"/>
  <c r="A156"/>
  <c r="L158" l="1"/>
  <c r="M159"/>
  <c r="A157"/>
  <c r="L159" l="1"/>
  <c r="M160"/>
  <c r="A158"/>
  <c r="M161" l="1"/>
  <c r="L160"/>
  <c r="A159"/>
  <c r="L161" l="1"/>
  <c r="M162"/>
  <c r="A160"/>
  <c r="M163" l="1"/>
  <c r="L162"/>
  <c r="A161"/>
  <c r="L163" l="1"/>
  <c r="M164"/>
  <c r="A162"/>
  <c r="L164" l="1"/>
  <c r="M165"/>
  <c r="A163"/>
  <c r="L165" l="1"/>
  <c r="M166"/>
  <c r="A164"/>
  <c r="L166" l="1"/>
  <c r="M167"/>
  <c r="A165"/>
  <c r="M168" l="1"/>
  <c r="L167"/>
  <c r="A166"/>
  <c r="L168" l="1"/>
  <c r="M169"/>
  <c r="A167"/>
  <c r="L169" l="1"/>
  <c r="M170"/>
  <c r="A168"/>
  <c r="L170" l="1"/>
  <c r="M171"/>
  <c r="A169"/>
  <c r="M172" l="1"/>
  <c r="L171"/>
  <c r="A170"/>
  <c r="L172" l="1"/>
  <c r="M173"/>
  <c r="A171"/>
  <c r="L173" l="1"/>
  <c r="M174"/>
  <c r="A172"/>
  <c r="L174" l="1"/>
  <c r="M175"/>
  <c r="A173"/>
  <c r="L175" l="1"/>
  <c r="M176"/>
  <c r="A174"/>
  <c r="L176" l="1"/>
  <c r="M177"/>
  <c r="A175"/>
  <c r="M178" l="1"/>
  <c r="L177"/>
  <c r="A176"/>
  <c r="L178" l="1"/>
  <c r="M179"/>
  <c r="A177"/>
  <c r="L179" l="1"/>
  <c r="M180"/>
  <c r="A178"/>
  <c r="L180" l="1"/>
  <c r="M181"/>
  <c r="A179"/>
  <c r="M182" l="1"/>
  <c r="L181"/>
  <c r="A180"/>
  <c r="L182" l="1"/>
  <c r="M183"/>
  <c r="A181"/>
  <c r="L183" l="1"/>
  <c r="M184"/>
  <c r="A182"/>
  <c r="M185" l="1"/>
  <c r="L184"/>
  <c r="A183"/>
  <c r="M186" l="1"/>
  <c r="L186" s="1"/>
  <c r="L185"/>
  <c r="A184"/>
  <c r="M187" l="1"/>
  <c r="A185"/>
  <c r="A186"/>
  <c r="D189" s="1"/>
  <c r="L187" l="1"/>
  <c r="M188"/>
  <c r="L188" s="1"/>
</calcChain>
</file>

<file path=xl/sharedStrings.xml><?xml version="1.0" encoding="utf-8"?>
<sst xmlns="http://schemas.openxmlformats.org/spreadsheetml/2006/main" count="10614" uniqueCount="2817">
  <si>
    <t xml:space="preserve">DATA-CD STRUCTURES </t>
  </si>
  <si>
    <t>Name of Work  ::-</t>
  </si>
  <si>
    <t>S.No.</t>
  </si>
  <si>
    <t>Quantity</t>
  </si>
  <si>
    <t>Description of Item</t>
  </si>
  <si>
    <t>Rate</t>
  </si>
  <si>
    <t xml:space="preserve">per </t>
  </si>
  <si>
    <t>Amount (Rs.)</t>
  </si>
  <si>
    <t>Dismantling of Structures  (superstructure, substructure, foundation and other miscellaneous structures) and pavements including disposing of resulting materials and/or salvaging useful materials up to a distance of 1 km from project road complete as per Drawings and Technical Specification Clause MoRT&amp;H 202 and as directed by the Engineer.(By Mechanical means in Cement Concrete grade M-15 &amp; M-20)</t>
  </si>
  <si>
    <t>Page 23,24,25  of MoRT&amp;H SDB</t>
  </si>
  <si>
    <t>Unit = cum</t>
  </si>
  <si>
    <t>Taking output = 1.25 cum</t>
  </si>
  <si>
    <t>(A) Labour</t>
  </si>
  <si>
    <t>no</t>
  </si>
  <si>
    <t>Mate</t>
  </si>
  <si>
    <t>Mazdoor skilled</t>
  </si>
  <si>
    <t>Mazdoor unskilled</t>
  </si>
  <si>
    <t>Agency area allowance</t>
  </si>
  <si>
    <t>TOTAL</t>
  </si>
  <si>
    <t>A =</t>
  </si>
  <si>
    <t>(B ) Machinery</t>
  </si>
  <si>
    <t xml:space="preserve">Air compressor 250 cfm with 2 leads of </t>
  </si>
  <si>
    <t xml:space="preserve">pneumatic breaker @ 1.5 cum per hour </t>
  </si>
  <si>
    <t>hour</t>
  </si>
  <si>
    <t>Tractor Trolley</t>
  </si>
  <si>
    <t>B =</t>
  </si>
  <si>
    <t>(A + B )</t>
  </si>
  <si>
    <t>(C)</t>
  </si>
  <si>
    <t>Over Head Charges on (A+B)</t>
  </si>
  <si>
    <t>%</t>
  </si>
  <si>
    <t>(D) Contractors Profit on (A+B+C)</t>
  </si>
  <si>
    <t>cum</t>
  </si>
  <si>
    <r>
      <rPr>
        <sz val="12"/>
        <rFont val="Tahoma"/>
        <family val="2"/>
      </rPr>
      <t>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
    </r>
    <r>
      <rPr>
        <vertAlign val="superscript"/>
        <sz val="12"/>
        <rFont val="Tahoma"/>
        <family val="2"/>
      </rPr>
      <t>th</t>
    </r>
    <r>
      <rPr>
        <sz val="12"/>
        <rFont val="Tahoma"/>
        <family val="2"/>
      </rPr>
      <t xml:space="preserve"> Revision)  and as directed by the Engineer-in-Charge. (Payment Based on Levels)</t>
    </r>
  </si>
  <si>
    <t>Unit : Cum</t>
  </si>
  <si>
    <t>Page 323 of MoRT&amp;H SDB</t>
  </si>
  <si>
    <t xml:space="preserve">Taking out put = 240 Cum </t>
  </si>
  <si>
    <t>(A)</t>
  </si>
  <si>
    <t>Labour</t>
  </si>
  <si>
    <t>day</t>
  </si>
  <si>
    <t>(B)</t>
  </si>
  <si>
    <t>Machinery</t>
  </si>
  <si>
    <t>hr</t>
  </si>
  <si>
    <t>Hydraualic Excavator 1 Cum bucket capacity @ 60 cum/hr</t>
  </si>
  <si>
    <t>Rate as per G.O. Ms No 10, Dt 26/7/2005</t>
  </si>
  <si>
    <t xml:space="preserve">Over head charges </t>
  </si>
  <si>
    <t>(D)</t>
  </si>
  <si>
    <t>Total of (A) + (B)+( C)</t>
  </si>
  <si>
    <t>(E)</t>
  </si>
  <si>
    <t>Add Contractors Profit at 10% on (D)</t>
  </si>
  <si>
    <t>Cost per 240 cum (D)+(E)</t>
  </si>
  <si>
    <t xml:space="preserve">Rate for 1 cum </t>
  </si>
  <si>
    <t>Add seignorage charges (1*22)</t>
  </si>
  <si>
    <t>Rate to be adopted</t>
  </si>
  <si>
    <t>1 Cum</t>
  </si>
  <si>
    <t>Vibrated  cement concrete M 15 Grade Concrete using 40mm , 20mm and 10mm size HBG crushed stone aggregate (Coarse aggregate conforming to table 1000-1 and fine aggregate conforming to table 1000-2) including cost, (excluding  seigniorage) and conveyance of all  materials to site and all labour charges ,centering, machine mixing, laying in position, Compacting , Vibrating and curing including all other incidental and all other operational charges of T&amp;P required etc., complete as per MoRT&amp;H Specification 1500,1700, 2100 (5th Revision)  for levelling Course</t>
  </si>
  <si>
    <t>Page 335 of MoRT&amp;H SDB</t>
  </si>
  <si>
    <t>Taking output = 15 cum</t>
  </si>
  <si>
    <t>Day</t>
  </si>
  <si>
    <t>Mason</t>
  </si>
  <si>
    <t>Mazdoor</t>
  </si>
  <si>
    <t>Total</t>
  </si>
  <si>
    <t>Material</t>
  </si>
  <si>
    <t>Cost of 40mm SS-5 HBG M/C  metal</t>
  </si>
  <si>
    <t>Cost of 20mm SS-5 HBG M/C  metal</t>
  </si>
  <si>
    <t>Cost of 10mm SS-5 HBG M/C  metal</t>
  </si>
  <si>
    <t>Sand at site</t>
  </si>
  <si>
    <t>MT</t>
  </si>
  <si>
    <t>Cement at site</t>
  </si>
  <si>
    <t>Concrete mixer 0.4/0.28 cum</t>
  </si>
  <si>
    <t>Generator set 35 KVA</t>
  </si>
  <si>
    <t>Water tanker 6 KL capacity</t>
  </si>
  <si>
    <t>Form work</t>
  </si>
  <si>
    <t>Form work @ 10% on (A)+(B)+( C)</t>
  </si>
  <si>
    <t>Cum</t>
  </si>
  <si>
    <t xml:space="preserve">Over head charges @ 5% </t>
  </si>
  <si>
    <t>Add for Over head charges @ 5% on (A)+(B)+( C)</t>
  </si>
  <si>
    <t>(F)</t>
  </si>
  <si>
    <t>Total of (A) + (B)+( C)+(D)+(E)</t>
  </si>
  <si>
    <t>(G)</t>
  </si>
  <si>
    <t>Add Contractors Profit at 10% on (F)</t>
  </si>
  <si>
    <t>Cost per 15 cum (F)+(G)</t>
  </si>
  <si>
    <t>Rate for 1 cum</t>
  </si>
  <si>
    <t xml:space="preserve">Providing and filling  bedding of Granular material around the pipes of  Hume pipe culverts suitably compacted / rammed including cost, (excluding  seigniorage) and conveyance of materials to site etc.,  complete as per drawing and MoRT&amp;H Specification  2900 ( 5th Revision) and as directed by the Engineer-in-Charge. </t>
  </si>
  <si>
    <t>Page 462 of MoRT&amp;H SDB</t>
  </si>
  <si>
    <t>Taking output = 10 cum</t>
  </si>
  <si>
    <t xml:space="preserve"> </t>
  </si>
  <si>
    <t>Cost of Gravel</t>
  </si>
  <si>
    <t>©</t>
  </si>
  <si>
    <t>Plate compactor/Power rammer/road roller</t>
  </si>
  <si>
    <t>Total of (A) + (B)+( C)+(D)</t>
  </si>
  <si>
    <t>Add Contractors Profit at 10% on (E)</t>
  </si>
  <si>
    <t>Cost per 10 cum (E)+(F)</t>
  </si>
  <si>
    <t>Vibrated  cement concrete M20 Grade Concrete using 40mm , 20mm and 10mm size HBG crushed stone aggregate (Coarse aggregate conforming to table 1000-1 and fine aggregate conforming to table 1000-2) including cost, (excluding  seigniorage) and conveyance of  all  materials to site and all labour charges , centering, machine mixing, laying in position, Compacting, Vibrating and curing including all other incidental and all other operational charges of T&amp;P required etc., complete as per MoRT&amp;H Specification 1500,1700, 2200 (5th Revision)  for foundation &amp; Sub structure .</t>
  </si>
  <si>
    <t>Page 335,455 of MoRT&amp;H SDB</t>
  </si>
  <si>
    <t>(c )</t>
  </si>
  <si>
    <t xml:space="preserve">Form work charges @ 4% </t>
  </si>
  <si>
    <t>Add for Form work charges @ 4% on (A)+(B)+(C)</t>
  </si>
  <si>
    <t xml:space="preserve">Over head charges @ 3% </t>
  </si>
  <si>
    <t>Cost per 15 cum (E)+(F)</t>
  </si>
  <si>
    <t>Providing Vibrated Cement Concrete (1:3:6) mix using 40mm size HBG crushed stone aggregate and fine aggregate conforming to table 1000-2 of MoRT&amp;H including cost, (excluding  seigniorage)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foundations.</t>
  </si>
  <si>
    <t>Page 271 of MoRT&amp;H SDB</t>
  </si>
  <si>
    <r>
      <rPr>
        <sz val="12"/>
        <rFont val="Arial"/>
        <family val="2"/>
      </rPr>
      <t>Providing, laying Reinforced cement concrete Hume pipes of 1000 mm Dia.,</t>
    </r>
    <r>
      <rPr>
        <b/>
        <sz val="12"/>
        <rFont val="Arial"/>
        <family val="2"/>
      </rPr>
      <t xml:space="preserve"> NP-4</t>
    </r>
    <r>
      <rPr>
        <sz val="12"/>
        <rFont val="Arial"/>
        <family val="2"/>
      </rPr>
      <t xml:space="preserve"> class for pipe culverts  including cost and conveyance of Pipes etc., complete and Labour charges for laying, jointing of 1000mm dia. R.C.C Hume pipes  in position including lifting, aligning, lowering and hoisting etc., as per drawing and as per MoRT&amp;H Specification  2900, 2905 and 2906 (5th Revision) and IRC Special Publication No: 13 and as directed by the Engineer-in-Charge for finished item of work. </t>
    </r>
    <r>
      <rPr>
        <b/>
        <sz val="12"/>
        <rFont val="Arial"/>
        <family val="2"/>
      </rPr>
      <t>(NP-4 Concrete Pipe on First Class Bedding in Single Row)</t>
    </r>
  </si>
  <si>
    <t>Unit = metre</t>
  </si>
  <si>
    <t>Page 272,273 of MoRT&amp;H SDB</t>
  </si>
  <si>
    <t>Taking output = 12.5 metre</t>
  </si>
  <si>
    <t>1000 mm Dia.,</t>
  </si>
  <si>
    <t>nos</t>
  </si>
  <si>
    <t>RM</t>
  </si>
  <si>
    <t>Cost of 1000mm Dia., pipes</t>
  </si>
  <si>
    <t>Over head charges @ 5%</t>
  </si>
  <si>
    <t>Cost per 12.5 metre (D)+(E)</t>
  </si>
  <si>
    <t>Rate for 1 RM</t>
  </si>
  <si>
    <t>1 RM</t>
  </si>
  <si>
    <t xml:space="preserve">Providing and laying filter material with Gravel underneath pitching in slopes including cost, (excluding  seigniorage) charges and conveyance of materials to site including labour charges  etc., complete for finished item of work as per MoRT&amp;H Specification 2504 (5th Revision) and as directed by the Engineer-in-Charge  </t>
  </si>
  <si>
    <t>Page 523 of MoRT&amp;H SDB</t>
  </si>
  <si>
    <t>Taking output = 1 cum</t>
  </si>
  <si>
    <t>Providing dry rough stone revetment 300 mm thick with HBG stone of not less than 300 mm size including cost, (excluding  seigniorage) charges and conveyance of materials to site and including labour charges for packing the stones for revetment etc., complete for finished item of work as per MoRT&amp;H specification 2504 ( 5th revision ) and as directed by the Engineer-in-Charge  for  Pitching of slopes</t>
  </si>
  <si>
    <t>Page 522 of MoRT&amp;H SDB</t>
  </si>
  <si>
    <t>Cost of Rough stone HBG  300mm thick</t>
  </si>
  <si>
    <t xml:space="preserve">Cost of stone spalls </t>
  </si>
  <si>
    <t>Cost per 1 cum (E)+(F)</t>
  </si>
  <si>
    <t>Providing and laying Boulder's apron on  River Bed for protection against scour with stone boulders weighing not less than 40 k.g each complete as per drawing and technical specification 300 mm thick with HBG stone of not less than 300 mm size including cost, (excluding  seigniorage) charges and conveyance of materials to site and including labour charges for packing the stones for apron etc., complete for finished item of work as per MoRT&amp;H specification 2503 ( 5th revision ) and as directed by the Engineer-in-Charge  for  Bed Protection.</t>
  </si>
  <si>
    <t>Taking out put = 1 Cum</t>
  </si>
  <si>
    <t>Page 520 of MoRT&amp;H SDB</t>
  </si>
  <si>
    <t>Mazdoor Unskilled</t>
  </si>
  <si>
    <t>Cost of stones spalls</t>
  </si>
  <si>
    <t>Cost  per 10 sqm  (D) + (E)</t>
  </si>
  <si>
    <t>Rate per sqm</t>
  </si>
  <si>
    <t xml:space="preserve">Rate per 1 sqm </t>
  </si>
  <si>
    <t>1 sqm</t>
  </si>
  <si>
    <t>Unit = Sqm</t>
  </si>
  <si>
    <t>Page 220 of MoRT&amp;H SDB</t>
  </si>
  <si>
    <t>Taking output = 40 Sqm</t>
  </si>
  <si>
    <t>Painter</t>
  </si>
  <si>
    <t>Paint (Page No 20, Sno 71)</t>
  </si>
  <si>
    <t>Cost per 40 Sqm (E)+(F)</t>
  </si>
  <si>
    <t>Rate for 1 Sqm</t>
  </si>
  <si>
    <t>1 Sqm</t>
  </si>
  <si>
    <t>Filling in between body walls  with gravel including cost,conveyance and  (excluding  seigniorage) of all materials to site etc., complete  as per   Clause 710.1.4 of IRC : 78 and as per  MoRT&amp;H Specification No. 2200 &amp; 2907 (5th Revision) and as per Drawing and technical specifications  for finished item of work</t>
  </si>
  <si>
    <t xml:space="preserve">Providing and laying of  filter media using 50% of 150 mm IRC soling  stone and  50 % of 40 mm HBG metal satisfying the requirements laid down in clause 2504.2.2 of MoRT&amp;H specifications to a thickness of not less than 600mm with smaller size towards the soil and bigger size towards the wall and provided over the entire surface behind the abutment, wing wall and return wall to the full height compacted to a firm condition including cost and conveyance of all metal (excluding  seigniorage) charges ,and all labour charges  as directed  by  the departmental officers as per drawing and Technical specifications as per clause 710.1.1 of IRC:78 and Clause 2200 of MoRT&amp;H (5th Revision) for finished item of work. </t>
  </si>
  <si>
    <t>Page 463 of MoRT&amp;H SDB</t>
  </si>
  <si>
    <t>skiled</t>
  </si>
  <si>
    <t>Cost of 150mm size IRC soling stone</t>
  </si>
  <si>
    <t>Cost of 40mm size IRC metal</t>
  </si>
  <si>
    <t>Over head charges</t>
  </si>
  <si>
    <t xml:space="preserve">Vibrated  cement concrete M 15 Grade Concrete using 40mm , 20mm and 10mm size HBG crushed stone aggregate (Coarse aggregate conforming to table 1000-1 and fine aggregate conforming to table 1000-2) including cost, (excluding  seigniorage) and conveyance of all  materials to site and all labour charges ,centering, machine mixing, laying in position, Compacting , Vibrating and curing including all other incidental and all other operational charges of T&amp;P required etc., complete as per MoRT&amp;H Specification 1500,1700, 2100 (5th Revision)  for Curtainwalls </t>
  </si>
  <si>
    <t>Add for Over head charges @ 4% on (A)+(B)+(C)</t>
  </si>
  <si>
    <t>Vibrated  cement concrete M 15 Grade Concrete using 40mm , 20mm and 10mm size HBG crushed stone aggregate (Coarse aggregate conforming to table 1000-1 and fine aggregate conforming to table 1000-2) including cost, (excluding  seigniorage) and conveyance of all  materials to site and all labour charges ,centering, machine mixing, laying in position, Compacting , Vibrating and curing including all other incidental and all other operational charges of T&amp;P required etc., complete as per MoRT&amp;H Specification 1500,1700, 2100 (5th Revision)  for Sub Structures.</t>
  </si>
  <si>
    <t>Page 335,500 of MoRT&amp;H SDB</t>
  </si>
  <si>
    <t xml:space="preserve">Form work charges @ 10% </t>
  </si>
  <si>
    <t>Vibrated  cement concrete M20 Grade Concrete using 20mm and 10mm size HBG crushed stone aggregate (Coarse aggregate conforming to table 1000-1 and fine aggregate conforming to table 1000-2) including cost, (excluding  seigniorage) and conveyance of  all  materials to site and all labour charges , centering, machine mixing, laying in position, Compacting, Vibrating and curing including all other incidental and all other operational charges of T&amp;P required etc., complete as per MoRT&amp;H Specification 1500,1600, 1700, 2200 (5th Revision)  for Bed Blocks &amp; Backing Walls</t>
  </si>
  <si>
    <t>Page 472, 457 of MoRT&amp;H SDB</t>
  </si>
  <si>
    <t xml:space="preserve">Form work charges @ 20% </t>
  </si>
  <si>
    <t>Vibrated  cement concrete M20 Grade Concrete using 20mm and 10mm size HBG crushed stone aggregate (Coarse aggregate conforming to table 1000-1 and fine aggregate conforming to table 1000-2) including cost, (excluding  seigniorage) and conveyance of  all  materials to site and all labour charges , centering, machine mixing, laying in position, Compacting, Vibrating and curing including all other incidental and all other operational charges of T&amp;P required etc., complete as per MoRT&amp;H Specification 1500,1600, 1700, 2200 (5th Revision)  for Deck Slabs</t>
  </si>
  <si>
    <t>Vibrated reinforced cement concrete M 25 grade  using  20mm &amp; 10mm  HBG crushed stone aggregate (Coarse aggregate conforming to table 1000-1 and fine aggregate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1500, 1600, 1700 &amp; 2704 as directed by the Engineer-in-Charge for Approach Slabs</t>
  </si>
  <si>
    <t>Page  340 SDB, Chapter-12</t>
  </si>
  <si>
    <t>mate</t>
  </si>
  <si>
    <t>Form work @ 3.75 on (A)+(B)+( C)</t>
  </si>
  <si>
    <t>Cost per 120 cum (F)+(G)</t>
  </si>
  <si>
    <t>Vibrated reinforced cement concrete M 30 grade  using  20mm &amp; 10mm  HBG crushed stone aggregate (Coarse aggregate conforming to table 1000-1 and fine aggregate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1500, 1600, 1700 &amp; 2702 as directed by the Engineer-in-Charge for Wearing Coat over Deck Slab</t>
  </si>
  <si>
    <t>Page  477 SDB, Chapter-14</t>
  </si>
  <si>
    <t>Form work @ 20% on (A)+(B)+( C)</t>
  </si>
  <si>
    <t>Unit = 1 Cum</t>
  </si>
  <si>
    <t>Cement Concrete M 30 Grade</t>
  </si>
  <si>
    <t>HYSD Bar reinformcement</t>
  </si>
  <si>
    <t>Labour for cleaning deck slab concrete</t>
  </si>
  <si>
    <t>Providing 25.4 mm mastic pads for Longitudinal joints, Transversal expansion joints and Construction joints of approved quality including cost, conveyance and placing in position, etc., complete as directed by the Engineer-in-charge.</t>
  </si>
  <si>
    <t>Rate as per Building SSR Item No.197</t>
  </si>
  <si>
    <t>Vibrated reinforced cement concrete M 25 grade  using  20mm &amp; 10mm  HBG crushed stone aggregate (Coarse aggregate conforming to table 1000-1 and fine aggregate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as directed by the Engineer-in-Charge for  Foundation</t>
  </si>
  <si>
    <t>Page  341 SDB, Chapter-12</t>
  </si>
  <si>
    <t>Taking output = 120cum</t>
  </si>
  <si>
    <t>Batching Plant @ 20 cum/hour</t>
  </si>
  <si>
    <t>Generator 100 KVA</t>
  </si>
  <si>
    <t>Loader 1 cum capacity 1 cum</t>
  </si>
  <si>
    <t>Transit Mixer 4 cum capacity for lead upto 1 km.</t>
  </si>
  <si>
    <t>tkm</t>
  </si>
  <si>
    <t>Transit Mixer 4 cum capacity lead beyond 1 Km, L - lead in Kilometer</t>
  </si>
  <si>
    <t>Concrete Pump</t>
  </si>
  <si>
    <t>Vibrated reinforced cement concrete M 25 grade  using  20mm &amp; 10mm  HBG crushed stone aggregate (Coarse aggregate conforming to table 1000-1 and fine aggregate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as directed by the Engineer-in-Charge for  Sub structure</t>
  </si>
  <si>
    <t>Page  455 SDB, Chapter-13</t>
  </si>
  <si>
    <t>L</t>
  </si>
  <si>
    <t>Form work @ 10 on (A)+(B)+( C)</t>
  </si>
  <si>
    <t xml:space="preserve">Vibrated reinforced cement concrete M 25 grade  using  20mm &amp; 10mm  HBG crushed stone aggregate (Coarse aggregate conforming to table 1000-1 and fine aggregate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as directed by the Engineer-in-Charge for  superstructure </t>
  </si>
  <si>
    <t>Page 475 SDB, Chapter-14</t>
  </si>
  <si>
    <r>
      <rPr>
        <sz val="12"/>
        <rFont val="Tahoma"/>
        <family val="2"/>
      </rPr>
      <t xml:space="preserve">Providing HYSD bars </t>
    </r>
    <r>
      <rPr>
        <b/>
        <sz val="12"/>
        <rFont val="Tahoma"/>
        <family val="2"/>
      </rPr>
      <t>(Fe-500 From Primary Producers like TATA, SAIL, VSP,Jindal as approved by Ministry of Steel)</t>
    </r>
    <r>
      <rPr>
        <sz val="12"/>
        <rFont val="Tahoma"/>
        <family val="2"/>
      </rPr>
      <t xml:space="preserve">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&amp;2200  (5th revision)   and as per  I.S.1786 of 1985 for foundation RCC items.</t>
    </r>
  </si>
  <si>
    <t>Page 449 of MoRT&amp;H SDB</t>
  </si>
  <si>
    <t>Unit = MT</t>
  </si>
  <si>
    <t>Taking output = 1 MT</t>
  </si>
  <si>
    <t>Black smith</t>
  </si>
  <si>
    <t>(B) Material</t>
  </si>
  <si>
    <t>HYSD bars including overlaps</t>
  </si>
  <si>
    <t>Kg</t>
  </si>
  <si>
    <t>Binding wire ( I&amp;CAD SSR item no.3 )</t>
  </si>
  <si>
    <t>(C) Over Head Charges on (A+B)</t>
  </si>
  <si>
    <r>
      <rPr>
        <sz val="12"/>
        <rFont val="Tahoma"/>
        <family val="2"/>
      </rPr>
      <t xml:space="preserve">Providing HYSD bars </t>
    </r>
    <r>
      <rPr>
        <b/>
        <sz val="12"/>
        <rFont val="Tahoma"/>
        <family val="2"/>
      </rPr>
      <t>(Fe-500 From Primary Producers like TATA, SAIL, VSP,Jindal as approved by Ministry of Steel)</t>
    </r>
    <r>
      <rPr>
        <sz val="12"/>
        <rFont val="Tahoma"/>
        <family val="2"/>
      </rPr>
      <t xml:space="preserve">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&amp;2200  (5th revision)   and as per  I.S.1786 of 1985 for   Sub structure of R.C.C items.</t>
    </r>
  </si>
  <si>
    <t>Page 459,460 of MoRT&amp;H SDB</t>
  </si>
  <si>
    <t>Binding wire ( Building SSR item no.757 )</t>
  </si>
  <si>
    <r>
      <rPr>
        <sz val="12"/>
        <rFont val="Tahoma"/>
        <family val="2"/>
      </rPr>
      <t xml:space="preserve">Providing HYSD bars </t>
    </r>
    <r>
      <rPr>
        <b/>
        <sz val="12"/>
        <rFont val="Tahoma"/>
        <family val="2"/>
      </rPr>
      <t>(Fe-500 From Primary Producers like TATA, SAIL, VSP,Jindal as approved by Ministry of Steel)</t>
    </r>
    <r>
      <rPr>
        <sz val="12"/>
        <rFont val="Tahoma"/>
        <family val="2"/>
      </rPr>
      <t xml:space="preserve">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&amp;2200  (5th revision)   and as per  I.S.1786 of 1985 for   Super structure of R.C.C items.</t>
    </r>
  </si>
  <si>
    <t>Page 489,490 of MoRT&amp;H SDB</t>
  </si>
  <si>
    <t>HYSD bars including 5% overlaps and wastage</t>
  </si>
  <si>
    <t xml:space="preserve">Providing Weep holes in VCC Abutment/ Wing wall/return wall with 100mm Diameter AC pipe  extending through the full width of the structure at 1.00m C/C in both horizontal and vertical direction so that the weep holes in each horizontal direction is staggered from the weep holes laying above and below lines as shown in drawing including cost and conveyance of the A.C pipes and labour charges for cutting to required length, placing the pipe with a slope of about 1V : 20H towards stream side face etc., complete for finished item of work for weep holes as per SSR Data </t>
  </si>
  <si>
    <t>Page No. 461,  SSR 2016-17</t>
  </si>
  <si>
    <t>Rm</t>
  </si>
  <si>
    <t>Unit = RM</t>
  </si>
  <si>
    <t>Forming embankment with borrowed useful earth from outside road boundary by mechanical means upto SDR with all leads and lifts including pre-watering of soil at borrow area, removal of top soil, excavation of soils at borrowed area, conveyance of soil, depositing the soil on the embankment, spreading soil, breaking clods, sectioning, grading and consolidation with 8 to 10 Tonnes Vibratory Road Roller @ OMC to meet requirement of table 300-2 of MoRT&amp;H, including  all hire and operational charges of T&amp;P , complete for finished item of work as per MoRT&amp;H specification 305 (5th revision). (Payment Based on Levels) for diversion road</t>
  </si>
  <si>
    <t xml:space="preserve">Taking out put = 100 Cum </t>
  </si>
  <si>
    <t>Page 70 of MoRT&amp;H SDB</t>
  </si>
  <si>
    <t>t.km</t>
  </si>
  <si>
    <t>Tipper (for 10Kms=160x5=800)</t>
  </si>
  <si>
    <t>Tipper (for 10Kms=160x10=1600)</t>
  </si>
  <si>
    <t>Add 10% of cost of carriage to cover cost of loading and unloading</t>
  </si>
  <si>
    <t>Dozer 80 HP for spreading @ 200 cum per hour</t>
  </si>
  <si>
    <t>Motor Grador for Grading @ 100 cum per hour</t>
  </si>
  <si>
    <t>Water tanker 6 KL</t>
  </si>
  <si>
    <t>Vibratory roller 8T</t>
  </si>
  <si>
    <t>Cost  per 100 cum  (D) + (E)</t>
  </si>
  <si>
    <t>Rate per Cum</t>
  </si>
  <si>
    <t xml:space="preserve">Rate per 1 cum </t>
  </si>
  <si>
    <t>Provision of an Reinforced cement concrete crash barrier at the edges of the road, approaches to bridge structures and medians, constructed with M-20 grade concrete with HYSD reinforcement conforming to IRC:21 and dowel bars 25 mm dia, 450 mm long at expansion joints filled with pre-moulded asphalt filler board, keyed to the structure on which it is built and installed as per design given in the enclosure to MOST circular No. RW/NH - 33022/1/94-DO III dated 24 June 1994 as per dimensions in the approved drawing and at locations directed by the Engineer, all as specified 809 MORTH</t>
  </si>
  <si>
    <t>Unit = 1 Lm</t>
  </si>
  <si>
    <t>Page 472,497 of MoRT&amp;H SDB</t>
  </si>
  <si>
    <t>Taking output = 10 Lm</t>
  </si>
  <si>
    <t>HYSD Steel Reinforcement including Dowel Bars</t>
  </si>
  <si>
    <t>Pre moulded Asphalt filler Board</t>
  </si>
  <si>
    <t>Generator 35 KVA</t>
  </si>
  <si>
    <t>Rate for 1Lm</t>
  </si>
  <si>
    <t>1 Lm</t>
  </si>
  <si>
    <t>Providing Grouted Revetment with  rough stone (HBG/HBT) of not less than 300 mm size grouted with 0.20 cum of CC (1:4:8) including cost, seigniorage charges and conveyance of materials to site and including labour charges for packing the stones for revetment etc., complete for finished item of work as per MoRT&amp;H specification 2504 ( 4th revision ) and as directed by the Engineer-in-Charge  for  quadrennial revetment.</t>
  </si>
  <si>
    <t>Page 331, 522  SDB</t>
  </si>
  <si>
    <t>Cost of CC (1:4:8)</t>
  </si>
  <si>
    <t>Cost ofRough Stone HBG/HBT 300mm thick</t>
  </si>
  <si>
    <t>Drainage spouts complete as per drawing and technical specifications Clause 1209 MORD &amp; 2705 MORTH</t>
  </si>
  <si>
    <t>Pg no 499 of SDB</t>
  </si>
  <si>
    <t>Unit = 1 No</t>
  </si>
  <si>
    <t>taking output=1 no</t>
  </si>
  <si>
    <t>(A) for Fabrication</t>
  </si>
  <si>
    <t>Mason skilled</t>
  </si>
  <si>
    <t>(B) Fixing</t>
  </si>
  <si>
    <t>corrosion resistanct structural steel including 5% wastage (M087, Pg.36 of SSR 2015-16)</t>
  </si>
  <si>
    <t>GI bolt 10mm Dia (M110, Pg.37 of SSR 2015-16)</t>
  </si>
  <si>
    <t>G I Pipe 100 mm dia B Class (Sl.32, Pg.20 of SSR 2015-16)</t>
  </si>
  <si>
    <t>each</t>
  </si>
  <si>
    <t>Galvanised MS flat clamp(M101, Pg.37 of SSR 2015-16)</t>
  </si>
  <si>
    <t>Add @ 5 per cent of cost of material and labour (a+b) for electrodes, gas cutting, sealant, anti-corrosive bituminous paint, mild steel grating etc.</t>
  </si>
  <si>
    <t>NO</t>
  </si>
  <si>
    <t>Vibrated  cement concrete M20 Grade Concrete using 40mm , 20mm and 10mm size HBG crushed stone aggregate (Coarse aggregate conforming to table 1000-1 and fine aggregate conforming to table 1000-2) including cost, (excluding  seigniorage) and conveyance of  all  materials to site and all labour charges , centering, machine mixing, laying in position, Compacting, Vibrating and curing including all other incidental and all other operational charges of T&amp;P required etc., complete as per MoRT&amp;H Specification 1500,1700, 2200 (5th Revision)  for foundation</t>
  </si>
  <si>
    <t>Vibrated  cement concrete M20 Grade Concrete using 40mm , 20mm and 10mm size HBG crushed stone aggregate (Coarse aggregate conforming to table 1000-1 and fine aggregate conforming to table 1000-2) including cost, (excluding  seigniorage) and conveyance of  all  materials to site and all labour charges , centering, machine mixing, laying in position, Compacting, Vibrating and curing including all other incidental and all other operational charges of T&amp;P required etc., complete as per MoRT&amp;H Specification 1500,1700, 2200 (5th Revision)  for Sub structure .</t>
  </si>
  <si>
    <t>Providing Weep holes in VCC Abutment/ Wing wall/return wall with 100mm Diameter AC pipe  extending through the full width of the structure at 1.00m C/C in both horizontal and vertical direction so that the weep holes in each horizontal direction is staggered from the weep holes laying above and below lines as shown in drawing including cost and conveyance of the A.C pipes and labour charges for cutting to required length, placing the pipe with a slope of about 1V : 20H towards stream side face etc., complete for finished item of work for weep holes as per MoRT&amp;H specification 2706 &amp; 2200  (5th Revision)</t>
  </si>
  <si>
    <t>Page 461,333 of MoRT&amp;H SDB</t>
  </si>
  <si>
    <t>Taking output = 30 RM</t>
  </si>
  <si>
    <t>Cement Mortar (1:3) (Out put = 1Cum)</t>
  </si>
  <si>
    <t>(a) Material</t>
  </si>
  <si>
    <t>Cost of Cement</t>
  </si>
  <si>
    <t xml:space="preserve">Cost of Sand motor </t>
  </si>
  <si>
    <t>a =</t>
  </si>
  <si>
    <t>(b) Labour</t>
  </si>
  <si>
    <t>b =</t>
  </si>
  <si>
    <t>Cost per 1 Cum (a+b)</t>
  </si>
  <si>
    <t>(A) Material</t>
  </si>
  <si>
    <t>collars for AC pipe</t>
  </si>
  <si>
    <t>MS clamps</t>
  </si>
  <si>
    <t>Cement mortar (1:3)</t>
  </si>
  <si>
    <t>(B) Labour</t>
  </si>
  <si>
    <t>(E ) (excluding  seigniorage) charges</t>
  </si>
  <si>
    <t>Provision of an Reinforced cement concrete crash barrier at the edges of the road, approaches to bridge structures and medians, constructed with M-40 grade concrete with HYSD reinforcement conforming to IRC:21 and dowel bars 25 mm dia, 450 mm long at expansion joints filled with pre-moulded asphalt filler board, keyed to the structure on which it is built and installed as per design given in the enclosure to MOST circular No. RW/NH - 33022/1/94-DO III dated 24 June 1994 as per dimensions in the approved drawing and at locations directed by the Engineer, all as specified</t>
  </si>
  <si>
    <t>Taking output = 10 RM</t>
  </si>
  <si>
    <t>M40 Grade concrete</t>
  </si>
  <si>
    <t>Page 237 &amp; 482 ( M40 Grade) SDB, Chapter-12</t>
  </si>
  <si>
    <t>Taking output = 120 cum</t>
  </si>
  <si>
    <t>Admixture@0.4%of cement</t>
  </si>
  <si>
    <t>KG</t>
  </si>
  <si>
    <t>Super Plasticizer item 643 building SOR 2016-17</t>
  </si>
  <si>
    <t xml:space="preserve">Over head charges @ </t>
  </si>
  <si>
    <t>Add for Over head charges @ 5% on (A)+(B)+( C)+(D)</t>
  </si>
  <si>
    <t>(A) M40 grade concrete</t>
  </si>
  <si>
    <t>M 40</t>
  </si>
  <si>
    <t>Pre-moulded asphalt filler board</t>
  </si>
  <si>
    <r>
      <rPr>
        <sz val="12"/>
        <rFont val="Arial"/>
        <family val="2"/>
      </rPr>
      <t>Providing, laying Reinforced cement concrete Hume pipes of 1000 mm Dia.,</t>
    </r>
    <r>
      <rPr>
        <b/>
        <sz val="12"/>
        <rFont val="Arial"/>
        <family val="2"/>
      </rPr>
      <t xml:space="preserve"> NP-4</t>
    </r>
    <r>
      <rPr>
        <sz val="12"/>
        <rFont val="Arial"/>
        <family val="2"/>
      </rPr>
      <t xml:space="preserve"> class for pipe culverts  including cost and conveyance of Pipes etc., complete and Labour charges for laying, jointing of 1000mm dia. R.C.C Hume pipes  in position including lifting, aligning, lowering and hoisting etc., as per drawing and as per MoRT&amp;H Specification  2900, 2905 and 2906 (5th Revision) and IRC Special Publication No: 13 and as directed by the Engineer-in-Charge for finished item of work.  </t>
    </r>
    <r>
      <rPr>
        <b/>
        <sz val="12"/>
        <rFont val="Arial"/>
        <family val="2"/>
      </rPr>
      <t>(NP-4 Concrete Pipe on First Class Bedding in Double Row)</t>
    </r>
  </si>
  <si>
    <t>6 RBR-FNDN-4</t>
  </si>
  <si>
    <t>Vibrated reinforced cement concrete M 25 grade  using  20mm &amp; 10mm  HBG crushed stone aggregate (Coarse aggregate conforming to table 1000-1 and fine aggregate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as directed by the Engineer-in-Charge for  foundations</t>
  </si>
  <si>
    <t>Page  SDB, Chapter-12</t>
  </si>
  <si>
    <t>Form work @ 3.75% on (A)+(B)+( C)</t>
  </si>
  <si>
    <r>
      <rPr>
        <sz val="12"/>
        <rFont val="Tahoma"/>
        <family val="2"/>
      </rPr>
      <t>Providing Vibrated Cement Concrete (1:4:8) mix using 40mm size HBG crushed stone aggregate and fine aggregate conforming to table 1000-2 of MoRT&amp;H including cost and conveyance of all materials to site and labour charges, centering, machine mixing, laying,  Vibrating, curing etc., including all other incidental and operational charges of all T&amp;P  etc., complete for finished item of work as per MoRT&amp;H specification 1500, 1700, 2100  (5</t>
    </r>
    <r>
      <rPr>
        <vertAlign val="superscript"/>
        <sz val="12"/>
        <rFont val="Tahoma"/>
        <family val="2"/>
      </rPr>
      <t>th</t>
    </r>
    <r>
      <rPr>
        <sz val="12"/>
        <rFont val="Tahoma"/>
        <family val="2"/>
      </rPr>
      <t xml:space="preserve">  Revision) and as directed by the Engineer-in-Charge base course below CC pavment</t>
    </r>
  </si>
  <si>
    <t>Page 331 of MoRT&amp;H SDB</t>
  </si>
  <si>
    <t xml:space="preserve">Providing and applying 2 coats of water based cement paint to unplastered concrete surface after cleaning the surface of dirt, dust, oil, grease, efflorescence and applying paint @ of 1 litre for 2 sqm as per Tech Specification 800 MORTH. </t>
  </si>
  <si>
    <t>Unit : Sqm</t>
  </si>
  <si>
    <t>Taking out put = 10 Sqm</t>
  </si>
  <si>
    <t>RBR-SPST-26 of  SDB</t>
  </si>
  <si>
    <t>painter</t>
  </si>
  <si>
    <t>ltr</t>
  </si>
  <si>
    <t>Water based paint of approved quality for cement concrete surface</t>
  </si>
  <si>
    <t>Vibrated reinforced cement concrete M 20 grade  using  20mm &amp; 10mm  HBG crushed stone aggregate (Coarse aggregate conforming to table 1000-1 and fine aggregate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MoRT&amp;H specification  1500,1600,1700 &amp; 2200  (5th revision ) and  as directed by the Engineer-in-Charge for  Bed blocks &amp; Backing walls</t>
  </si>
  <si>
    <t>Page 472,457 of MoRT&amp;H SDB</t>
  </si>
  <si>
    <t>Add for Over head charges @ 3% on (A)+(B)+( C)</t>
  </si>
  <si>
    <t>Vibrated reinforced cement concrete M.25 grade  using  20mm &amp; 10mm  HBG crushed stone aggregate (Coarse aggregate conforming to table 1000-1 and fine aggregate conforming to table 1000-2) including cost, (excluding  seigniorage) conveyance of all materials to site and labour charges, centering, machine mixing, laying, vibrating, curing etc., including all other incidental and operational charges of all T&amp;P  etc., complete for finished item of work as per Approved drawing but excluding  cost of steel  and its fabrication charges as per MoRT&amp;H specification   1500, 1600,1700,  &amp; 2704  (5th Revision) and  as directed by the Engineer-in-Charge for Approach slab.</t>
  </si>
  <si>
    <t>Mazdoor SKILLED</t>
  </si>
  <si>
    <t>Earth work in excavation of foundation of structures as per drawing and technical specification, including setting out, construction of shoring and bracing, removal of stumps and other deleterious matter, dressing of sides and bottom and backfilling with approved material. Techinical Specification Clause 304 MoRTH 5th Revision-Hard Rock (Blasting Prohibited)</t>
  </si>
  <si>
    <t xml:space="preserve">Taking out put = 10 Cum </t>
  </si>
  <si>
    <t>Cost per 10 cum (D)+(E)</t>
  </si>
  <si>
    <t>Vibrated reinforced cement concrete M 30 grade  using  20mm &amp; 10mm  HBG crushed stone aggregate (Coarse aggregate conforming to table 1000-1 and fine aggregate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as directed by the Engineer-in-Charge for  foundations</t>
  </si>
  <si>
    <t>Page  344 SDB, Chapter-12</t>
  </si>
  <si>
    <t>Mazdoor Skilled</t>
  </si>
  <si>
    <t>Form work @ 3.5% on (A)+(B)+( C)</t>
  </si>
  <si>
    <t>Vibrated reinforced cement concrete M 30 grade  using  20mm &amp; 10mm  HBG crushed stone aggregate (Coarse aggregate conforming to table 1000-1 and fine aggregate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as directed by the Engineer-in-Charge for  Sub-Structures</t>
  </si>
  <si>
    <t>Page  458 SDB, Chapter-12</t>
  </si>
  <si>
    <t>Form work @ 13.1% on (A)+(B)+( C)</t>
  </si>
  <si>
    <t>Vibrated reinforced cement concrete M 30 grade  using  20mm &amp; 10mm  HBG crushed stone aggregate (Coarse aggregate conforming to table 1000-1 and fine aggregate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as directed by the Engineer-in-Charge for  Super-Structures</t>
  </si>
  <si>
    <t>Page  478 SDB, Chapter-12</t>
  </si>
  <si>
    <t xml:space="preserve">Providing and fixing 2 mm thick corrugated copper plate in expansion joint complete as per drawing and Technical Specification </t>
  </si>
  <si>
    <t>Unit :RM</t>
  </si>
  <si>
    <t>Taking out put = 12 m</t>
  </si>
  <si>
    <t>Page 507 of SDB, Chapter 14</t>
  </si>
  <si>
    <t xml:space="preserve">Mazdoor </t>
  </si>
  <si>
    <t>Copper Plate; (Sno 866, Pg No: 302 of SoR 2016-17)</t>
  </si>
  <si>
    <t>Cost  per 12 m  (D) + (E)</t>
  </si>
  <si>
    <t>Rate per 1 m</t>
  </si>
  <si>
    <t>6.08C</t>
  </si>
  <si>
    <t>Providing HYSD bars ( Fe-415 )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&amp;2200  (5th revision)   and as per  I.S.1786 of 1985 for   Super structure of R.C.C items.</t>
  </si>
  <si>
    <t>Construction of precast RCC railing of M30 Grade, aggregate size not exceeding 12 mm, true to line and grade, tolerance of vertical RCC post not to exceed 1 in 500, centre to centre spacing between vertical post not to exceed 2000 mm, leaving adequate space between vertical post for expansion, complete as per approved drawings and technical specifications.</t>
  </si>
  <si>
    <t>Taking out put = 2x24=48 m</t>
  </si>
  <si>
    <t>Page 495 of SDB</t>
  </si>
  <si>
    <t>M 30 Grade Reinf Cement Concrete</t>
  </si>
  <si>
    <t>Add 5% cost for formwork for casting in casting yard</t>
  </si>
  <si>
    <t>HYSD bar Reinf</t>
  </si>
  <si>
    <t>Add 5% cost for handling and fixing of precast panels in position</t>
  </si>
  <si>
    <t>Cost  per 48 m  (D) + (E)</t>
  </si>
  <si>
    <t>Vibrated reinforced cement concrete M 30 grade  using  20mm &amp; 10mm  HBG crushed stone aggregate (Coarse aggregate conforming to table 1000-1 and fine aggregate conforming to table 1000-2) including cost, (excluding  seigniorage) conveyance of all materials to site and labour charges, centering, machine mixing, laying, vibrating, curing etc., including all other incidental and operational charges of all T&amp;P  etc., complete for finished item of work as per Approved drawing but excluding  cost of steel  and its fabrication charges as per MoRT&amp;H specification   1500, 1600,1700,  &amp; 2704  (5th Revision) and  as directed by the Engineer-in-Charge for Approach slab.</t>
  </si>
  <si>
    <t>Page  342, 501 of SDB, Chapter-12</t>
  </si>
  <si>
    <t>Estt.Cost.Rs.</t>
  </si>
  <si>
    <t>Lakhs</t>
  </si>
  <si>
    <t>ECV</t>
  </si>
  <si>
    <t>1%</t>
  </si>
  <si>
    <t>EMD</t>
  </si>
  <si>
    <t>1% ECV</t>
  </si>
  <si>
    <t>C1- TRANSATION FEE</t>
  </si>
  <si>
    <t>0.03% of ECV+12.36% service tax</t>
  </si>
  <si>
    <t>Plus 12.36% service tax with upper ceiling of 10000+1236=11236/- up to 50.00 Crore</t>
  </si>
  <si>
    <t>11236/-</t>
  </si>
  <si>
    <t>Period of contract in months</t>
  </si>
  <si>
    <t xml:space="preserve"> up to  2.00Cr  -&gt; 12 months
above 2.00 Cr -&gt;  15 months</t>
  </si>
  <si>
    <t>Solvency</t>
  </si>
  <si>
    <t xml:space="preserve">                 3 x ECV  /  
 Period of Contract in months</t>
  </si>
  <si>
    <t>MTC-&gt;</t>
  </si>
  <si>
    <t>Prime Contractor</t>
  </si>
  <si>
    <t>50% of ECV X 12 / Period of Contract</t>
  </si>
  <si>
    <t>Bid Capacity</t>
  </si>
  <si>
    <t>Quantities</t>
  </si>
  <si>
    <t>50 % of Est. Qty X 12/Period of contract</t>
  </si>
  <si>
    <t xml:space="preserve">Required Quantity </t>
  </si>
  <si>
    <t>Earth work</t>
  </si>
  <si>
    <t>Gravel/GSB</t>
  </si>
  <si>
    <t>WBM/WET MIX</t>
  </si>
  <si>
    <t>BT ALL TYPES Sqm</t>
  </si>
  <si>
    <t>Sqm</t>
  </si>
  <si>
    <t>CC or VCC  or  VRCC</t>
  </si>
  <si>
    <t>MILE STONES</t>
  </si>
  <si>
    <t>Mile stone -1 ( Fnancial )</t>
  </si>
  <si>
    <t>Mile stone -2 ( Fnancial )</t>
  </si>
  <si>
    <t>Mile stone -3 ( Fnancial )</t>
  </si>
  <si>
    <t>Rs.100/per Lakh per day</t>
  </si>
  <si>
    <t>OK</t>
  </si>
  <si>
    <t>LIQUIDITY DAMAGES</t>
  </si>
  <si>
    <t>For Mile stone -1</t>
  </si>
  <si>
    <t>For Mile stone -2</t>
  </si>
  <si>
    <t>For Mile stone -3</t>
  </si>
  <si>
    <t>TCV</t>
  </si>
  <si>
    <t>0.10% of TCV</t>
  </si>
  <si>
    <t>Mile stone 1</t>
  </si>
  <si>
    <t>Mile stone 2</t>
  </si>
  <si>
    <t>Mile stone 3</t>
  </si>
  <si>
    <t xml:space="preserve">Name of the Work:- </t>
  </si>
  <si>
    <t>Sanction Details</t>
  </si>
  <si>
    <t>Go.No</t>
  </si>
  <si>
    <t>Go. Date</t>
  </si>
  <si>
    <t>Sl.No.in Go</t>
  </si>
  <si>
    <t>(P.R) Circle</t>
  </si>
  <si>
    <t>Administrative sanction Ref.</t>
  </si>
  <si>
    <t>District</t>
  </si>
  <si>
    <t>Sanctioned Amount</t>
  </si>
  <si>
    <t>Rs. in Lakhs</t>
  </si>
  <si>
    <t>NIT.NO</t>
  </si>
  <si>
    <t>(P.R) Division</t>
  </si>
  <si>
    <t xml:space="preserve">Sanctioned Length </t>
  </si>
  <si>
    <t>In Km</t>
  </si>
  <si>
    <t>-</t>
  </si>
  <si>
    <t>(P.R) Sub-Division</t>
  </si>
  <si>
    <t>Grant</t>
  </si>
  <si>
    <t>common List Sl.No</t>
  </si>
  <si>
    <t>Mandal</t>
  </si>
  <si>
    <t>Lead Distance</t>
  </si>
  <si>
    <t>Bitumen &amp; Emulsion</t>
  </si>
  <si>
    <t>S.No</t>
  </si>
  <si>
    <t>Item</t>
  </si>
  <si>
    <t>Sourse of Meterial</t>
  </si>
  <si>
    <t>Km</t>
  </si>
  <si>
    <t>Location</t>
  </si>
  <si>
    <t>HPCL Vizag/Chennai IOCL</t>
  </si>
  <si>
    <t>IOCL Intial Rate excluding GST</t>
  </si>
  <si>
    <t>Metal Cushed</t>
  </si>
  <si>
    <t>Dated</t>
  </si>
  <si>
    <t>Manufactured Sand (Rock Sand)</t>
  </si>
  <si>
    <t>Sand concrete</t>
  </si>
  <si>
    <t>Sand for filling</t>
  </si>
  <si>
    <t>Local</t>
  </si>
  <si>
    <t>Bulk VG 30 Grade 60/70</t>
  </si>
  <si>
    <t>Gravel</t>
  </si>
  <si>
    <t>Emulsion SS-1 (Bulk)</t>
  </si>
  <si>
    <t xml:space="preserve">Pipes </t>
  </si>
  <si>
    <t>Rapid Setting -I Bulk</t>
  </si>
  <si>
    <t>concrete  mix</t>
  </si>
  <si>
    <t>Borrowed earth</t>
  </si>
  <si>
    <t>Selected earth for shoulder</t>
  </si>
  <si>
    <t xml:space="preserve">Rates as on </t>
  </si>
  <si>
    <t>BT Lead in Kms (Round Trip)</t>
  </si>
  <si>
    <t>chennai</t>
  </si>
  <si>
    <t>Metal Hand Broken</t>
  </si>
  <si>
    <t>Allowance</t>
  </si>
  <si>
    <t>Cement &amp; Steel Rates</t>
  </si>
  <si>
    <t>MAA/AA</t>
  </si>
  <si>
    <t>Amount in Rs.</t>
  </si>
  <si>
    <t>OHC- Road Work</t>
  </si>
  <si>
    <t>OHC- Bridge Work</t>
  </si>
  <si>
    <t>Water cost Allowed Y/N</t>
  </si>
  <si>
    <t>N</t>
  </si>
  <si>
    <t>GOVERNMENT  OF  TELANGANA</t>
  </si>
  <si>
    <t xml:space="preserve">PANCHAYATRAJ ENGINEERING
 DEPARTMENT
</t>
  </si>
  <si>
    <t>Name of Grant</t>
  </si>
  <si>
    <t>:</t>
  </si>
  <si>
    <t>Name of Work:-</t>
  </si>
  <si>
    <t>Amount Sanctioned</t>
  </si>
  <si>
    <t>Rs.</t>
  </si>
  <si>
    <t>Proposed Length</t>
  </si>
  <si>
    <t>(P.R) Region</t>
  </si>
  <si>
    <t>::</t>
  </si>
  <si>
    <t>ESTIMATE NOTE FILE</t>
  </si>
  <si>
    <t>CIRCLE</t>
  </si>
  <si>
    <t>TS Date</t>
  </si>
  <si>
    <t>Subject :-</t>
  </si>
  <si>
    <t>Name of the work</t>
  </si>
  <si>
    <t>Reference:-</t>
  </si>
  <si>
    <t>Estt.Cost</t>
  </si>
  <si>
    <t>CAT</t>
  </si>
  <si>
    <t>Length Sanctioned</t>
  </si>
  <si>
    <t>3)SE,PR,Warangal vide Lr.No.T4/Tenders/2021-22 Dt 03.08.2022</t>
  </si>
  <si>
    <t xml:space="preserve"> ***** </t>
  </si>
  <si>
    <t>Dist</t>
  </si>
  <si>
    <t>Length Proposed</t>
  </si>
  <si>
    <t>Submitted, Sir,</t>
  </si>
  <si>
    <t>Division</t>
  </si>
  <si>
    <t>TS amount</t>
  </si>
  <si>
    <t>Name of the District</t>
  </si>
  <si>
    <t>Schedule-A Road</t>
  </si>
  <si>
    <t>Name of the Division</t>
  </si>
  <si>
    <t>Schedule-A MTc.</t>
  </si>
  <si>
    <t>Name of the Mandal</t>
  </si>
  <si>
    <t>Diff</t>
  </si>
  <si>
    <t>Administrative sanction Ref. No. &amp; date</t>
  </si>
  <si>
    <t>Category of Sanction</t>
  </si>
  <si>
    <t xml:space="preserve">Estimate Cost </t>
  </si>
  <si>
    <t>Habitations connected</t>
  </si>
  <si>
    <t>Sl.No</t>
  </si>
  <si>
    <t>Name of the village</t>
  </si>
  <si>
    <t>Popupation as per 2011 cencus</t>
  </si>
  <si>
    <t>Directly benefited</t>
  </si>
  <si>
    <t>SC</t>
  </si>
  <si>
    <t>ST</t>
  </si>
  <si>
    <t>Plain</t>
  </si>
  <si>
    <t>CVPD</t>
  </si>
  <si>
    <t>Curve</t>
  </si>
  <si>
    <t>CBR</t>
  </si>
  <si>
    <t>Existing Surface Details</t>
  </si>
  <si>
    <t>Reaches</t>
  </si>
  <si>
    <t>Length in mtrs</t>
  </si>
  <si>
    <t>Status</t>
  </si>
  <si>
    <t>Proposed</t>
  </si>
  <si>
    <t>BT</t>
  </si>
  <si>
    <t>CC</t>
  </si>
  <si>
    <t>0/0 - 2/810</t>
  </si>
  <si>
    <t>ESAL   =</t>
  </si>
  <si>
    <t>The crust proposed by SE</t>
  </si>
  <si>
    <t>As per (IRC -SP-72-2015) the crust is to be provided</t>
  </si>
  <si>
    <t xml:space="preserve">Cumulative No. Of std. Axles </t>
  </si>
  <si>
    <t>N= msa</t>
  </si>
  <si>
    <t>CBR 3%</t>
  </si>
  <si>
    <t>May be provided as per existing crust</t>
  </si>
  <si>
    <t>Remarks</t>
  </si>
  <si>
    <t>The pavement layer proposed by SE  is as follows</t>
  </si>
  <si>
    <t>As per (IRC -SP-72-2015)</t>
  </si>
  <si>
    <t>BC</t>
  </si>
  <si>
    <t>30 mm</t>
  </si>
  <si>
    <t>OGPC</t>
  </si>
  <si>
    <t>20mm</t>
  </si>
  <si>
    <t>30mm</t>
  </si>
  <si>
    <t xml:space="preserve">As per SE IR dated: </t>
  </si>
  <si>
    <t>WMM</t>
  </si>
  <si>
    <t>225 mm</t>
  </si>
  <si>
    <t>75mm</t>
  </si>
  <si>
    <t>150 mm</t>
  </si>
  <si>
    <t>Gravel Base</t>
  </si>
  <si>
    <t>100 mm</t>
  </si>
  <si>
    <t>150mm</t>
  </si>
  <si>
    <t>175 mm</t>
  </si>
  <si>
    <t>Existing</t>
  </si>
  <si>
    <t>Granular Sub Base</t>
  </si>
  <si>
    <t>50 mm</t>
  </si>
  <si>
    <t>Sub Grade</t>
  </si>
  <si>
    <t>Total Pavement thickness</t>
  </si>
  <si>
    <t>525 mm</t>
  </si>
  <si>
    <t>Total Pavement thinckness</t>
  </si>
  <si>
    <t>525mm</t>
  </si>
  <si>
    <t>Crust Details  Existing and Proposed</t>
  </si>
  <si>
    <t>Slno</t>
  </si>
  <si>
    <t>Reach</t>
  </si>
  <si>
    <t>CBR in %</t>
  </si>
  <si>
    <t>Crust Thickness required asper design</t>
  </si>
  <si>
    <t>Existing &amp; Proposed Crust  provision</t>
  </si>
  <si>
    <t>Crust thickness Check +/-</t>
  </si>
  <si>
    <t>B.T.</t>
  </si>
  <si>
    <t>Rech</t>
  </si>
  <si>
    <t>Req. Crust thick asper -SP-72</t>
  </si>
  <si>
    <t>Existing Crust</t>
  </si>
  <si>
    <t>Proposed Crust</t>
  </si>
  <si>
    <t>GR-II</t>
  </si>
  <si>
    <t>GR-III</t>
  </si>
  <si>
    <t>GSB</t>
  </si>
  <si>
    <t>BT /CC</t>
  </si>
  <si>
    <t>30 mm thick BT with BC</t>
  </si>
  <si>
    <t>CC pavement 200 mm thick proposed</t>
  </si>
  <si>
    <t>Details of estimate provisions</t>
  </si>
  <si>
    <t>SNo</t>
  </si>
  <si>
    <t>Description</t>
  </si>
  <si>
    <t xml:space="preserve"> Estimate with 
SSR 2023-24</t>
  </si>
  <si>
    <t>Amount</t>
  </si>
  <si>
    <t xml:space="preserve">Clearing  and grubbing of road   </t>
  </si>
  <si>
    <t>Excavation for raod work</t>
  </si>
  <si>
    <t xml:space="preserve"> Carted earth</t>
  </si>
  <si>
    <t>Shoulders with Selected earth</t>
  </si>
  <si>
    <t>Scarifying ext bitumen surface</t>
  </si>
  <si>
    <t>Sub-Base with Grading -VI</t>
  </si>
  <si>
    <t>WBM GR-II</t>
  </si>
  <si>
    <t>WBM GR-III</t>
  </si>
  <si>
    <t xml:space="preserve">WMM </t>
  </si>
  <si>
    <t>Prime coat</t>
  </si>
  <si>
    <t>Tack coat on Granuular base</t>
  </si>
  <si>
    <t>OGPC 20mm thick</t>
  </si>
  <si>
    <t>Seal Coat Type-B</t>
  </si>
  <si>
    <t>BM 50mm thick</t>
  </si>
  <si>
    <t>Tack Coat On Bitumen surface</t>
  </si>
  <si>
    <t>SDBC</t>
  </si>
  <si>
    <t>BC 30mm thick</t>
  </si>
  <si>
    <t>CC Pavement</t>
  </si>
  <si>
    <t>Road Part  Total</t>
  </si>
  <si>
    <t>CD works</t>
  </si>
  <si>
    <t>Name of CD work</t>
  </si>
  <si>
    <t>Nos.</t>
  </si>
  <si>
    <t>No</t>
  </si>
  <si>
    <t>a</t>
  </si>
  <si>
    <t>i</t>
  </si>
  <si>
    <t>b</t>
  </si>
  <si>
    <t>ii</t>
  </si>
  <si>
    <t>CD works Total</t>
  </si>
  <si>
    <t>Road Furniture</t>
  </si>
  <si>
    <t>Raod Safety</t>
  </si>
  <si>
    <t>Road + CD works + RF</t>
  </si>
  <si>
    <t xml:space="preserve"> Total</t>
  </si>
  <si>
    <t xml:space="preserve">Add GST @ 18% </t>
  </si>
  <si>
    <t>Unforeseen, price escalation, Seinarage,  rounding off</t>
  </si>
  <si>
    <t xml:space="preserve"> Total Rs.</t>
  </si>
  <si>
    <t>Sanctioned Estimate</t>
  </si>
  <si>
    <t>Excess</t>
  </si>
  <si>
    <t>Recast Estimate</t>
  </si>
  <si>
    <t>Less</t>
  </si>
  <si>
    <t>Difference</t>
  </si>
  <si>
    <t>The amount in the recast estimate is increased due to adaptation of SSR 2022-23 for which the length of the road is decreased.</t>
  </si>
  <si>
    <t>The Following are  the rates  adopted in the present  estimate .</t>
  </si>
  <si>
    <t>SSR used for preparation Estimate</t>
  </si>
  <si>
    <t>Initial Rates of Steel, Cement, BT  and Lead of materials proposed as follows</t>
  </si>
  <si>
    <t>Sl. 
No</t>
  </si>
  <si>
    <t>Items</t>
  </si>
  <si>
    <t>Rates</t>
  </si>
  <si>
    <t>Per</t>
  </si>
  <si>
    <t>Lead allowed</t>
  </si>
  <si>
    <t>Rate Ref.
/ Date</t>
  </si>
  <si>
    <t>Cement OPC  53 Gr.</t>
  </si>
  <si>
    <t>Selected earth</t>
  </si>
  <si>
    <t>Steel Fe-500/500D/550D Primary Producers Like TATA,SAIL,Jindal</t>
  </si>
  <si>
    <t>Sand for Concrete</t>
  </si>
  <si>
    <t>BT Emulsion SS 1    -- Do --</t>
  </si>
  <si>
    <t>- do-</t>
  </si>
  <si>
    <t>BT Emulsion RS 1  -- Do --</t>
  </si>
  <si>
    <t>Metal Quarry Hand broken</t>
  </si>
  <si>
    <t>Metal (Hand broken)</t>
  </si>
  <si>
    <t>--</t>
  </si>
  <si>
    <t>Metal Curshermetal</t>
  </si>
  <si>
    <t>Crushed Metal</t>
  </si>
  <si>
    <t xml:space="preserve">B.T &amp; Emulations </t>
  </si>
  <si>
    <t>Chennai</t>
  </si>
  <si>
    <t>Sand for Filling</t>
  </si>
  <si>
    <t>Hume Pipes</t>
  </si>
  <si>
    <t xml:space="preserve">Gravel </t>
  </si>
  <si>
    <t xml:space="preserve">Area allowances if any 
  MAA (municipal area allowance) / AA Agency area </t>
  </si>
  <si>
    <t>Rms</t>
  </si>
  <si>
    <t>Rain fall Codes for maintenance estt
High-1, Medium-2, Low-3</t>
  </si>
  <si>
    <t>Area allowance allowed</t>
  </si>
  <si>
    <t>Water cost allowed Y/N</t>
  </si>
  <si>
    <t>Maintenance length and Cost</t>
  </si>
  <si>
    <t>Earth work widening qty is proposed @2500cum/Km, the same was allowed in absence of  supporting calculations, the SE may be instructed to submit the earth work calculations&amp; connected LF Books before grounding of  the work.</t>
  </si>
  <si>
    <t>Kms</t>
  </si>
  <si>
    <t>The GST @ 18%, QC charges @0.50%, 0.10%NAC charges and Seignarage charges of materials are proposed  in the abstract estimate.</t>
  </si>
  <si>
    <t>As per the instructions of higher authorities based on circular memo.No.10002/DCE®/EE®/DEE1/AEE1/2021 dated 28.12.2021 of R&amp;B Department Routine maintenance is not included in Estimate.</t>
  </si>
  <si>
    <t>As per preamble no 15 C of SSR  2023-24 Over heads and Contractor profit put together 13.615% is provided for Road works,CD works and Road furniture works.</t>
  </si>
  <si>
    <t xml:space="preserve">As per the content of memo1280/AE/DEE(T)/NAC/2015 dt:04.05.2015 of the ENC, PR, Hyderabad 0.10% of the estimate value towards corpus fund of NAC in the estimate may be allowed to provide. </t>
  </si>
  <si>
    <t xml:space="preserve">As per the content of G.O.Ms.No.17 Dt: 13.05.2022 of I&amp;CAD (reforms) Dept 0.01% the contribution towards Telangana Green Fund (TGF) i.e., 0.01% from the works bills shall be deducted duly incorporating immediately such deduction clause in respective Tender Documents and indicating that it is not reimbursable. Accordingly, no provision shall be made in the estimates. </t>
  </si>
  <si>
    <t>Tractor Grader rate is only allowed instead of Motar Grader where ever it is applicable as per the field conditions as informed by the field staff.</t>
  </si>
  <si>
    <t>As per the Instructions vide Preamble item no.3 of present SSR- 2023-24,  Manufactured sand item .The use of Manufactured sand 50% of total sand requirement is mandatory .Hence the Sand provision in the data is to be replaced with 50%  Crushed Rock Sand and 50% Natural sand. The provision of Manufactured sand is made accordingly.</t>
  </si>
  <si>
    <t xml:space="preserve">           If agreed the estimate will be  scrutinized as per the above provisions and will be put up for  Technical sanction along with schedules including will be put up for technical approval.
</t>
  </si>
  <si>
    <t>Submitted for kind perusal and further orders please,</t>
  </si>
  <si>
    <t>Submitted Sir,</t>
  </si>
  <si>
    <t xml:space="preserve">                    As per the pre page note orders, the detailed scrutiny  of  estimate is done and put up below for according Technical Sanction along with Schedule- Part-A  &amp; Part-B is prepared and  placed below for perusal and approval the details are as follows.</t>
  </si>
  <si>
    <t>Name of Work:</t>
  </si>
  <si>
    <t>Estt.Cost Rs.</t>
  </si>
  <si>
    <t xml:space="preserve">Sl. No. </t>
  </si>
  <si>
    <t>Particular</t>
  </si>
  <si>
    <t>Road work</t>
  </si>
  <si>
    <t>CD Works</t>
  </si>
  <si>
    <t>Road Safety</t>
  </si>
  <si>
    <t xml:space="preserve">Sub-Total  </t>
  </si>
  <si>
    <t>Q.C. Charges @ 0.50%</t>
  </si>
  <si>
    <t>NAC @ 0.10%</t>
  </si>
  <si>
    <t xml:space="preserve">Seignarage Charges </t>
  </si>
  <si>
    <t>Add DMF @ 30% on Seignarage amount</t>
  </si>
  <si>
    <t>Add SMET @2% on Seignarage amount</t>
  </si>
  <si>
    <t>Add 0.8% permit fee on Seign Charges</t>
  </si>
  <si>
    <t>Add GST @ 18%</t>
  </si>
  <si>
    <t>Ls for Unforeseen, price escalation etc</t>
  </si>
  <si>
    <t xml:space="preserve">Total  Amount </t>
  </si>
  <si>
    <t>T.S. Amount</t>
  </si>
  <si>
    <t>The datas for Road items and datas are scrutinised and put up for approval and the Schedule-A along with Estimate is put up for approval.</t>
  </si>
  <si>
    <t>OAS Amt Rs. In Lakhs</t>
  </si>
  <si>
    <t>TS  amount Rs. In Lakhs</t>
  </si>
  <si>
    <t>Schedule-A 
Const., amount 
in Rs.</t>
  </si>
  <si>
    <t>Schedule A -Part B  amount</t>
  </si>
  <si>
    <t>Total ECV amount 
(Const, )</t>
  </si>
  <si>
    <t>GOVERNMENT OF TELANGANA</t>
  </si>
  <si>
    <t>OFFICE OF THE ENGINEER-IN-CHIEF,PANCHAYAT RAJ, HYDERABAD</t>
  </si>
  <si>
    <t>Subject:-</t>
  </si>
  <si>
    <t xml:space="preserve">Ref :- </t>
  </si>
  <si>
    <t>*****</t>
  </si>
  <si>
    <t>1).</t>
  </si>
  <si>
    <t>The Digital Photographs/video of entire road surface shall be taken   before, during execution and after completion of work and preserve the same for submitting to this office/inspecting authorities in future.</t>
  </si>
  <si>
    <t>2).</t>
  </si>
  <si>
    <t>The pre-levels of earthwork should be super checked by concerned Executive Engineer and to submit the LF books along with earthwork calculations before grounding the work.</t>
  </si>
  <si>
    <t>3).</t>
  </si>
  <si>
    <t>The existing crust details for every H.M. shall be recorded in MB and super checked by the Executive Engineer before commencement of the work.</t>
  </si>
  <si>
    <t>4).</t>
  </si>
  <si>
    <t>The work details shall be entered on www.pred.telangana.gov.in web site for online approval so as to fecilitate for online payment and monitoring of the work.</t>
  </si>
  <si>
    <t>5).</t>
  </si>
  <si>
    <t xml:space="preserve"> If any deviations are observed over the sanctioned estimate, the working estimate/ with the inspection report of the SE concerned shall be submitted to this office within 1 month from the date of agreement/ grounding to save time. The deviations should be taken up only after prior approval of the undersigned only. </t>
  </si>
  <si>
    <t>6).</t>
  </si>
  <si>
    <t>The designs of CD works of less than 8 m span are to be approved by the Superintending Engineers at their level as per site conditions before grounding the same and those of length more than 8 m the hydraulic particulars shall be submitted to this office for approval of designs by the design wing immediately and shall be grounded only after approval of designs.</t>
  </si>
  <si>
    <t>7).</t>
  </si>
  <si>
    <t>Earthwork quantity is allowed based on the provision made by the Superintending Engineer. In case of non-submission of earthwork calculation sheet at the time of sanctioning the estimate, the earthwork quantity is restricted. The Superintending Engineer is  requested to instruct the field staff concerned to take pre levels of EW cross sections and levels shall be verified by the EE/SE on LF Books for realistic assessment of Earth work quantity for widening before grounding of work.</t>
  </si>
  <si>
    <t>8).</t>
  </si>
  <si>
    <t>9)</t>
  </si>
  <si>
    <t>10)</t>
  </si>
  <si>
    <t>Test certificates of pipes as per circular memo CE/DEEI/AEE/VQC/2021 dated: 23-11-2020 of the CE VQC PR Hyderabad is to be obtained before using the same in CD works construction. The EE's concerned may be informed to insist the contractors to procure the pipes where testing equipment is available.</t>
  </si>
  <si>
    <t>Sd/-</t>
  </si>
  <si>
    <t>Engineer-In-Chief</t>
  </si>
  <si>
    <t>PRED Hyderabad</t>
  </si>
  <si>
    <t>To</t>
  </si>
  <si>
    <t>/// t.c.f.b.o. ///</t>
  </si>
  <si>
    <t>Dy. Executive Engineer O/o ENC PR, Hyd</t>
  </si>
  <si>
    <t xml:space="preserve">Date of Inspection </t>
  </si>
  <si>
    <t>Name of the Officers present</t>
  </si>
  <si>
    <t>Srinivasulu, District Panchayat Raj Engineer, PIU, Division, Mahabubabad</t>
  </si>
  <si>
    <t>K. Prasannakumar, Dy. Executive Engineer, PR, SD, Thorrur.</t>
  </si>
  <si>
    <t>K. Suresh, Asst. Engineer, PR, SD, Thorrur.</t>
  </si>
  <si>
    <t>Name of the Work</t>
  </si>
  <si>
    <t>Estimated Cost</t>
  </si>
  <si>
    <t xml:space="preserve">Rs. </t>
  </si>
  <si>
    <t>Administrative Sanction</t>
  </si>
  <si>
    <t xml:space="preserve">The entire road stretch is passing through BC, Slushy soils and Fertile lands. Therefore Iron Cage Wheel tractors are regularly being passed on the road for cultivation purpose. Providing 20mm thick OGPC cannot be sustained Iron Cage Wheel load of tractors and Bituminous surface will damage due to cutting of edges and penetration of water through it at several places. Hence, Bituminous Concrete of 30mm thick is proposed as a special case to overcome the above problem as the design mix will have more strength than recipe mixes like OGPC and MSS etc., and duly keeping in view of life time of pavement with better performance.  </t>
  </si>
  <si>
    <t>CD Works:</t>
  </si>
  <si>
    <t>Provide Culvert 2V and 1V of 1000mm dia NP4 Pipes as per field conditions.</t>
  </si>
  <si>
    <t xml:space="preserve">              The District Panchayat Raj Engineer, PIU, Division, Mahabubabad is requested to prepare the Detailed Estimate with above provisions</t>
  </si>
  <si>
    <t>Superintending Engineer</t>
  </si>
  <si>
    <t>SPECIFICATION REPORT FOR   WORKING ESTIMATE</t>
  </si>
  <si>
    <t>Name of the Work :</t>
  </si>
  <si>
    <t>Est. Cost . Rs.</t>
  </si>
  <si>
    <t xml:space="preserve">       The work " R/F Ayyangaripally to Thorrur via Danthalagadda in Palakurthy Mandal of Jangaon District "is administratively sanctioned for Rs  108.00 lakhs under CRR Grant Go No.67 Date: 28-02-2022.      The total length of the Road is 2.650 km  with track Surface existing.      The both sides of total length of the road is in private patta lands hence carterd earth is proposed.   Based on the traffic intensity,  the traffic curve is considered as T3.     Accordingly WMM-150 mm thick over GSB Gr-VI-175 mm thk, is proposed as per IRC: SP: 72-2015 in BT portions.     As  per IRC: SP 62-2014 under CC Pavment provided over GSB Grading -VI-100 mm thick and WMM of 75mm thick.</t>
  </si>
  <si>
    <t xml:space="preserve">         The Sanctioned amount is not sufficient to take up the entire length of the road up to BT standards as this road is having track surface. The starting village of Ayyangaripally village is connected with PR BT road and end village of Thorrur is connected with R&amp;B BT Road. But the Danthalagadda village is loated at Km 1/450 on this road which is not connected by all weather road. Hence the road is proposed for forming of embankment up to Danthalagadda village ie upto 1.450Kms to keep the road is under connectivity to Danthalagadda village for which it is useful for the villagers to carry their agriculture product as well as to reach the GP, Mandal and District head quarters. The Road is proposed for BT standards from Km 0/0 to 0/925 to the extent of sanctioned amount. </t>
  </si>
  <si>
    <t xml:space="preserve">                  The estimate is technically sanctioned for Rs 100.00 Lakhs and the tender are also called far. But there is no response from the contractors for tenders. Mean while the new SSR 2023-24 is also approved and non reponse from the contractor the   working estimate is prepared duly adopting the SSR 2023-24 and here with submitting for favour of approval and necessry action.</t>
  </si>
  <si>
    <t>1)</t>
  </si>
  <si>
    <t>Habitations Benifitted</t>
  </si>
  <si>
    <t>The following villages will be benifitted by providing this road.</t>
  </si>
  <si>
    <t>Sl.No.</t>
  </si>
  <si>
    <t>Name of the Village</t>
  </si>
  <si>
    <t>Popupation asper 2011cencus</t>
  </si>
  <si>
    <t xml:space="preserve">Peddavangara </t>
  </si>
  <si>
    <t>Hadru Thanda</t>
  </si>
  <si>
    <t>2)</t>
  </si>
  <si>
    <t>The existing surface details of the road for proposed length as follows.</t>
  </si>
  <si>
    <t>Existing Type of surface</t>
  </si>
  <si>
    <t>Total Length in mts</t>
  </si>
  <si>
    <t>Earthen</t>
  </si>
  <si>
    <t xml:space="preserve"> WMM-150 mm thick over GSB Gr-VI-175 mm thk, is proposed as per IRC: SP: 72-2015 in BT portions</t>
  </si>
  <si>
    <t>Provide WMM - 75mm thick over GSB Gr-VI - 100 mm thick, as per IRC:SP:62-2014 in CC Pavements</t>
  </si>
  <si>
    <t>3)</t>
  </si>
  <si>
    <t xml:space="preserve">Traffic  intensity </t>
  </si>
  <si>
    <t>Base year traffic volume Count is as follows</t>
  </si>
  <si>
    <t>Dates of Traffic count 
(3 days)</t>
  </si>
  <si>
    <t>Vehicle Class</t>
  </si>
  <si>
    <t>Cars, Jeeps, Vans, Three-wheelers</t>
  </si>
  <si>
    <t>Motorised two- wheelers</t>
  </si>
  <si>
    <t>Agricultural Tractors/ Trailers 
(MCV)</t>
  </si>
  <si>
    <t>Trucks / Buses
 (HCV)</t>
  </si>
  <si>
    <t>Cycles</t>
  </si>
  <si>
    <t>Cycle Rickshaws</t>
  </si>
  <si>
    <t>Animal Drawn Vehicles</t>
  </si>
  <si>
    <t xml:space="preserve">Laden </t>
  </si>
  <si>
    <t>Unladen</t>
  </si>
  <si>
    <t>Over Laden</t>
  </si>
  <si>
    <t>08.03.23 to 10.03.2023</t>
  </si>
  <si>
    <t>4)</t>
  </si>
  <si>
    <t>Reach wise CBR and proposed road Crust thickness w.r.t existing surface details are as follows</t>
  </si>
  <si>
    <t>Crust required asper design T6 of IRC-SP-72-2015</t>
  </si>
  <si>
    <t>Crust thick ness Check +/-</t>
  </si>
  <si>
    <t>GR-VI</t>
  </si>
  <si>
    <t>Ext</t>
  </si>
  <si>
    <t>Pr</t>
  </si>
  <si>
    <t>5)</t>
  </si>
  <si>
    <t>CD works Existing Proposed Details are as follows.</t>
  </si>
  <si>
    <t>Existing CD works with type</t>
  </si>
  <si>
    <t>Nos</t>
  </si>
  <si>
    <t>Existing Reaches</t>
  </si>
  <si>
    <t>Proposed CD works with type</t>
  </si>
  <si>
    <t>Proposed Reaches</t>
  </si>
  <si>
    <t xml:space="preserve">Construction of HP Culvert 1V of 1000mm Dia. NP4 Pipes </t>
  </si>
  <si>
    <t>1V 1000mm dia</t>
  </si>
  <si>
    <t>1/000 Km</t>
  </si>
  <si>
    <t>1vent 5.00 x 2.00m span slab culvert</t>
  </si>
  <si>
    <t>Slab culvert</t>
  </si>
  <si>
    <t xml:space="preserve"> 2/100, 3/000 Km</t>
  </si>
  <si>
    <t>1vent 6.00 x 2.00m span slab culvert</t>
  </si>
  <si>
    <t>0/400 KM</t>
  </si>
  <si>
    <t>2vent 6.00 x 2.00m span slab culvert at 1/600 Km</t>
  </si>
  <si>
    <t>1/600 KM</t>
  </si>
  <si>
    <t>Protection walls at 1/800, 2/400 &amp; 3/500 KM</t>
  </si>
  <si>
    <t>1/800, 2/400 &amp; 3/500 KM</t>
  </si>
  <si>
    <t xml:space="preserve">Construction of Village Side Drains </t>
  </si>
  <si>
    <t>Total Nos</t>
  </si>
  <si>
    <t>The following provisions are made in the   working estimate up to BT standards</t>
  </si>
  <si>
    <t>Construction of CD works.</t>
  </si>
  <si>
    <t>Construction of Side drain</t>
  </si>
  <si>
    <t>The estimate is prepared with the SSR for the year 2021-2022.</t>
  </si>
  <si>
    <t>Construction of 8V of 1000 mm dia NP4 RCC pipe Vented Road Dams at km 3/950 and 4/450</t>
  </si>
  <si>
    <t>Construction of 1 V of 3 m span slab culvert at Km. 3/650</t>
  </si>
  <si>
    <t>Construction of 1 V of 3 m span slab culvert at Km. 6/850</t>
  </si>
  <si>
    <t>C/o 30m Retaning wall to Open well at Km 1/050</t>
  </si>
  <si>
    <t>7)</t>
  </si>
  <si>
    <t>DESIGN CRITERIA:</t>
  </si>
  <si>
    <t>i)</t>
  </si>
  <si>
    <t>The road surface is designed to carry design speed of 50 KMPH.</t>
  </si>
  <si>
    <t>ii)</t>
  </si>
  <si>
    <t>The recommended land width as per SP-20/MORD guidelines is available.</t>
  </si>
  <si>
    <t>iii)</t>
  </si>
  <si>
    <t>The road way width of 7.50 mtrs and carriage way width of 3.75 meters was provided as per MORD  Guidelines.</t>
  </si>
  <si>
    <t>iv)</t>
  </si>
  <si>
    <t>Pavement camber of 1 in 50 is provided.</t>
  </si>
  <si>
    <t>v)</t>
  </si>
  <si>
    <t>Super elevation are provided as per site requirement</t>
  </si>
  <si>
    <t>vi)</t>
  </si>
  <si>
    <t>Road is designed for vertical alignment and gradient. : 
a) Vertical curves are not required as the road is having plain embankment all along the entire length.</t>
  </si>
  <si>
    <t>b) Maximum Height of embankment of 0.50 mts is to be provided at reaches where the formation to be done.</t>
  </si>
  <si>
    <t>vii)</t>
  </si>
  <si>
    <t>Pavement materials provided in the estimate satisfy the  MORD &amp; SP20  guidelines</t>
  </si>
  <si>
    <t>Dy Executive Engineer</t>
  </si>
  <si>
    <t>KEY  MAP</t>
  </si>
  <si>
    <t>Name of the Work:</t>
  </si>
  <si>
    <t xml:space="preserve">Upparigudem </t>
  </si>
  <si>
    <t>A</t>
  </si>
  <si>
    <t>B</t>
  </si>
  <si>
    <t xml:space="preserve">Proposed BT Road from </t>
  </si>
  <si>
    <t>Proposed CC Road</t>
  </si>
  <si>
    <t>BT Road</t>
  </si>
  <si>
    <t>Peddavangara Village</t>
  </si>
  <si>
    <t>1/250</t>
  </si>
  <si>
    <t>0/950</t>
  </si>
  <si>
    <t>0/000 Km</t>
  </si>
  <si>
    <t>Peddavangara PWD Road</t>
  </si>
  <si>
    <t>Asst. Engineer,</t>
  </si>
  <si>
    <t>Dy. Exe. Engineer</t>
  </si>
  <si>
    <t>PRSD, Thorrur</t>
  </si>
  <si>
    <t xml:space="preserve">LONGITUDINAL SECTION </t>
  </si>
  <si>
    <t>0/00</t>
  </si>
  <si>
    <t>30 mm Thick BC (B.T )</t>
  </si>
  <si>
    <t>CC 200mm</t>
  </si>
  <si>
    <t>WMM 75 mm</t>
  </si>
  <si>
    <t>WMM 150 mm</t>
  </si>
  <si>
    <t>GSB 100 mm</t>
  </si>
  <si>
    <t>GSB 175 mm</t>
  </si>
  <si>
    <t>Pangidipally village limits</t>
  </si>
  <si>
    <t>B.T with BC</t>
  </si>
  <si>
    <t>(Black)</t>
  </si>
  <si>
    <t>CC Pavement 200 mm</t>
  </si>
  <si>
    <t>(Yellow)</t>
  </si>
  <si>
    <t>GSB Gr- VI</t>
  </si>
  <si>
    <t>(Orange)</t>
  </si>
  <si>
    <t>existing earthen surface</t>
  </si>
  <si>
    <t>Asst  Engineer</t>
  </si>
  <si>
    <t>Executive Engineer</t>
  </si>
  <si>
    <t>PR SD Thorrur</t>
  </si>
  <si>
    <t>PIU, Mahabubabad</t>
  </si>
  <si>
    <t>PR Circle Warangal</t>
  </si>
  <si>
    <t>FIELD DATA SHEET FOR TRAFFIC CENSUS (BOTH DIRECTIONS)  FOR 3 DAYS ( Lean Seasion )</t>
  </si>
  <si>
    <t xml:space="preserve">&amp; CUMALATIVE ESAL APPLICATION CALCULATIONS </t>
  </si>
  <si>
    <t>TELANGANA</t>
  </si>
  <si>
    <t>Average Daily Traffic</t>
  </si>
  <si>
    <t>ADT in the year of Traffic Count</t>
  </si>
  <si>
    <t>ADT =</t>
  </si>
  <si>
    <t>1 for if Peak season traffic count</t>
  </si>
  <si>
    <t>ADT in  Lean</t>
  </si>
  <si>
    <t>T =</t>
  </si>
  <si>
    <t>0 for Lean season traffic count</t>
  </si>
  <si>
    <t>ADT in  Peak</t>
  </si>
  <si>
    <t>No of Harvesting Seasons</t>
  </si>
  <si>
    <t>n =</t>
  </si>
  <si>
    <t>Peak Seasons Days</t>
  </si>
  <si>
    <t xml:space="preserve">Base Year Traffic </t>
  </si>
  <si>
    <t>AADT (T)=</t>
  </si>
  <si>
    <r>
      <rPr>
        <sz val="10"/>
        <rFont val="Arial"/>
        <family val="2"/>
      </rPr>
      <t>(Avarage annual daily trafic i.e AADT = T + n</t>
    </r>
    <r>
      <rPr>
        <u/>
        <sz val="10"/>
        <rFont val="Arial"/>
        <family val="2"/>
      </rPr>
      <t xml:space="preserve"> x T x t)</t>
    </r>
  </si>
  <si>
    <t>Let us assuming an intial growth rate of 6% for 2years</t>
  </si>
  <si>
    <t>T= Lean Traffic</t>
  </si>
  <si>
    <t>Opening of the road after complition</t>
  </si>
  <si>
    <t>AADT =</t>
  </si>
  <si>
    <r>
      <rPr>
        <sz val="12"/>
        <rFont val="Arial"/>
        <family val="2"/>
      </rPr>
      <t>(AADT * (1.06)</t>
    </r>
    <r>
      <rPr>
        <vertAlign val="superscript"/>
        <sz val="12"/>
        <rFont val="Arial"/>
        <family val="2"/>
      </rPr>
      <t>2</t>
    </r>
    <r>
      <rPr>
        <sz val="12"/>
        <rFont val="Arial"/>
        <family val="2"/>
      </rPr>
      <t>)</t>
    </r>
  </si>
  <si>
    <t>From the given traffic count data, proportions of</t>
  </si>
  <si>
    <t>MCV =</t>
  </si>
  <si>
    <t>(Laden Medium Commercial Vehicle)</t>
  </si>
  <si>
    <t>(Un Laden Medium Commercial Vehicle)</t>
  </si>
  <si>
    <t>CBR Value: 4</t>
  </si>
  <si>
    <t>(Over Laden Medium Commercial Vehicle)</t>
  </si>
  <si>
    <t>As per IRC SO 72-2015: T6 Curve (3 L to 6 L)</t>
  </si>
  <si>
    <t>HCV =</t>
  </si>
  <si>
    <t>(LadenHeavy Commercial Vehicle)</t>
  </si>
  <si>
    <t>(Unladen Heavy Commercial Vehicle)</t>
  </si>
  <si>
    <t>(Over Laden Heavy Commercial Vehicle)</t>
  </si>
  <si>
    <t>Cumulative ESAL applications for 10year with uniform growth rate @ 6%</t>
  </si>
  <si>
    <t>(VDF = Vehicle Damage Factor)</t>
  </si>
  <si>
    <t xml:space="preserve">Equivalent Standard Axle Load = </t>
  </si>
  <si>
    <t>ESAL = HCV x VDF+MCV x VDF</t>
  </si>
  <si>
    <t>Vehicle</t>
  </si>
  <si>
    <t>Laden</t>
  </si>
  <si>
    <t>Ov.Laden</t>
  </si>
  <si>
    <t>ESAL =</t>
  </si>
  <si>
    <t>HCV</t>
  </si>
  <si>
    <t>Nos/day</t>
  </si>
  <si>
    <t>MCV</t>
  </si>
  <si>
    <t xml:space="preserve">Cumulative ESAL Applications = </t>
  </si>
  <si>
    <t>N =</t>
  </si>
  <si>
    <t xml:space="preserve">    ( N = ESAL x 4811 x L)</t>
  </si>
  <si>
    <t>Where L= Lane distribution Factor = 1 for single lane)</t>
  </si>
  <si>
    <t>Asst. Engineer</t>
  </si>
  <si>
    <t>Dy.Executive Engineer</t>
  </si>
  <si>
    <t>6.82 msa</t>
  </si>
  <si>
    <t>State-</t>
  </si>
  <si>
    <t>Name of the Road</t>
  </si>
  <si>
    <t>District-</t>
  </si>
  <si>
    <t>Block-</t>
  </si>
  <si>
    <t>INPUT</t>
  </si>
  <si>
    <t>RESULT</t>
  </si>
  <si>
    <t>ADT</t>
  </si>
  <si>
    <t>AADT</t>
  </si>
  <si>
    <t>Traffic count</t>
  </si>
  <si>
    <t>VDF Values</t>
  </si>
  <si>
    <t>Total motorised Vehicle per Day</t>
  </si>
  <si>
    <t>(cars/vans/jeeps/  three wheelers)</t>
  </si>
  <si>
    <t xml:space="preserve">LCV </t>
  </si>
  <si>
    <t>Commercial vehicles per Day</t>
  </si>
  <si>
    <t>HCV (Truck/Buses)</t>
  </si>
  <si>
    <t>Before opening to traffic , AADT</t>
  </si>
  <si>
    <t>Over loaded</t>
  </si>
  <si>
    <t>MCV                               (Tractor/Trollies/  Mini-Buses)</t>
  </si>
  <si>
    <t>Final cumulative ESAL</t>
  </si>
  <si>
    <t>Traffic Category</t>
  </si>
  <si>
    <t>T</t>
  </si>
  <si>
    <t>Two wheelers</t>
  </si>
  <si>
    <t>Bicycles</t>
  </si>
  <si>
    <t xml:space="preserve">Bullock cart </t>
  </si>
  <si>
    <t>solid wheel</t>
  </si>
  <si>
    <t>Pnu. Tyres</t>
  </si>
  <si>
    <t>THICKNESS</t>
  </si>
  <si>
    <t>BITUMINOUS SURFACE TREATED WBM/CRMB</t>
  </si>
  <si>
    <t xml:space="preserve">Time after which road will be opened to Traffic (year) </t>
  </si>
  <si>
    <t>WBM/CRMB/ BASE OF GRAVEL</t>
  </si>
  <si>
    <t>GRAVEL BASE</t>
  </si>
  <si>
    <t>Traffic count during harvesting (yes/no)</t>
  </si>
  <si>
    <t>GRANULAR SUBASE</t>
  </si>
  <si>
    <t>No of Harvesting season</t>
  </si>
  <si>
    <t>IMPROVED SUBGRADE</t>
  </si>
  <si>
    <t>mm</t>
  </si>
  <si>
    <t>No of days in each Harvesting season</t>
  </si>
  <si>
    <t xml:space="preserve"> Value of n assumed</t>
  </si>
  <si>
    <t>CBR VALUE</t>
  </si>
  <si>
    <t>TOTAL THICKNESS</t>
  </si>
  <si>
    <t>Asst.  Engineer,</t>
  </si>
  <si>
    <t>District Panchayat Raj Engineer,</t>
  </si>
  <si>
    <t>(cars/vans/jeeps/  three wheelers</t>
  </si>
  <si>
    <t>MCV ( Tractor/Trollies/Mini-Buses)</t>
  </si>
  <si>
    <t>Bullock cart (solid wheeled)</t>
  </si>
  <si>
    <t xml:space="preserve">ADT                       </t>
  </si>
  <si>
    <t>Overloaded</t>
  </si>
  <si>
    <t>Number of harvesting season=</t>
  </si>
  <si>
    <t>Traffic count during harvesting</t>
  </si>
  <si>
    <t>value of n</t>
  </si>
  <si>
    <t>Duration of harvesting season</t>
  </si>
  <si>
    <t xml:space="preserve">Average Daily Traffic ( non- haresting/harvesting) </t>
  </si>
  <si>
    <t>AADT=</t>
  </si>
  <si>
    <t>Before opening to traffic , AADT=</t>
  </si>
  <si>
    <t xml:space="preserve">Proportion factor (AADT/ADT) = </t>
  </si>
  <si>
    <t>MCV ( Tractor/Trollies)</t>
  </si>
  <si>
    <t>VDF</t>
  </si>
  <si>
    <t>VDF values</t>
  </si>
  <si>
    <t>Calculated</t>
  </si>
  <si>
    <t>ESAL/per day</t>
  </si>
  <si>
    <t>Cumulative ESAL over 10 years</t>
  </si>
  <si>
    <t>Correction factor</t>
  </si>
  <si>
    <t>CASENO.</t>
  </si>
  <si>
    <t>PAVEMENT LAYERS</t>
  </si>
  <si>
    <t>correction factor interpolation</t>
  </si>
  <si>
    <t>Modified soil/improved subgrade</t>
  </si>
  <si>
    <t>Granular subbase</t>
  </si>
  <si>
    <t>WBM/CRMB</t>
  </si>
  <si>
    <t>Bituminous surface Treated WBM/CRMB</t>
  </si>
  <si>
    <t>CRR -2018-19</t>
  </si>
  <si>
    <t>Sanctioned Length</t>
  </si>
  <si>
    <t>PART-(A)</t>
  </si>
  <si>
    <t>Road Works</t>
  </si>
  <si>
    <t>Road Safety Interventions</t>
  </si>
  <si>
    <t>Add 0.8 times permit fee on Seign Charges</t>
  </si>
  <si>
    <t>Unforeseen, price escalation, Seinarage,  as per Govt. orders and rounding off</t>
  </si>
  <si>
    <t xml:space="preserve">Total  Amount (Part- A) </t>
  </si>
  <si>
    <t>PART- (B)</t>
  </si>
  <si>
    <t>Maintenance Estimate</t>
  </si>
  <si>
    <t>Routine Maintanance for 5 YEARS</t>
  </si>
  <si>
    <t>Add GST on Maintanence  @ 12.00%</t>
  </si>
  <si>
    <t>Add LS For U/F items</t>
  </si>
  <si>
    <t xml:space="preserve">Total  Part-B </t>
  </si>
  <si>
    <t xml:space="preserve">Total (Part- A+B) </t>
  </si>
  <si>
    <t>Assistant Engineer,</t>
  </si>
  <si>
    <t>Engineer-In-chief</t>
  </si>
  <si>
    <t>P.R, Hyderabad</t>
  </si>
  <si>
    <t>Sl. No.</t>
  </si>
  <si>
    <t>Description of work</t>
  </si>
  <si>
    <t>No.</t>
  </si>
  <si>
    <t>D</t>
  </si>
  <si>
    <t>x</t>
  </si>
  <si>
    <t>Deduct voids @40%</t>
  </si>
  <si>
    <t>rest</t>
  </si>
  <si>
    <t>2500cm/km</t>
  </si>
  <si>
    <t>2/00 to 4/970 KM</t>
  </si>
  <si>
    <t>0/0 to 1/1 km</t>
  </si>
  <si>
    <t>Tack Coat-1</t>
  </si>
  <si>
    <t>sqm</t>
  </si>
  <si>
    <t>Tack Coat-2</t>
  </si>
  <si>
    <t>Item of work</t>
  </si>
  <si>
    <t>Rate/ each</t>
  </si>
  <si>
    <t xml:space="preserve">Construction of HP Culvert 3V of 1000mm Dia. NP4 Pipes </t>
  </si>
  <si>
    <t xml:space="preserve">1vent 3.00 x 1.50m span slab culvert at </t>
  </si>
  <si>
    <t>Construction of 1vent 6.00 x 1.50m span slab culvert at 0/340 KM (1 No)</t>
  </si>
  <si>
    <t xml:space="preserve">3vent 6.00 x 2.00m span slab culvert at </t>
  </si>
  <si>
    <t>Construction of Low level causeway</t>
  </si>
  <si>
    <t>Construction of Road dam</t>
  </si>
  <si>
    <t xml:space="preserve">Total CD work No's </t>
  </si>
  <si>
    <t>ABSTRACT MAINTANANCE ESTIMATE</t>
  </si>
  <si>
    <t>Length of Road</t>
  </si>
  <si>
    <t>Total Estimate Cost Rs.</t>
  </si>
  <si>
    <t>Cost per Km</t>
  </si>
  <si>
    <t xml:space="preserve"> The routine meaintanance estimates is prepared for 5 years period, each 6 months period i.e. 6 months premonsoon and 6 months postmonsoon period. As per the estimates the following is the estimate cost for the years mentioned below.</t>
  </si>
  <si>
    <t>Cost of routine maintanance for 5 years  Rs</t>
  </si>
  <si>
    <t>Year</t>
  </si>
  <si>
    <t>Total Amount</t>
  </si>
  <si>
    <t>Generated %  Year wise</t>
  </si>
  <si>
    <t>Remarks 
per Km rate</t>
  </si>
  <si>
    <t>Actual Cost</t>
  </si>
  <si>
    <t>Total Cost of routine Maintenance cost Rs.</t>
  </si>
  <si>
    <t>Add 12% GST on Above amount</t>
  </si>
  <si>
    <t>LS Provision  for Emergency repairs due to floods , other natural calamities etc.,</t>
  </si>
  <si>
    <t>Total Maintenance Cost        Rs.</t>
  </si>
  <si>
    <t xml:space="preserve">Estimate for maintenance of BT work as per guidelines issued by NRRDA for 5 years </t>
  </si>
  <si>
    <t>Dia / Span of CD work</t>
  </si>
  <si>
    <t>Carriage way width</t>
  </si>
  <si>
    <t>Mtrs</t>
  </si>
  <si>
    <t>Rainfall</t>
  </si>
  <si>
    <t>Low-1</t>
  </si>
  <si>
    <t>Medium-2</t>
  </si>
  <si>
    <t>High-3</t>
  </si>
  <si>
    <t>Roadway Width</t>
  </si>
  <si>
    <t>Traffic CVPD</t>
  </si>
  <si>
    <t>Value of CPVD</t>
  </si>
  <si>
    <t>Sum of  vents of Pipe Culverts</t>
  </si>
  <si>
    <t>Shoulder width</t>
  </si>
  <si>
    <t>Total length</t>
  </si>
  <si>
    <t>Total Road dam/Cause way Lengths</t>
  </si>
  <si>
    <t>Per Km</t>
  </si>
  <si>
    <t>BT length</t>
  </si>
  <si>
    <t>Total No. of  Pipe Culverts</t>
  </si>
  <si>
    <t>No of equalent vents of 1000mm dia</t>
  </si>
  <si>
    <t>`Total equalent Pipe culvet Vents of 1000mm dia=</t>
  </si>
  <si>
    <t>CC length</t>
  </si>
  <si>
    <t>Total No. of  Slab  Culverts</t>
  </si>
  <si>
    <t>No of eqalent vents f 2.00m Span</t>
  </si>
  <si>
    <t>Sum of Total Spans</t>
  </si>
  <si>
    <t>Drain Length</t>
  </si>
  <si>
    <t>Guard stone Nos</t>
  </si>
  <si>
    <t>Total Nos Slab  Culvert Vents of 2m</t>
  </si>
  <si>
    <t>Total Nos Slab  Culvert Vents of 3m</t>
  </si>
  <si>
    <t>Details</t>
  </si>
  <si>
    <r>
      <rPr>
        <b/>
        <sz val="11"/>
        <color indexed="8"/>
        <rFont val="Calibri"/>
        <family val="2"/>
      </rPr>
      <t xml:space="preserve">L </t>
    </r>
    <r>
      <rPr>
        <sz val="10"/>
        <rFont val="Times New Roman"/>
        <family val="1"/>
      </rPr>
      <t>(m)</t>
    </r>
  </si>
  <si>
    <r>
      <rPr>
        <b/>
        <sz val="11"/>
        <color indexed="8"/>
        <rFont val="Calibri"/>
        <family val="2"/>
      </rPr>
      <t>B</t>
    </r>
    <r>
      <rPr>
        <sz val="10"/>
        <rFont val="Times New Roman"/>
        <family val="1"/>
      </rPr>
      <t>(m)</t>
    </r>
  </si>
  <si>
    <r>
      <rPr>
        <b/>
        <sz val="11"/>
        <color indexed="8"/>
        <rFont val="Calibri"/>
        <family val="2"/>
      </rPr>
      <t>D</t>
    </r>
    <r>
      <rPr>
        <sz val="10"/>
        <rFont val="Times New Roman"/>
        <family val="1"/>
      </rPr>
      <t>(m)</t>
    </r>
  </si>
  <si>
    <t>Percentage/Frequency</t>
  </si>
  <si>
    <t>Multiplying factor</t>
  </si>
  <si>
    <t xml:space="preserve">Quantity </t>
  </si>
  <si>
    <t>Unit</t>
  </si>
  <si>
    <t>As per SSR-Rates as per SSR 2016-17</t>
  </si>
  <si>
    <t>Total Nos Slab  Culvert Vents of 5m</t>
  </si>
  <si>
    <t xml:space="preserve">Rate </t>
  </si>
  <si>
    <t>`Total  Ventage in meters =</t>
  </si>
  <si>
    <t>`Total equalent 2.00m Vents  =</t>
  </si>
  <si>
    <t>Filling of Pot holes</t>
  </si>
  <si>
    <t>YEAR  WISE  BREAKUP FOR MTC. AMOUNT</t>
  </si>
  <si>
    <t xml:space="preserve">BT SURFACE </t>
  </si>
  <si>
    <t>year</t>
  </si>
  <si>
    <t>1 st year</t>
  </si>
  <si>
    <t>2nd year</t>
  </si>
  <si>
    <t>3 rd year</t>
  </si>
  <si>
    <t>4th year</t>
  </si>
  <si>
    <t>5th year</t>
  </si>
  <si>
    <t xml:space="preserve">1st year </t>
  </si>
  <si>
    <t xml:space="preserve">2nd year </t>
  </si>
  <si>
    <t xml:space="preserve">3rd year </t>
  </si>
  <si>
    <t xml:space="preserve">4th Year </t>
  </si>
  <si>
    <t xml:space="preserve">5th Year </t>
  </si>
  <si>
    <t>WBM TOP LAYER/WMM layer With B C</t>
  </si>
  <si>
    <t>Subtotal</t>
  </si>
  <si>
    <r>
      <rPr>
        <b/>
        <sz val="8"/>
        <color indexed="8"/>
        <rFont val="Calibri"/>
        <family val="2"/>
      </rPr>
      <t>Making up of berms/shoulders</t>
    </r>
    <r>
      <rPr>
        <sz val="8"/>
        <rFont val="Times New Roman"/>
        <family val="1"/>
      </rPr>
      <t xml:space="preserve"> stripping excesss soil from the shoulder surface to achieve the required level                                                      </t>
    </r>
  </si>
  <si>
    <t>Restoration of berms and raincuts in hard shoulders</t>
  </si>
  <si>
    <t>A- 50% by soil for embankment</t>
  </si>
  <si>
    <t>Subsub Total</t>
  </si>
  <si>
    <t>B-50% by hard shoulder</t>
  </si>
  <si>
    <t>SubTotal</t>
  </si>
  <si>
    <t>Labour for cleaning the shoulders one labour for 200m for one year</t>
  </si>
  <si>
    <t>exam. For 1 km length 5 labour hence for 5 year 5x5=25 man days</t>
  </si>
  <si>
    <t>man days</t>
  </si>
  <si>
    <t>Cleaning of CD opening and maintenance of CD pitchning etc 3 CD per KM two labour or one</t>
  </si>
  <si>
    <t>For 1 km length 6 labour hence for 5 year 5x6=30 man days</t>
  </si>
  <si>
    <r>
      <rPr>
        <b/>
        <u/>
        <sz val="9"/>
        <color indexed="8"/>
        <rFont val="Calibri"/>
        <family val="2"/>
      </rPr>
      <t xml:space="preserve">Maintenance of 200 m stones and Km stones </t>
    </r>
    <r>
      <rPr>
        <b/>
        <sz val="9"/>
        <rFont val="Times New Roman"/>
        <family val="1"/>
      </rPr>
      <t xml:space="preserve">  </t>
    </r>
    <r>
      <rPr>
        <sz val="9"/>
        <rFont val="Times New Roman"/>
        <family val="1"/>
      </rPr>
      <t>by way of refiting , repairing with cement mortar , cleaning and lettering as per drawing and technical specification clause 1912 (Clause 2.3 of OM for Frequency)</t>
    </r>
  </si>
  <si>
    <t xml:space="preserve"> Once  in year . 5 times in 5 years</t>
  </si>
  <si>
    <t>km</t>
  </si>
  <si>
    <r>
      <rPr>
        <u/>
        <sz val="9"/>
        <color indexed="8"/>
        <rFont val="Calibri"/>
        <family val="2"/>
      </rPr>
      <t xml:space="preserve">Maintenance of Drains   </t>
    </r>
    <r>
      <rPr>
        <sz val="9"/>
        <rFont val="Times New Roman"/>
        <family val="1"/>
      </rPr>
      <t xml:space="preserve">                                                  include erosion, repair, clearing,reshaping, regarding ,deeping of side drains as well as catch water drains as per clause 1907 of the specification. ( 50 % length  of drains , for </t>
    </r>
  </si>
  <si>
    <t>Twice in a year.For 5 years 10 times</t>
  </si>
  <si>
    <t>Rmt</t>
  </si>
  <si>
    <r>
      <rPr>
        <sz val="10"/>
        <rFont val="Arial"/>
        <family val="2"/>
      </rPr>
      <t>Clearing wild seasonal growth on berm/shoulders etc.</t>
    </r>
    <r>
      <rPr>
        <u/>
        <sz val="11"/>
        <color indexed="8"/>
        <rFont val="Calibri"/>
        <family val="2"/>
      </rPr>
      <t xml:space="preserve"> </t>
    </r>
    <r>
      <rPr>
        <sz val="10"/>
        <rFont val="Times New Roman"/>
        <family val="1"/>
      </rPr>
      <t xml:space="preserve">   ( 50 % area)</t>
    </r>
  </si>
  <si>
    <t>Once in a years 5 times in 5 year</t>
  </si>
  <si>
    <t>Cutting of Tree Branches ( assuming 10 trees in 1 km )</t>
  </si>
  <si>
    <t>White washing and Geo painting of Tree Trunks ( 0.5 sqm per tree)</t>
  </si>
  <si>
    <r>
      <rPr>
        <u/>
        <sz val="11"/>
        <color indexed="8"/>
        <rFont val="Calibri"/>
        <family val="2"/>
      </rPr>
      <t>Maintanence of Guard rails and parapet rails as per 1911 clause</t>
    </r>
    <r>
      <rPr>
        <sz val="10"/>
        <rFont val="Times New Roman"/>
        <family val="1"/>
      </rPr>
      <t xml:space="preserve">                 (considering 10 sqm area )</t>
    </r>
  </si>
  <si>
    <t>Once in a year 5 times in 5 year</t>
  </si>
  <si>
    <t>Maintenance of culverts and cause ways as per 1908 and 1909</t>
  </si>
  <si>
    <t>Pipe Culverts  / ASPER ACTUAL</t>
  </si>
  <si>
    <t>Twice in a year 10 times in 5 years</t>
  </si>
  <si>
    <t>per row of hume pipe</t>
  </si>
  <si>
    <t>Slab Culverts   ASPER ACTUAL</t>
  </si>
  <si>
    <t>Per Vent</t>
  </si>
  <si>
    <t>Cause way ( assuming 10 m causeway ) ASPER ACTUAL LENGTH</t>
  </si>
  <si>
    <t xml:space="preserve">RM </t>
  </si>
  <si>
    <t>White washing parapets of CD works</t>
  </si>
  <si>
    <t xml:space="preserve">                                                                                                                                                                                                                                                               </t>
  </si>
  <si>
    <t>Maintence of Road Furniture &amp; Signs</t>
  </si>
  <si>
    <t>Once in two years</t>
  </si>
  <si>
    <t>Maintence of Guard Stones</t>
  </si>
  <si>
    <t>Refixing of Guard Stones ( 20 % of total Numbers)</t>
  </si>
  <si>
    <t>White washing of Guard Stone</t>
  </si>
  <si>
    <t xml:space="preserve">Total </t>
  </si>
  <si>
    <t>Schedule A (Part -I)</t>
  </si>
  <si>
    <t>Schedule of Rates and Approximate Quantities</t>
  </si>
  <si>
    <t>Name of the work : -</t>
  </si>
  <si>
    <t>Estt.Cost Rs..</t>
  </si>
  <si>
    <t>A)</t>
  </si>
  <si>
    <t>The quanties here given are those upon which the lumpsum tender cost of work is based but they are subject to alteration, omissions, deductions, or additions as provided for in the conditions of this contract and do not necessarily show the actual quantities of work to be done.  The total contract value and unit rates noted below are those governing payment of extras or deductions for omissions according to the conditions to the contract as set forth in the preliminary specifications of the AP Standard Specifications and other conditions of specification of this contract.</t>
  </si>
  <si>
    <t>B)</t>
  </si>
  <si>
    <t>It is to be expressly understood that the measured work is to be taken net (not withstanding any custom or practice to the contrary) according to the actual quantities when in place and finished according to the drawings or as may be ordered from time to time by the Executive Engineer and the cost calculated by measurmeent or weight, at their respective rates wihtout any additional charge for any necessary or contingent works connected works connected therewith.  The total contract value is for works in situ and complete in every respect.</t>
  </si>
  <si>
    <t>C)</t>
  </si>
  <si>
    <t>Additions and alterations in the Schedule of quantities will disqualify the tender</t>
  </si>
  <si>
    <t>D)</t>
  </si>
  <si>
    <t>In case of discrepancies between the written description of the item in the Schedule 'A" and the detailed description in the specification of the same item, the latter shall be adopted.</t>
  </si>
  <si>
    <t xml:space="preserve">Probable quantity both in figures </t>
  </si>
  <si>
    <t>Description of works</t>
  </si>
  <si>
    <t>MoRD/ MoRT&amp;H specification</t>
  </si>
  <si>
    <t>Unit of Measurement in figures and words</t>
  </si>
  <si>
    <t>Rate in figures</t>
  </si>
  <si>
    <t>Road Portion</t>
  </si>
  <si>
    <t>201 MoRTH</t>
  </si>
  <si>
    <t>1.00 Sqm</t>
  </si>
  <si>
    <t>305.3.4 MoRTH</t>
  </si>
  <si>
    <t>305 MoRTH</t>
  </si>
  <si>
    <t>305.4.3 MoRTH</t>
  </si>
  <si>
    <t>401 MoRTH</t>
  </si>
  <si>
    <t>404 MoRTH</t>
  </si>
  <si>
    <t>406 MoRTH</t>
  </si>
  <si>
    <t>502 MoRTH</t>
  </si>
  <si>
    <t>511 MoRTH</t>
  </si>
  <si>
    <t>513 MoRTH</t>
  </si>
  <si>
    <t>505 MoRTH</t>
  </si>
  <si>
    <t>503 MoRTH</t>
  </si>
  <si>
    <t>508 MoRTH</t>
  </si>
  <si>
    <t>507 MoRTH</t>
  </si>
  <si>
    <t>1501 MoRD</t>
  </si>
  <si>
    <t>304 MoRTH</t>
  </si>
  <si>
    <t>1500, 1700, 2100 MoRTH</t>
  </si>
  <si>
    <t>1500, 1700, 2200 MoRTH</t>
  </si>
  <si>
    <t>2504 MoRTH</t>
  </si>
  <si>
    <t>2900, 2905, 2906 MoRTH</t>
  </si>
  <si>
    <t>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t>
  </si>
  <si>
    <t>1500, 1600, 1700,
2300 MoRTH</t>
  </si>
  <si>
    <t>1500, 1600 1700, 2702 MoRTH</t>
  </si>
  <si>
    <t>1600, 2200 MoRTH</t>
  </si>
  <si>
    <t>1 MT</t>
  </si>
  <si>
    <t>1500,  1700, 2100 MoRTH</t>
  </si>
  <si>
    <t>2900 MoRTH</t>
  </si>
  <si>
    <t>1500, 1600 1700, 2704 MoRTH</t>
  </si>
  <si>
    <t>1608.2 MoRTH</t>
  </si>
  <si>
    <t>Each</t>
  </si>
  <si>
    <t>2706, 2200 MoRTH</t>
  </si>
  <si>
    <t>2200 MoRTH</t>
  </si>
  <si>
    <t>2703,1500,1600 &amp; 1700 Morth</t>
  </si>
  <si>
    <t>1 Rm</t>
  </si>
  <si>
    <t>2200 Morth</t>
  </si>
  <si>
    <t>1 RMT</t>
  </si>
  <si>
    <t xml:space="preserve">Construction of  1 Vents of  6.00m x 2.00 mspan Slab Culverts  1 Nos at 0/400 KM </t>
  </si>
  <si>
    <t>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t>
  </si>
  <si>
    <t>Sand  Filling (Natural sand 50%+Manufactured sand(Rock Sand)50% )  in foundation trenches as per drawing and technical specification Clause 304 of MORTH including overhead charges &amp; Contractors profit etc complete.</t>
  </si>
  <si>
    <t>Providing Plain Cement Concrete (1:3:6) mix using 40mm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t>
  </si>
  <si>
    <t>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t>
  </si>
  <si>
    <t>Providing reinforced concrete of M25 mix using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Sub-structure.for  Bed blocks &amp; Backing walls</t>
  </si>
  <si>
    <t>Vibrated reinforced cement concrete M 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MoRT&amp;H  specification 1500, 1600, 1700&amp; 2300 as directed by the Engineer-in-Charge for  superstructure (Deck Slab)</t>
  </si>
  <si>
    <t>Vibrated cement concrete M 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1500, 1600, 1700 &amp; 2702 as directed by the Engineer-in-Charge for Wearing Coat.</t>
  </si>
  <si>
    <t xml:space="preserve">Back filling behind abutment, wing wall and return wall complete as per drawing and Technical Specification  and specifications of  IRC:78 &amp; 2200 MORTH  and  as directed by the Engineer-in-Charge including overhead charges &amp; Contractors profit ,But Seignarage charges. </t>
  </si>
  <si>
    <t>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&amp;2200  (5th revision) in foundation.</t>
  </si>
  <si>
    <t>Construction of p  RCC railing of M 25 grade , aggregate size not exceeding 12 mm, true to line and grade, tolerance of vertical RCC post not to exceed 1 in 500, centre to center spacing between vertical post not to exceed 2000 mm , leaving adequate space between vertiacal post for expansion, complete as per approved drawings and Technical Specifications as per MoRTH spn nos.2703,1500,1600,&amp;1700 excluding cost of steel and its fabrication charges</t>
  </si>
  <si>
    <t xml:space="preserve">Providing and laying boulders apron for bed protection against scour with stone boulders weighing not less than 40kg each complete as per drawing and specification. complete for finished item of work as per MoRT&amp;H specification 2504 ( 5th revision ) and as directed by the Engineer-in-Charge </t>
  </si>
  <si>
    <t>Vibrated  cement concrete M 15 Grade Concrete using 40mm , 20mm and 10mm size HBG crushed stone aggregate (Coarse aggregate conforming to table 1000-1 and fine aggregate(Natural sand 50%+Manufactured sand(Rock Sand)50% ) conforming to table 1000-2) including cost, (excluding  seigniorage) and conveyance of all  materials to site and all labour charges ,centering, machine mixing, laying in position, Compacting , Vibrating and curing including all other incidental and all other operational charges of T&amp;P required etc., complete as per MoRT&amp;H Specification 1500,1700, 2100 (5th Revision)  for levelling course.</t>
  </si>
  <si>
    <t>Vibrated reinforced cement concrete M30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all other incidental and operational charges of all T&amp;P  etc., complete for finished item of work as per Approved drawing but excluding  cost of steel  and its fabrication charges as per MoRT&amp;H specification   1500, 1600,1700,  &amp; 2704  (5th Revision) and  as directed by the Engineer-in-Charge for Approach slab.</t>
  </si>
  <si>
    <t>2504 Morth</t>
  </si>
  <si>
    <t>Forming Embankment with material obtained from borrowed useful earth from outside road boundary by mechanical means upto SDR with all leads and lifts including pre-watering of soil at borrow area, removal of top soil, excavation of soils at borrowed area, conveyance of soil, depositing the soil on the embankment, spreading soil, breaking clods, sectioning, grading and consolidation with 8 to 10 Tonnes Vibratory Road Roller @ OMC to meet requirement of table 300-2 of MoRT&amp;H, including  all hire and operational charges of T&amp;P, complete for finished item of work as per MoRT&amp;H specification 305 (5th revision). (The soil CBR&gt;10%, PI&lt;18% &amp; MDD&gt;1.8 g/cc)</t>
  </si>
  <si>
    <t xml:space="preserve">Providing and laying of  filter media using 50% of 150 mm IRC soling  stone and  50 % of 40 mm  HBG metal satisfying the requirements laid down in clause 2504.2.2 of MoRT&amp;H specifications to a thickness of not less than 600mm with smaller size towards the soil and bigger size towards the wall and provided over the entire surface behind the abutment, wing wall and return wall to the full height compacted to a firm condition including cost and conveyance of all metal (excluding  seigniorage) charges ,and all labour charges  as directed  by  the departmental officers as per drawing and Technical specifications as per clause 710.1.1 of IRC:78 and Clause 2200 of MoRT&amp;H (5th Revision) for finished item of work. </t>
  </si>
  <si>
    <t>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&amp;2200  (5th revision) in sub-structure.</t>
  </si>
  <si>
    <t>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 2200  (5th revision) in super structure.</t>
  </si>
  <si>
    <t xml:space="preserve">Construction of  2 Vents of  6.00m x 2.00 mspan Slab Culverts  1 Nos at 1/200 KM </t>
  </si>
  <si>
    <t>1500, 1600, 1700, 2702 MoRTH</t>
  </si>
  <si>
    <t>Construction of Retaining wall of 20.00m Length  3 Nos  at  1/600, 2/400, 3/500  Km</t>
  </si>
  <si>
    <t>Construction of Village Side Drains 450 mts.</t>
  </si>
  <si>
    <t>1500, 1600, 1700, MoRTH</t>
  </si>
  <si>
    <t>Reinforced cement concrete M15 grade K.M stones of standard design as per IRC:8 fixing in position including painting and printing, etc as per drawing and Technical Specification Clause 804 MORTH ,including overhead charges &amp; Contractors profit ,But Exculding Seignarage charges. Ordinery KM Stone</t>
  </si>
  <si>
    <t>804 MoRTH</t>
  </si>
  <si>
    <t>Reinforced cement concrete M15 grade H.M stones of standard design as per IRC:8 fixing in position including painting and printing, etc as per drawing and Technical Specification Clause 804 MORTH ,including overhead charges &amp; Contractors profit ,But Exculding Seignarage charges. H.M Stone (200M)  Stone</t>
  </si>
  <si>
    <t>1701 MoRD</t>
  </si>
  <si>
    <t xml:space="preserve"> MORTH Section 803.4</t>
  </si>
  <si>
    <t>"APPROVED"</t>
  </si>
  <si>
    <t>Engineer - in - Chief</t>
  </si>
  <si>
    <t>Panchayat Raj, Hyderabad</t>
  </si>
  <si>
    <t>Schedule -A (Part-B)</t>
  </si>
  <si>
    <t>Details of amount reimbursseble to the Contractor</t>
  </si>
  <si>
    <t>Seigniorage Charges</t>
  </si>
  <si>
    <t>DMF Charges @ 30%  on Seigniorage Charge</t>
  </si>
  <si>
    <t>SMET Charges @ 2%  on Seigniorage Charge</t>
  </si>
  <si>
    <t>Towards GST @ 18%</t>
  </si>
  <si>
    <t>GST component loaded in Part ‘B’ of the estimate shall be reimbursed to the contractor upon producing the required document in support of payment of GST.
GST for the works contract shall be as per GST Act 2017 including amendments there on from time to time.</t>
  </si>
  <si>
    <t>OLD</t>
  </si>
  <si>
    <t xml:space="preserve">GST component loaded in Part ‘B’ of the estimate shall be reimbursed to the contractor upon producing the required document in support of payment of GST.
GST for the works contract shall be as per GST Act 2017 and amendments there on from time to time. For works contract, Tax deduction at source will be recovered from each bill of the contractor at 2% of bill amount.  The TDS for GST at 2% will be added and recovered on each work bill.
It is the liability of the contractor to pay GST at 12% on each bill of work done.   However 2% TDS recovered from each bill could be added in monthly returns submitted.  The contractors will be reimbursed of the balance GST paid i.e. (12%-2% already deducted as TDS) 10% of each bill amount provided in part “B” of the estimate.
</t>
  </si>
  <si>
    <t>MAINTENANCE OF ROADS DATA 2022-23</t>
  </si>
  <si>
    <t>Patch Repairs DATA</t>
  </si>
  <si>
    <t>RBR-MTRD-15</t>
  </si>
  <si>
    <t>Maintenance of WBM Road  / WMM</t>
  </si>
  <si>
    <t>Sr.NO 15.5, MORD Spec 1900 , Pg 15-7</t>
  </si>
  <si>
    <t>Maintenance of WBM road including filling up of pot holes, ruts and rectifying corrugated surface, damaged edges and raveling as per technical specification Clause 1906 MORD.</t>
  </si>
  <si>
    <t xml:space="preserve">Unit = Sqm        </t>
  </si>
  <si>
    <t>Output - Taking affected area @ 5% in 1 km = 1000 x 3.75 x 0.05 = 187.5 sqm</t>
  </si>
  <si>
    <t>Quantity 187.5 x 0.10 = 18.75 cum</t>
  </si>
  <si>
    <t xml:space="preserve"> as per MORD , QTY = 187.50 X 0.075 = 14.06 CUM</t>
  </si>
  <si>
    <t>Quantity 187.5 x 0.075 = 14.06 cum</t>
  </si>
  <si>
    <t>i.</t>
  </si>
  <si>
    <t>For grading I Material compacting with Smooth Wheel Roller 80-100 kN</t>
  </si>
  <si>
    <t>a) Rate as per item 4.7(3) of Chapter 4</t>
  </si>
  <si>
    <t>b) Add 50% for extra efforts involved as maintenance is to be done in small reaches</t>
  </si>
  <si>
    <t xml:space="preserve">Cost of 187.5 Sqm = a+b    </t>
  </si>
  <si>
    <t>Rate of per sqm  a+b/187.5  for 100mm thick</t>
  </si>
  <si>
    <t>per sqm</t>
  </si>
  <si>
    <t>For grading II Material compacting with Smooth Wheel Roller 80-100 kN</t>
  </si>
  <si>
    <t>iii.</t>
  </si>
  <si>
    <t>For grading III Material compacting with Smooth Wheel Roller 80-100 kN</t>
  </si>
  <si>
    <t>Sr.NO 15.3, MORD Spec 1900 , Pg 15-4 to 15-6</t>
  </si>
  <si>
    <t xml:space="preserve">Maintenance of Bituminous Surface road </t>
  </si>
  <si>
    <t>RBR-MTRD-3 (iii)</t>
  </si>
  <si>
    <r>
      <rPr>
        <sz val="10"/>
        <rFont val="Verdana"/>
        <family val="2"/>
      </rPr>
      <t xml:space="preserve">Repair to pot holes and removal of loose material, trimming of sides, cleaning of surface by providing </t>
    </r>
    <r>
      <rPr>
        <b/>
        <sz val="10"/>
        <rFont val="Verdana"/>
        <family val="2"/>
      </rPr>
      <t xml:space="preserve">tack coat, 20 mm thick pre-mix carpet and seal coat Type - B </t>
    </r>
    <r>
      <rPr>
        <sz val="10"/>
        <rFont val="Verdana"/>
        <family val="2"/>
      </rPr>
      <t>as per drawing and technical specification  Clause 1904.2 MORD, 503 and  508.1,  including overhead charges &amp; Contractor profit  but excluding GST and seignorage charges.</t>
    </r>
  </si>
  <si>
    <t>Unit = sqm</t>
  </si>
  <si>
    <t>Taking output = 200 sqm</t>
  </si>
  <si>
    <t>(a) Labour</t>
  </si>
  <si>
    <t>Mazdoor (Unskilled)</t>
  </si>
  <si>
    <t>Add  Muncipal area allowance</t>
  </si>
  <si>
    <t>(b)  Machinery</t>
  </si>
  <si>
    <t>Air compressor 210 cfm with tractor</t>
  </si>
  <si>
    <t>Bitumen pressure distributor</t>
  </si>
  <si>
    <t>Mixall 6/10t capacity</t>
  </si>
  <si>
    <t>Three wheeled 80-100 kN Static Roller</t>
  </si>
  <si>
    <t>(c) Materials</t>
  </si>
  <si>
    <t>t</t>
  </si>
  <si>
    <t>Bitumen for tack coat @ 3kg per 10 sqm 200 x 3 / 10 = 60 kg (RS1)</t>
  </si>
  <si>
    <t>Bitumen for pre-mix carpet @ 14.60 kg per 10 sqm = 200 x 14.6 / 10 = 292 kg (60/70)</t>
  </si>
  <si>
    <t>Bitumen for seal coat at 6.8kgs/10sqm(60/70) = 200x 6.8/10 = 136 kg</t>
  </si>
  <si>
    <t xml:space="preserve">Crushed stone aggregate 13.2 mm to 5.6 mm @ 0.27 cum per 10 sqm= 200x0.27/10=5.4cum </t>
  </si>
  <si>
    <t>Crushed sand passing 2.36 mm sieve and retained on 180 micron sieve @ 0.06 cum per 10 sqm
200 x 0.06 / 10 = 1.20 cum</t>
  </si>
  <si>
    <t>a+b+c=</t>
  </si>
  <si>
    <t>(d) Overhead charges on (a+b+c)</t>
  </si>
  <si>
    <t xml:space="preserve">(d)  contractors Profit </t>
  </si>
  <si>
    <t>Cost for 200 sqm = a+b+c+d+e</t>
  </si>
  <si>
    <t>Rate per sqm = a+b+c+d+e/200</t>
  </si>
  <si>
    <t xml:space="preserve">Rate per 1Sqm </t>
  </si>
  <si>
    <t>RBR-MTRD-3 (ii)</t>
  </si>
  <si>
    <r>
      <rPr>
        <sz val="10"/>
        <rFont val="Verdana"/>
        <family val="2"/>
      </rPr>
      <t xml:space="preserve">Patch repair on already filled pot holes with </t>
    </r>
    <r>
      <rPr>
        <b/>
        <sz val="10"/>
        <rFont val="Verdana"/>
        <family val="2"/>
      </rPr>
      <t>75 mm BM with 20 mm premix carpet</t>
    </r>
    <r>
      <rPr>
        <sz val="10"/>
        <rFont val="Verdana"/>
        <family val="2"/>
      </rPr>
      <t xml:space="preserve"> </t>
    </r>
    <r>
      <rPr>
        <b/>
        <sz val="10"/>
        <rFont val="Verdana"/>
        <family val="2"/>
      </rPr>
      <t xml:space="preserve">and  seal coat Type B </t>
    </r>
    <r>
      <rPr>
        <sz val="10"/>
        <rFont val="Verdana"/>
        <family val="2"/>
      </rPr>
      <t>as per drawings and technical specification Clause 1904.2 MORD  including overhead charges &amp; Contractor profit  but excluding GST and seignorage charges..</t>
    </r>
  </si>
  <si>
    <t xml:space="preserve">Mixall 6/10 tonne </t>
  </si>
  <si>
    <t>tonne</t>
  </si>
  <si>
    <t>Bitumen for pre-mix carpet @ 14.60 kg/10 sqm 200x14.60/10 =292 kg</t>
  </si>
  <si>
    <t>Bitumen for tack coat @2kg per 10sqm 200 x 2 / 10 =40kg</t>
  </si>
  <si>
    <t>Bitumen for seal coat @ 6.8 kg per 10 sqm
200 x 6.8 / 10 = 136 kg</t>
  </si>
  <si>
    <t>Crushed sand passing 2.36 mm sieve and retained on 180 micron sieve @ 0.06 cum per 10 sqm</t>
  </si>
  <si>
    <t>200 x 0.06 / 10 = 1.20 cum</t>
  </si>
  <si>
    <t>Cost of 200 sqm = a+b+c+d+e</t>
  </si>
  <si>
    <t>Rate/sqm = a+b+c+d+e/200</t>
  </si>
  <si>
    <t>Filling Pot-holes and Patch Repairs with open-Graded Premix surfacing, 20mm.</t>
  </si>
  <si>
    <t>MORTH 3004.2</t>
  </si>
  <si>
    <r>
      <rPr>
        <sz val="10"/>
        <rFont val="Verdana"/>
        <family val="2"/>
      </rPr>
      <t>Removal of all failed material,</t>
    </r>
    <r>
      <rPr>
        <b/>
        <sz val="10"/>
        <rFont val="Verdana"/>
        <family val="2"/>
      </rPr>
      <t>(Filling Pot-holes and Patch Repairs with open-Graded Premix surfacing, 20mm)</t>
    </r>
    <r>
      <rPr>
        <sz val="10"/>
        <rFont val="Verdana"/>
        <family val="2"/>
      </rPr>
      <t>. trimming of completed excavation to provide firm vertical faces, cleaning of surface, painting of tack coat on the sides and base of excavation as per clause 503, back filling the pot holes with hot bituminous material as per clause 511, compacting, trimming and finishing the surface to form a smooth continuous surface, all as per clause 3004.2 MORTHincluding overhead charges &amp; Contractor profit  but excluding GST and seignorage charges..</t>
    </r>
  </si>
  <si>
    <t>Unit = sq.m</t>
  </si>
  <si>
    <t>Taking output = 10250 sq.m (205 cu.m) (405 tonne)</t>
  </si>
  <si>
    <t>Mazdoor (skilled)</t>
  </si>
  <si>
    <t xml:space="preserve">Air compressor 210 cfm  </t>
  </si>
  <si>
    <t xml:space="preserve">HMP 100-110 TPH Capacity </t>
  </si>
  <si>
    <t>Tipper 10 tonnes capacity</t>
  </si>
  <si>
    <t>Smooth wheeled roller 8-10 tonnes</t>
  </si>
  <si>
    <t>cu.m</t>
  </si>
  <si>
    <t>Crushed stone aggregate 13.2 mm nominal size</t>
  </si>
  <si>
    <t>Crushed stone aggregate 11.2 mm nominal size</t>
  </si>
  <si>
    <t>Bitumen emulsion for tack coat including vertical sides of pot hole.</t>
  </si>
  <si>
    <t>Bitumen 60/70</t>
  </si>
  <si>
    <t>A+B+C</t>
  </si>
  <si>
    <t>Cost for 10250 sq.m = a+b+c+d</t>
  </si>
  <si>
    <t>Rate per 1 sq.m = (a+b+c+d) /10250</t>
  </si>
  <si>
    <t>Filling of Pot-holes and Patch Repairs with Bituminous concrete ,40mm</t>
  </si>
  <si>
    <t>Filling of Pot-holes and Patch Repairs with Bituminous concrete ,40mm Removal of all failed material ,trimming of completed excavation to provide firm vertical faces,cleaning of surface,painting of tack coat on the sides and base of excavation as per clause 503,back filling the pot holes with hot bituminous  concrete material  with batch type hot mix plant  75 tonne per hour as per clause 504,compacting,trimming and finishing the surface to form a smooth continuous surface, all as per Clause 3004.2 as per MORTH specification  complete in all respects</t>
  </si>
  <si>
    <t>Unit =sqm</t>
  </si>
  <si>
    <t>Page282,283 of MoRT&amp;H SDB</t>
  </si>
  <si>
    <t>Taking out put =4900 sqm(196cum) (450 tonne)</t>
  </si>
  <si>
    <t>nos.</t>
  </si>
  <si>
    <t>Air Compressor 250 cfm</t>
  </si>
  <si>
    <t>i) Batch type HMP 75 tonne per hour</t>
  </si>
  <si>
    <t xml:space="preserve">Smooth wheeled roller 8-10 tonnes for initial break down rolling </t>
  </si>
  <si>
    <t>Bitumen VG 30 @ 5% of weight of mix</t>
  </si>
  <si>
    <t>Bitumen emulsion for tack coat</t>
  </si>
  <si>
    <t>Aggregates</t>
  </si>
  <si>
    <t>Total weight of mix = 450 tonnes</t>
  </si>
  <si>
    <t>weight of bitumen = 22.50 tonnes</t>
  </si>
  <si>
    <t>Weight of aggregate = 450-22.50 = 427.5 tonnes</t>
  </si>
  <si>
    <t>Taking density of aggregate = 1.5 tonne/cum</t>
  </si>
  <si>
    <t>Volume of aggregate = 285.00 cum</t>
  </si>
  <si>
    <t xml:space="preserve"> Grading - II    (13 mm nominal size)</t>
  </si>
  <si>
    <t>13.20-10 mm IRC &amp; MORT&amp;H HBG Chips @ 30 %</t>
  </si>
  <si>
    <t>Average of 12 to 14mm,9.5 to 11.2mmIRC HBGM/C metal )</t>
  </si>
  <si>
    <t>10-5 mm IRC &amp; MORT&amp;H HBG Chips  @ 25%</t>
  </si>
  <si>
    <t>average of 10mm to 5 mm 25 per cent ,IRC HBGM/C metal )</t>
  </si>
  <si>
    <t>5 mm &amp; below IRC &amp; MORT&amp;H HBG Chips@ 43%</t>
  </si>
  <si>
    <t>average of 2.36 to 5mm&amp; 2.36mm and belowIRC HBGM/C metal )</t>
  </si>
  <si>
    <t>HBG chips 2.36mm &amp; below @ 2% filler</t>
  </si>
  <si>
    <t xml:space="preserve">Over head charges &amp; CP </t>
  </si>
  <si>
    <t>Over head charges and CP 13.615%  on (A) + (B)+(C)</t>
  </si>
  <si>
    <t>Cost per 196 cum</t>
  </si>
  <si>
    <t>Rate per 1 cum</t>
  </si>
  <si>
    <t>MORD</t>
  </si>
  <si>
    <r>
      <rPr>
        <sz val="10"/>
        <rFont val="Verdana"/>
        <family val="2"/>
      </rPr>
      <t xml:space="preserve"> Repair to pot holes by removal of failed material, trimming the sides to vertical and leveling the bottom, cleaning the same with compressed air or any appropriate method </t>
    </r>
    <r>
      <rPr>
        <b/>
        <sz val="10"/>
        <rFont val="Verdana"/>
        <family val="2"/>
      </rPr>
      <t>filled with 75mm B.M</t>
    </r>
    <r>
      <rPr>
        <sz val="10"/>
        <rFont val="Verdana"/>
        <family val="2"/>
      </rPr>
      <t>, after applying bitumen emulsion prime coat at the bottom and bitumen emulsion tack coat on sides and on bottom as per technical specifications Clauses 502 , 503 and1904 MORD  including overhead charges &amp; Contractor profit  but excluding GST and seignorage charges..</t>
    </r>
  </si>
  <si>
    <t>RBR-MTRD-3 (i)</t>
  </si>
  <si>
    <t>Taking output = 187.5x0.075 = 14.06 cum = (30.94 Tonne)</t>
  </si>
  <si>
    <t>(5% area of one km)</t>
  </si>
  <si>
    <t>Add Agency area allowance @ 0%</t>
  </si>
  <si>
    <t>Jack hammer 25 kg with tractor</t>
  </si>
  <si>
    <t>Compressor 210 cfm with tractor</t>
  </si>
  <si>
    <t xml:space="preserve">Emulsion pressure distributor </t>
  </si>
  <si>
    <t>Mixall 6/10 t capacity</t>
  </si>
  <si>
    <t>Primer with bitumen emulsion (SS-1)  @ 9 kg/10 sqm 187.5x9 = 168.75 kg.</t>
  </si>
  <si>
    <t>Tonne</t>
  </si>
  <si>
    <t>Tack coat with bitumen emulsion (RS-1) @ 3.0 kg/ 10 sqm</t>
  </si>
  <si>
    <t>Bottom = 187.5</t>
  </si>
  <si>
    <t>Sides = 28.27</t>
  </si>
  <si>
    <t>Total = 215.77</t>
  </si>
  <si>
    <t>Bitumen for BM @ 3.5% by weight of mix = 30.94 x 3.5 / 100 = 1.082</t>
  </si>
  <si>
    <t>Weight of mix (BM) 14.06 cum = (30.94 tonne)</t>
  </si>
  <si>
    <t>Weight of Bitumen = 1.082</t>
  </si>
  <si>
    <t xml:space="preserve">Weight of aggregate 30.94 -1.082 = 29.86 </t>
  </si>
  <si>
    <t>Taking density of aggregate 1.5 t per cum</t>
  </si>
  <si>
    <t xml:space="preserve">Volume of aggregate 29.86 / 1.5 = 19.90 cum </t>
  </si>
  <si>
    <t>Grading (1) (40 mm nominal size)</t>
  </si>
  <si>
    <t>37.5 - 25 mm 15%</t>
  </si>
  <si>
    <t>25 - 10 mm 45%</t>
  </si>
  <si>
    <t>10 - 5 mm 25%</t>
  </si>
  <si>
    <t>5 mm and below 15%</t>
  </si>
  <si>
    <t>Contractor profit</t>
  </si>
  <si>
    <t>Cost per 14.06 cum</t>
  </si>
  <si>
    <r>
      <rPr>
        <b/>
        <sz val="10"/>
        <rFont val="Verdana"/>
        <family val="2"/>
      </rPr>
      <t xml:space="preserve">Filling Pot-holes and Patch Repairs with Bituminous concrete, 40mm. Grading - I  19mm(Nominal size) </t>
    </r>
    <r>
      <rPr>
        <sz val="10"/>
        <rFont val="Verdana"/>
        <family val="2"/>
      </rPr>
      <t>Removal of all failed material, trimming of completed excavation to provide firm vertical faces, cleaning of surface, painting of tack coat on the sides and base of excavation as per clause 503, back filling the pot holes with hot bituminous material as per clause 504, compacting, trimming and finishing the surface to form a smooth continuous surface, all as per clause 3004.2</t>
    </r>
  </si>
  <si>
    <t>Page No : 282</t>
  </si>
  <si>
    <t>Taking out put = 4900 sqm (196 cum)(450 Tonnes)</t>
  </si>
  <si>
    <t>a)     Labour</t>
  </si>
  <si>
    <t>b)      Machinery</t>
  </si>
  <si>
    <t>Air compressor 250 cfm</t>
  </si>
  <si>
    <t>c)      Material</t>
  </si>
  <si>
    <t>I) Bitumen       60/70 Grade</t>
  </si>
  <si>
    <t>ii) Bitumen emulsion for tack coat . (RS)</t>
  </si>
  <si>
    <t>iii) Aggregates</t>
  </si>
  <si>
    <t>Grading I - 19mm(Nominal size)</t>
  </si>
  <si>
    <t xml:space="preserve">20-10mm 35 per cent </t>
  </si>
  <si>
    <t xml:space="preserve">10-5 mm 23 per cent </t>
  </si>
  <si>
    <t xml:space="preserve">5mm and below40 per cent </t>
  </si>
  <si>
    <t>Filler 2 per cent by weight of Aggregates</t>
  </si>
  <si>
    <t xml:space="preserve">Add 5 per cent  for wastage </t>
  </si>
  <si>
    <t>Over head charges &amp; CP</t>
  </si>
  <si>
    <t>Cost per 1.00 Sqm</t>
  </si>
  <si>
    <t>Total Rs.</t>
  </si>
  <si>
    <t>Restoration of Rain Cuts</t>
  </si>
  <si>
    <t>Restoration of rain cuts with soil, moorum, gravel or a mixture of these, clearing the loose soil, benching for 300 mm width, laying fresh material in layers not exceeding 250 mm and compacting with plate compactor or power rammers to restore the original alignment, levels and slopes</t>
  </si>
  <si>
    <t>Mechanical Means ( Page No 278 )</t>
  </si>
  <si>
    <t>Excavator1.0 cum bucket capacity @ 60 cum per hour</t>
  </si>
  <si>
    <t>tonne.km</t>
  </si>
  <si>
    <t>Tipper (12L -&gt; L is average lead in km for borrow earth =12x1=12 )</t>
  </si>
  <si>
    <t>Add 10 per cent  of cost of carriage towards loading and unloading charges.</t>
  </si>
  <si>
    <t>Plate compactor</t>
  </si>
  <si>
    <t>Cost per 1.00 Cum</t>
  </si>
  <si>
    <r>
      <rPr>
        <b/>
        <sz val="10"/>
        <rFont val="Verdana"/>
        <family val="2"/>
      </rPr>
      <t xml:space="preserve">Note : </t>
    </r>
    <r>
      <rPr>
        <sz val="10"/>
        <rFont val="Verdana"/>
        <family val="2"/>
      </rPr>
      <t>Only 75% of fresh material has been provided as 25% can be retrieved from site from earth i.e. flown down the slop in the form of slurry and deposited at the foot of rain cuts.</t>
    </r>
  </si>
  <si>
    <t>Maintenance of Earthen shoulder (filling with fresh selected soil)Making up loss of material/ irregularities on shoulder to the design level by adding fresh approved soil and compacting it with appropriate equipment.</t>
  </si>
  <si>
    <t>Page No 279</t>
  </si>
  <si>
    <t>Taking output = 100 sqm</t>
  </si>
  <si>
    <t>Assuming average thickness of filling to be 150 mm</t>
  </si>
  <si>
    <t>Quality of fresh material = 15 cum</t>
  </si>
  <si>
    <t>Tipper (24L -&gt; L is average lead in km for borrow earth =24x1=24 )</t>
  </si>
  <si>
    <t>Plate compactor @ 25 Sqm per hour</t>
  </si>
  <si>
    <r>
      <rPr>
        <b/>
        <sz val="10"/>
        <rFont val="Verdana"/>
        <family val="2"/>
      </rPr>
      <t xml:space="preserve">Maintenance of Earthen shoulder (stripping excess soil)  </t>
    </r>
    <r>
      <rPr>
        <sz val="10"/>
        <rFont val="Verdana"/>
        <family val="2"/>
      </rPr>
      <t>Stripping excess soil from the shoulder surface to achieve the approved level and compacting with plate compactor.</t>
    </r>
  </si>
  <si>
    <t>Page No 280</t>
  </si>
  <si>
    <t>Assuming average depth of stripping as 75mm</t>
  </si>
  <si>
    <t>Quality of eart cutting involved = 7.5 cum</t>
  </si>
  <si>
    <t>Total A</t>
  </si>
  <si>
    <t>Total B</t>
  </si>
  <si>
    <t>Total A +B</t>
  </si>
  <si>
    <t>DATA  FOR  MAINTENANCE OF ROADS SSR  2022-23</t>
  </si>
  <si>
    <t>Sl. No</t>
  </si>
  <si>
    <t>Sr. No</t>
  </si>
  <si>
    <t>Reference to MoRTH Specification</t>
  </si>
  <si>
    <t>Rate Rs.</t>
  </si>
  <si>
    <r>
      <rPr>
        <b/>
        <sz val="10"/>
        <rFont val="Times New Roman"/>
        <family val="1"/>
      </rPr>
      <t xml:space="preserve">Note : </t>
    </r>
    <r>
      <rPr>
        <sz val="10"/>
        <rFont val="Times New Roman"/>
        <family val="1"/>
      </rPr>
      <t>Only 75% of fresh material has been provided as 25% can be retrieved from site from earth i.e. flown down the slop in the form of slurry and deposited at the foot of rain cuts.</t>
    </r>
  </si>
  <si>
    <t>Maintenance of Earthen shoulder (filling with fresh selected soil)</t>
  </si>
  <si>
    <t>Making up loss of material/ irregularities on shoulder to the design level by adding fresh approved soil and compacting it with appropriate equipment.</t>
  </si>
  <si>
    <t>Removal of all failed material, trimming of completed excavation to provide firm vertical faces, cleaning of surface, painting of tack coat on the sides and base of excavation as per clause 503, back filling the pot holes with hot bituminous material as per clause 511, compacting, trimming and finishing the surface to form a smooth continuous surface, all as per clause 3004.2</t>
  </si>
  <si>
    <t>Page No 281</t>
  </si>
  <si>
    <t>Unit =  Sqm</t>
  </si>
  <si>
    <t>Taking out put = 10250 sqm (205 cum)(405 tonne)</t>
  </si>
  <si>
    <t>Crushed stone aggregates nominal size 13.2mm @ 0.18 Cum / 10 Sqm</t>
  </si>
  <si>
    <t>Crushed stone aggregates nominal size 11.2mm @ 0.09 Cum / 10 Sqm</t>
  </si>
  <si>
    <t xml:space="preserve">Bitumen 60/70 @ 14.60 Cum / 10 Sqm </t>
  </si>
  <si>
    <t>Bitumen emulsion RS-1  for tack coat including vertical sides of pot hole.</t>
  </si>
  <si>
    <t>Filling Pot-holes and Patch Repairs with Bituminous concrete, 40mm.</t>
  </si>
  <si>
    <t>Removal of all failed material, trimming of completed excavation to provide firm vertical faces, cleaning of surface, painting of tack coat on the sides and base of excavation as per clause 503, back filling the pot holes with hot bituminous material as per clause 504, compacting, trimming and finishing the surface to form a smooth continuous surface, all as per clause 3004.2</t>
  </si>
  <si>
    <t>The Data Sl.no (1- 25) only</t>
  </si>
  <si>
    <t>// Approved //</t>
  </si>
  <si>
    <t>SUB-ESTIMATE  FOR PIPE CULVERT WITH SSR  2023-24</t>
  </si>
  <si>
    <t>Sl. 
No.</t>
  </si>
  <si>
    <t>Body Wall Foundation</t>
  </si>
  <si>
    <t>Under Pipes</t>
  </si>
  <si>
    <t>Head walls</t>
  </si>
  <si>
    <t>Body Wall Foundation below GL</t>
  </si>
  <si>
    <t>1x</t>
  </si>
  <si>
    <r>
      <t>1.25+1.0</t>
    </r>
    <r>
      <rPr>
        <sz val="11"/>
        <rFont val="Calibri"/>
        <family val="2"/>
        <scheme val="minor"/>
      </rPr>
      <t xml:space="preserve">
2</t>
    </r>
  </si>
  <si>
    <t>Body Wall Foundation above GL</t>
  </si>
  <si>
    <r>
      <t>1.0+0.4</t>
    </r>
    <r>
      <rPr>
        <sz val="11"/>
        <rFont val="Calibri"/>
        <family val="2"/>
        <scheme val="minor"/>
      </rPr>
      <t xml:space="preserve">
2</t>
    </r>
  </si>
  <si>
    <t>Parapet wall</t>
  </si>
  <si>
    <t>Deduct for pipe portion</t>
  </si>
  <si>
    <t>II/4</t>
  </si>
  <si>
    <r>
      <t>1.0+0.6</t>
    </r>
    <r>
      <rPr>
        <sz val="11"/>
        <rFont val="Calibri"/>
        <family val="2"/>
        <scheme val="minor"/>
      </rPr>
      <t xml:space="preserve">
2</t>
    </r>
  </si>
  <si>
    <t>1000mm dia NP4</t>
  </si>
  <si>
    <t xml:space="preserve">Total Amount </t>
  </si>
  <si>
    <t>Assistant  Engineer,</t>
  </si>
  <si>
    <t xml:space="preserve">  SUB-ESTIMATE FOR SLAB CULVERT WITH SSR 2021-22</t>
  </si>
  <si>
    <t xml:space="preserve">Abutment, </t>
  </si>
  <si>
    <t>Wing walls</t>
  </si>
  <si>
    <r>
      <t>2.37+1.85</t>
    </r>
    <r>
      <rPr>
        <sz val="11"/>
        <rFont val="Calibri"/>
        <family val="2"/>
        <scheme val="minor"/>
      </rPr>
      <t xml:space="preserve">
2</t>
    </r>
  </si>
  <si>
    <t>For abutments</t>
  </si>
  <si>
    <t>for Piers, Abutments, wing walls, cut off walls etc., below bed level</t>
  </si>
  <si>
    <t>Abutment 1st steps</t>
  </si>
  <si>
    <t>,, 2nd step</t>
  </si>
  <si>
    <t>,, 3rd step</t>
  </si>
  <si>
    <t>,, tappered</t>
  </si>
  <si>
    <r>
      <t>2.50+2.10</t>
    </r>
    <r>
      <rPr>
        <sz val="11"/>
        <rFont val="Calibri"/>
        <family val="2"/>
        <scheme val="minor"/>
      </rPr>
      <t xml:space="preserve">
2</t>
    </r>
  </si>
  <si>
    <r>
      <t>2.17+1.65</t>
    </r>
    <r>
      <rPr>
        <sz val="11"/>
        <rFont val="Calibri"/>
        <family val="2"/>
        <scheme val="minor"/>
      </rPr>
      <t xml:space="preserve">
2</t>
    </r>
  </si>
  <si>
    <t xml:space="preserve">2nd </t>
  </si>
  <si>
    <r>
      <t>1.77+1.25</t>
    </r>
    <r>
      <rPr>
        <sz val="11"/>
        <rFont val="Calibri"/>
        <family val="2"/>
        <scheme val="minor"/>
      </rPr>
      <t xml:space="preserve">
2</t>
    </r>
  </si>
  <si>
    <t>tappered</t>
  </si>
  <si>
    <r>
      <t>1.57+1.05</t>
    </r>
    <r>
      <rPr>
        <sz val="11"/>
        <rFont val="Calibri"/>
        <family val="2"/>
        <scheme val="minor"/>
      </rPr>
      <t xml:space="preserve">
2</t>
    </r>
  </si>
  <si>
    <t>Abutment</t>
  </si>
  <si>
    <r>
      <t>2.10+1.30</t>
    </r>
    <r>
      <rPr>
        <sz val="11"/>
        <rFont val="Calibri"/>
        <family val="2"/>
        <scheme val="minor"/>
      </rPr>
      <t xml:space="preserve">
2</t>
    </r>
  </si>
  <si>
    <t>Abutment dirt wall</t>
  </si>
  <si>
    <t>Wing walls Tappered</t>
  </si>
  <si>
    <r>
      <t>0.935+0.50</t>
    </r>
    <r>
      <rPr>
        <sz val="11"/>
        <rFont val="Calibri"/>
        <family val="2"/>
        <scheme val="minor"/>
      </rPr>
      <t xml:space="preserve">
2</t>
    </r>
  </si>
  <si>
    <t>Bed blocks Over abutment</t>
  </si>
  <si>
    <t>Balance width</t>
  </si>
  <si>
    <t>Kerb  wall</t>
  </si>
  <si>
    <t>for deck slab</t>
  </si>
  <si>
    <t>for Deck slab</t>
  </si>
  <si>
    <t>For appraches</t>
  </si>
  <si>
    <r>
      <t xml:space="preserve">2.00+0.50
</t>
    </r>
    <r>
      <rPr>
        <sz val="11"/>
        <rFont val="Calibri"/>
        <family val="2"/>
        <scheme val="minor"/>
      </rPr>
      <t>2</t>
    </r>
  </si>
  <si>
    <t>Over deck slab</t>
  </si>
  <si>
    <t>For approaches</t>
  </si>
  <si>
    <r>
      <t>13.50+7.50</t>
    </r>
    <r>
      <rPr>
        <sz val="11"/>
        <rFont val="Calibri"/>
        <family val="2"/>
        <scheme val="minor"/>
      </rPr>
      <t xml:space="preserve">
2</t>
    </r>
  </si>
  <si>
    <r>
      <t>2.00+0.30</t>
    </r>
    <r>
      <rPr>
        <sz val="11"/>
        <rFont val="Calibri"/>
        <family val="2"/>
        <scheme val="minor"/>
      </rPr>
      <t xml:space="preserve">
2</t>
    </r>
  </si>
  <si>
    <t>1Cum</t>
  </si>
  <si>
    <t xml:space="preserve">approach </t>
  </si>
  <si>
    <t>Vent porton</t>
  </si>
  <si>
    <t>Up stream side</t>
  </si>
  <si>
    <t>Down stream side</t>
  </si>
  <si>
    <t>Asst. Exe. Engineer,</t>
  </si>
  <si>
    <t>Construction of 1 Vent of 6.00 x 2.00m span Slab Culverts- 1nos  at Km 0/400</t>
  </si>
  <si>
    <r>
      <t>2.38+1.85</t>
    </r>
    <r>
      <rPr>
        <sz val="11"/>
        <rFont val="Calibri"/>
        <family val="2"/>
        <scheme val="minor"/>
      </rPr>
      <t xml:space="preserve">
2</t>
    </r>
  </si>
  <si>
    <t>(2.50+ 2.10)/2</t>
  </si>
  <si>
    <t>Abutment up to GL</t>
  </si>
  <si>
    <t>(2.10+ 1.82)/2</t>
  </si>
  <si>
    <t>(2.13+ 1.73)/2</t>
  </si>
  <si>
    <t>Wing walls up to GL</t>
  </si>
  <si>
    <t>(1.73+ 1.38)/2</t>
  </si>
  <si>
    <t>(1.82+ 1.30)/2</t>
  </si>
  <si>
    <t>Wing walls above GL</t>
  </si>
  <si>
    <t>(1.38+ 0.50)/2</t>
  </si>
  <si>
    <t>Backing wall</t>
  </si>
  <si>
    <t>Over Approach slab</t>
  </si>
  <si>
    <r>
      <t>13.5+7.5</t>
    </r>
    <r>
      <rPr>
        <sz val="11"/>
        <rFont val="Calibri"/>
        <family val="2"/>
        <scheme val="minor"/>
      </rPr>
      <t xml:space="preserve">
2</t>
    </r>
  </si>
  <si>
    <r>
      <t>2.0+0.3</t>
    </r>
    <r>
      <rPr>
        <sz val="11"/>
        <rFont val="Calibri"/>
        <family val="2"/>
        <scheme val="minor"/>
      </rPr>
      <t xml:space="preserve">
2</t>
    </r>
  </si>
  <si>
    <t>District PR Engineer,</t>
  </si>
  <si>
    <t xml:space="preserve">  SUB-ESTIMATE FOR ROAD FURNITURE WITH SSR  2023-24</t>
  </si>
  <si>
    <t>Ordinery KM Stone</t>
  </si>
  <si>
    <t>/ No.</t>
  </si>
  <si>
    <t>H.M Stone (200M)  Stone</t>
  </si>
  <si>
    <t>Information Sign board</t>
  </si>
  <si>
    <t>1000x900mm size</t>
  </si>
  <si>
    <t>600mmx600mm size</t>
  </si>
  <si>
    <t>Supplying of hot applied thermoplastic road marking compound, 2.5mm thick including reflectorising glass beads @ 250gms with Reflectorising Glass Beads on Bituminous Surface at 250 gms per sqm area, thickness of 2.5mm is exclusive of surface applied glass bead as per MORTH Section 803.4 and IRC: 35-2015, the material should satisfy the requirements as per MORTH specifications 803.4 and must comply with the following: a) White index for the product should be in the range of 60-70 when measured against standard reference. The applied panel 7/8 number must be submitted for checking up the white index in the department lab. In case the department approves the white index of any vendor, the department engineer may carryout random checking of the applied products at site against the approved panel. In case of any major deviation, beyond</t>
  </si>
  <si>
    <t>ROAD SAFETY INTERVENTIONS  - SUB ESTIMATE</t>
  </si>
  <si>
    <t>Measurments</t>
  </si>
  <si>
    <t>Cost, supply and fixing on road of Reflective Studs - RMP (Twin Moulded Shanks) including cost and conveyance and all labour charges and including contractors profit &amp; Over head charges,  but excluding  GST etc,. Complete.</t>
  </si>
  <si>
    <t>At Junctions to be provided two rows of 0.5m spacing at Junction Start &amp; after Junctions</t>
  </si>
  <si>
    <t>Junctions</t>
  </si>
  <si>
    <t>At curves to be provided in both edges @ 1.00 mts intervals of curve potion</t>
  </si>
  <si>
    <t>curves</t>
  </si>
  <si>
    <t>/ Each</t>
  </si>
  <si>
    <t>Cost, supply and Painting on road of Thermoplastic Paint of 2.50 mm thick including cost and conveyance and all labour charges and including contractors profit &amp; Over head charges,  but excluding  GST etc,. Complete.</t>
  </si>
  <si>
    <t>Lenth of the road</t>
  </si>
  <si>
    <t xml:space="preserve">Both Sides of the road </t>
  </si>
  <si>
    <t>Center line</t>
  </si>
  <si>
    <t>/ Sqm</t>
  </si>
  <si>
    <t>Providing and erecting a "W" metal beam crash barrier comprising of 3mm thick corrugated sheet metal beam rail 70 cm above road/ground level, fixed on ISMC  series chennel verical post 150x75x5mm spaced 2.00m cente-to-centre, 1.80m high, 1.10m below ground/road level, all steel parts and fitiings to be galvanized by hot dip process, all fittings to confirm to IS:1367 and IS: 1364, metal beam rail to be fixed on vertical post with a spacer of chennel section 150x75x5mm, 330mm longs complete as per clause 810, including cost and conveyance and all labour charges and including contractors profit &amp; Over head charges,  but excluding  GST etc,. Complete.</t>
  </si>
  <si>
    <t>High Level Bridge / High Banking portion</t>
  </si>
  <si>
    <t xml:space="preserve">at </t>
  </si>
  <si>
    <t>/ Rm</t>
  </si>
  <si>
    <t>2.5mm thick in 3 layers</t>
  </si>
  <si>
    <t>1Sqm</t>
  </si>
  <si>
    <t>Construction of 2 Vent of 6.00 x 2.00m span Slab Culverts- 1nos  at Km 1/600</t>
  </si>
  <si>
    <t>Piers</t>
  </si>
  <si>
    <r>
      <rPr>
        <u/>
        <sz val="11"/>
        <rFont val="Arial"/>
        <family val="2"/>
      </rPr>
      <t>2.38+1.85</t>
    </r>
    <r>
      <rPr>
        <sz val="11"/>
        <rFont val="Arial"/>
        <family val="2"/>
      </rPr>
      <t xml:space="preserve">
2</t>
    </r>
  </si>
  <si>
    <r>
      <rPr>
        <u/>
        <sz val="11"/>
        <rFont val="Arial"/>
        <family val="2"/>
      </rPr>
      <t>2.50+2.10</t>
    </r>
    <r>
      <rPr>
        <sz val="11"/>
        <rFont val="Arial"/>
        <family val="2"/>
      </rPr>
      <t xml:space="preserve">
2</t>
    </r>
  </si>
  <si>
    <t>Pier 2st step</t>
  </si>
  <si>
    <r>
      <rPr>
        <u/>
        <sz val="11"/>
        <rFont val="Arial"/>
        <family val="2"/>
      </rPr>
      <t>2.18+1.65</t>
    </r>
    <r>
      <rPr>
        <sz val="11"/>
        <rFont val="Arial"/>
        <family val="2"/>
      </rPr>
      <t xml:space="preserve">
2</t>
    </r>
  </si>
  <si>
    <r>
      <rPr>
        <u/>
        <sz val="11"/>
        <rFont val="Arial"/>
        <family val="2"/>
      </rPr>
      <t>1.78+1.25</t>
    </r>
    <r>
      <rPr>
        <sz val="11"/>
        <rFont val="Arial"/>
        <family val="2"/>
      </rPr>
      <t xml:space="preserve">
2</t>
    </r>
  </si>
  <si>
    <r>
      <rPr>
        <u/>
        <sz val="11"/>
        <rFont val="Arial"/>
        <family val="2"/>
      </rPr>
      <t>1.58+1.05</t>
    </r>
    <r>
      <rPr>
        <sz val="11"/>
        <rFont val="Arial"/>
        <family val="2"/>
      </rPr>
      <t xml:space="preserve">
2</t>
    </r>
  </si>
  <si>
    <r>
      <rPr>
        <u/>
        <sz val="11"/>
        <rFont val="Arial"/>
        <family val="2"/>
      </rPr>
      <t>2.1+1.30</t>
    </r>
    <r>
      <rPr>
        <sz val="11"/>
        <rFont val="Arial"/>
        <family val="2"/>
      </rPr>
      <t xml:space="preserve">
2</t>
    </r>
  </si>
  <si>
    <t>Pier</t>
  </si>
  <si>
    <r>
      <rPr>
        <u/>
        <sz val="11"/>
        <rFont val="Arial"/>
        <family val="2"/>
      </rPr>
      <t>1.35+0.76</t>
    </r>
    <r>
      <rPr>
        <sz val="11"/>
        <rFont val="Arial"/>
        <family val="2"/>
      </rPr>
      <t xml:space="preserve">
2</t>
    </r>
  </si>
  <si>
    <t>Semi circular portion</t>
  </si>
  <si>
    <t>II/8</t>
  </si>
  <si>
    <t>(1.35^2+0.76^2)/2</t>
  </si>
  <si>
    <r>
      <rPr>
        <u/>
        <sz val="11"/>
        <rFont val="Arial"/>
        <family val="2"/>
      </rPr>
      <t>0.94+0.50</t>
    </r>
    <r>
      <rPr>
        <sz val="11"/>
        <rFont val="Arial"/>
        <family val="2"/>
      </rPr>
      <t xml:space="preserve">
2</t>
    </r>
  </si>
  <si>
    <t>II/4*2</t>
  </si>
  <si>
    <r>
      <rPr>
        <u/>
        <sz val="11"/>
        <rFont val="Arial"/>
        <family val="2"/>
      </rPr>
      <t xml:space="preserve">2.00+0.50
</t>
    </r>
    <r>
      <rPr>
        <sz val="11"/>
        <rFont val="Arial"/>
        <family val="2"/>
      </rPr>
      <t>2</t>
    </r>
  </si>
  <si>
    <r>
      <rPr>
        <u/>
        <sz val="11"/>
        <rFont val="Arial"/>
        <family val="2"/>
      </rPr>
      <t>13.50+7.50</t>
    </r>
    <r>
      <rPr>
        <sz val="11"/>
        <rFont val="Arial"/>
        <family val="2"/>
      </rPr>
      <t xml:space="preserve">
2</t>
    </r>
  </si>
  <si>
    <r>
      <rPr>
        <u/>
        <sz val="11"/>
        <rFont val="Arial"/>
        <family val="2"/>
      </rPr>
      <t>2.00+0.30</t>
    </r>
    <r>
      <rPr>
        <sz val="11"/>
        <rFont val="Arial"/>
        <family val="2"/>
      </rPr>
      <t xml:space="preserve">
2</t>
    </r>
  </si>
  <si>
    <t xml:space="preserve">  SUB-ESTIMATE FOR ROAD DAM WITH SSR 217-18</t>
  </si>
  <si>
    <t>Long wall</t>
  </si>
  <si>
    <t>Cross wall</t>
  </si>
  <si>
    <t>Under pipes</t>
  </si>
  <si>
    <t>Between road dam</t>
  </si>
  <si>
    <t>Level portion</t>
  </si>
  <si>
    <t>Between pipes</t>
  </si>
  <si>
    <t>Deduct pipe portion</t>
  </si>
  <si>
    <t>π/4</t>
  </si>
  <si>
    <t>Ramps</t>
  </si>
  <si>
    <t>Below bed level</t>
  </si>
  <si>
    <t>Above bed level</t>
  </si>
  <si>
    <t>(0.90+ 0.60)/2</t>
  </si>
  <si>
    <t>Long wall ramp</t>
  </si>
  <si>
    <t>(1.50+ 0.00)/2</t>
  </si>
  <si>
    <t>Pipes of 1000mm dia</t>
  </si>
  <si>
    <t>(1.275+ 0.00)/2</t>
  </si>
  <si>
    <t>Construction of Retaining wall of 15.00m Length at Km 1/800,2/400 &amp; 3/500</t>
  </si>
  <si>
    <t>Fill up</t>
  </si>
  <si>
    <t>From Km 3/060 to 3/080</t>
  </si>
  <si>
    <t>Foundation</t>
  </si>
  <si>
    <t>Ret Wall body wall</t>
  </si>
  <si>
    <r>
      <rPr>
        <u/>
        <sz val="10"/>
        <rFont val="Arial"/>
        <family val="2"/>
      </rPr>
      <t xml:space="preserve">1.30+0.90
</t>
    </r>
    <r>
      <rPr>
        <sz val="10"/>
        <rFont val="Arial"/>
        <family val="2"/>
      </rPr>
      <t>2</t>
    </r>
  </si>
  <si>
    <r>
      <rPr>
        <u/>
        <sz val="10"/>
        <rFont val="Arial"/>
        <family val="2"/>
      </rPr>
      <t xml:space="preserve">0.90+0.40
</t>
    </r>
    <r>
      <rPr>
        <sz val="10"/>
        <rFont val="Arial"/>
        <family val="2"/>
      </rPr>
      <t>2</t>
    </r>
  </si>
  <si>
    <t xml:space="preserve">  SUB-ESTIMATE FOR SIDE DRAINS WITH SSR 2021-22</t>
  </si>
  <si>
    <t>Construction of Village side drain for a length of 250 m</t>
  </si>
  <si>
    <t>In the village portion both sides (From Km 0/580 to 0/950)</t>
  </si>
  <si>
    <t>In the village portion of Sublaid</t>
  </si>
  <si>
    <t>From Km 0/000 to 0/840</t>
  </si>
  <si>
    <t>In the village portion of Sublaid (From Km 0/000 to 0/840)</t>
  </si>
  <si>
    <t>Drain body wall</t>
  </si>
  <si>
    <r>
      <rPr>
        <u/>
        <sz val="10"/>
        <rFont val="Arial"/>
        <family val="2"/>
      </rPr>
      <t xml:space="preserve">0.30+0.23
</t>
    </r>
    <r>
      <rPr>
        <sz val="10"/>
        <rFont val="Arial"/>
        <family val="2"/>
      </rPr>
      <t>2</t>
    </r>
  </si>
  <si>
    <t>Drain body wall road side</t>
  </si>
  <si>
    <t>Road Crossings</t>
  </si>
  <si>
    <t>SEIGNEORAGE CHARGES STATEMENT</t>
  </si>
  <si>
    <t>Description of item</t>
  </si>
  <si>
    <t>Qty</t>
  </si>
  <si>
    <t>Seignorage 
rate</t>
  </si>
  <si>
    <t>ROAD ITEMS</t>
  </si>
  <si>
    <t>C/o of embankment obtained from road way cutting</t>
  </si>
  <si>
    <t>C/o of embankment obtained from borrow pits</t>
  </si>
  <si>
    <t xml:space="preserve">Gravel subbase </t>
  </si>
  <si>
    <t>Wet Mix</t>
  </si>
  <si>
    <t>DGBM</t>
  </si>
  <si>
    <t>Seal coat</t>
  </si>
  <si>
    <t xml:space="preserve">CC pavement            </t>
  </si>
  <si>
    <t>Shoulders with Earth</t>
  </si>
  <si>
    <t>Earth work excavation for structures</t>
  </si>
  <si>
    <t>Filling sand</t>
  </si>
  <si>
    <t>PCC M15 grade for foundations</t>
  </si>
  <si>
    <t>PCC M15 grade for body walls</t>
  </si>
  <si>
    <t>1000mm dia pipes</t>
  </si>
  <si>
    <t>Construction of HP Culvert 3V of 1000mm Dia. NP4 Pipes</t>
  </si>
  <si>
    <t>1vent 3.00 x 1.50m span slab culvert at</t>
  </si>
  <si>
    <t>PCC (1:3:6)</t>
  </si>
  <si>
    <t>RCC M25 grade for Bed blocks</t>
  </si>
  <si>
    <t>RCC M25 grade for Deckslab</t>
  </si>
  <si>
    <t>PCC M15 bed pitching</t>
  </si>
  <si>
    <t>PCC M30 Wearing coat</t>
  </si>
  <si>
    <t>RCC M25 grade for Guide stone</t>
  </si>
  <si>
    <t>Back filling</t>
  </si>
  <si>
    <t>Carted earth</t>
  </si>
  <si>
    <t>PCC M15 below approch slab</t>
  </si>
  <si>
    <t>PCC M30 Approch slab</t>
  </si>
  <si>
    <t>Boulder apron</t>
  </si>
  <si>
    <t>1vent 5.00 x 2.00m span slab culvert at</t>
  </si>
  <si>
    <t>Filter media</t>
  </si>
  <si>
    <t>1vent 6.00 x 2.00m span slab culvert at</t>
  </si>
  <si>
    <t>2vent 6.00 x 2.00m span slab culvert at</t>
  </si>
  <si>
    <t>3vent 6.00 x 2.00m span slab culvert at</t>
  </si>
  <si>
    <t>Construction of Road dam  at  km</t>
  </si>
  <si>
    <t>PCC M10 grade</t>
  </si>
  <si>
    <t>PCC M10 levelling course</t>
  </si>
  <si>
    <t>Protection walls</t>
  </si>
  <si>
    <t>PCC M10 grade for foundations</t>
  </si>
  <si>
    <t>Construction of Drain</t>
  </si>
  <si>
    <t>Sand filling</t>
  </si>
  <si>
    <t>PCC M15 grade</t>
  </si>
  <si>
    <t xml:space="preserve">Seigneorage Charges </t>
  </si>
  <si>
    <t>ASST.ENGINEER                   DY.EXECUTIVE ENGINEER                      DIST.PANCHAYAT RAJ ENGINEER                 SUPERINTENDING ENGINEER</t>
  </si>
  <si>
    <t>PR KAMALAPUR                    PR SD HANAMKONDA                             PR DIVN HANAMKONDA                                    PR CIRLCE WARANGAL</t>
  </si>
  <si>
    <t>LEAD CHART WITH SSR 2023-24</t>
  </si>
  <si>
    <t>road</t>
  </si>
  <si>
    <t>NAME OF WORK ::-</t>
  </si>
  <si>
    <t>Description of Metal</t>
  </si>
  <si>
    <t>Source of Supply</t>
  </si>
  <si>
    <t>Lead in Kms</t>
  </si>
  <si>
    <t xml:space="preserve">Conveyance </t>
  </si>
  <si>
    <t xml:space="preserve">Initial cost </t>
  </si>
  <si>
    <t>Blasting charges</t>
  </si>
  <si>
    <t>Machine crushing charges</t>
  </si>
  <si>
    <t>Deduct stacking charges for conveyance</t>
  </si>
  <si>
    <t>Toal Cost per Cum</t>
  </si>
  <si>
    <t>50  mm to 55 mm  Metal IRC and MORT&amp;H  HBG  M/C METALS</t>
  </si>
  <si>
    <t>40 to 45 mm IRC  and MoRTH
 HBG M/C metal</t>
  </si>
  <si>
    <t>25 to 27 mm IRC  and MoRTH
HBG M/C metal</t>
  </si>
  <si>
    <t>19 to 22 mm IRC  and MoRTH 
HBG M/C metal</t>
  </si>
  <si>
    <t>12 to 14 mm IRC  and MoRTH 
HBG M/C metal</t>
  </si>
  <si>
    <t>9.5 to 11.20 mm IRC  and MoRTH
 HBG M/C metal</t>
  </si>
  <si>
    <t>5 to 7 mm IRC  and MoRTH 
HBG M/C metal</t>
  </si>
  <si>
    <t>2.36 to 5 mm IRC  and MoRTH 
HBG M/C metal</t>
  </si>
  <si>
    <t>HBG Stone chips 2.36mm 
and below</t>
  </si>
  <si>
    <t>B) FOR C.D. WORKS</t>
  </si>
  <si>
    <t>40 mm SS-5   HBG M/C metal</t>
  </si>
  <si>
    <t>25 mm SS-5  HBG M/C metal</t>
  </si>
  <si>
    <t>20 mm SS-5  HBG M/C metal</t>
  </si>
  <si>
    <t>12 mm SS-5  HBG M/C metal</t>
  </si>
  <si>
    <t>10 mm SS-5  HBG M/C metal</t>
  </si>
  <si>
    <t>6 mm SS-5  HBG M/C metal</t>
  </si>
  <si>
    <t>40 to 45 mm IRC  and MoRTH
 HBG  metal ( Hand Broken)</t>
  </si>
  <si>
    <t>50  mm to 55 mm  Metal IRC and MORT&amp;H  HBG  METALS (Hand Broken )</t>
  </si>
  <si>
    <t>60  mm to 63 mm  Metal IRC and MORT&amp;H  HBG  METALS  (Hand Broken )</t>
  </si>
  <si>
    <t>SS 300mm (HBG) for revetment</t>
  </si>
  <si>
    <t>SS 450 mm (HBG) for revetment</t>
  </si>
  <si>
    <t>Quarry spall (field picked metal</t>
  </si>
  <si>
    <t>150 mm soling stone  HBG metal</t>
  </si>
  <si>
    <t>Stone crusher dust finer than 3mm with not more than 10% passing 0.075 sieve.</t>
  </si>
  <si>
    <t>Crished Rubble Stone</t>
  </si>
  <si>
    <t>Bond Stones</t>
  </si>
  <si>
    <t>Sand for Motor</t>
  </si>
  <si>
    <t>Sand for concrete</t>
  </si>
  <si>
    <t>Emulsion SS-1 (Bulk) -do-</t>
  </si>
  <si>
    <t>Rapid setting  Emulsion (RS) Bulk - do-</t>
  </si>
  <si>
    <t>Hume pipes 1200mm Dia., NP4</t>
  </si>
  <si>
    <t>Hume pipes 1000mm Dia., NP4</t>
  </si>
  <si>
    <t>Hume pipes 900mm Dia., NP4</t>
  </si>
  <si>
    <t>Hume pipes 800mm Dia., NP4</t>
  </si>
  <si>
    <t>Hume pipes 700mm Dia., NP4</t>
  </si>
  <si>
    <t>Hume pipes 600mm Dia., NP4</t>
  </si>
  <si>
    <t>Hume pipes 450mm Dia., NP4</t>
  </si>
  <si>
    <t>Hume pipes 300mm Dia., NP4</t>
  </si>
  <si>
    <t>Hume pipes Collers 1200mm Dia. NP4</t>
  </si>
  <si>
    <t>Hume pipes  Collers  1000mm Dia. NP4</t>
  </si>
  <si>
    <t>Hume pipes  Collers  900mm Dia. NP4</t>
  </si>
  <si>
    <t>Hume pipes Collers  800mm Dia. NP4</t>
  </si>
  <si>
    <t>Hume pipes  Collers 700mm Dia. NP4</t>
  </si>
  <si>
    <t>Hume pipes  Collers  600mm Dia. NP4</t>
  </si>
  <si>
    <t>Hume pipes  Collers 450mm Dia. NP4</t>
  </si>
  <si>
    <t>Hume pipes Collers  300mm Dia. NP4</t>
  </si>
  <si>
    <t>Certificates</t>
  </si>
  <si>
    <t>Certified that the leads are true and nearer to the site to the best of my Knowledge.</t>
  </si>
  <si>
    <t>Certified that the materials are sufficiently available in the above quarries</t>
  </si>
  <si>
    <t>Certified that the HBG metal obtained by Blasting.</t>
  </si>
  <si>
    <t>Water cost Allowed ( Y/N)</t>
  </si>
  <si>
    <t xml:space="preserve">Area Allowence allowed </t>
  </si>
  <si>
    <t>AA/ MAA</t>
  </si>
  <si>
    <t>AEE/AE</t>
  </si>
  <si>
    <t>ROAD - DATA  With SSR 2023-24</t>
  </si>
  <si>
    <t>Clearing and grubbing road land including uprooting rank vegetation, grass, bushes, shrubs, saplings and trees girth up to 300 mm, removal of stumps of trees cut earlier and disposal of unserviceable materials and stacking of serviceable material to be used or auctioned, up to a lead of 1000 metres including removal and disposal of top organic soil not exceeding 150 mm in thickness by Mechanical means as per the Techinical Specification Clause 201 MoRTH 5th Revision</t>
  </si>
  <si>
    <t>Unit = 10 sqm</t>
  </si>
  <si>
    <t>Taking output = 1 hectare</t>
  </si>
  <si>
    <t>Hr</t>
  </si>
  <si>
    <t>Dozer 80 HP with attachment for removal of trees &amp; stumps</t>
  </si>
  <si>
    <t>Tractor with trolley 3t</t>
  </si>
  <si>
    <t xml:space="preserve">(C) </t>
  </si>
  <si>
    <t>Over head charges 4.615%  on (A) + (B)+( C)</t>
  </si>
  <si>
    <t>Cost  unit hectare</t>
  </si>
  <si>
    <t>Rate per Sqm (D/10000)</t>
  </si>
  <si>
    <t>Dismantling of flexible pavements (bituminous courses) by mechanical means and disposal of dismantled materials up to a lead of 1000 metres, stacking serviceable and unserviceable materials separately as per Drawings and Technical Specification Clause MoRT&amp;H 202 and as directed by the Engineer.</t>
  </si>
  <si>
    <t>Page 36 of MoRT&amp;H SDB</t>
  </si>
  <si>
    <t>Bituminous Concrete</t>
  </si>
  <si>
    <t>Farm tractor with ripper @ 60 cum per hour</t>
  </si>
  <si>
    <t xml:space="preserve">Cutting of trees, including cutting of trunks branches and removal of stumps,roots, stacking of serviceable material with al lifts and upto lead  of 1000m and earth filling in the dression/pit. </t>
  </si>
  <si>
    <t>Girth from 300mm to 600mm</t>
  </si>
  <si>
    <t>Unit : Each</t>
  </si>
  <si>
    <t>Page 19 of MoRT&amp;H SDB</t>
  </si>
  <si>
    <t>Tractor-Trolley</t>
  </si>
  <si>
    <t>Cost per Each</t>
  </si>
  <si>
    <t xml:space="preserve">Rate for each </t>
  </si>
  <si>
    <t>Girth from 600mm to 900mm</t>
  </si>
  <si>
    <t>Girth from 900mm to 1800mm</t>
  </si>
  <si>
    <r>
      <t>Earthwork excavation in soils upto SDR  by mechanical means  including trimming bottom and side slopes in accordance with requirements of lines, grades and cross sections etc.,  complete  including  for finished item of work for trench cutting as per MoRT&amp;H specification 301(5</t>
    </r>
    <r>
      <rPr>
        <vertAlign val="superscript"/>
        <sz val="11"/>
        <rFont val="Calibri"/>
        <family val="2"/>
        <scheme val="minor"/>
      </rPr>
      <t>th</t>
    </r>
    <r>
      <rPr>
        <sz val="11"/>
        <rFont val="Calibri"/>
        <family val="2"/>
        <scheme val="minor"/>
      </rPr>
      <t xml:space="preserve"> Revision)  and as directed by the Engineer-in-Charge.</t>
    </r>
  </si>
  <si>
    <t>Page 50 of MoRT&amp;H SDB</t>
  </si>
  <si>
    <t xml:space="preserve">Taking out put = 180 Cum </t>
  </si>
  <si>
    <t>Hydraulic Excavator</t>
  </si>
  <si>
    <t>Cost  per 180 cum</t>
  </si>
  <si>
    <t>say</t>
  </si>
  <si>
    <t>Excavation for roadwork in soil by mechanical means including cutting and pushing the earth to the site of Embankment  upto a lead of 100m,including trimming bottom and side slopes, in accordance with requirements of lines, grades and cross sections as per Technical sanction Clause 302.3MORD/301 MORTH including overhead charges&amp; Contractor's profit but excluding seignioarge charges for finished item of work .</t>
  </si>
  <si>
    <t>Municipal area allowance</t>
  </si>
  <si>
    <t>Dozer 80 HP for spreading @ 30 cum per hour</t>
  </si>
  <si>
    <t xml:space="preserve">Cost  per 100 cum </t>
  </si>
  <si>
    <r>
      <t xml:space="preserve">Forming embankment with excavated earth obtained from </t>
    </r>
    <r>
      <rPr>
        <b/>
        <sz val="11"/>
        <rFont val="Calibri"/>
        <family val="2"/>
        <scheme val="minor"/>
      </rPr>
      <t xml:space="preserve">roadway excavation for Embankment </t>
    </r>
    <r>
      <rPr>
        <sz val="11"/>
        <rFont val="Calibri"/>
        <family val="2"/>
        <scheme val="minor"/>
      </rPr>
      <t xml:space="preserve"> by mechanical means upto SDR including pre-watering of soil, removal of top soil, excavation of soils, depositing the soils on the embankment, spreading soil, breaking clods, sectioning, grading and consolidation with 8 to 10 Tonnes Vibratory Road Roller @ OMC to meet requirement of table 300-2 of MoRT&amp;H,  including  all hire and operational charges of T&amp;P  and  complete for finished item of work as per MoRT&amp;H specification 305 (5th revision).</t>
    </r>
  </si>
  <si>
    <t>Tractor with grader for grading @ 25 cum per hour</t>
  </si>
  <si>
    <t>Materils</t>
  </si>
  <si>
    <t>KL</t>
  </si>
  <si>
    <t>Cost of Water</t>
  </si>
  <si>
    <r>
      <t>Forming Embankment with material obtained from</t>
    </r>
    <r>
      <rPr>
        <b/>
        <sz val="11"/>
        <rFont val="Calibri"/>
        <family val="2"/>
        <scheme val="minor"/>
      </rPr>
      <t xml:space="preserve"> borrowed useful earth from outside road boundary </t>
    </r>
    <r>
      <rPr>
        <sz val="11"/>
        <rFont val="Calibri"/>
        <family val="2"/>
        <scheme val="minor"/>
      </rPr>
      <t>by mechanical means upto SDR with all leads and lifts including pre-watering of soil at borrow area, removal of top soil, excavation of soils at borrowed area, conveyance of soil, depositing the soil on the embankment, spreading soil, breaking clods, sectioning, grading and consolidation with 8 to 10 Tonnes Vibratory Road Roller @ OMC to meet requirement of table 300-2 of MoRT&amp;H, including  all hire and operational charges of T&amp;P, complete for finished item of work as per MoRT&amp;H specification 305 (5</t>
    </r>
    <r>
      <rPr>
        <vertAlign val="superscript"/>
        <sz val="11"/>
        <rFont val="Calibri"/>
        <family val="2"/>
        <scheme val="minor"/>
      </rPr>
      <t>th</t>
    </r>
    <r>
      <rPr>
        <sz val="11"/>
        <rFont val="Calibri"/>
        <family val="2"/>
        <scheme val="minor"/>
      </rPr>
      <t xml:space="preserve"> revision). (The soil CBR&gt;10%, PI&lt;18% &amp; MDD&gt;1.8 g/cc)</t>
    </r>
  </si>
  <si>
    <t>Page 68,69 of MoRT&amp;H SDB</t>
  </si>
  <si>
    <t>Compensation for earth from private land</t>
  </si>
  <si>
    <t>Cost  per 100 cum</t>
  </si>
  <si>
    <t>SUB-ANALYSIS</t>
  </si>
  <si>
    <t>Cost of Haulage Excluding Loading and Unloading</t>
  </si>
  <si>
    <t>Haulage of materials by tipper excluding cost of loading, unloading and stacking.</t>
  </si>
  <si>
    <t>unit = Cum</t>
  </si>
  <si>
    <t>Page 12 of MoRT&amp;H SDB</t>
  </si>
  <si>
    <t>Taking out put 10 tonnes laod and leas 10Km= 100 t.km</t>
  </si>
  <si>
    <t>CASE-I : Surface Road</t>
  </si>
  <si>
    <t>Speed with Laod     = 25 Km/Hour</t>
  </si>
  <si>
    <t>Speed while returing empty     =  35 Km/Hour</t>
  </si>
  <si>
    <t>A).Machinary</t>
  </si>
  <si>
    <t>i).Tipper 10 Tonnes capacity</t>
  </si>
  <si>
    <t>hours</t>
  </si>
  <si>
    <t>Time taken for onword haulage with load</t>
  </si>
  <si>
    <t>Time taken for empty return trip</t>
  </si>
  <si>
    <t>Cost  per  100t.km</t>
  </si>
  <si>
    <t>Rate per 1 tkm</t>
  </si>
  <si>
    <t>Hire charges Machinary S.No.06, Pg: 77 Tipper</t>
  </si>
  <si>
    <t>Compacting  original ground supporting subgrade. Loosening of the ground upto a level of 500 mm below the sub grade level, waterred, graded and compacted in layers to meet requirement of Table 300-2 for sub grade construction</t>
  </si>
  <si>
    <t>Page 72 of MoRT&amp;H SDB</t>
  </si>
  <si>
    <t>Taking output = 600 cum</t>
  </si>
  <si>
    <t>Tractor with ripper attachment @ 60 Cum per hr</t>
  </si>
  <si>
    <t>Cost  per 600 cum</t>
  </si>
  <si>
    <t>Construction of earthen shoulders with selective soils obtained from borrow pits with MDD of 18 KN/Cum , CBR ≥ 12%, PI &lt; 12% from approved sources, grading and consoilidation with 8 to 10 Tonnes Vibratory Road Roller @ OMC to meet requirement of MoRT&amp;H, including all hire and operational charges of T&amp;P complete for finished item of work as per MoRT&amp;H specification 305 (5th  revision)</t>
  </si>
  <si>
    <r>
      <t>Scarifying the granular surface  to a depth of 50 mm by Mechanical means and re-using the scarified material with all leads and lifts  as per MoRT&amp;H (5</t>
    </r>
    <r>
      <rPr>
        <vertAlign val="superscript"/>
        <sz val="11"/>
        <rFont val="Calibri"/>
        <family val="2"/>
        <scheme val="minor"/>
      </rPr>
      <t>th</t>
    </r>
    <r>
      <rPr>
        <sz val="11"/>
        <rFont val="Calibri"/>
        <family val="2"/>
        <scheme val="minor"/>
      </rPr>
      <t xml:space="preserve"> Revision) Specn. No.305.4.3    </t>
    </r>
  </si>
  <si>
    <t>Page 67,68 of MoRT&amp;H SDB</t>
  </si>
  <si>
    <t>Mazdoor including loading and unloading</t>
  </si>
  <si>
    <t>Cost per 100 sqm</t>
  </si>
  <si>
    <t>Rate per 1 sqm</t>
  </si>
  <si>
    <r>
      <t>Scarifying the existing bitumen surface  to a depth of 50 mm by Mechanical means and disposal of scarified material with all leads and lifts upto 1000 Mtrs as per MoRT&amp;H (5</t>
    </r>
    <r>
      <rPr>
        <vertAlign val="superscript"/>
        <sz val="11"/>
        <rFont val="Calibri"/>
        <family val="2"/>
        <scheme val="minor"/>
      </rPr>
      <t>th</t>
    </r>
    <r>
      <rPr>
        <sz val="11"/>
        <rFont val="Calibri"/>
        <family val="2"/>
        <scheme val="minor"/>
      </rPr>
      <t xml:space="preserve"> Revision) Specn. No.305.4.3    </t>
    </r>
  </si>
  <si>
    <t>Front end loader 1 Cum bucket capacity @ 25 Cum per hour</t>
  </si>
  <si>
    <t>Tipper 5.5 Cum capacity, 4 trips per hour</t>
  </si>
  <si>
    <t>Granular Sub-Base with Material confirming to Grading - VI (Table:- 400-1)</t>
  </si>
  <si>
    <t>By Mix in Place Method</t>
  </si>
  <si>
    <r>
      <t xml:space="preserve">Construction of Granular sub-base by providing   HBG material </t>
    </r>
    <r>
      <rPr>
        <b/>
        <sz val="11"/>
        <rFont val="Calibri"/>
        <family val="2"/>
        <scheme val="minor"/>
      </rPr>
      <t>confirming to Grading - VI</t>
    </r>
    <r>
      <rPr>
        <sz val="11"/>
        <rFont val="Calibri"/>
        <family val="2"/>
        <scheme val="minor"/>
      </rPr>
      <t xml:space="preserve"> of MoRT&amp;H (Table 400-1 &amp; 400-2) including cost, and conveyance of all materials to work site and spreading in uniform layers with motor grader or by approved means,  on prepared surface mixing by mix-in-place method with rotavator / approved means at OMC and compacting with vibratory roller to achieve CBR value minimum of 30% at 98% of dry density and PI value maximum 6, complete for finished item of work as per MoRT&amp;H Specification   401  (5th revision) including contractors profit &amp; Over head charges excluding Seignarage charges etc</t>
    </r>
  </si>
  <si>
    <t>Page 94 of MoRT&amp;H SDB</t>
  </si>
  <si>
    <t>Taking output = 300 cum</t>
  </si>
  <si>
    <t>Tractor with Rotavator</t>
  </si>
  <si>
    <r>
      <t xml:space="preserve">Granular sub-base Material as per table 400-1 </t>
    </r>
    <r>
      <rPr>
        <b/>
        <sz val="11"/>
        <rFont val="Calibri"/>
        <family val="2"/>
        <scheme val="minor"/>
      </rPr>
      <t>(Grading-VI) as per MoRTH</t>
    </r>
  </si>
  <si>
    <t>53 mm-9.50 mm IRC &amp; Moths HBG Chips @ 35% Avg. rate of (40-45),(25-27),(19-22),(12-14)&amp;(9.5-11)</t>
  </si>
  <si>
    <t>9.5mm to 4.75 mm @ 47.5% 
(Av. rate of 9.5-12mm , 5-7mm &amp; 2.36 - 5mm HBG M/C metal)</t>
  </si>
  <si>
    <t>2.36mm and below @ 17.5%
(Rate of 2.36mm &amp; below HBG metal)</t>
  </si>
  <si>
    <t>Cost  per 300 cum</t>
  </si>
  <si>
    <t>Water Bound Macadam - Grading-II</t>
  </si>
  <si>
    <t>Providing, laying, spreading and compacting stone aggregates of specific sizes  for Grading 2 material to water bound macadam specification including spreading in uniform thickness, hand packing, rolling with Vibratory  roller 80-100 kN in stages to proper grade and camber, applying and brooming, stone screening/binding materials to fill-up the interstices of coarse aggregate, watering and compacting to the required density grading 2, as directed by the Engineer-in-Charge and as per Technical Specification Clause 404 MoRT&amp;H ( 5th revision ) . For compacted thickness of 75 mm.  including all  over heads , and Contractors profit etc,But excluding VAT &amp; Seignarage charges., Complete, for WBM Grading II ( Hand Broken) HBG metal</t>
  </si>
  <si>
    <t>By Mechanical Means:</t>
  </si>
  <si>
    <t>Page 106 of MoRT&amp;H SDB</t>
  </si>
  <si>
    <t>Taking output = 360 cum</t>
  </si>
  <si>
    <t>Vibratory roller 8-10 tonnes @ 60cum/hr.</t>
  </si>
  <si>
    <t>Grading-II</t>
  </si>
  <si>
    <t>Aggregate</t>
  </si>
  <si>
    <t>Material (Total Qty 435.60 Cum) Grading-II 63 mm to 45 mm /Grading-III 53 mm to 22.4 mm@ 0.91 cum per 10 sqm for compacted thickness of 75 mm</t>
  </si>
  <si>
    <t>60-63 mm IRC HBG Metal (50% of 435.60 cum)</t>
  </si>
  <si>
    <t>50-55 mm IRC HBG Metal (35% of 435.60 cum)</t>
  </si>
  <si>
    <t>40-45 mm IRC HBG  Metal (11% of 435.60 cum)</t>
  </si>
  <si>
    <t>19-22 mm IRC HBG Metal metal (4% of 435.60 cum)</t>
  </si>
  <si>
    <t xml:space="preserve"> Stone Screening</t>
  </si>
  <si>
    <t xml:space="preserve">Type B 11.2 mm for grading-II @ 0.20 cum per 10 sqm </t>
  </si>
  <si>
    <t>Binding material</t>
  </si>
  <si>
    <t>Binding Material @ 0.06cum per 10 sqm for grading II material</t>
  </si>
  <si>
    <t>Cost  per 360 cum</t>
  </si>
  <si>
    <t>Water Bound Macadam - Grading-III</t>
  </si>
  <si>
    <t>Providing, laying, spreading and compacting stone aggregates of specific sizes  for Grading 3 material to  to water bound macadam specification including spreading in uniform thickness, hand packing, rolling with Vibratory  roller 80-100 kN in stages to proper grade and camber, applying and brooming, stone screening to fill-up the interstices of coarse aggregate, watering and compacting to the required density Grading 3,  as directed by the Engineer-in-Charge and as per Technical Specification Clause 404 MoRT&amp;H ( 5th revision ) .. For compacted thickness of 75 mm.  including all  over heads , and Contractors profit  etc excluding Seignarage charges complete  for WBM Grading III ( Machine Crushed) HBG metal</t>
  </si>
  <si>
    <t>Grading-III</t>
  </si>
  <si>
    <t>Material (Total Qty 435.60 Cum) Grading-III 53 mm to 22.4 mm@ 0.91 cum per 10 sqm for compacted thickness of 75 mm</t>
  </si>
  <si>
    <t>40-45 mm IRC HBG  Metal M/C ( 82% of 435.60 Cum)</t>
  </si>
  <si>
    <t>19-22.40 mm IRC HBG M/C Metal ( 18% of 435.60 cum)</t>
  </si>
  <si>
    <t xml:space="preserve">Type B11.2 mm for grading-III @ 0.18 cum per 10 sqm </t>
  </si>
  <si>
    <t>Cost of water</t>
  </si>
  <si>
    <r>
      <t xml:space="preserve">Providing, laying, spreading and compacting graded stone aggregate to </t>
    </r>
    <r>
      <rPr>
        <b/>
        <sz val="11"/>
        <rFont val="Calibri"/>
        <family val="2"/>
        <scheme val="minor"/>
      </rPr>
      <t xml:space="preserve">Wet mix macadam </t>
    </r>
    <r>
      <rPr>
        <sz val="11"/>
        <rFont val="Calibri"/>
        <family val="2"/>
        <scheme val="minor"/>
      </rPr>
      <t>specification including premixing the  material with water at OMC in mechanical mixer (Pug Mill), carriage of mixed material by tipper to site, laying  in uniform layers in sub-base/base course on a well prepared sub-base and compacting with Vibratory  roller of 80 to 100kN  to achieve the desired density including lighting, barricading and maintenance of diversion, etc as directed by the Engineer-in-Charge and as per Technical Specification Clause 406 MoRT&amp;H ( 5th revision ), including overhead charges &amp; Contractor profit excluding Seignarage charges etc complete.</t>
    </r>
  </si>
  <si>
    <t>Page 110,111 of MoRT&amp;H SDB</t>
  </si>
  <si>
    <t>Taking output = 225 cum</t>
  </si>
  <si>
    <t>Wet mix plant of 60 tonne hr. capacity</t>
  </si>
  <si>
    <t>Electric generating set 125 KVA</t>
  </si>
  <si>
    <t>front end loader 1 cum capacity</t>
  </si>
  <si>
    <t>Mechanical Paver finisher</t>
  </si>
  <si>
    <t>Vibratory roller 8-10 T</t>
  </si>
  <si>
    <t>Water tanker</t>
  </si>
  <si>
    <t>45 to 22.40mm IRC&amp;MoRT&amp;H HBG M/C metal@ 30%</t>
  </si>
  <si>
    <t>(Av. of 40-45, 25-27, 19-22mm )</t>
  </si>
  <si>
    <t>22.4 to 2.36mm IRC&amp;MoRT&amp;H HBG M/C metal@40%</t>
  </si>
  <si>
    <t>(Av. Of 19-22mm, 12-14mm, 9.5-11.2mm, 5-7mm, 
2.36  - 5mm )</t>
  </si>
  <si>
    <t>2.36mm to 75 micron @ 30% (2.36mm &amp; below)</t>
  </si>
  <si>
    <t>Cost per 225 cum</t>
  </si>
  <si>
    <t>Rate to be adopted per 1 cum</t>
  </si>
  <si>
    <t xml:space="preserve"> Cum</t>
  </si>
  <si>
    <r>
      <t xml:space="preserve">Providing and applying tack coat with Bitumen emulsion (RS-1)  using emulsion  distributor at the rate of 0.275 kg per sqm on the </t>
    </r>
    <r>
      <rPr>
        <b/>
        <sz val="11"/>
        <rFont val="Calibri"/>
        <family val="2"/>
        <scheme val="minor"/>
      </rPr>
      <t xml:space="preserve">prepared granular surfaces treated with primer </t>
    </r>
    <r>
      <rPr>
        <sz val="11"/>
        <rFont val="Calibri"/>
        <family val="2"/>
        <scheme val="minor"/>
      </rPr>
      <t>&amp; cleaned with Hydraulic broom,as directed by the Engineer-in-Charge and as per Technical Specification Clause 503 MoRT&amp;H (5th Revision), including overhead charges &amp; Contractors profit excluding Seignarage charges etc complete.</t>
    </r>
  </si>
  <si>
    <t>unit = sqm</t>
  </si>
  <si>
    <t>Page 124 of MoRT&amp;H SDB</t>
  </si>
  <si>
    <t>Taking output = 3500 sqm</t>
  </si>
  <si>
    <t>Mechanical broom Hydraulic @ 1250 sqm/hr.</t>
  </si>
  <si>
    <t>Emulsion pressure distributor @1750 sqm/hr</t>
  </si>
  <si>
    <t xml:space="preserve">Bitumen emulsion (RS-1)  @ 0.275 kg per sqm </t>
  </si>
  <si>
    <t>Cost per 3500 sqm</t>
  </si>
  <si>
    <r>
      <t xml:space="preserve">Providing and applying tack coat with Bitumen emulsion (RS-1)  using emulsion  distributor at the rate of 0.20 kg per sqm on the prepared </t>
    </r>
    <r>
      <rPr>
        <b/>
        <sz val="11"/>
        <rFont val="Calibri"/>
        <family val="2"/>
        <scheme val="minor"/>
      </rPr>
      <t>Bitumenus surfaces</t>
    </r>
    <r>
      <rPr>
        <sz val="11"/>
        <rFont val="Calibri"/>
        <family val="2"/>
        <scheme val="minor"/>
      </rPr>
      <t xml:space="preserve"> &amp; cleaned with Hydraulic broom,as directed by the Engineer-in-Charge and as per Technical Specification Clause 503 MoRT&amp;H (5th Revision), including overhead charges &amp; Contractors profit excluding Seignarage charges etc complete.</t>
    </r>
  </si>
  <si>
    <t xml:space="preserve">Bitumen emulsion (RS-1)  @ 0.2 kg per sqm </t>
  </si>
  <si>
    <t>Providing and applying primer coat with bitumen emulsion (SS-1) on prepared surface of granular base including cleaning of road surface and spraying primer at the rate of 0.60 kg/sqm using mechanical means, as directed by the Engineer-in-Charge and as per Technical Specification Clause 502 MoRT&amp;H (5th Revision)  (for use on Wet mix macadam &amp; WBM) ,including overhead charges &amp; Contractors profit excluding Seignarage charges etc complete.</t>
  </si>
  <si>
    <t>Page 123 of MoRT&amp;H SDB</t>
  </si>
  <si>
    <t>Water tanker 6KL capacity @ one trip</t>
  </si>
  <si>
    <t>Bitumen  pressure distributor @1750 sqm/hr</t>
  </si>
  <si>
    <t>Bitumen emulsion (SS-1)  @ 0.600 kg per sqm</t>
  </si>
  <si>
    <t>Open - Graded Premix Surfacing</t>
  </si>
  <si>
    <t>Providing, laying and rolling of open-graded premix carpet of 20 mm thickness composed of 13.2 mm to 5.6 mm aggregates either using penetration grade bitumen 60/70 grade at the rate of 14.6 kg/10 sqm to required line, grade and level to serve as wearing course on a previously prepared base, including mixing in a Hot Mix plant of 60TPH, laying and rolling with a three wheel 80-100 kN static roller capacity, finished to required level and grades to be followed by seal coat of Type B including cost and conveyance of all materials from approved sources, , labour charges and hire and operational charges of power road roller and all other machinery, tools and plants, providing barricading for diversion of traffic, erecting red flags other incidental and operational charges etc., complete for finished item of work, as directed by the Engineer-in-Charge and as per clause 511 MoRT&amp;H (5th Revision), including overhead charges &amp; Contractors profit excluding Seignarage charges etc complete.</t>
  </si>
  <si>
    <t>Page 143 of MoRT&amp;H SDB</t>
  </si>
  <si>
    <t>Taking out put = 10250 Sqm (205 cum)</t>
  </si>
  <si>
    <t>Case - I: Mechanical method using Penetration grade Bitumen and HMP of appropriate capacity not less than 75 tonnes/hour .</t>
  </si>
  <si>
    <t>Mazdoor working with HMP, road sweeper, paver and roller</t>
  </si>
  <si>
    <t>Skilled mazdoor for checking line &amp; levels</t>
  </si>
  <si>
    <t xml:space="preserve">ii) Electric Generator Set 250 KVA </t>
  </si>
  <si>
    <t xml:space="preserve">iii) Front end loader 1 cum bucket capacity </t>
  </si>
  <si>
    <t>450xL</t>
  </si>
  <si>
    <t>t.Km</t>
  </si>
  <si>
    <t>iv) Tipper 10 tonne capacity</t>
  </si>
  <si>
    <t>Add 10  per cent  of cost of carriage to cover cost of loading and unloading</t>
  </si>
  <si>
    <t xml:space="preserve">v) Mechanical Paver finisher </t>
  </si>
  <si>
    <t>iv) Smooth wheeled/tandom roller 8-10 tonnes weight</t>
  </si>
  <si>
    <t>Bitumen-VG30(60/70)@ 14.60 kg per 10 sqm</t>
  </si>
  <si>
    <t>Crushed stone chipping , 13.2 mm to 5.60 mm @ 0.27cum per 10 sqm</t>
  </si>
  <si>
    <t>Cost per 10250 Sqm</t>
  </si>
  <si>
    <t>Rate per 1 Sqm</t>
  </si>
  <si>
    <t>xx</t>
  </si>
  <si>
    <t xml:space="preserve">Seal Coat -  :  Type A </t>
  </si>
  <si>
    <t>Providing and laying bituminous liquid seal coat (Type A) comprising of a layer of bituminous binder followed by a cover of stone chipping of grading as defined in table 500.16 of MOST at of Crushed stone chipping of 6.7 mm size 100% passing through 11.2mm sieve and retained on 2.36 mm sieve applied @ 0.09 cum per 10 sqm chips to be laid uniformly with the help of a mechanical chip spreader simultaneously along with the bituminous course using 9.80 kgs of bitumen 60/70 (VG30) grade for 10 sqm and rolling with power roller including of required line, level, grade to serve as wearing course on previously prepared surface and finishing to required level and grades including cost and conveyance of all materials from approved sources and stacking at site to departmental gauge for  premeasurements, labour charges and hire and operational charges of power road roller 8 to 10 tonnes capacity and all other machinery, tools and plants, providing barricading for diversion of traffic, erecting red flags other incidental and operational charges etc., complete for finished item of work, as directed by the Engineer-in-Charge and as per technical specification clause 513 of MoRT&amp;H (5th Revision), including contractors profit &amp; Over head charges excluding Seignarage charges etc complete using Mechanical means.</t>
  </si>
  <si>
    <t>Page 147 of MoRT&amp;H SDB</t>
  </si>
  <si>
    <t>Taking output = 10250 sqm (92.25 cum)</t>
  </si>
  <si>
    <t xml:space="preserve">Mate </t>
  </si>
  <si>
    <t>Mazdoor (un-skilled)</t>
  </si>
  <si>
    <t>Hydraulic self propelled chips spreader</t>
  </si>
  <si>
    <t>Tipper 5.5 cum capacity</t>
  </si>
  <si>
    <t>Front end loader 1 cum bucket capacity</t>
  </si>
  <si>
    <t>Bitumen pressure distributor @ 1750 Sqm per hour</t>
  </si>
  <si>
    <t xml:space="preserve">Smooth wheeled roller 80-100 kN </t>
  </si>
  <si>
    <t>Materials</t>
  </si>
  <si>
    <t>Bitumen@ 9.80 kg per 10 sqm</t>
  </si>
  <si>
    <t>Crushed stone chipping of 6.7 mm size 100% passing 11.20mm seive and retained on 2.36 mm sieve applied @ 0.09 cum per 10 sqm.</t>
  </si>
  <si>
    <t>Seal Coat -  :  Type B</t>
  </si>
  <si>
    <t>Providing and laying bituminous premixed Seal coat (Type B) with HMP of appropriate capacity not less than 60TPH comprising of a thin application of fine aggregate premixed by mechanical means with bituminous binder of grading as defined in table 500.16 of MOST Crushed sand defined as passing through 2.36 mm sieve and retained on 180 micron seive applied @ 0.06 cum per 10 sqm.to be laid simultaneously along with the bitumunous course using 6.80 kgs of bitumen 60/70 grade for 10 sqm and rolling with power roller including of required line, level, grade to serve as wearing course on previously prepared surface and finishing to rquired level and grades including cost and conveyance of all materials from approved sources and stacking at site to departmental gauge for  premeasurements, seigniorage, labour charges and hire and operational charges of power road roller 8 to 10 tonnes capacity and all other machinery, tools and plants, providing barricading for diversion of traffic, erecting red flags other incidental and operational charges etc., complete for finished item of work as directed by the Engineer-in-Charge and as per technical specification clause 513 of MoRT&amp;H (5th Revision) Using Hot mix plant including contractors profit &amp; Over head charges excluding Seignarage charges etc complete using Mechanical means</t>
  </si>
  <si>
    <t>Taking output = 7858 sqm (47.16 cum)</t>
  </si>
  <si>
    <t xml:space="preserve">Electric Generator Set 250 KVA </t>
  </si>
  <si>
    <t xml:space="preserve">Front end loader 1 cum bucket capacity </t>
  </si>
  <si>
    <t>104 x 'L'</t>
  </si>
  <si>
    <t>Tipper 10 tonne capacity</t>
  </si>
  <si>
    <t xml:space="preserve">Mechanical Paver finisher </t>
  </si>
  <si>
    <t>Smooth wheeled 8-10 tonnes capacity</t>
  </si>
  <si>
    <t>Bitumen-VG30(60/70)@ 6.80 kg per 10 sqm</t>
  </si>
  <si>
    <t>Crushed stone chipping of 6.7 mm size 100% passing 11.20mm seive and retained on 2.36 mm sieve applied @ 0.06 cum per 10 sqm.</t>
  </si>
  <si>
    <t>Cost per 7858 Sqm</t>
  </si>
  <si>
    <r>
      <t xml:space="preserve">Construction of  dowel jointed un-reinforced, expansion and construction joint plain cement concrete pavement, thickness as per design, over a prepared sub base, with 43 grade cement or any other type as per Clause 1501.2.2 M30 (Grade), coarse and fine aggregates </t>
    </r>
    <r>
      <rPr>
        <b/>
        <sz val="11"/>
        <rFont val="Calibri"/>
        <family val="2"/>
        <scheme val="minor"/>
      </rPr>
      <t>(Natural sand 50%+Manufactured sand(Rock Sand)50% )</t>
    </r>
    <r>
      <rPr>
        <sz val="11"/>
        <rFont val="Calibri"/>
        <family val="2"/>
        <scheme val="minor"/>
      </rPr>
      <t xml:space="preserve"> conforming to IS : 383, mixed in a concrete mixer of not less than 0.2 cum capacity and appropriate weigh batcher using approved mix design, laid in approved fixed side formwork (steel channel, laying and fixing of 125 micron thick polythene film, wedges, steel plates including levelling the formwork as per drawing), spreading the concrete with sholvels, rakes, compacted using needle, screed and plate vibrators and finished in continuous operation including provision of contraction and expansion and  construction joints, applying primer, sealant, admixtures as approved, curing of concrete slabs for 14- days, curing compound (where specified) and water finishing to lines and grade as per drawing  and Technical Specification Clause 1501 MORD including overhead charges &amp; Contractors profit excluding Seignarage charges etc complete.</t>
    </r>
  </si>
  <si>
    <t>Taking output = 75cum (172.50 t)</t>
  </si>
  <si>
    <t>(100x3.75 x 0.200)</t>
  </si>
  <si>
    <t>Mason (1st class)</t>
  </si>
  <si>
    <t>Mason (2nd class)</t>
  </si>
  <si>
    <t xml:space="preserve">Mazdoor (unskilled) </t>
  </si>
  <si>
    <t>Mazdoor(skilled)</t>
  </si>
  <si>
    <t>Surveyor</t>
  </si>
  <si>
    <t>Mazdoor (semi-skilled)</t>
  </si>
  <si>
    <t>Black smith for cutting of dowel bars including removal of burrs, fabrications &amp; fixing of dowel bars</t>
  </si>
  <si>
    <t>Add 10% MAA / AA</t>
  </si>
  <si>
    <t xml:space="preserve">Hour </t>
  </si>
  <si>
    <t>Concrete mixer 0.28/0.40 cum capacity ( 6 mixers) with weight batcher and suitable capacity calibrated water tank</t>
  </si>
  <si>
    <t>Needle vibrator</t>
  </si>
  <si>
    <t>Screed vibrator</t>
  </si>
  <si>
    <t>Plate vibrator</t>
  </si>
  <si>
    <t>Water tanker 6 Kl. Capacity</t>
  </si>
  <si>
    <t>Air compressor ( 1hour initial + 1 hour final)</t>
  </si>
  <si>
    <t>Crushed stone coarse aggregates, grading will be as per clause 1501.2.4.1 (Table 1500.1) of specifications @ 0.90 Cum/cum of concrete</t>
  </si>
  <si>
    <t>10mm</t>
  </si>
  <si>
    <t>50% Natural Sand as per IS:383 and conforming to clause 1500.2.4.2.</t>
  </si>
  <si>
    <t>50% Manufactured sand(Rock Sand)</t>
  </si>
  <si>
    <t>Cement @ 350 Kg/cum of concrete</t>
  </si>
  <si>
    <t>Polythene sheet 125 micron</t>
  </si>
  <si>
    <t>Mild steel dowel bar 25mm dia of grade S 240.500 mm long 20 Nos. at culvert/bridge slab and at construction joiont including 5 percent wastage</t>
  </si>
  <si>
    <t>(4x20x0.500) + 5 per cent wastage = 42m @3.854 Kg per m = 161.91 kg.</t>
  </si>
  <si>
    <t>Bitumen primer @ 200ml. Per joint for 23 joints</t>
  </si>
  <si>
    <t>Litre</t>
  </si>
  <si>
    <t>Bitumenous sealant 800 ml. Per joint for 23 joints</t>
  </si>
  <si>
    <t>m</t>
  </si>
  <si>
    <t>Jute rope 12mm dia including 5 per cent wastage</t>
  </si>
  <si>
    <t>Debonding strips 3.75m. (length) x 10mm (width) x 5 mm (thick) cut-out of rubber fillter board of similar material including 5 per cent wastage</t>
  </si>
  <si>
    <t>Polythene sheathing, covering 2/3rd dowel bars (20x23) and tight fit including 5 per cent wastage</t>
  </si>
  <si>
    <t>Plasticizer 0.4 per cent by weight of cement</t>
  </si>
  <si>
    <t>kl</t>
  </si>
  <si>
    <t>Water for curing</t>
  </si>
  <si>
    <t>Joint filler board 20mm thick as per IS:1838</t>
  </si>
  <si>
    <t>(4x3.75x0.200 = 3 sqm)</t>
  </si>
  <si>
    <t>Form work @ 3% on (a+b+c)</t>
  </si>
  <si>
    <t>Cost per 75 Cum</t>
  </si>
  <si>
    <t>Rate per 1 Cum</t>
  </si>
  <si>
    <t>Providing and laying surface dressing as wearing course using in single coat using 19 mm nominal size IRC HBG/HBT machine crushed stone aggregates @ 0.015 cum / sqm on a layer of bitumen binder of  Bitumen grade 60/70 @ 1.20 Kg/sqm including cost, (excluding  seigniorage) and conveyance of all materials to work site and laid on prepared surface and rolling with 8-10 T  Power Road Roller etc., complete for finished item of work as per MoRT&amp;H Specification 510 (5th Revision) and as directed by the Engineer-in-charge.</t>
  </si>
  <si>
    <t>Page 141 of MoRT&amp;H SDB</t>
  </si>
  <si>
    <t>Taking output =9000 Sqm</t>
  </si>
  <si>
    <t>Mazdoor working with HMP, Mechanical broom, paver,roller,asphalt cutter and assistance for setting outlines,levels and layout of construction.</t>
  </si>
  <si>
    <t>Skilled Mazdoor for checking line and levels.</t>
  </si>
  <si>
    <t>Machinary</t>
  </si>
  <si>
    <t>Mechanical broom @ 1250 sqm/hr.</t>
  </si>
  <si>
    <t>chip spreader @ 1500 sqm/hr.</t>
  </si>
  <si>
    <t>Tipper 10Tonne capacity for carriage of stone chips from stock pile on road side to chip spreader</t>
  </si>
  <si>
    <t>Front end loader 1 cum capacity</t>
  </si>
  <si>
    <t>Bitumen pressure distributor @1750 sqm/hr.</t>
  </si>
  <si>
    <t>Pneumatic Tyred Roller for intermediate rolling</t>
  </si>
  <si>
    <t>Bitumen-VG30(60/70) @1.2 Kg/sqm</t>
  </si>
  <si>
    <t xml:space="preserve">Crushed stone chippings 10 mm </t>
  </si>
  <si>
    <t>crushed stone chipping, nominal size of 19mm @0.015 cum/sqm</t>
  </si>
  <si>
    <t>Cost per 9000 sqm</t>
  </si>
  <si>
    <r>
      <t xml:space="preserve">Providing  and laying 50 mm thick of </t>
    </r>
    <r>
      <rPr>
        <b/>
        <sz val="11"/>
        <rFont val="Calibri"/>
        <family val="2"/>
        <scheme val="minor"/>
      </rPr>
      <t>Dense Graded Bituminous Macadam</t>
    </r>
    <r>
      <rPr>
        <sz val="11"/>
        <rFont val="Calibri"/>
        <family val="2"/>
        <scheme val="minor"/>
      </rPr>
      <t xml:space="preserve"> with  100-120 TPH batch type  hot mix plant  using HBG crushed aggregates of Grading - II as per table 500-10 of MoRT&amp;H Specification 505 (5th revision) premixed with bitumen VG-30 grade (60/70)@ 4 to 4.50% of weight of total mixture, transported to site, laid over a previously prepared surface with </t>
    </r>
    <r>
      <rPr>
        <b/>
        <sz val="11"/>
        <rFont val="Calibri"/>
        <family val="2"/>
        <scheme val="minor"/>
      </rPr>
      <t xml:space="preserve">Mechanical Paver finisher </t>
    </r>
    <r>
      <rPr>
        <sz val="11"/>
        <rFont val="Calibri"/>
        <family val="2"/>
        <scheme val="minor"/>
      </rPr>
      <t xml:space="preserve">to the required grade, level and alignment and rolled as per Clauses 501.6 and 501.7 to achieve the desired compaction for finished item of work as directed by the Engineer-in-Charge including hire and operational charges all T&amp;P and all other contingent charges necessary including  charges of all materials etc., complete and  as per MoRTH specification No. 505(5th Revision) </t>
    </r>
  </si>
  <si>
    <t>Page 132, 133 of MoRT&amp;H SDB</t>
  </si>
  <si>
    <t>Taking out put = 195 cum (450 tonne)</t>
  </si>
  <si>
    <t>Mazdoor working with HMP, mechanical broom, paver, roller, asphalt cutter and assistance for setting out lines, levels and layout of construction.</t>
  </si>
  <si>
    <t>Generator 250 KVA</t>
  </si>
  <si>
    <t>Vibratory roller 8 tonnes for intermediate rolling</t>
  </si>
  <si>
    <t>Finish rolling with 6-8 tonnes smooth wheeled tandem roller.</t>
  </si>
  <si>
    <t>Bitumen-VG30(60/70)@ 4.25% of weight of mix</t>
  </si>
  <si>
    <t xml:space="preserve"> Grading - II    (19 mm nominal size)</t>
  </si>
  <si>
    <t>25-10 mm IRC &amp; MORT&amp;H HBG Chips @ 30 %</t>
  </si>
  <si>
    <t>Avarage of 25-27mm,19 to 22mm,12 to 14mm,9.5 to 11.2mmIRC HBGM/C metal )</t>
  </si>
  <si>
    <t>10-5 mm IRC &amp; MORT&amp;H HBG Chips  @ 28 %</t>
  </si>
  <si>
    <t>Avarage of 10mm to 5 mm 28 per cent ,IRC HBGM/C metal )</t>
  </si>
  <si>
    <t>5 mm &amp; below IRC &amp; MORT&amp;H HBG Chips@ 40 %</t>
  </si>
  <si>
    <t>Avarage of 2.36 to 5mm&amp; 2.36mm and belowIRC HBGM/C metal )</t>
  </si>
  <si>
    <t>Cost per 195 cum</t>
  </si>
  <si>
    <r>
      <t xml:space="preserve">Providing  and laying 50 mm thick of </t>
    </r>
    <r>
      <rPr>
        <b/>
        <sz val="11"/>
        <rFont val="Calibri"/>
        <family val="2"/>
        <scheme val="minor"/>
      </rPr>
      <t>Bituminous Macadam</t>
    </r>
    <r>
      <rPr>
        <sz val="11"/>
        <rFont val="Calibri"/>
        <family val="2"/>
        <scheme val="minor"/>
      </rPr>
      <t xml:space="preserve"> with  100-120 TPH batch type  hot mix plant  using HBG crushed aggregates of Grading - II as per table 500-1 of MoRT&amp;H Specification 505 (5th revision) premixed with bitumen VG-30 grade (60/70)@ 3.3% of weight of total mixture, transported to site, laid over a previously prepared surface with </t>
    </r>
    <r>
      <rPr>
        <b/>
        <sz val="11"/>
        <rFont val="Calibri"/>
        <family val="2"/>
        <scheme val="minor"/>
      </rPr>
      <t xml:space="preserve">Mechanical Paver finisher </t>
    </r>
    <r>
      <rPr>
        <sz val="11"/>
        <rFont val="Calibri"/>
        <family val="2"/>
        <scheme val="minor"/>
      </rPr>
      <t xml:space="preserve">to the required grade, level and alignment and rolled as per Clauses 501.6 and 501.7 to achieve the desired compaction for finished item of work as directed by the Engineer-in-Charge including hire and operational charges all T&amp;P and all other contingent charges necessary including  charges of all materials etc., complete and  as per MoRTH specification No. 505(5th Revision) </t>
    </r>
  </si>
  <si>
    <t>Page 125, 126 of MoRT&amp;H SDB</t>
  </si>
  <si>
    <t>Taking out put = 205 cum (450 tonne)</t>
  </si>
  <si>
    <t>Mazdoor working with HMP, paver, roller, asphalt cutter and assistance for setting out lines, levels and layout of construction.</t>
  </si>
  <si>
    <t>Mazdoor skilled for checking line and levels</t>
  </si>
  <si>
    <t>Mechanical broom hydraulic @ 1250 sqm per hour</t>
  </si>
  <si>
    <t>Bitumen-VG30(60/70)@ 3.3% of weight of mix</t>
  </si>
  <si>
    <t>Total weight of mix = 205x2.2 = 450 tonnes</t>
  </si>
  <si>
    <t>weight of bitumen - 14.85 tonnes</t>
  </si>
  <si>
    <t>Weight of aggregate = 450-14.85 = 435.15 tonnes</t>
  </si>
  <si>
    <t>Volume of aggregate = 290.1 cum</t>
  </si>
  <si>
    <t>25-10 mm IRC &amp; MORT&amp;H HBG Chips @ 40 %</t>
  </si>
  <si>
    <t>10-5 mm IRC &amp; MORT&amp;H HBG Chips  @ 40 %</t>
  </si>
  <si>
    <t>5 mm &amp; below IRC &amp; MORT&amp;H HBG Chips@ 20 %</t>
  </si>
  <si>
    <t>Cost per 205 cum</t>
  </si>
  <si>
    <r>
      <t xml:space="preserve">Providing and laying </t>
    </r>
    <r>
      <rPr>
        <b/>
        <sz val="11"/>
        <rFont val="Calibri"/>
        <family val="2"/>
        <scheme val="minor"/>
      </rPr>
      <t>bituminous concrete</t>
    </r>
    <r>
      <rPr>
        <sz val="11"/>
        <rFont val="Calibri"/>
        <family val="2"/>
        <scheme val="minor"/>
      </rPr>
      <t xml:space="preserve"> with 100-120 TPH batch type hot mix plant producing an average output of 75 tonnes per hour using crushed aggregates of grading-II premixed with bituminous binder 60/70 @ 5.4 to 5.6 percent of mix and filler with stone dust, transporting the hot mix to work site, laying with a Mechanical paver finisher to the required grade, level and alignment, rolling with smooth wheeled, vibratory and tandem rollers to achieve the desired compaction as per MORTH specification clause No. 507 complete in all respects</t>
    </r>
  </si>
  <si>
    <t>Page 138, 139 of MoRT&amp;H SDB</t>
  </si>
  <si>
    <t>Taking out put = 191 cum (450 tonne)</t>
  </si>
  <si>
    <t>Bitumen-VG30(60/70)@ 5% of weight of mix</t>
  </si>
  <si>
    <t>Avarage of 12 to 14mm,9.5 to 11.2mmIRC HBGM/C metal )</t>
  </si>
  <si>
    <t>Avarage of 10mm to 5 mm 25 per cent ,IRC HBGM/C metal )</t>
  </si>
  <si>
    <t>Cost per 191 cum</t>
  </si>
  <si>
    <t>Taking output = 195 cum (450 tonnes)</t>
  </si>
  <si>
    <t>a)    Labour</t>
  </si>
  <si>
    <t>Mazdoor working with HMP, mechanical broom, paver, roller, asphalt cutter and assistance for setting out lines, levels and layout of construction</t>
  </si>
  <si>
    <t>b)     Machinery</t>
  </si>
  <si>
    <t xml:space="preserve">Batch mix HMP @ 75 tonne per hour </t>
  </si>
  <si>
    <t>Smooth wheeled roller 8-10 tonnes for initial break down rolling.</t>
  </si>
  <si>
    <t>Vibratory roller 8 tonnes for intermediate rolling.</t>
  </si>
  <si>
    <t>Finish rolling with 6-8 tonnes smooth wheeled tandem roller</t>
  </si>
  <si>
    <t>c)     Material</t>
  </si>
  <si>
    <t>Grading II: 10 mm (Nominal Size)</t>
  </si>
  <si>
    <t>Bitumen-VG30(60/70)@ 5  per cent  of weight of mix</t>
  </si>
  <si>
    <t>weight of mix = 450 tonne</t>
  </si>
  <si>
    <t xml:space="preserve"> Aggregate</t>
  </si>
  <si>
    <t>Weight of bitumen = 22.5 tonnes</t>
  </si>
  <si>
    <t>Weight of aggregate = 450 -22.50 = 427.50 tonnes</t>
  </si>
  <si>
    <t>Taking density of aggregate = 1.5 ton/cum</t>
  </si>
  <si>
    <t>Volume of aggregate = 285 cum</t>
  </si>
  <si>
    <t xml:space="preserve">9.5 - 4.75 mm@ 57  per cent </t>
  </si>
  <si>
    <t xml:space="preserve">4.75 and below@ 41  per cent </t>
  </si>
  <si>
    <t>Filler @ 2  per cent  of weight of aggregates.</t>
  </si>
  <si>
    <t>Vibrated  cement concrete M 20 Grade Concrete using 40mm, 20mm and 10mm size HBG crushed stone aggregate (Coarse aggregate conforming to table 1000-1 and fine aggregate conforming to table 1000-2) including cost, (excluding  seigniorage) and conveyance of all  materials to site and all labour charges ,centering, machine mixing, laying in position, Compacting , Vibrating and curing including all other incidental and all other operational charges of T&amp;P required etc., complete as per MoRT&amp;H Specification 1500,1700, 2100 (5th Revision)  for substructure Drain Wall.</t>
  </si>
  <si>
    <t>(c  )</t>
  </si>
  <si>
    <t>Formwork @ 4% on (A)+(B)+(C)</t>
  </si>
  <si>
    <t>Add for Over head charges &amp; CP @ 13.615% on (A)+(B)+( C)</t>
  </si>
  <si>
    <t>Cost per 15 cum</t>
  </si>
  <si>
    <t>Vibrated  Reinforced cement concrete M20 Grade Concrete using 40mm , 20mm and 10mm size HBG crushed stone aggregate (Coarse aggregate conforming to table 1000-1 and fine aggregate conforming to table 1000-2) including cost, (excluding  seigniorage) and conveyance of  all  materials to site and all labour charges , centering, machine mixing, laying in position, Compacting, Vibrating and curing including all other incidental and all other operational charges of T&amp;P required etc., complete as per MoRT&amp;H Specification 1500,1700, 2200 (5th Revision)  for cover slab over drain.</t>
  </si>
  <si>
    <t>Formwork @ 10% on (A)+(B)+(C)</t>
  </si>
  <si>
    <t>Excavation for roadway in ordinary rock with hydraulic excavator of 0.9 cum bucket capacity including cutting and loading in tippers, transporting to embankment site within all lifts and lead upto 1000 m, trimming bottom and side slopes in accordance with requirements of lines, grades and cross sections.</t>
  </si>
  <si>
    <t>Page 53 of MoRT&amp;H SDB</t>
  </si>
  <si>
    <t>hrs</t>
  </si>
  <si>
    <t>Hydraulic Excavator 0.90 cum bucket capacity @ 40 cum / hour</t>
  </si>
  <si>
    <t>Tipper 5.5 cum capacity, 4 trips per hour.</t>
  </si>
  <si>
    <t>Cost  per 240 cum</t>
  </si>
  <si>
    <t xml:space="preserve">Excavation for Roadway in ordinory rock by diploying a Dozer 80 HP including cutting and pushing the cut earth to site of embankment up to a distance of 100m (average lead of 50m),Trimming of bottom and side slopes in accordance with requirements of lines, grades and cross sections as per MoRT&amp;H specification 301(5th Revision)  and as directed by the Engineer-in-Charge </t>
  </si>
  <si>
    <t>Unit = Cum</t>
  </si>
  <si>
    <t>Taking output = 108 Cum</t>
  </si>
  <si>
    <t>Dozer 80 Hp @ 20 Cum per hour</t>
  </si>
  <si>
    <t>Cost per 1.25 Cum</t>
  </si>
  <si>
    <t>Stone masonry work in cement mortar 1:3 for substructure complete as per drawing and Technical Specifications</t>
  </si>
  <si>
    <t>Page 453 of MoRT&amp;H SDB</t>
  </si>
  <si>
    <t>Cement mortar 1:3 (Rate as in Item 12.6)</t>
  </si>
  <si>
    <t>Cement</t>
  </si>
  <si>
    <t>Taking output = 1 Cum</t>
  </si>
  <si>
    <t>Stone</t>
  </si>
  <si>
    <t>Through and bond stone</t>
  </si>
  <si>
    <t>Cement mortar 1:3</t>
  </si>
  <si>
    <t>Cost per 1cum</t>
  </si>
  <si>
    <t>DATA-PIPE CULVERTS with SSR 2023-24</t>
  </si>
  <si>
    <r>
      <t>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
    </r>
    <r>
      <rPr>
        <vertAlign val="superscript"/>
        <sz val="11"/>
        <rFont val="Calibri"/>
        <family val="2"/>
      </rPr>
      <t>th</t>
    </r>
    <r>
      <rPr>
        <sz val="11"/>
        <rFont val="Calibri"/>
        <family val="2"/>
      </rPr>
      <t xml:space="preserve"> Revision)  and as directed by the Engineer-in-Charge.</t>
    </r>
  </si>
  <si>
    <t>up to 3m depth</t>
  </si>
  <si>
    <t>Over Head Charges &amp; CP on (A+B)</t>
  </si>
  <si>
    <t>Cost per 240 cum</t>
  </si>
  <si>
    <t>up to 3m to 6m depth</t>
  </si>
  <si>
    <t xml:space="preserve">Taking out put = 210 Cum </t>
  </si>
  <si>
    <t>Cost per 210 cum</t>
  </si>
  <si>
    <t>above 6m depth</t>
  </si>
  <si>
    <t xml:space="preserve">Taking out put = 1Cum </t>
  </si>
  <si>
    <t>Cost per 1 cum</t>
  </si>
  <si>
    <t>Vibrated  cement concrete M 15 Grade Concrete using 40mm , 20mm and 10mm size HBG crushed stone aggregate (Coarse aggregate conforming to table 1000-1 and fine aggregate (Natural sand 50%+Manufactured sand(Rock Sand)50% ) conforming to table 1000-2) including cost, (excluding  seigniorage) and conveyance of  all  materials to site and all labour charges , centering, machine mixing, laying in position, Compacting, Vibrating and curing including all other incidental and all other operational charges of T&amp;P required etc., complete as per MoRT&amp;H Specification 1500,1700, 2200 (5th Revision)  for foundations.</t>
  </si>
  <si>
    <r>
      <t>Providing, laying Reinforced cement concrete Hume pipes of 1000 mm Dia.,</t>
    </r>
    <r>
      <rPr>
        <b/>
        <sz val="11"/>
        <rFont val="Calibri"/>
        <family val="2"/>
      </rPr>
      <t xml:space="preserve"> NP4</t>
    </r>
    <r>
      <rPr>
        <sz val="11"/>
        <rFont val="Calibri"/>
        <family val="2"/>
      </rPr>
      <t xml:space="preserve"> class for pipe culverts  including cost and conveyance of Pipes etc., complete and Labour charges for laying, jointing of 1000mm dia. R.C.C Hume pipes  in position including lifting, aligning, lowering and hoisting etc., as per drawing and as per MoRT&amp;H Specification  2900, 2905 and 2906 (5th Revision) and IRC Special Publication No: 13 and as directed by the Engineer-in-Charge for finished item of work. </t>
    </r>
  </si>
  <si>
    <t>Cost per 12.5 metre</t>
  </si>
  <si>
    <r>
      <t>Providing, laying Reinforced cement concrete Hume pipes of 900 mm Dia.,</t>
    </r>
    <r>
      <rPr>
        <b/>
        <sz val="11"/>
        <rFont val="Calibri"/>
        <family val="2"/>
      </rPr>
      <t xml:space="preserve"> NP-4</t>
    </r>
    <r>
      <rPr>
        <sz val="11"/>
        <rFont val="Calibri"/>
        <family val="2"/>
      </rPr>
      <t xml:space="preserve"> class for pipe culverts  including cost and conveyance of Pipes etc., complete and Labour charges for laying, jointing of 1000mm dia. R.C.C Hume pipes  in position including lifting, aligning, lowering and hoisting etc., as per drawing and as per MoRT&amp;H Specification  2900, 2905 and 2906 (5th Revision) and IRC Special Publication No: 13 and as directed by the Engineer-in-Charge for finished item of work. </t>
    </r>
  </si>
  <si>
    <t>Page 272, 273 of MoRT&amp;H SDB</t>
  </si>
  <si>
    <t>900 mm Dia.,</t>
  </si>
  <si>
    <t>Cost of 900mm Dia., pipes</t>
  </si>
  <si>
    <t xml:space="preserve">Providing and filling  bedding of Selected Earth material around the pipes of  Hume pipe culverts suitably compacted / rammed including cost, (excluding  seigniorage) and conveyance of materials to site etc.,  complete as per drawing and MoRT&amp;H Specification  2900 ( 5th Revision) and as directed by the Engineer-in-Charge. </t>
  </si>
  <si>
    <t>Cost of Selected Earth</t>
  </si>
  <si>
    <t xml:space="preserve">Over head charges @ 13.615% </t>
  </si>
  <si>
    <t>Cost per 10 cum</t>
  </si>
  <si>
    <t>Page 455 of MoRT&amp;H SDB</t>
  </si>
  <si>
    <t>Cost of 40mm SS-5 HBG M/C metal</t>
  </si>
  <si>
    <t>(C )</t>
  </si>
  <si>
    <t>Generator set 33 KVA</t>
  </si>
  <si>
    <t>Form work @10% on (A)+(B)+( C)</t>
  </si>
  <si>
    <t>Dismantling of Structures  (superstructure, substructure, foundation and other miscellaneous structures) and pavements including disposing of resulting materials and/or salvaging useful materials up to a distance of 1 km from project road complete as per Drawings and Technical Specification Clause 202 and as directed by the Engineer.Prestressed/ Reinforced cement concrete grade M-20 and above (by manual means)</t>
  </si>
  <si>
    <t>Over Head Charges &amp; CP</t>
  </si>
  <si>
    <t>Dismantling of Structures  (superstructure, substructure, foundation and other miscellaneous structures) and pavements including disposing of resulting materials and/or salvaging useful materials up to a distance of 1 km from project road complete as per Drawings and Technical Specification Clause MoRT&amp;H 202 and as directed by the Engineer.(By Mechanical means in Cement Concrete grade M-15 &amp; M-20) (Mechanical Means)</t>
  </si>
  <si>
    <t>Air Compressor 250cfm with leads of pnumatic breaker @ 1.5 cum per hour</t>
  </si>
  <si>
    <t>Dismantling of Stone Masonary in cement mortar including disposing of resulting materials and/or salvaging useful materials up to a distance of 1 km from project road complete as per Drawings and Technical Specification Clause 202 and as directed by the Engineer.</t>
  </si>
  <si>
    <t>Removing all type of Hume Pipes and Stacking within a lead of 1000 metres including Earthwork and Dismantling of Masonry Works as per clause 202 of  MoRTH specifications.</t>
  </si>
  <si>
    <t>Taking output = 1 Meter</t>
  </si>
  <si>
    <t>Up to 600mm dia</t>
  </si>
  <si>
    <t>Up to 600mm to 900mm dia</t>
  </si>
  <si>
    <t>Above 900mm dia</t>
  </si>
  <si>
    <t>Dismantling of flexible pavements and disposal of dismantled materials up to a lead of 1000 metres, stacking serviceable and unserviceable materials separately</t>
  </si>
  <si>
    <t>Bituminous Courses</t>
  </si>
  <si>
    <t>Over Head Charges &amp; CP  on (A+B)</t>
  </si>
  <si>
    <t>Add for Over head charges @ 10% on (A)+(B)+(C)</t>
  </si>
  <si>
    <t>DATA-CD WORKS WITH SSR 2023-24</t>
  </si>
  <si>
    <t>FOUNDATIONS</t>
  </si>
  <si>
    <r>
      <t>Providing Plain Cement Concrete (1:3:6) mix using 40mm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
    </r>
    <r>
      <rPr>
        <vertAlign val="superscript"/>
        <sz val="12"/>
        <rFont val="Calibri"/>
        <family val="2"/>
        <scheme val="minor"/>
      </rPr>
      <t>th</t>
    </r>
    <r>
      <rPr>
        <sz val="12"/>
        <rFont val="Calibri"/>
        <family val="2"/>
        <scheme val="minor"/>
      </rPr>
      <t xml:space="preserve">  Revision) and as directed by the Engineer-in-Charge for foundation.</t>
    </r>
  </si>
  <si>
    <t>Page No.271 of MoRTH DB</t>
  </si>
  <si>
    <r>
      <t>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
    </r>
    <r>
      <rPr>
        <vertAlign val="superscript"/>
        <sz val="12"/>
        <rFont val="Calibri"/>
        <family val="2"/>
        <scheme val="minor"/>
      </rPr>
      <t>th</t>
    </r>
    <r>
      <rPr>
        <sz val="12"/>
        <rFont val="Calibri"/>
        <family val="2"/>
        <scheme val="minor"/>
      </rPr>
      <t xml:space="preserve">  Revision) and as directed by the Engineer-in-Charge for foundation.</t>
    </r>
  </si>
  <si>
    <t>Form work @ 4% on (A)+(B)+( C)</t>
  </si>
  <si>
    <r>
      <t>Providing PCC M20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
    </r>
    <r>
      <rPr>
        <vertAlign val="superscript"/>
        <sz val="12"/>
        <rFont val="Calibri"/>
        <family val="2"/>
        <scheme val="minor"/>
      </rPr>
      <t>th</t>
    </r>
    <r>
      <rPr>
        <sz val="12"/>
        <rFont val="Calibri"/>
        <family val="2"/>
        <scheme val="minor"/>
      </rPr>
      <t xml:space="preserve">  Revision) and as directed by the Engineer-in-Charge for foundation.</t>
    </r>
  </si>
  <si>
    <t xml:space="preserve">Vibrated reinforced cement concrete M25 grade  using  20mm &amp; 10mm  HBG crushed stone aggregate (Coarse aggregate conforming to table 1000-1 and fine aggregate (Natural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as directed by the Engineer-in-Charge (for Raft foundation)  </t>
  </si>
  <si>
    <t>Taking output = 15cum</t>
  </si>
  <si>
    <t>Vibrated  cement concrete M20 Grade Concrete using 20mm and 10mm size HBG crushed stone aggregate (Coarse aggregate conforming to table 1000-1 and fine aggregate (Natural sand 50%+Manufactured sand(Rock Sand)50% ) conforming to table 1000-2) including cost, (excluding  seigniorage) and conveyance of all  materials to site and all labour charges ,centering, machine mixing, laying in position, Compacting , Vibrating and curing including all other incidental and all other operational charges of T&amp;P required etc., complete as per MoRT&amp;H Specification 1500,1700, 2100 (5th Revision)  for footing ( Body walls, Wing wall)</t>
  </si>
  <si>
    <t>Page 336 of MoRT&amp;H SDB</t>
  </si>
  <si>
    <t>(C) Over Head Charges &amp; CP on (A+B)</t>
  </si>
  <si>
    <t>SUB-STRUCTURES</t>
  </si>
  <si>
    <r>
      <t>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
    </r>
    <r>
      <rPr>
        <vertAlign val="superscript"/>
        <sz val="12"/>
        <rFont val="Calibri"/>
        <family val="2"/>
        <scheme val="minor"/>
      </rPr>
      <t>th</t>
    </r>
    <r>
      <rPr>
        <sz val="12"/>
        <rFont val="Calibri"/>
        <family val="2"/>
        <scheme val="minor"/>
      </rPr>
      <t xml:space="preserve">  Revision) and as directed by the Engineer-in-Charge for Substructure.</t>
    </r>
  </si>
  <si>
    <r>
      <t>Providing PCC M20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
    </r>
    <r>
      <rPr>
        <vertAlign val="superscript"/>
        <sz val="12"/>
        <rFont val="Calibri"/>
        <family val="2"/>
        <scheme val="minor"/>
      </rPr>
      <t>th</t>
    </r>
    <r>
      <rPr>
        <sz val="12"/>
        <rFont val="Calibri"/>
        <family val="2"/>
        <scheme val="minor"/>
      </rPr>
      <t xml:space="preserve">  Revision) and as directed by the Engineer-in-Charge for Sub-structure.</t>
    </r>
  </si>
  <si>
    <r>
      <t>Providing reinforced concrete of M25 mix using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
    </r>
    <r>
      <rPr>
        <vertAlign val="superscript"/>
        <sz val="12"/>
        <rFont val="Calibri"/>
        <family val="2"/>
        <scheme val="minor"/>
      </rPr>
      <t>th</t>
    </r>
    <r>
      <rPr>
        <sz val="12"/>
        <rFont val="Calibri"/>
        <family val="2"/>
        <scheme val="minor"/>
      </rPr>
      <t xml:space="preserve">  Revision) and as directed by the Engineer-in-Charge for Sub-structure.for  Bed blocks &amp; Backing walls</t>
    </r>
  </si>
  <si>
    <t>(C) Over Head Charges &amp; CP  on (A+B)</t>
  </si>
  <si>
    <t>Unit =  1no</t>
  </si>
  <si>
    <t>Page 461 of MoRT&amp;H SDB</t>
  </si>
  <si>
    <t>Taking output = 30 Nos</t>
  </si>
  <si>
    <t>Cost of AC pipe 100mm dia (inluding wastage @ 5%)</t>
  </si>
  <si>
    <t>MS Clamps</t>
  </si>
  <si>
    <t>Cost of Collar for AC Pipe</t>
  </si>
  <si>
    <t>Cement Mortar (1:3)</t>
  </si>
  <si>
    <t>Cost per 30nos (F)+(G)</t>
  </si>
  <si>
    <t>Rate for 1no.</t>
  </si>
  <si>
    <t>Add for Over head charges &amp; CP   on (A)+(B)+( C)</t>
  </si>
  <si>
    <t>SUPER STRUCTURE</t>
  </si>
  <si>
    <t xml:space="preserve">Vibrated reinforced cement concrete M 25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MoRT&amp;H specification  1500,1600,1700 &amp; 2200  (5th revision ) and  as directed by the Engineer-in-Charge </t>
  </si>
  <si>
    <t>Page 457 of MoRT&amp;H SDB</t>
  </si>
  <si>
    <t>Add for Over head charges &amp; CP on (A)+(B)+( C)</t>
  </si>
  <si>
    <t>Form work @ 20 on (A)+(B)+( C)</t>
  </si>
  <si>
    <t>Form work @ 0% on (A)+(B)+( C)</t>
  </si>
  <si>
    <t>Page 499 of MoRT&amp;H SDB</t>
  </si>
  <si>
    <t>corrosion resistanct structural steel including 5% wastage (M087, Pg.29 of SSR 2014-15)</t>
  </si>
  <si>
    <t>GI bolt 10mm Dia (M110, Pg.30 of SSR 2014-15)</t>
  </si>
  <si>
    <t>G I Pipe 100 mm dia B Class (Sl.32, Pg.18 of SSR 2016-17)</t>
  </si>
  <si>
    <t>Galvanised MS flat clamp</t>
  </si>
  <si>
    <t>Page 501 of MoRT&amp;H SDB</t>
  </si>
  <si>
    <t>Form work @2.0 on (A)+(B)+( C)</t>
  </si>
  <si>
    <t>Form work charges @ 0%</t>
  </si>
  <si>
    <t>Add for Over head charges @ 0% on (A)+(B)+(C)</t>
  </si>
  <si>
    <t>PROTECTION WORKS</t>
  </si>
  <si>
    <t>Add for Over head charges &amp; CP  on (A)+(B)+( C)</t>
  </si>
  <si>
    <t>Construction of RCC guide posts of 250 mm dia M25 grade cast-in-situ with 20 mm nominal size aggregate, true to line and grade, tolerance of vertical RCC posts not to exceed 1 in 500 as per drawing and Technical Specification Clause 1608.2</t>
  </si>
  <si>
    <t>Unit = No.</t>
  </si>
  <si>
    <t>As per MoRD Data</t>
  </si>
  <si>
    <t>Taking output = 1 No.</t>
  </si>
  <si>
    <t>Earth work in excavation for structures</t>
  </si>
  <si>
    <t>Rates as per item No. 1 of Chapter 11</t>
  </si>
  <si>
    <t>RCC M25 grade</t>
  </si>
  <si>
    <t>Rate as per item No. 4 (C) (i) of Chapter 11</t>
  </si>
  <si>
    <t>HYSD steel bars</t>
  </si>
  <si>
    <t>Unit = t</t>
  </si>
  <si>
    <t>Rate as per item No. 7 of Chapter 11</t>
  </si>
  <si>
    <t>Painting two coats including prime coat on new concrete surface</t>
  </si>
  <si>
    <t>Rate as per item No. 5 of Chapter 10</t>
  </si>
  <si>
    <t>Cost per 1 No.</t>
  </si>
  <si>
    <t>1 No.</t>
  </si>
  <si>
    <t>Unit = 10 Cum</t>
  </si>
  <si>
    <t>Selected Earth</t>
  </si>
  <si>
    <t>(c) Machinery</t>
  </si>
  <si>
    <t>Plate compactor / power rammer</t>
  </si>
  <si>
    <t>Water Tanker of 6 KL capacity</t>
  </si>
  <si>
    <t>Unit = 1 RM</t>
  </si>
  <si>
    <t>HAND RAILS WITHOUT  FOOT PATHS</t>
  </si>
  <si>
    <t>Taking output = 2 x 24 =</t>
  </si>
  <si>
    <t>mtrs</t>
  </si>
  <si>
    <t>a) Material</t>
  </si>
  <si>
    <t>No. of Vertical Posts (2 spans both sides) = (12+2)*2 =28 Nos</t>
  </si>
  <si>
    <t xml:space="preserve">Total concrete = </t>
  </si>
  <si>
    <t>A. RCC Grade M 25</t>
  </si>
  <si>
    <t>Case-I :Using Concrete Mixer</t>
  </si>
  <si>
    <t>Unit= 1cum                   Taking output = 15 cum</t>
  </si>
  <si>
    <t>a)Material</t>
  </si>
  <si>
    <t xml:space="preserve">12mm aggregate </t>
  </si>
  <si>
    <t xml:space="preserve">10mm aggregate </t>
  </si>
  <si>
    <t>b)Labour</t>
  </si>
  <si>
    <t>c)Machinery</t>
  </si>
  <si>
    <t>Concrete mixer  0.40 / 0.28 cum</t>
  </si>
  <si>
    <t xml:space="preserve">33 KVA  Generater set </t>
  </si>
  <si>
    <t>Rate per 15 cum</t>
  </si>
  <si>
    <t>Basic rate per cum</t>
  </si>
  <si>
    <t>Cost of 48 mts length</t>
  </si>
  <si>
    <t>Basic rate of concrete</t>
  </si>
  <si>
    <t>% add for form work for casting in casting yard</t>
  </si>
  <si>
    <t>% add Over Head charges &amp; Contractor profit</t>
  </si>
  <si>
    <t>% add Contractor's profit</t>
  </si>
  <si>
    <t>Cost for 48.00m</t>
  </si>
  <si>
    <t xml:space="preserve">Rate per metre </t>
  </si>
  <si>
    <t>Rate per 1Rm</t>
  </si>
  <si>
    <t>or say</t>
  </si>
  <si>
    <t xml:space="preserve">          DETAILED ESTIMATES FOR Traffic</t>
  </si>
  <si>
    <t>Name of   work :</t>
  </si>
  <si>
    <t xml:space="preserve">Widening and Raising of Madikonda village -Narayanagiri village road from Km 5/0 to 8/075 in Warangal District (Newly formed District Warangal Urban) </t>
  </si>
  <si>
    <t>Item Description</t>
  </si>
  <si>
    <t>Providing and laying of Hot Applied Thermoplastic compound 2.5 mm thick including reflecting glass beads on bituminous surface at 250 gms per sqm area, thickness of 2.5 mm is exclusive of surface applied glass bead as per IRC:35, the finished surface to be level, uniform and free from streaks and holes etc. complete for finished item of work (with all leads and Lifts).(Data communicate vide E-in-C(R&amp;B) SR, Circular Memo No. Road Signages/DCE(R)/EE2/ DEE7/ AEE(NGL)/2013-14;   Dt 15-05-2013)</t>
  </si>
  <si>
    <t>Providing and fixing Cautionary / Warning sign boards size 900 mm equilateral triangle made out of Type – XI of ASTMD 4956-09 wide angle cube cornered micro Prismatic  Retro reflective sheeting and confirming to IRC 67:2012 for full background of White colour and letters/logos done by screen printing in Black colour, boarders by screen printing in Red colour and fixed over 4MM Aluminium Composite Material sheet having minimum 0.5 mm thick Aluminium skin on both sides with back side painted grey colour and fixed over back support frame of M.S angle 25x25x3mm all round and fixing with 35x35x4mm and mounted on a MS angle post of size 75x75x6mm with clear height of not less than 2.1 m from the ground level  to the bottom of the board.  The signpost should be painted with one coat of red oxide paint and 2 coats of synthetic enamel paint Black and White colour with bands of 30cm of height.  The signpost shall be firmly fixed with MS base angle 35x35x4 mm  in to the ground by M-15 Concrete foundation of size 450x450x600mm including cost and conveyance of all materials ,equipment, machinery and labour with all leads and lift, loading chages necessary for satisfactory completion of the work as directed by Engineer -in-Charge.</t>
  </si>
  <si>
    <t>Supplying &amp; Fixing of Molded Shanks Raised Pavement Markers made of plastic body moulded from HIPS(HI-impact polysterene) or ABS or ASA(Acrylic strene Acrylonitrite) and reflective panels with micro prismatic lens capable of providing total internal reflection of the light entering the lens face and shall support a load of 16000 kg tested in accordance to ASTM D 4280 Type H and complying to Specifications of Category A of MORTH Circular No RW/NH/33023/10-97 – DO III Dt 11.06. 1997. The height, width and length shall not exceed 50 mm, 100 mm and 100 mm and with minimum reflective area of 13 Sqcm on each side and the slope to the base shall be 35 +/- 5 degree. The strength of detachment of the integrated cylindrical shanks, (of diameter not less than 19 +/- 2 mm and height not less than 30+/- 2 mm) from the body is to be a minimum value of 700 Kgs. Fixing will be by drilling holes on the road for the twin shanks to go inside, without nails and using epoxy resin based adhesive as per manufacturer’s recommendation and complete as directed by the engineer.</t>
  </si>
  <si>
    <t>Providing and erecting a "W" metal beam crash barrier comprising of 3mm thick corrugated sheet metal beam rail, 70 cm above road/ground level, fixed on ISMC series channel vertical post, 150X75X5mm spaced 2m centre-to-centre, 1.80m high, 1.1m below ground/road level, all steel parts and fitments to be galvanised by hot dip process, all fittings to conform to IS: 1367 and IS: 1364, metal beam rail to be fixed on the vertical post with a spacer of channel section 150X75X5mm, 330mm long complete as per Clause 810.</t>
  </si>
  <si>
    <t>Providing Guard stones (1200 x 200 X 200 mm)</t>
  </si>
  <si>
    <t>AEE1                 DEE 4                   EE (R)                  DCE(R)            ENC (R&amp;B) SR&amp; CRN</t>
  </si>
  <si>
    <t>W11</t>
  </si>
  <si>
    <t>DEE-III</t>
  </si>
  <si>
    <t>Tender Approval Date</t>
  </si>
  <si>
    <t xml:space="preserve">  Dt:  - 9-2018</t>
  </si>
  <si>
    <t>GoRT.No</t>
  </si>
  <si>
    <t>Date</t>
  </si>
  <si>
    <t>Circle</t>
  </si>
  <si>
    <t>Tender LR.No</t>
  </si>
  <si>
    <t>Lr.No.T3/737/CRR/Guntipally/2017-18, dt:  29.3.2018</t>
  </si>
  <si>
    <t>NIT.Ref</t>
  </si>
  <si>
    <t>NIT.No</t>
  </si>
  <si>
    <t>Paper Notifications</t>
  </si>
  <si>
    <t>Eenadu ( Telugu) dt: 22-8-2018 &amp; The Times of India (English) dt. 22-8-2018</t>
  </si>
  <si>
    <t>Contract period</t>
  </si>
  <si>
    <t>1st Call.</t>
  </si>
  <si>
    <t>TENDER NOTE FILE</t>
  </si>
  <si>
    <t>SSR-2018-19</t>
  </si>
  <si>
    <t>4). T/o memo no.W11/DEE-III/MBNR-CRR-Plain-GoRT.No.82-Sl.No-3/2017-Tender Dt:10-4-2018</t>
  </si>
  <si>
    <t>5. SE PRMBNR Lr.No.T3/CRR-Plain-GoRT.No 82/2017-18 dt: 18-4-2018</t>
  </si>
  <si>
    <t>6. EE PIU Wanaparhty Lr.No.DBII/CRR-2017-18 Grant/2018 dt: 16-4-2018</t>
  </si>
  <si>
    <t xml:space="preserve">                     Kindly peruse the references, in response to this office memo vide in the ref 4th cited the Superintending Engineer PR Mahabubnagar vide ref 5th cited has furnished the  concerned EEs Clarification vide ref 6th cited on distance of BT plant from work site and he has furnished  that the BT HoT Mix Plant is located within the 70kms from the work site. Based on recommendation of the Superintending Engineer PR Mahabubnagar and Executive Engineer PR Wanaparhty, the Bid evaluation submitted by the SE PR MBNR  is  considered for scrutiny.</t>
  </si>
  <si>
    <t>1. Schedule sale opening date    :</t>
  </si>
  <si>
    <t>PM</t>
  </si>
  <si>
    <t>2. Schedule sale closing date       :</t>
  </si>
  <si>
    <t xml:space="preserve">PM                            </t>
  </si>
  <si>
    <t>3. Bid submission closing date       :</t>
  </si>
  <si>
    <t>4. Technical bid opening date      :</t>
  </si>
  <si>
    <t>5. Price bid opening date              :</t>
  </si>
  <si>
    <t>6. Period of Contract                     :</t>
  </si>
  <si>
    <t xml:space="preserve">                                   </t>
  </si>
  <si>
    <t>Name of the Bidders</t>
  </si>
  <si>
    <t>Percentage Quoted</t>
  </si>
  <si>
    <t>Rating</t>
  </si>
  <si>
    <t>Sri.J.Aswarthulu</t>
  </si>
  <si>
    <t>Qualified</t>
  </si>
  <si>
    <t>6.78% Less</t>
  </si>
  <si>
    <t>L1</t>
  </si>
  <si>
    <t>Total Bids</t>
  </si>
  <si>
    <t>.</t>
  </si>
  <si>
    <t>Sri.M.Pandurangam</t>
  </si>
  <si>
    <t>2.20% Less</t>
  </si>
  <si>
    <t>L2</t>
  </si>
  <si>
    <t>Bids qualified</t>
  </si>
  <si>
    <t>Sri. M.Pandurangam</t>
  </si>
  <si>
    <t>3.10% less</t>
  </si>
  <si>
    <t>L3</t>
  </si>
  <si>
    <t>M/s Chandra Constructions</t>
  </si>
  <si>
    <t xml:space="preserve">Disqualified  as the firm has uploaded lapsed solvency certificate. </t>
  </si>
  <si>
    <t>8.89% less</t>
  </si>
  <si>
    <t>L4</t>
  </si>
  <si>
    <t>M/s Geninfra Constructions</t>
  </si>
  <si>
    <t>Disqualified</t>
  </si>
  <si>
    <t>M/s LKP Infra Projects</t>
  </si>
  <si>
    <t>0.99% less</t>
  </si>
  <si>
    <t>L6</t>
  </si>
  <si>
    <t>M/s Nanitha Construction</t>
  </si>
  <si>
    <t>2.70% less</t>
  </si>
  <si>
    <t>L7</t>
  </si>
  <si>
    <t>M/s Siddartha Constructions</t>
  </si>
  <si>
    <t>2.67% less</t>
  </si>
  <si>
    <t>L8</t>
  </si>
  <si>
    <t>VKA constructions</t>
  </si>
  <si>
    <t>0.13% Less</t>
  </si>
  <si>
    <t>L9</t>
  </si>
  <si>
    <t>Bids Dis Qualified</t>
  </si>
  <si>
    <t xml:space="preserve">Sinlge </t>
  </si>
  <si>
    <t>Lowest</t>
  </si>
  <si>
    <t>M/s Raam Infratech India Pvt. Limited</t>
  </si>
  <si>
    <t>Disqualified due to insufficient bid capacity</t>
  </si>
  <si>
    <t>Dis qualified</t>
  </si>
  <si>
    <t>Bidders- &gt;</t>
  </si>
  <si>
    <t>NIT requirement
 Class III and above</t>
  </si>
  <si>
    <t>Items
Registration</t>
  </si>
  <si>
    <t>1)  178, Irr (PW) Dept., dt. 27.09.1997 - Spl.Class</t>
  </si>
  <si>
    <t>Class of contractor</t>
  </si>
  <si>
    <t>Class-I Civil</t>
  </si>
  <si>
    <t>2)  132, T R&amp;B (R1) Dept., dt. 11.08.1998 - Spl.Class</t>
  </si>
  <si>
    <t>(Proc.No.COT/TS/FC/404/2016 dt: 14-12-2016 of CE,Normal, RWS&amp;S PR,Hyd-P.No-1-4</t>
  </si>
  <si>
    <t>3)  8, T,R&amp;B (Roads) Dept., dt. 8.1.2003 - Class- I</t>
  </si>
  <si>
    <t>4) 94, I&amp;CAD (PW-COD) Dept., dt. 01.07.2003 - Class- I</t>
  </si>
  <si>
    <t>5) 664, I&amp;CAD (Reforms) Dept., dt. 20.04.2015 - Class- III</t>
  </si>
  <si>
    <t>Online Payment through ICICI Bank
for Rs. 95400/-  Payment ID-153518 dt:16-3-18</t>
  </si>
  <si>
    <t>page-54</t>
  </si>
  <si>
    <t xml:space="preserve">Similar Nature of works </t>
  </si>
  <si>
    <t>Nil</t>
  </si>
  <si>
    <t>As per GO.66 dt:20.04.15</t>
  </si>
  <si>
    <t>Physical Quantities</t>
  </si>
  <si>
    <t>Liquid assets &amp; credit facilities</t>
  </si>
  <si>
    <t>Rs.505.00 Lakhs , Karnataka Bank Lts,Ananthapur  dt:29-4--2017</t>
  </si>
  <si>
    <t>page -44</t>
  </si>
  <si>
    <t>Key personal</t>
  </si>
  <si>
    <t>Graduate Engineer (civil)-1  Diploma Engineer (civil)-1</t>
  </si>
  <si>
    <t>Graduate Engineer (civil)-1
Diploma Engineer (civil)-1</t>
  </si>
  <si>
    <t>page-38-43</t>
  </si>
  <si>
    <t>The tenderer / bidder should own a B.T. Hot Mix plant or have a lease / hire agreement with a B.T. Hot Mix plant owner within 70 Km distance from the work spot should be given on non - judicial stamp paper of Rs. 100/- &amp; to be up loaded</t>
  </si>
  <si>
    <t>Mandatory</t>
  </si>
  <si>
    <t xml:space="preserve">Furnished </t>
  </si>
  <si>
    <t>Page- 35-36</t>
  </si>
  <si>
    <t>Copy of declaration on critical equipment owned or lease on non - judicial stamp paper of Rs. 100</t>
  </si>
  <si>
    <t>page-35-36</t>
  </si>
  <si>
    <t xml:space="preserve">PAN card </t>
  </si>
  <si>
    <t>Pan.No. AEBPJ3722K</t>
  </si>
  <si>
    <t>PAGE-6</t>
  </si>
  <si>
    <t>Latest saral form</t>
  </si>
  <si>
    <t>optional</t>
  </si>
  <si>
    <t>PAGE-7</t>
  </si>
  <si>
    <t>GST Registration Certificate with TIN NO.</t>
  </si>
  <si>
    <t>Furnished GST-No. 
36AEBPJ3722KI7M</t>
  </si>
  <si>
    <t>page-6</t>
  </si>
  <si>
    <t xml:space="preserve">Commercial tax clearance </t>
  </si>
  <si>
    <t xml:space="preserve">page </t>
  </si>
  <si>
    <t>Litigation History</t>
  </si>
  <si>
    <t>page-46</t>
  </si>
  <si>
    <t>Self declaration</t>
  </si>
  <si>
    <t>page-45</t>
  </si>
  <si>
    <t>Bid Capacity =2AN-B                            A=</t>
  </si>
  <si>
    <t>As per CA certificate  3089.48  lakhs in the year-2016-17 , updated to 2017-18 =1.10x997.98=Rs.1097.778 Lakhs)  page-17</t>
  </si>
  <si>
    <t xml:space="preserve">Bids submitted as  L1 </t>
  </si>
  <si>
    <t>slno</t>
  </si>
  <si>
    <t>NIT.Nos</t>
  </si>
  <si>
    <t>TCV in Lakhs</t>
  </si>
  <si>
    <t>NIT No</t>
  </si>
  <si>
    <t>L1  Bidder</t>
  </si>
  <si>
    <t>Naryanpet Divn</t>
  </si>
  <si>
    <t>Bids Submitted with L1  Total Rs.</t>
  </si>
  <si>
    <t>works on Hand</t>
  </si>
  <si>
    <r>
      <rPr>
        <sz val="8"/>
        <rFont val="Verdana"/>
        <family val="2"/>
      </rPr>
      <t xml:space="preserve">The agency has shown on hand works   asper upladed documentS &amp; as per SE's evaluation &amp; </t>
    </r>
    <r>
      <rPr>
        <b/>
        <sz val="8"/>
        <rFont val="Verdana"/>
        <family val="2"/>
      </rPr>
      <t>Page-48</t>
    </r>
  </si>
  <si>
    <t>296/2017-18</t>
  </si>
  <si>
    <t>Total B. Value</t>
  </si>
  <si>
    <t xml:space="preserve">                             Kindly peruse the ref 4th cited, where in Sri.Koram Kanakaiah Hon'ble MLA Yellandu has requested this office that the one of the contractor on this work ha not shown the on hand work while submitting the tender documents and he has misguiding the governamant , hence requested this office to take necessrya ction against him, the copy of representation is placed belwo for perusal and further  orders Sir,</t>
  </si>
  <si>
    <t>Submitted for perusal and orders for processing the tender Sir,</t>
  </si>
  <si>
    <t>``</t>
  </si>
  <si>
    <t>OFFICE OF THE  ENGINEER-IN-CHIEF,PANCHAYAT RAJ, HYDERABAD</t>
  </si>
  <si>
    <t>ST-SDF-Grant-2017-18 -Wanaparhty Dist - Providing B.T on R/F  R&amp;B Road To Sheripall of  Srirangapur (M) Estt.Cost Rs.70.00 Lakhs- approval of tender communicated - Reg.</t>
  </si>
  <si>
    <t>4). SE PRMBNR Lr.No.T3/CRR-Plain-GoRT.No 82/2017-18 dt: 18-4-2018</t>
  </si>
  <si>
    <t xml:space="preserve">                    The Superintending Engineer (PR) is requested to issue letter of acceptance of the tender duly stating that the tenderer should enter into the agreement with in 15 days from the receipt of the LOA or else the tender deemed to have been cancelled. The agreement includes routine maintenance of the work for 5 years in addition to the execution of work as per the conditions of the contract. </t>
  </si>
  <si>
    <t xml:space="preserve">                    A copy of approved tender comparative statement is here with communicated to the Superintending Engineer and he is requested to take further necessary action as per the following instructions.</t>
  </si>
  <si>
    <t>The balance EMD of 1½% of ECV or TCV whichever is greater shall be obtained from the tenderer as per the clause 29 of ITB.</t>
  </si>
  <si>
    <t>To confirm the genuinety of all the documents uploaded in e-procurement by the  tenderer  from the issuing authorities before entering into agreement. If the successful bidder fails to submit the original hard copies of uploaded certificates/documents, DD/BG towards EMD with in the stipulated time or if any variation is noticed between the uploaded documents and the hard copies submitted by the tenderer, the action shall be taken as per the clause 29.4 of ITB.</t>
  </si>
  <si>
    <t xml:space="preserve">The Time schedule for completion of the work should be obtained from the Agency and should be incorporated in agreement </t>
  </si>
  <si>
    <t>The work should be carried out as per the approved designs &amp; provisions and standard specifications duly conducting required tests prescribed by the Government as well as the Department.</t>
  </si>
  <si>
    <t>The quantity of earthwork is allowed based on the provision made by the SE. The SE is  requested to submit the   L.F books of Pre levels of EW cross sections and levels shall be verified by the EE/SE on LF Books for accurate assessment of Earth work widening quantity before grounding of the work.</t>
  </si>
  <si>
    <t>The existing crust details of the road shall be recorded in M.B and verified/ Test checked by the Executive Engineer before commencement of the work.</t>
  </si>
  <si>
    <t>The designs of CD works of less than 8 m span are to be approved by the Superintending Engineers at their level as per site conditions before grounding the same and those of length more than 8 m the hydraulic particulars shall be submitted to this office for approval of designs by the design wing immediatly and shall be grounded only after approval of designs.</t>
  </si>
  <si>
    <t>If any deviations observed over the sanctioned estimate, the working estimate with inspection report of the SE concerned shall be submitted to this office within 1 month from the date of agreement/ grounding. The deviations should be taken up only after prior approval of the undersigned only.</t>
  </si>
  <si>
    <t>9).</t>
  </si>
  <si>
    <t>Get all the materials used for construction may be checked for quality control test.</t>
  </si>
  <si>
    <t>10).</t>
  </si>
  <si>
    <t>The progress of the work shall be updated regularly on the web site up to date.</t>
  </si>
  <si>
    <t>11).</t>
  </si>
  <si>
    <t>ASD for the tender quoated beyond 15% less shall be collected before concluding agreement.</t>
  </si>
  <si>
    <t xml:space="preserve">The receipt of the memo along with enclosures shall be acknowledged in the first instance.
</t>
  </si>
  <si>
    <t xml:space="preserve">Encl: 1. Copy of the approved Tender
          comparative Statement.
</t>
  </si>
  <si>
    <t>Sd/-xxx</t>
  </si>
  <si>
    <t xml:space="preserve"> Engineer-in-Chief</t>
  </si>
  <si>
    <t>Panchyat Raj Dept</t>
  </si>
  <si>
    <t>Hyderabad,Telangana state.</t>
  </si>
  <si>
    <t>Dy. Executive Engineer-III, PR</t>
  </si>
  <si>
    <t>TO BE WRITTEN ON TENDER COMPARTIVE STATE MENT MANUALLY WITH RED INK PEN AS FOLLOWS</t>
  </si>
  <si>
    <t>TRAFFIC SIGNS, MARKINGS AND OTHER ROAD APPURTENANCES WITH SSR  2023-24</t>
  </si>
  <si>
    <t>Index-code</t>
  </si>
  <si>
    <t>S. No</t>
  </si>
  <si>
    <t>Amount Rs.</t>
  </si>
  <si>
    <t xml:space="preserve">Allowances Made </t>
  </si>
  <si>
    <t xml:space="preserve">Over heads </t>
  </si>
  <si>
    <t>Contractor's Profit</t>
  </si>
  <si>
    <t>Sub Analysis</t>
  </si>
  <si>
    <t>RBR-FNDN-7</t>
  </si>
  <si>
    <t>Supplying, fitting and placing HYSD bar reinforcement in foundation complete as per drawings and technical specifications Clauses 1000 and 1202  &amp;1100, 1600 MORTH for Bars below 36 mm dia including over laps and wastage, where they are not welded.</t>
  </si>
  <si>
    <t>HYSD bars including 5 per cent for overlaps and wastage</t>
  </si>
  <si>
    <t>Binding wire</t>
  </si>
  <si>
    <t>kg</t>
  </si>
  <si>
    <t>(b) Labour for cutting, bending, shifting to site, tying and placing in position</t>
  </si>
  <si>
    <t>Blacksmith</t>
  </si>
  <si>
    <t>c&amp;d) Overheads &amp; Contractors Profit</t>
  </si>
  <si>
    <t>Rate per t = a+b+c+d</t>
  </si>
  <si>
    <t>RBR-FNDN-1</t>
  </si>
  <si>
    <t>Note : Classifications of Earth Work Specification are as per 302.2.1(a) of MORD and 301.2.1 of MORT&amp;H</t>
  </si>
  <si>
    <t>Ordinary soil</t>
  </si>
  <si>
    <t>Manual means</t>
  </si>
  <si>
    <t>Upto 3 m depth</t>
  </si>
  <si>
    <t>a)  Labour</t>
  </si>
  <si>
    <t>Seignorage Charges for earth</t>
  </si>
  <si>
    <t>Rate per cum = /10</t>
  </si>
  <si>
    <t>For Road Furniture Items</t>
  </si>
  <si>
    <t>RBR-FNDN-4</t>
  </si>
  <si>
    <r>
      <t xml:space="preserve">Plain/reinforced cement concrete in </t>
    </r>
    <r>
      <rPr>
        <b/>
        <u/>
        <sz val="10"/>
        <rFont val="Calibri"/>
        <family val="2"/>
      </rPr>
      <t>Foundations</t>
    </r>
    <r>
      <rPr>
        <sz val="10"/>
        <rFont val="Calibri"/>
        <family val="2"/>
      </rPr>
      <t xml:space="preserve"> complete as per drawings and technical specification Clauses 802, 804, 805, 806, 807, 1202 and 1204 MORD and 1500, 1700 &amp; 2200 MORTH</t>
    </r>
  </si>
  <si>
    <r>
      <t>Note : Water for concrete :</t>
    </r>
    <r>
      <rPr>
        <sz val="10"/>
        <rFont val="Calibri"/>
        <family val="2"/>
      </rPr>
      <t xml:space="preserve"> A provision for cost of water may be added at 1.2 kl / 1 cum (including curing  purpose) keeping the site conditions</t>
    </r>
  </si>
  <si>
    <r>
      <t xml:space="preserve">Coarse Aggregate : </t>
    </r>
    <r>
      <rPr>
        <sz val="10"/>
        <rFont val="Calibri"/>
        <family val="2"/>
      </rPr>
      <t>Single grade nominal size can also be used instead of graded metal, keeping the site conditions in view</t>
    </r>
  </si>
  <si>
    <t>For height upto 5 m</t>
  </si>
  <si>
    <t>P.C.C grade M 15</t>
  </si>
  <si>
    <t>Unit = 15 cum</t>
  </si>
  <si>
    <t>40 mm aggregate</t>
  </si>
  <si>
    <t>20 mm aggregate</t>
  </si>
  <si>
    <t>10 mm aggregate</t>
  </si>
  <si>
    <t xml:space="preserve">(b) Labour </t>
  </si>
  <si>
    <t>Mason (1st Class)</t>
  </si>
  <si>
    <t>Concrete mixer 0.4/0.28 cum capacity</t>
  </si>
  <si>
    <t>(d) Formwork @ 4% on cost of material, labour and machinery (a+b+c)</t>
  </si>
  <si>
    <t>e&amp;f) Overheads &amp; Contractors Profit</t>
  </si>
  <si>
    <t>Rate per cum = a+b+c+d+e+f</t>
  </si>
  <si>
    <t>XX</t>
  </si>
  <si>
    <t>Providing concrete for plain concrete (1:3:6)  grade in open foundations using 40 mm nominal size Graded hard stone aggregate, mechanically mixed, placed in foundation and compacted by vibration including curing for 14 days complete as per drawings and technical specifications Clause 802, 803, 1202 &amp; 1203 MORD and 1500, 1700 &amp; 2100 MORTH ,including overhead charges &amp; Contractors profit ,but excluding Seignarage charges.</t>
  </si>
  <si>
    <t>Nominal mix 1:3:6</t>
  </si>
  <si>
    <t>Water</t>
  </si>
  <si>
    <t>Mechanical concrete mixer 0.4/0.28 cum capacity fitted with water measuring device and preferably also with load cell.</t>
  </si>
  <si>
    <t>Water tanker 6 kl capacity</t>
  </si>
  <si>
    <t>MoRTH 801</t>
  </si>
  <si>
    <t>Printing New Letters and Figures of any Shade</t>
  </si>
  <si>
    <t>Printing new letter and figures of any shade with synthetic enamel paint black or any other approved colour to give an even shade as per drawings and Technical Specification Clause 1701 MORD / 801 MORTH ,including overhead charges &amp; Contractors profit ,but excluding Seignarage charges.</t>
  </si>
  <si>
    <t>(ii)</t>
  </si>
  <si>
    <t>English and Roman</t>
  </si>
  <si>
    <t xml:space="preserve">Hyphens, commas and the like not to be measured and paid for. </t>
  </si>
  <si>
    <t>Detail for 100 letters of 160 mm height, i.e. 1600 cm</t>
  </si>
  <si>
    <t>Unit = per cm height per letter</t>
  </si>
  <si>
    <t>Painter 1st Class</t>
  </si>
  <si>
    <t>Painter Assistant</t>
  </si>
  <si>
    <t>b) Material</t>
  </si>
  <si>
    <t>Paint</t>
  </si>
  <si>
    <t>litre</t>
  </si>
  <si>
    <t>Cost for 1600 cm = a+b+c+d</t>
  </si>
  <si>
    <t>Rate per cm height per letter = (a+b+c+d)/1600</t>
  </si>
  <si>
    <t>ROAD FURNITURE MAIN ANALYSIS</t>
  </si>
  <si>
    <t>RBR-TSRA-2</t>
  </si>
  <si>
    <t>Traffic Signs</t>
  </si>
  <si>
    <t>Semi Reflective Traffic Signs</t>
  </si>
  <si>
    <t>Providing and fixing of semi reflective cautionary, mandatory and informatory sign board as per IRC:67 made of 1.5 mm thick MS Sheet duly stove white colour in front and gray colour on back with red reflective border of 65 mm width and required letters and figures with reflective tape engineering grade as per Clause 1701.3.9 of MORD for Rural Roads of required shade and colour supported and welded on 47 mm x 47 mm 12 SWG sheet tube firmly fixed to the ground by means of properly designed foundation with M15 grade cement concrete 450 mm x 450 mm x 600 mm, 600 mm below ground level as per drawings and Technical Specification Clause 1701 MORD ,including overhead charges &amp; Contractors profit ,but excluding Seignarage charges.</t>
  </si>
  <si>
    <t>Unit = Each</t>
  </si>
  <si>
    <t>Taking output = one traffic sign</t>
  </si>
  <si>
    <t>(i) Excavation but excluding for foundation</t>
  </si>
  <si>
    <t>As per item No. 1 of Chapter 11</t>
  </si>
  <si>
    <t>(ii) Cement concrete M15 grade</t>
  </si>
  <si>
    <t>As per item No. 4 (A) (iii) or (iv)  of Chapter 11</t>
  </si>
  <si>
    <t>(iii) Painting two coats including prime coat on concrete surface with Epoxy Paint as per specifications</t>
  </si>
  <si>
    <t>As per item No. 9 of this Chapter</t>
  </si>
  <si>
    <t>(a) labour (For fixing at site)</t>
  </si>
  <si>
    <t>Support of M.S. Sheet tube</t>
  </si>
  <si>
    <t>(I) 47 mm x 47 mm x 12 SWG Sheet 3050 mm long</t>
  </si>
  <si>
    <t>(II) Angle iron 50 x 50 x 6 mm for hold fast including 5% wastage</t>
  </si>
  <si>
    <t>Add 3% cost of MS Sheet tube 12 SWG and angle irons towards the cost of fabrication, drilling holes, nuts and bolts etc.</t>
  </si>
  <si>
    <t xml:space="preserve">(III) 1.5 mm thick M.S. Sheet duly painted with stove enameled paint including lettering, signs, border, message with reflective tape of engineering grade required size, shade and colour as per Technical Specifications </t>
  </si>
  <si>
    <t>(i) 900 mm equilateral triangle</t>
  </si>
  <si>
    <t>OR</t>
  </si>
  <si>
    <t>(ii) 600 mm equilateral triangle</t>
  </si>
  <si>
    <t>(iii) 600 mm circular</t>
  </si>
  <si>
    <t>(iv) 800 mm x 600 mm rectangular</t>
  </si>
  <si>
    <t>(v) 600 mm x 450 mm rectangular</t>
  </si>
  <si>
    <t>(0.36 Sqm. X 0.0015X7850 Kg/cum)</t>
  </si>
  <si>
    <t>(vi) 600 mm x 600 mm square</t>
  </si>
  <si>
    <t>(vii) 900 mm side octagon</t>
  </si>
  <si>
    <t>Tractor with trolley</t>
  </si>
  <si>
    <t xml:space="preserve">d&amp;e) Overheads </t>
  </si>
  <si>
    <t>Rate per traffic sign = (i+ii+iii+a+b+c+d+e)</t>
  </si>
  <si>
    <r>
      <t xml:space="preserve">Note : 1. </t>
    </r>
    <r>
      <rPr>
        <sz val="10"/>
        <rFont val="Calibri"/>
        <family val="2"/>
      </rPr>
      <t>Any one area of M.S. Sheet given at (i) to (viii) may be adopted as per site requirement and in accordance with IRC-67.</t>
    </r>
  </si>
  <si>
    <t>2. The rate for excavation, but excluding cement concrete M-15, and painting may be taken from respective Chapters.</t>
  </si>
  <si>
    <t>3. The depth of foundation and quantity of cement in the foundation are indicative. These may be increased for areas having higher wind velocities like in coastal area. This is applicable to all road signs and direction boards.</t>
  </si>
  <si>
    <t>RBR-TSRA-3</t>
  </si>
  <si>
    <t>Direction and Place Identification signs upto 0.9 sqm size board (1000x900mm size)</t>
  </si>
  <si>
    <t>Semi-Reflective Traffic signs</t>
  </si>
  <si>
    <t>Direction and place identification signs up to 0.9 sqm size board</t>
  </si>
  <si>
    <t>Providing and erecting direction and place identifications of semi reflective sign boards as per IRC:67 made of 2 mm thick M.S. Sheet duly stove enameled paint in white colour in front and grey colour on back with red reflective border of 70 mm width and required message, letters, figures with reflective engineering grade tape as per MORD specifications of required shade and colour. supported and welded on 47 mm x 47 mm of 12 SWG Square tube of 3050 mm height duly strengthened by 25 mm x 5 mm M/s flat iron on edges on back firmly fixed to the ground by means of properly designed foundation with M15 grade cement concrete 450 mm x 450 mm x 600 mm, 600 mm below ground level as per drawings and Technical Specification Clause 1701 MORD.,including overhead charges &amp; Contractors profit ,but excluding Seignarage charges.</t>
  </si>
  <si>
    <t>Unit = each</t>
  </si>
  <si>
    <t>Take Output = 0.9 sqm</t>
  </si>
  <si>
    <t>(iii) Painting on M.S. tube post with primer and two coat of epoxy paint as per specifications</t>
  </si>
  <si>
    <t>As per item No.9 of Chapter 10</t>
  </si>
  <si>
    <t>(i) Support of MS sheet tube</t>
  </si>
  <si>
    <t>47 mm x 47 mm of 12 SWG sheet 3050 mm long</t>
  </si>
  <si>
    <t>(ii) Angle iron 50 x 50 x 6 mm for lugs including 5% wastage</t>
  </si>
  <si>
    <t>(iii) 2 mm thick MS sheet strengthened by 25 mm x 5 mm MS flat iron &amp; painted with stove enameled paint including lettering, signs, message, border with reflective tape of engineering grade of required shade and colour as per Technical Specifications.</t>
  </si>
  <si>
    <t>(0.9 Sqmx0.002 mx7850 kg/cum)</t>
  </si>
  <si>
    <t>Add 3% cost of MS sheet angle iron towards the cost of fabrications, drilling, holes, nuts, bolts etc.</t>
  </si>
  <si>
    <t>Cost for 0.9 sqm = (i+ii+iii+a+b+c+d+e)</t>
  </si>
  <si>
    <t>Rate per (for sign having area upto 0.9 sqm) = (i+ii+iii+a+b+c+d+e)/ 1no</t>
  </si>
  <si>
    <t>RBR-TSRA-6</t>
  </si>
  <si>
    <t>Painting Two Coats on New Concrete Surfaces</t>
  </si>
  <si>
    <t>Painting two coats including primer coat after filling the surface with synthetic enamel paint in all shades on new, plastered / concrete surfaces as per drawing and Technical Specification Clause 1701MORD.,including overhead charges &amp; Contractors profit ,but excluding Seignarage charges.</t>
  </si>
  <si>
    <t>Taking output = 40 sqm</t>
  </si>
  <si>
    <t>Painter (1st Class)</t>
  </si>
  <si>
    <t>Cement Primer as per specifications</t>
  </si>
  <si>
    <t>Paint conforming to requirement of Clause 1701.3.8</t>
  </si>
  <si>
    <t>Add for scaffolding @ 1 per cent of labour cost where required</t>
  </si>
  <si>
    <t>Filling Material on Paint Cost</t>
  </si>
  <si>
    <t>Cost for 40 sqm = a+b+c+d</t>
  </si>
  <si>
    <t>Rate per sqm = (a+b+c+d)/40</t>
  </si>
  <si>
    <t>RBR-TSRA-9</t>
  </si>
  <si>
    <t>Painting on Concrete/Steel Surfaces with Epoxy</t>
  </si>
  <si>
    <t>Painting two coats including prime coat with epoxy paint of approved brand on concrete/steel surfaces after through cleaning of surface to give an even shade as per drawing and Technical Specification Clause 1701 MORD ,including overhead charges &amp; Contractors profit ,but excluding Seignarage charges.</t>
  </si>
  <si>
    <t>Taking output = 10 sqm</t>
  </si>
  <si>
    <t>Epoxy primer / Red-oxide</t>
  </si>
  <si>
    <t>Epoxy paint</t>
  </si>
  <si>
    <t>Add @ 1 per cent on cost of material for scaffolding wherever required</t>
  </si>
  <si>
    <t>Cost for 10 sqm = a+b+c+d</t>
  </si>
  <si>
    <t>Rate per sqm = (a+b+c+d)/10</t>
  </si>
  <si>
    <t>RBR-TSRA-13</t>
  </si>
  <si>
    <t>Kilometre Stone</t>
  </si>
  <si>
    <t>Reinforced cement concrete M15 grade kilometre stone/local stone of standard design as per IRC:8 fixing in position including painting and printing, etc as per drawing and Technical Specification Clause 1703 MORD / 804 MORTH ,including overhead charges &amp; Contractors profit ,but excluding Seignarage charges.</t>
  </si>
  <si>
    <t>(i)</t>
  </si>
  <si>
    <t>5th Kilometre Stone (p )</t>
  </si>
  <si>
    <t>Taking output = 6 Nos.</t>
  </si>
  <si>
    <t>a) M-15 grade of concrete</t>
  </si>
  <si>
    <t>As per item No. 5 (i) or (ii) of Chapter 12</t>
  </si>
  <si>
    <t>b) Steel reinforcement @ 5 kg per sqm</t>
  </si>
  <si>
    <t>As per item No. 6 of Chapter 12</t>
  </si>
  <si>
    <t>c) Excavation but excluding in soil for foundation</t>
  </si>
  <si>
    <t>d) Painting two coats on concrete surface</t>
  </si>
  <si>
    <t>As per item No.5 of Chapter 10</t>
  </si>
  <si>
    <t>e) lettering on km post (average 30 letters of 10 cm height each)</t>
  </si>
  <si>
    <t>As per item No. 1 of Chapter 10</t>
  </si>
  <si>
    <t>per cm high per letter</t>
  </si>
  <si>
    <t>Transportation and fixing</t>
  </si>
  <si>
    <t>f)  Labour</t>
  </si>
  <si>
    <t>g) Machinery</t>
  </si>
  <si>
    <t>50 HP Tractor with trolley</t>
  </si>
  <si>
    <t>j )Cost for 6 Nos. 5th km stone = a+b+c+d+e+f+g+h+i</t>
  </si>
  <si>
    <t>Rate for each 5th km stone = j/6</t>
  </si>
  <si>
    <t>Ordinary Kilometer Stone (P )</t>
  </si>
  <si>
    <t>Taking output = 14 Nos.</t>
  </si>
  <si>
    <t>e) lettering on km post (average 12 letters of 10 cm height each)</t>
  </si>
  <si>
    <t>j) Cost for 14 Nos. ordinary km stone = (a+b+c+d+e+f+g+h+i)</t>
  </si>
  <si>
    <t>Rate for each ordinary km stone = j/ 14</t>
  </si>
  <si>
    <t>(iii)</t>
  </si>
  <si>
    <t>200 m / Hectometer stone (p )</t>
  </si>
  <si>
    <t>Taking output = 33 Nos.</t>
  </si>
  <si>
    <t>e) lettering on km post (average 1 letter of 10 cm height each)</t>
  </si>
  <si>
    <t>j) Cost for 33 Nos. 200 m stone = (a+b+c+d+e+f+g+h+i)</t>
  </si>
  <si>
    <t>Rate for each 200 m stone = j / 33</t>
  </si>
  <si>
    <t>RBR-TSRA-20</t>
  </si>
  <si>
    <t>Providing and Fixing ' CRR   Project  information &amp; Name Board</t>
  </si>
  <si>
    <t>Providing and fixing of typical  CRR informatory  and Name Board  with necessary Logo as per specifications and drawing. Three MS Plates of 1.6 mm thick, top and middle plate duly welded with MS flat iron 25mm x 5m size on back on edges.  The lower plate will be we welded with MS angle irone frame of 25 mm x 25 mm x 5 mm. The angle iron frame of the lower most plate and flat iron frame of middle plate will be welded to 2 nos. 75 mm x 75 mm of 12 SWG sheet tubes posts duly embedded in cement concrete M-15 grade blocks of 450 mm x 450 mm x 600 mm, 600 mm below ground level. The top most diamond plate will be welded to middle plate by 47 mm x 47mm of 12 SWG sheet tube. All M.s. will be stove enameled on both sides. Lettering and printing arrows, border etc., will be pointed with ready mixed synthetic enamel paint of superior quality in required shade and colour. All sections of framed posts and steel tube will be painted with primer and two coats of epoxy paint as per drawing clause 1701 MORD ,including overhead charges &amp; Contractors profit ,but excluding Seignarage charges.</t>
  </si>
  <si>
    <t>Taking out put = one typical board</t>
  </si>
  <si>
    <t xml:space="preserve">i) Excavation but excluding for foundation </t>
  </si>
  <si>
    <t>(ii) Cement Concrete M15 grade</t>
  </si>
  <si>
    <t>As per item No. 4 (A) (iii) or (iv) of Chapter 11</t>
  </si>
  <si>
    <t>(iii) Painting on MS Steel tubes with primer and two coats of epoxy paint</t>
  </si>
  <si>
    <t>2x2.05x.30 = 1.23</t>
  </si>
  <si>
    <t>1x1.10x188 = 0.21</t>
  </si>
  <si>
    <t>As per item no. 9 of Chapter 10</t>
  </si>
  <si>
    <t>(iv) Printing new letters and figures of any shade with synthetic enamel paint black or any other  approved colour to give an even shade.</t>
  </si>
  <si>
    <t>Logo Border 60x4x5 = 1200 per cm height per letter</t>
  </si>
  <si>
    <t>Figure 60x10 = 600 per cm height per letter</t>
  </si>
  <si>
    <t>Middle plate words 28x5 = 140 per cm height per letter</t>
  </si>
  <si>
    <t>Bottom  plate border 150x2x5 = 1500 per cm height per letter</t>
  </si>
  <si>
    <t>Bottom plate border 60x2x5 = 600 per cm height per letter</t>
  </si>
  <si>
    <t>Words 101x2.5 = 252.5</t>
  </si>
  <si>
    <t>Words 80x3 = 240.00</t>
  </si>
  <si>
    <t>Total (4532.5 per cm height per letter)</t>
  </si>
  <si>
    <t>per cm height /  letter</t>
  </si>
  <si>
    <t>a) Labour (for fixing at site)</t>
  </si>
  <si>
    <t>2 nos. MS tubes 75mx75mm of 12 SWG sheet 2650 mm long</t>
  </si>
  <si>
    <t>1 No. MS tube 47mm x 47mm of 12 SWG 1100 mm long</t>
  </si>
  <si>
    <t>Angle iron 50mm x 50mm x 5 mm for lugs</t>
  </si>
  <si>
    <t xml:space="preserve">1.6 mm thick MS sheet strengthened by 25mm x 5 MS flat iron on logo and middle plate angle iron  25mm x 25mm x 5mm on bottom plate painting with stove enameled paint on both sides as per MORD specifications </t>
  </si>
  <si>
    <t>(1.44 sqmx0.0016mx7850 kg/cum)</t>
  </si>
  <si>
    <t>Add 3% cost of MS tube and angle iron towards the cost of fabrications, drilling holes, nuts, bolts, etc.</t>
  </si>
  <si>
    <t>c) Machinery</t>
  </si>
  <si>
    <t>Cost for one Board= (i+ii+iii+iv+a+b+c+d+e)</t>
  </si>
  <si>
    <t>LEAD CHARGES</t>
  </si>
  <si>
    <t>Cost of Materials, Labour</t>
  </si>
  <si>
    <t>pred</t>
  </si>
  <si>
    <t>Earth/Gravel/Sand</t>
  </si>
  <si>
    <t>Metal</t>
  </si>
  <si>
    <t>SSR 17-18</t>
  </si>
  <si>
    <t>SSR 21-22</t>
  </si>
  <si>
    <t>SSR 22-23</t>
  </si>
  <si>
    <t>SSR 23-24</t>
  </si>
  <si>
    <t>SSR-Ref</t>
  </si>
  <si>
    <t>loading</t>
  </si>
  <si>
    <t>Material Rates</t>
  </si>
  <si>
    <t>Distance</t>
  </si>
  <si>
    <t>Lead Charge for Earth/Sand/Gravel/Murrum/Lime/Surki/per cu.m</t>
  </si>
  <si>
    <t>Lead Charge for Rubble/size stones/cut stones/Coarse aggregare per cu.meter</t>
  </si>
  <si>
    <t>unloading</t>
  </si>
  <si>
    <t>60 to 63 mm IRC &amp; MoRTH HBG metal</t>
  </si>
  <si>
    <t>R-52</t>
  </si>
  <si>
    <t>stacking</t>
  </si>
  <si>
    <t>50 to 55 mm IRC &amp; MoRTH HBG metal</t>
  </si>
  <si>
    <t>R-51</t>
  </si>
  <si>
    <t>40 to 45 mm IRC &amp; MoRTH HBG metal</t>
  </si>
  <si>
    <t>R-50</t>
  </si>
  <si>
    <t>Roughstone 300mm (HBG)for revetment</t>
  </si>
  <si>
    <t>R-9</t>
  </si>
  <si>
    <t>Lead up to 1km</t>
  </si>
  <si>
    <t>Roughstone 225mm (HBG)for revetment</t>
  </si>
  <si>
    <t>R-8</t>
  </si>
  <si>
    <t>Lead up to 2km</t>
  </si>
  <si>
    <t xml:space="preserve">SS Revetment work 225mm </t>
  </si>
  <si>
    <t>R-2</t>
  </si>
  <si>
    <t>Lead up to 3km</t>
  </si>
  <si>
    <t xml:space="preserve">SS Revetment work 300mm </t>
  </si>
  <si>
    <t>R-3</t>
  </si>
  <si>
    <t>Lead up to 4km</t>
  </si>
  <si>
    <t xml:space="preserve">SS Revetment work 450mm </t>
  </si>
  <si>
    <t>R-4</t>
  </si>
  <si>
    <t>Lead up to 5km</t>
  </si>
  <si>
    <t xml:space="preserve">Laterite for Revetment  225mm </t>
  </si>
  <si>
    <t>R-6</t>
  </si>
  <si>
    <t>Lead from &gt;5 km  to 30km (every km)</t>
  </si>
  <si>
    <t xml:space="preserve">Laterite for Revetment  300mm </t>
  </si>
  <si>
    <t>R-7</t>
  </si>
  <si>
    <t>Lead from 30&gt; (for every km)</t>
  </si>
  <si>
    <t xml:space="preserve">Jeddy stone above 450mm to 600mm </t>
  </si>
  <si>
    <t>R-5</t>
  </si>
  <si>
    <t>Quarry spall(Field picked metal) 25mm</t>
  </si>
  <si>
    <t>R-83</t>
  </si>
  <si>
    <r>
      <rPr>
        <b/>
        <sz val="10"/>
        <rFont val="Arial"/>
        <family val="2"/>
      </rPr>
      <t>Note: The lead &amp; lift charges are</t>
    </r>
    <r>
      <rPr>
        <b/>
        <sz val="10"/>
        <color indexed="10"/>
        <rFont val="Arial"/>
        <family val="2"/>
      </rPr>
      <t xml:space="preserve"> inclusive of 13.615%</t>
    </r>
    <r>
      <rPr>
        <b/>
        <sz val="10"/>
        <rFont val="Arial"/>
        <family val="2"/>
      </rPr>
      <t xml:space="preserve"> Contractor Profit and Over Head Charges</t>
    </r>
  </si>
  <si>
    <t>R-78</t>
  </si>
  <si>
    <t>Loading</t>
  </si>
  <si>
    <t>40 to 45 mm IRC &amp; MoRTH HBG M/C metal</t>
  </si>
  <si>
    <t>Un-Loading</t>
  </si>
  <si>
    <t>25 to 27 mm IRC &amp; MoRTH HBG M/C metal</t>
  </si>
  <si>
    <t>R-49</t>
  </si>
  <si>
    <t>19 to 22 mm IRC &amp; MoRTH HBG M/C metal</t>
  </si>
  <si>
    <t>R-48</t>
  </si>
  <si>
    <t>OH&amp;CP Coefficent</t>
  </si>
  <si>
    <t>12 to 14 mm IRC &amp; MoRTH HBG M/C metal</t>
  </si>
  <si>
    <t>R-47</t>
  </si>
  <si>
    <t>9.5 to 11.20 mm IRC &amp; MoRTH HBG M/C metal</t>
  </si>
  <si>
    <t>R-46</t>
  </si>
  <si>
    <t>BT Conveyance charges</t>
  </si>
  <si>
    <t>Per Km per MT (round the trip)</t>
  </si>
  <si>
    <t>5 to 7 mm IRC &amp; MoRTH HBG M/C metal</t>
  </si>
  <si>
    <t>R-45b</t>
  </si>
  <si>
    <t>2.36 to 5 mm IRC &amp; MoRTH HBG M/C metal</t>
  </si>
  <si>
    <t>R-45a</t>
  </si>
  <si>
    <t>HBG Stone chips 2.36mm and below</t>
  </si>
  <si>
    <t>R-91</t>
  </si>
  <si>
    <t>R-89</t>
  </si>
  <si>
    <t>40 mm SS-5 m/c  HBG metal</t>
  </si>
  <si>
    <t>R-30</t>
  </si>
  <si>
    <t>25 mm SS-5 m/c HBG metal</t>
  </si>
  <si>
    <t>R-29</t>
  </si>
  <si>
    <t>20 mm SS-5 m/c HBG metal</t>
  </si>
  <si>
    <t>R-28</t>
  </si>
  <si>
    <t>12 mm SS-5 m/c HBG metal</t>
  </si>
  <si>
    <t>R-27</t>
  </si>
  <si>
    <t>10 mm SS-5 m/c HBG metal</t>
  </si>
  <si>
    <t>R-26</t>
  </si>
  <si>
    <t>6 mm SS-5 m/c HBG metal</t>
  </si>
  <si>
    <t>R-25</t>
  </si>
  <si>
    <t>Sand for Mortar</t>
  </si>
  <si>
    <t>R-92</t>
  </si>
  <si>
    <t>R-93</t>
  </si>
  <si>
    <t>R-94</t>
  </si>
  <si>
    <t>Polythene Sheet 125 micro</t>
  </si>
  <si>
    <t>R-274</t>
  </si>
  <si>
    <t>Bitumenous sealant</t>
  </si>
  <si>
    <t>R-273</t>
  </si>
  <si>
    <t xml:space="preserve">Jute rope </t>
  </si>
  <si>
    <t>R-271</t>
  </si>
  <si>
    <t>De bonding Strips</t>
  </si>
  <si>
    <t>R-272</t>
  </si>
  <si>
    <t>Tar felt Joint filler board 20mm</t>
  </si>
  <si>
    <t>IRR-MR-74</t>
  </si>
  <si>
    <t>Super Plastisizer</t>
  </si>
  <si>
    <t>IRR-MR-70</t>
  </si>
  <si>
    <t>R-79</t>
  </si>
  <si>
    <t>Blasting charges for rough stone</t>
  </si>
  <si>
    <t>R-55</t>
  </si>
  <si>
    <t>Seigniorage charges</t>
  </si>
  <si>
    <t>Gravel/earth</t>
  </si>
  <si>
    <t>Sand</t>
  </si>
  <si>
    <t>Labour Rates</t>
  </si>
  <si>
    <t>LR-11</t>
  </si>
  <si>
    <t>LR-35</t>
  </si>
  <si>
    <t>LR-4</t>
  </si>
  <si>
    <t>LR-2</t>
  </si>
  <si>
    <t>LR-</t>
  </si>
  <si>
    <t>70% of Mason Semi Skilled + 30% of Mason Skilled</t>
  </si>
  <si>
    <t>Machinery Rates</t>
  </si>
  <si>
    <t>Dozer (D 80)</t>
  </si>
  <si>
    <t>HC-8</t>
  </si>
  <si>
    <t xml:space="preserve">Motor grader </t>
  </si>
  <si>
    <t>HC-3</t>
  </si>
  <si>
    <t>Hydralic excavator</t>
  </si>
  <si>
    <t>HC-4</t>
  </si>
  <si>
    <t>HC-5</t>
  </si>
  <si>
    <t>Tipper 5.5 cum per Hour</t>
  </si>
  <si>
    <t>HC-6</t>
  </si>
  <si>
    <t>HC-7</t>
  </si>
  <si>
    <t>smooth wheeled roller 8 Ton</t>
  </si>
  <si>
    <t>HC-10</t>
  </si>
  <si>
    <t xml:space="preserve">Tractor </t>
  </si>
  <si>
    <t>HC-11</t>
  </si>
  <si>
    <t>Tractor with Rotavator/Grader</t>
  </si>
  <si>
    <t>HC-12</t>
  </si>
  <si>
    <t>Tractor with ripper attachment @ 60 cum per hour</t>
  </si>
  <si>
    <t>HC-13</t>
  </si>
  <si>
    <t xml:space="preserve">Air compressor </t>
  </si>
  <si>
    <t>HC-14</t>
  </si>
  <si>
    <t>Wet mix plant of 60 TPH</t>
  </si>
  <si>
    <t>HC-15</t>
  </si>
  <si>
    <t>Mechanical broom Hydraulic</t>
  </si>
  <si>
    <t>HC-16</t>
  </si>
  <si>
    <t>HC-17</t>
  </si>
  <si>
    <t>HC-18</t>
  </si>
  <si>
    <t>Hot mix/Batch Mix Plant 100 TPH</t>
  </si>
  <si>
    <t>HC-20</t>
  </si>
  <si>
    <t>Hot Mix Plat 75 TPH</t>
  </si>
  <si>
    <t>Hot mix/Batch Mix Plant 60 TPH</t>
  </si>
  <si>
    <t>HC-21</t>
  </si>
  <si>
    <t>HC-22</t>
  </si>
  <si>
    <t xml:space="preserve">Hydraulic  chip spreader </t>
  </si>
  <si>
    <t>HC-23</t>
  </si>
  <si>
    <t>Tandem road roller.</t>
  </si>
  <si>
    <t>Pneumatic road Roller</t>
  </si>
  <si>
    <t>HC-24</t>
  </si>
  <si>
    <t>GSB Plant 50 Cum</t>
  </si>
  <si>
    <t>HC-26</t>
  </si>
  <si>
    <t>HC-39</t>
  </si>
  <si>
    <t>Generator set 125 KVA</t>
  </si>
  <si>
    <t>HC-43</t>
  </si>
  <si>
    <t>Generator set 30 KVA</t>
  </si>
  <si>
    <t>Concrete mixer 0.28 cum</t>
  </si>
  <si>
    <t>HC-34</t>
  </si>
  <si>
    <t>Tipper 10t per tonne Km</t>
  </si>
  <si>
    <t>HC-41</t>
  </si>
  <si>
    <t>Tipper 10t cum per  Km</t>
  </si>
  <si>
    <t>Plate compactor/Power rammer</t>
  </si>
  <si>
    <t>HC-44</t>
  </si>
  <si>
    <t>Black Smith</t>
  </si>
  <si>
    <t>Binding Wire per kg</t>
  </si>
  <si>
    <t>IRR-MR-3</t>
  </si>
  <si>
    <t>Hydrostatic sensor paver 100 TPH</t>
  </si>
  <si>
    <t>IRR-MR-35</t>
  </si>
  <si>
    <t>Batching and Mixing Plant</t>
  </si>
  <si>
    <t>(a) 30 Cum capacity</t>
  </si>
  <si>
    <t>HC-28</t>
  </si>
  <si>
    <t>(b) 15 - 20 Cum capacity</t>
  </si>
  <si>
    <t>© 175 cum capacity</t>
  </si>
  <si>
    <t>Generator 100 kv</t>
  </si>
  <si>
    <t>Generator 250 kv</t>
  </si>
  <si>
    <t>Transit mixer</t>
  </si>
  <si>
    <t>HC-33</t>
  </si>
  <si>
    <t>Concrete pump of 45 and</t>
  </si>
  <si>
    <t>30 cum</t>
  </si>
  <si>
    <t>Concrete paver finisher with 40 HP motor</t>
  </si>
  <si>
    <t>HC-40</t>
  </si>
  <si>
    <t>Curing Compound</t>
  </si>
  <si>
    <t>IRR-MR-15</t>
  </si>
  <si>
    <t xml:space="preserve">Epoxy -primer </t>
  </si>
  <si>
    <t>IRR-MR-27</t>
  </si>
  <si>
    <t>plastisizer admixture</t>
  </si>
  <si>
    <t>BSSR-671</t>
  </si>
  <si>
    <t>water (urban)</t>
  </si>
  <si>
    <t>R-276</t>
  </si>
  <si>
    <t>water (rural)</t>
  </si>
  <si>
    <t>R-275</t>
  </si>
  <si>
    <t>LR-2b</t>
  </si>
  <si>
    <t>Kerb casting machine</t>
  </si>
  <si>
    <t>HC-37</t>
  </si>
  <si>
    <t>Concrete batching and mixing plant @ 15 cu,/hr</t>
  </si>
  <si>
    <t>IRR-10</t>
  </si>
  <si>
    <t xml:space="preserve">Chequered Tiles-IS:13801 300X300 of 25 mm thick </t>
  </si>
  <si>
    <t>BSSR-85</t>
  </si>
  <si>
    <t>Plumber</t>
  </si>
  <si>
    <t>LR-36</t>
  </si>
  <si>
    <t>unslaked lime</t>
  </si>
  <si>
    <t>R-101</t>
  </si>
  <si>
    <t>Quarry Rubbish</t>
  </si>
  <si>
    <t>R-90</t>
  </si>
  <si>
    <t>TBSC-G.I-05</t>
  </si>
  <si>
    <t>BSSR-86</t>
  </si>
  <si>
    <t>Earth cost or Compensation</t>
  </si>
  <si>
    <t>IRR-MR-102</t>
  </si>
  <si>
    <t>IRR-MR-94</t>
  </si>
  <si>
    <t>GI Pipe 100mm dia/meter</t>
  </si>
  <si>
    <t>I&amp;CAD Page-2 S.No.32</t>
  </si>
  <si>
    <t>G I Bolt 10mm dia</t>
  </si>
  <si>
    <t>Bond stones ( 600 x 200 x 200 mm )</t>
  </si>
  <si>
    <t>As per IS 458</t>
  </si>
  <si>
    <t>SSR  2022-23</t>
  </si>
  <si>
    <t>NP3 - RCC pipes made by Casting process</t>
  </si>
  <si>
    <t>Dia in mm</t>
  </si>
  <si>
    <t>Barrel 
thickness in mm</t>
  </si>
  <si>
    <t>Steel kgs/m</t>
  </si>
  <si>
    <t>CC qty in cum</t>
  </si>
  <si>
    <t>steel qty in kgs</t>
  </si>
  <si>
    <t>Cement Rate adopted</t>
  </si>
  <si>
    <t>Present Cement Rate</t>
  </si>
  <si>
    <t>Steel  Rate adopted</t>
  </si>
  <si>
    <t>Present steel Rate</t>
  </si>
  <si>
    <t>Variation in cost of Cement (S2-S1)/1000 X Ws</t>
  </si>
  <si>
    <t>Variation in cost of Steel (S2-S1)/1000 X Ws</t>
  </si>
  <si>
    <t>Total Variation</t>
  </si>
  <si>
    <t>Longi</t>
  </si>
  <si>
    <t>spiral</t>
  </si>
  <si>
    <t>Min. cement for NP3 pipes = 360 kg/ cum</t>
  </si>
  <si>
    <t xml:space="preserve">Cement Rate </t>
  </si>
  <si>
    <t>Plain Ended Pipes</t>
  </si>
  <si>
    <t>SSR  2022-23 Rates</t>
  </si>
  <si>
    <t>variation cost of cement and steel</t>
  </si>
  <si>
    <t>Final pipe rate</t>
  </si>
  <si>
    <t xml:space="preserve">1200mm Dia NP4 Class </t>
  </si>
  <si>
    <t>1200mm Dia Collar</t>
  </si>
  <si>
    <t xml:space="preserve">1000mm Dia NP4 Class </t>
  </si>
  <si>
    <t>1000mm Dia Collar</t>
  </si>
  <si>
    <t xml:space="preserve">900mm Dia NP4 Class </t>
  </si>
  <si>
    <t>900mm Dia Collar</t>
  </si>
  <si>
    <t xml:space="preserve">800mm Dia NP4 Class </t>
  </si>
  <si>
    <t>800mm Dia Collar</t>
  </si>
  <si>
    <t xml:space="preserve">700mm Dia NP4 Class </t>
  </si>
  <si>
    <t>700mm Dia Collar</t>
  </si>
  <si>
    <t xml:space="preserve">600mm Dia NP4 Class </t>
  </si>
  <si>
    <t>600mm Dia Collar</t>
  </si>
  <si>
    <t xml:space="preserve">450mm Dia NP4 Class </t>
  </si>
  <si>
    <t>450mm Dia Collar</t>
  </si>
  <si>
    <t xml:space="preserve">300mm Dia NP4 Class </t>
  </si>
  <si>
    <t>300mm Dia Collar</t>
  </si>
  <si>
    <t>With Cement rate Rs.</t>
  </si>
  <si>
    <t>With MS steel rate Rs</t>
  </si>
  <si>
    <t>NP3 - RCC Collars</t>
  </si>
  <si>
    <t>Caulking space in mm</t>
  </si>
  <si>
    <t>thickness in mm</t>
  </si>
  <si>
    <t>length in mm</t>
  </si>
  <si>
    <t>Steel</t>
  </si>
  <si>
    <t xml:space="preserve"> up to  2.00Cr  -&gt; 9 months
above 2.00 up to 5 Cr  12 months
 above 2.00 up to 5 Cr with major CD work  15 months
above 5.00 Cr -&gt;  15 months</t>
  </si>
  <si>
    <t>External area of Vertical posts</t>
  </si>
  <si>
    <t>0.25*0.275</t>
  </si>
  <si>
    <t>Concrete in Vertical posts</t>
  </si>
  <si>
    <t>0.069*28</t>
  </si>
  <si>
    <t>Hand rail in 3 tiers</t>
  </si>
  <si>
    <t>3*24</t>
  </si>
  <si>
    <t>Meters</t>
  </si>
  <si>
    <t xml:space="preserve">External area </t>
  </si>
  <si>
    <t>0.17*0.175</t>
  </si>
  <si>
    <t>Concrtete in hand rails= 0.03*72</t>
  </si>
  <si>
    <t>1.932+2.16</t>
  </si>
  <si>
    <t>HYSD Bar reinforcement</t>
  </si>
  <si>
    <t xml:space="preserve"> Sand  for filling</t>
  </si>
  <si>
    <t>Sand  Filling  in foundation trenches as per drawing and technical specification Clause 304 of MORTH including overhead charges &amp; Contractors profit etc complete.</t>
  </si>
  <si>
    <t>R/F A to B in Wanaparthy Mandal of Wanaparthy District</t>
  </si>
  <si>
    <t>Wanaparthy</t>
  </si>
  <si>
    <t xml:space="preserve"> vide Lr.No.T4/CRR/Wanaparthy/22 Dt: 06.09.2022</t>
  </si>
  <si>
    <t xml:space="preserve">As per the content of G.O Ms.No.21 dt:31.03.2022 of Industries &amp; Commerce(Mines.I) Dept, Add 0.8 times permit fee on Seignorage Charges in the estimate  may be allowed to provide. </t>
  </si>
  <si>
    <t>BC Gr-II (30mm thick) aproved with (filler stone dust @2%) with 5.4% 60/70 Grade binder. Mechanical paver is provided instead of Hydrostatic sensor paver finisher in BC GrII data.</t>
  </si>
  <si>
    <t>For the Roads safety Interventions, the rates for items Thermoplastic paint for lane and edge marking(2.5mm thick in 1 layer), RPM (twin Moulded Shanks) , Rumble strips and Crash barrier are considered from Circular memo No. RSI/DCE ( R)/ Con.Er.(RS)/DEE(RS)/AEE(RS)/2022, dated23.11.2022 of O/o ENC State Roads &amp; CRN, Hyderabad of R&amp;B Department. As this is a finished item of work at site a direct approved rates adopted as per ENC, R&amp;B State Roads &amp; CRN on 23-11-2022 with out adding OH &amp; CP and Lead to site.</t>
  </si>
  <si>
    <t xml:space="preserve">HMP 60 TPH and HMP 100 TPH rates are interpolated to arrive HMP 75 TPH rate and the same was allowed as an economical criteria as 75HMP rates are not available in SSR  2023-24. </t>
  </si>
  <si>
    <t>As per the content of Minutes of the BOCEs meeting dated 28.02.2018 vide Lr.No.ENC/IW/P&amp;M/EE/DEE.2/AEE.5 /BOCE/61108/2018 dated: 08.03.2018, ENC (IW), Hyderabad and , the Government have instructed all the Engineering Department to deduct towards State Mineral Exploration Trust (SMET) Fund @ 2% &amp; District Mineral Fund (DMF) @ 30% from the works bills on the Seigniorage Charges respectivley in the estimate may be allowed to provide. Revised Segniorage charges are adopted as per G.O.Ms.No.18 Industries and Commerce (Mines-I) Department dated 31.03.2022</t>
  </si>
  <si>
    <t>Cost, supply and Painting on road for Rumble strips 7.5mm thick (in 3 layers each of 2.5mm thick)  including cost and conveyance and all labour charges and including contractors profit &amp; Over head charges,  but excluding  GST etc,. Complete.</t>
  </si>
  <si>
    <t xml:space="preserve">Day 1 
 From 0.00 Hrs To 24.00 Hrs     </t>
  </si>
  <si>
    <t xml:space="preserve">Day 2 
 From 0.00 Hrs To 24.00 Hrs     </t>
  </si>
  <si>
    <t xml:space="preserve">Day 3  From 0.00 Hrs To 24.00 Hrs     </t>
  </si>
  <si>
    <t xml:space="preserve">GENERAL ABSTRACT </t>
  </si>
  <si>
    <t xml:space="preserve">  ROAD PART ESTIMATE WITH SSR  2023-24</t>
  </si>
  <si>
    <t>Providing and laying semi dense bituminous concrete with 100-120 TPH batch type HMP producing an average output of 75 tonnes per hour using crushed aggregates of grading-II, premixed with bituminous binder 60/70 @ 4.5 to 5  per cent  of mix and filler, transporting the hot mix to work site, laying with a hydrostatic paver finisher with sensor control to the required grade, level and alignment, rolling with smooth wheeled, vibratory and tandem rollers to achieve the desired compaction as per MoRTH specification clause No. 508 (5th Revision) complete in all respects</t>
  </si>
  <si>
    <t>CD WORKS ABSTRACT</t>
  </si>
  <si>
    <t xml:space="preserve">  SUB-ESTIMATE  FOR PIPE CULVERT WITH SSR  2023-24</t>
  </si>
  <si>
    <t xml:space="preserve">  SUB-ESTIMATE FOR SLAB CULVERT WITH SSR 2023-24</t>
  </si>
  <si>
    <t xml:space="preserve">    SUB-ESTIMATE FOR SLAB CULVERT WITH SSR 2023-24</t>
  </si>
  <si>
    <t>Groove cutting</t>
  </si>
  <si>
    <t>Meter</t>
  </si>
  <si>
    <t>weight of bitumen - 20.25 tonnes</t>
  </si>
  <si>
    <t>Weight of aggregate = 450-20.25 = 429.75 tonnes</t>
  </si>
  <si>
    <t>Volume of aggregate = 286.50 cum</t>
  </si>
  <si>
    <t xml:space="preserve"> 2% filler @ Stone dust</t>
  </si>
  <si>
    <t xml:space="preserve"> 2% filler with Stone Dust</t>
  </si>
  <si>
    <t>20.07.2023</t>
  </si>
  <si>
    <t>Present: Sri K.Raghuveera Reddy, B.Tech.</t>
  </si>
  <si>
    <t>Inspection report of the Superintending Engineer, PR, Region, Warangal</t>
  </si>
  <si>
    <t xml:space="preserve"> PR, Region, Warangal</t>
  </si>
  <si>
    <t>Warangal</t>
  </si>
  <si>
    <t>Wgl</t>
  </si>
  <si>
    <t>The crust design is provided for Flexible pavement as per IRC SP 72:2015 and for Rigid pavements as per  IRC SP 62:2014 based on the trafic calculations and CBR value submitted the SE PR Warangal. The necessary corrections in the crust design wll be made in case of eronous proposed from SE concerned.</t>
  </si>
  <si>
    <t xml:space="preserve">Subject to approval a draft memo to SE ,PR,Warangal for communication of Technical Sanction estimates along with the Schedules is placed below for perusal and approval please. On approval of the Schedules the same will be published on E-Procurement plotform </t>
  </si>
  <si>
    <t>The bitumen content in data for the item Bituminous Concrete as submitted by the Superintending Engineer, PR Warangal is considered as 5.4% with respect to the MoRTH 4th revision. The SE, PR, Warangal is requested to issue necessary intructions to the field staff/ Engineer-in-Charge to conduct tests for Bituminous Concrete in the reputed laboratories with respect to the available gradations and Job Mix Formulae to be approved by the concerned Executive Engineer well before grounding the work.</t>
  </si>
  <si>
    <t>SSR 2024-25</t>
  </si>
  <si>
    <t>0/000 to 1/00 km</t>
  </si>
  <si>
    <t>From Km 0/0 to 0/8</t>
  </si>
  <si>
    <t>From Km 0/800 to 1/000</t>
  </si>
  <si>
    <t>The total length of the Road is 1.000 Km.   The total length is Earthen Surface.  The both sides of the road is of Wet Fields,  Hence Carted Earth is proposed.</t>
  </si>
  <si>
    <t>Provide  CC M30 with 200 mm thick From  Km 0/800 to 1/00 in Village Portion,with GSB 100mm and WMM 75mm thick as per SP 62-2014</t>
  </si>
  <si>
    <t>Provide  BT From Km 0/0 to 0/800 as per SP-72-2015 with GSB 175mm and Wmm 150mm as per traffic conditions</t>
  </si>
  <si>
    <t>CC 0/800to 1/00km</t>
  </si>
  <si>
    <t>BT Portion 0/00 to 0/800KM</t>
  </si>
  <si>
    <t>Clearing and grubbing road land including uprooting rank vegetation, grass, bushes, shrubs, saplings and trees girth up to 300 mm, removal of stumps of trees as per the Techinical Specification Clause 201 MoRTH 5th Revision from Km 0/00 to 1/000</t>
  </si>
  <si>
    <t>Forming Embankment with material obtained from borrowed useful earth from outside road boundary by mechanical means upto SDR with all leads and lifts  as per MoRT&amp;H specification 305 (5th revision). (The soil CBR&gt;10%, PI&lt;18% &amp; MDD&gt;1.8 g/cc) from Km  0/00 to 1/000</t>
  </si>
  <si>
    <t>Construction of granular sub-base  by providing close graded material (Table 400.1) with Grading VI Material  CBR Value not less than 100 and  PI Value less than 6  spreading in uniform layers with  Vibratory Roller to achieve the  desired density, complete as directed by the Engineer-in-charge and as per Technical Specification Clause 401 MoRT&amp;H (5th Revision) from Km  0/00 to 1/000</t>
  </si>
  <si>
    <t>Providing, laying, spreading and compacting graded stone aggregate to Wet mix macadam specification including premixing the  material with water at OMC in mechanical mixer (Pug Mill), as per Technical Specification Clause 406 MoRT&amp;H ( 5th revision ) from Km  0/00 to 1/000</t>
  </si>
  <si>
    <t>Providing and applying primer coat with bitumen emulsion (SS-1) on prepared surface of granular base including cleaning of road surface as per Technical Specification Clause 502 MoRT&amp;H (5th Revision) from Km 0/0 to 0/800</t>
  </si>
  <si>
    <t>Providing and applying tack coat with Bitumen emulsion (RS-1)  using emulsion  distributor at the rate of 0.20 kg per sqm on as per Technical Specification Clause 503 MoRT&amp;H (5th Revision) from Km 0/0 to 0/800</t>
  </si>
  <si>
    <t>Providing and laying bituminous concrete with 100-120 TPH batch type hot mix plant producing an average output of 75 tonnes per hour using crushed aggregates of grading-II premixed with bituminous binder @ 5.0 to 5.4 percent of mix as per MORTH specification clause No. 509 complete in all respects from Km 0/0 to 0/800</t>
  </si>
  <si>
    <t>Construction of  un-reinforced, expansion and construction joint plain cement concrete pavement, thickness as per design, over a prepared sub base, with 43 grade cement or any other type as per Clause 1501.2.2 M30 (Grade), as per drawing  and Technical Specification Clause 1501 MORD from Km 0/800 to 1/00</t>
  </si>
  <si>
    <t>Construction of earthen shoulders with selective soils obtained from borrow pits with MDD of 18 KN/Cum , CBR ≥ 12%, PI &lt; 12% from approved sources, as per MoRT&amp;H specification 305 (5th  revision) from Km 0/0 to 1/00</t>
  </si>
  <si>
    <t>Provide Road furniture and Road safety interventions</t>
  </si>
  <si>
    <t xml:space="preserve">                       The  estmate is prepared with MORTH Data duly adopting Cement and Steel rates of  June 2024 and BT rates are adopted as on       .2024</t>
  </si>
  <si>
    <t xml:space="preserve">                      The Estimate  is prepared with the SSR for  2024-25 and with above provisions and cost is worked out to Rs.  100 .00 lakhs and same is submitted for according early Sanction.</t>
  </si>
  <si>
    <t>2024-25</t>
  </si>
  <si>
    <t>CRR</t>
  </si>
  <si>
    <t>0/800</t>
  </si>
  <si>
    <t>1/000</t>
  </si>
  <si>
    <t xml:space="preserve">Construction of HP Culvert 1V of 1000mm Dia.NP4 Pipes at Km </t>
  </si>
  <si>
    <t>Construction of HP Culvert 2V of 1000mm Dia.NP4 Pipes at Km</t>
  </si>
  <si>
    <t>1vent 5.00 x 2.00m span slab culvert at 2/100Km</t>
  </si>
  <si>
    <t xml:space="preserve">Construction of 1 Vent of 5.00 x 2.00m span Slab Culverts- 1nos  at Km 2/100 </t>
  </si>
  <si>
    <t>Const. of 30 m Road  Dam with 4 vents of 1000mm Dia  -</t>
  </si>
  <si>
    <t>SSR  2024-25</t>
  </si>
  <si>
    <t xml:space="preserve">                    Kindly peruse the ref. 2nd  cited where in the SE (PR) Warangal has submitted detailed estimates of  above subject work Sanctioned vide reference 1st  cited under -CRR-2024-25  grant and requested for according   technical sanction the details are as follows.</t>
  </si>
  <si>
    <t xml:space="preserve">  Dt:     -09-2024</t>
  </si>
  <si>
    <t>sep' 2024</t>
  </si>
  <si>
    <t>Bricks</t>
  </si>
</sst>
</file>

<file path=xl/styles.xml><?xml version="1.0" encoding="utf-8"?>
<styleSheet xmlns="http://schemas.openxmlformats.org/spreadsheetml/2006/main">
  <numFmts count="50">
    <numFmt numFmtId="44" formatCode="_(&quot;$&quot;* #,##0.00_);_(&quot;$&quot;* \(#,##0.00\);_(&quot;$&quot;* &quot;-&quot;??_);_(@_)"/>
    <numFmt numFmtId="43" formatCode="_(* #,##0.00_);_(* \(#,##0.00\);_(* &quot;-&quot;??_);_(@_)"/>
    <numFmt numFmtId="164" formatCode="_ * #,##0.00_ ;_ * \-#,##0.00_ ;_ * &quot;-&quot;??_ ;_ @_ "/>
    <numFmt numFmtId="165" formatCode="0.00&quot; Kms&quot;"/>
    <numFmt numFmtId="166" formatCode="0.00\ &quot; Lakhs&quot;"/>
    <numFmt numFmtId="167" formatCode="_([$€-2]* #,##0.00_);_([$€-2]* \(#,##0.00\);_([$€-2]* &quot;-&quot;??_)"/>
    <numFmt numFmtId="168" formatCode="[$-409]d/mmm/yy;@"/>
    <numFmt numFmtId="169" formatCode="0.00000"/>
    <numFmt numFmtId="170" formatCode="0&quot;-Months &quot;"/>
    <numFmt numFmtId="171" formatCode="0.0"/>
    <numFmt numFmtId="172" formatCode="0.00_);[Red]\(0.00\)"/>
    <numFmt numFmtId="173" formatCode="#,##0.000"/>
    <numFmt numFmtId="174" formatCode="##,##0.0_);"/>
    <numFmt numFmtId="175" formatCode="&quot;&gt; Rs.&quot;0.00&quot; Lakhs&quot;"/>
    <numFmt numFmtId="176" formatCode="0.00_)"/>
    <numFmt numFmtId="177" formatCode="#,##0.00;[Red]#,##0.00"/>
    <numFmt numFmtId="178" formatCode="0_ "/>
    <numFmt numFmtId="179" formatCode="_(* #,##0_);_(* \(#,##0\);_(* &quot;-&quot;??_);_(@_)"/>
    <numFmt numFmtId="180" formatCode="&quot;Estt.Cost.Rs.&quot;0.00&quot; Lakhs&quot;"/>
    <numFmt numFmtId="181" formatCode="0.0000"/>
    <numFmt numFmtId="182" formatCode="_-* #,##0_-;\-* #,##0_-;_-* &quot;-&quot;_-;_-@_-"/>
    <numFmt numFmtId="183" formatCode="\ 0.00\ &quot;X&quot;"/>
    <numFmt numFmtId="184" formatCode="0.000"/>
    <numFmt numFmtId="185" formatCode="0.00;[Red]0.00"/>
    <numFmt numFmtId="186" formatCode="##,##0_);"/>
    <numFmt numFmtId="187" formatCode="0.00&quot; Lakhs/Km&quot;"/>
    <numFmt numFmtId="188" formatCode="0\ &quot;Nos.&quot;"/>
    <numFmt numFmtId="189" formatCode="0.00_);\(0.00\)"/>
    <numFmt numFmtId="190" formatCode="_-* #,##0.00_-;\-* #,##0.00_-;_-* &quot;-&quot;??_-;_-@_-"/>
    <numFmt numFmtId="191" formatCode="mm/dd/yy"/>
    <numFmt numFmtId="192" formatCode="0.00&quot;Lakhs&quot;"/>
    <numFmt numFmtId="193" formatCode="&quot;Rs.&quot;0&quot; Lakhs&quot;"/>
    <numFmt numFmtId="194" formatCode="0.00&quot; Lakhs&quot;"/>
    <numFmt numFmtId="195" formatCode="0.00_ "/>
    <numFmt numFmtId="196" formatCode="\ 0.00\ &quot;Kms&quot;"/>
    <numFmt numFmtId="197" formatCode="&quot;Rs.&quot;0.00&quot; &quot;"/>
    <numFmt numFmtId="198" formatCode="0;[Red]0"/>
    <numFmt numFmtId="199" formatCode="0.000%"/>
    <numFmt numFmtId="200" formatCode="0.000;[Red]0.000"/>
    <numFmt numFmtId="201" formatCode="&quot;Rs.&quot;0.00&quot;  Lakhs.&quot;"/>
    <numFmt numFmtId="202" formatCode="#,##0.0000"/>
    <numFmt numFmtId="203" formatCode="0.000_);\(0.000\)"/>
    <numFmt numFmtId="204" formatCode="0.0;[Red]0.0"/>
    <numFmt numFmtId="205" formatCode="0.00&quot;-Kms&quot;"/>
    <numFmt numFmtId="206" formatCode="##,##0.00_);"/>
    <numFmt numFmtId="207" formatCode="&quot;Rs.&quot;0.00&quot; Lakhs&quot;"/>
    <numFmt numFmtId="208" formatCode="0.000&quot; Kms&quot;"/>
    <numFmt numFmtId="209" formatCode="0&quot;-Kms&quot;"/>
    <numFmt numFmtId="210" formatCode="[$-409]d/mmm/yyyy;@"/>
    <numFmt numFmtId="211" formatCode="0.0%"/>
  </numFmts>
  <fonts count="413">
    <font>
      <sz val="10"/>
      <name val="Arial"/>
      <charset val="134"/>
    </font>
    <font>
      <sz val="11"/>
      <color theme="1"/>
      <name val="Calibri"/>
      <family val="2"/>
      <scheme val="minor"/>
    </font>
    <font>
      <sz val="11"/>
      <color theme="1"/>
      <name val="Calibri"/>
      <family val="2"/>
      <scheme val="minor"/>
    </font>
    <font>
      <b/>
      <sz val="12"/>
      <name val="Arial"/>
      <family val="2"/>
    </font>
    <font>
      <sz val="10"/>
      <name val="Arial"/>
      <family val="2"/>
    </font>
    <font>
      <b/>
      <sz val="10"/>
      <name val="Arial"/>
      <family val="2"/>
    </font>
    <font>
      <b/>
      <sz val="14"/>
      <color rgb="FF0000FF"/>
      <name val="Times New Roman"/>
      <family val="1"/>
    </font>
    <font>
      <b/>
      <sz val="10"/>
      <color rgb="FF0000FF"/>
      <name val="Arial"/>
      <family val="2"/>
    </font>
    <font>
      <b/>
      <sz val="8"/>
      <name val="Arial"/>
      <family val="2"/>
    </font>
    <font>
      <sz val="10"/>
      <color rgb="FF0000FF"/>
      <name val="Arial"/>
      <family val="2"/>
    </font>
    <font>
      <b/>
      <sz val="12"/>
      <color rgb="FFFF0000"/>
      <name val="Arial"/>
      <family val="2"/>
    </font>
    <font>
      <sz val="9"/>
      <name val="Arial"/>
      <family val="2"/>
    </font>
    <font>
      <sz val="11"/>
      <color rgb="FFFF0000"/>
      <name val="Arial"/>
      <family val="2"/>
    </font>
    <font>
      <sz val="10"/>
      <color rgb="FFFF0000"/>
      <name val="Arial"/>
      <family val="2"/>
    </font>
    <font>
      <b/>
      <sz val="12"/>
      <color indexed="12"/>
      <name val="Arial"/>
      <family val="2"/>
    </font>
    <font>
      <sz val="10"/>
      <color indexed="12"/>
      <name val="Arial"/>
      <family val="2"/>
    </font>
    <font>
      <b/>
      <sz val="9"/>
      <name val="Arial"/>
      <family val="2"/>
    </font>
    <font>
      <sz val="8"/>
      <name val="Arial"/>
      <family val="2"/>
    </font>
    <font>
      <sz val="10"/>
      <color indexed="9"/>
      <name val="Arial"/>
      <family val="2"/>
    </font>
    <font>
      <sz val="10"/>
      <color indexed="10"/>
      <name val="Arial"/>
      <family val="2"/>
    </font>
    <font>
      <sz val="10"/>
      <color indexed="14"/>
      <name val="Arial"/>
      <family val="2"/>
    </font>
    <font>
      <sz val="10"/>
      <color rgb="FFFF0066"/>
      <name val="Arial"/>
      <family val="2"/>
    </font>
    <font>
      <b/>
      <sz val="10"/>
      <color rgb="FFFF00FF"/>
      <name val="Arial"/>
      <family val="2"/>
    </font>
    <font>
      <sz val="12"/>
      <name val="Arial Narrow"/>
      <family val="2"/>
    </font>
    <font>
      <sz val="12"/>
      <name val="Arial"/>
      <family val="2"/>
    </font>
    <font>
      <b/>
      <sz val="18"/>
      <name val="Arial"/>
      <family val="2"/>
    </font>
    <font>
      <sz val="12"/>
      <color rgb="FFFF0000"/>
      <name val="Arial"/>
      <family val="2"/>
    </font>
    <font>
      <sz val="12"/>
      <color rgb="FF00B050"/>
      <name val="Arial"/>
      <family val="2"/>
    </font>
    <font>
      <sz val="12"/>
      <color indexed="36"/>
      <name val="Arial"/>
      <family val="2"/>
    </font>
    <font>
      <b/>
      <sz val="14"/>
      <name val="Arial"/>
      <family val="2"/>
    </font>
    <font>
      <b/>
      <sz val="10"/>
      <color rgb="FFFF0000"/>
      <name val="Arial"/>
      <family val="2"/>
    </font>
    <font>
      <sz val="10"/>
      <color rgb="FF00B050"/>
      <name val="Arial"/>
      <family val="2"/>
    </font>
    <font>
      <b/>
      <sz val="12"/>
      <color indexed="8"/>
      <name val="Arial"/>
      <family val="2"/>
    </font>
    <font>
      <sz val="16"/>
      <color rgb="FFFF0000"/>
      <name val="Arial"/>
      <family val="2"/>
    </font>
    <font>
      <sz val="16"/>
      <name val="Arial"/>
      <family val="2"/>
    </font>
    <font>
      <sz val="11"/>
      <name val="Arial"/>
      <family val="2"/>
    </font>
    <font>
      <sz val="12"/>
      <name val="Tahoma"/>
      <family val="2"/>
    </font>
    <font>
      <b/>
      <sz val="10"/>
      <color indexed="10"/>
      <name val="Arial"/>
      <family val="2"/>
    </font>
    <font>
      <sz val="12"/>
      <color indexed="8"/>
      <name val="Arial"/>
      <family val="2"/>
    </font>
    <font>
      <sz val="10"/>
      <name val="Calibri"/>
      <family val="2"/>
    </font>
    <font>
      <b/>
      <sz val="10"/>
      <name val="Calibri"/>
      <family val="2"/>
    </font>
    <font>
      <sz val="10"/>
      <color indexed="12"/>
      <name val="Calibri"/>
      <family val="2"/>
    </font>
    <font>
      <b/>
      <u/>
      <sz val="10"/>
      <name val="Calibri"/>
      <family val="2"/>
    </font>
    <font>
      <sz val="10"/>
      <color indexed="10"/>
      <name val="Calibri"/>
      <family val="2"/>
    </font>
    <font>
      <b/>
      <sz val="10"/>
      <color indexed="10"/>
      <name val="Calibri"/>
      <family val="2"/>
    </font>
    <font>
      <b/>
      <sz val="10"/>
      <color indexed="12"/>
      <name val="Calibri"/>
      <family val="2"/>
    </font>
    <font>
      <sz val="10"/>
      <color indexed="9"/>
      <name val="Calibri"/>
      <family val="2"/>
    </font>
    <font>
      <b/>
      <sz val="10"/>
      <color indexed="9"/>
      <name val="Calibri"/>
      <family val="2"/>
    </font>
    <font>
      <sz val="10"/>
      <name val="Verdana"/>
      <family val="2"/>
    </font>
    <font>
      <sz val="10"/>
      <color rgb="FFFF0000"/>
      <name val="Verdana"/>
      <family val="2"/>
    </font>
    <font>
      <b/>
      <sz val="10"/>
      <name val="Verdana"/>
      <family val="2"/>
    </font>
    <font>
      <sz val="10"/>
      <name val="Century Gothic"/>
      <family val="2"/>
    </font>
    <font>
      <b/>
      <sz val="16"/>
      <name val="Verdana"/>
      <family val="2"/>
    </font>
    <font>
      <b/>
      <u/>
      <sz val="10"/>
      <name val="Verdana"/>
      <family val="2"/>
    </font>
    <font>
      <b/>
      <sz val="9"/>
      <name val="Verdana"/>
      <family val="2"/>
    </font>
    <font>
      <sz val="8"/>
      <name val="Verdana"/>
      <family val="2"/>
    </font>
    <font>
      <sz val="20"/>
      <name val="Verdana"/>
      <family val="2"/>
    </font>
    <font>
      <b/>
      <u/>
      <sz val="11"/>
      <name val="Verdana"/>
      <family val="2"/>
    </font>
    <font>
      <sz val="11"/>
      <color theme="1"/>
      <name val="Verdana"/>
      <family val="2"/>
    </font>
    <font>
      <sz val="10"/>
      <color rgb="FF0000FF"/>
      <name val="Verdana"/>
      <family val="2"/>
    </font>
    <font>
      <b/>
      <sz val="10"/>
      <color rgb="FF0000FF"/>
      <name val="Verdana"/>
      <family val="2"/>
    </font>
    <font>
      <sz val="8"/>
      <color rgb="FFFF0000"/>
      <name val="Verdana"/>
      <family val="2"/>
    </font>
    <font>
      <sz val="8"/>
      <color rgb="FF0000FF"/>
      <name val="Verdana"/>
      <family val="2"/>
    </font>
    <font>
      <sz val="10"/>
      <color theme="0"/>
      <name val="Verdana"/>
      <family val="2"/>
    </font>
    <font>
      <b/>
      <sz val="12"/>
      <name val="Verdana"/>
      <family val="2"/>
    </font>
    <font>
      <sz val="9"/>
      <name val="Verdana"/>
      <family val="2"/>
    </font>
    <font>
      <b/>
      <sz val="10"/>
      <color rgb="FFFF0000"/>
      <name val="Century Gothic"/>
      <family val="2"/>
    </font>
    <font>
      <sz val="9"/>
      <color rgb="FFFF0000"/>
      <name val="Verdana"/>
      <family val="2"/>
    </font>
    <font>
      <b/>
      <sz val="10"/>
      <color rgb="FFFF00FF"/>
      <name val="Verdana"/>
      <family val="2"/>
    </font>
    <font>
      <b/>
      <sz val="11"/>
      <color rgb="FF0000FF"/>
      <name val="Verdana"/>
      <family val="2"/>
    </font>
    <font>
      <b/>
      <sz val="10"/>
      <color rgb="FFFF0000"/>
      <name val="Verdana"/>
      <family val="2"/>
    </font>
    <font>
      <b/>
      <sz val="8"/>
      <color rgb="FF0000FF"/>
      <name val="Verdana"/>
      <family val="2"/>
    </font>
    <font>
      <b/>
      <sz val="7"/>
      <name val="Verdana"/>
      <family val="2"/>
    </font>
    <font>
      <b/>
      <sz val="9"/>
      <color rgb="FF0000FF"/>
      <name val="Verdana"/>
      <family val="2"/>
    </font>
    <font>
      <b/>
      <sz val="10"/>
      <color rgb="FF66FFFF"/>
      <name val="Verdana"/>
      <family val="2"/>
    </font>
    <font>
      <b/>
      <sz val="11"/>
      <name val="Verdana"/>
      <family val="2"/>
    </font>
    <font>
      <b/>
      <sz val="12"/>
      <color rgb="FF0000FF"/>
      <name val="Verdana"/>
      <family val="2"/>
    </font>
    <font>
      <b/>
      <sz val="11"/>
      <color indexed="10"/>
      <name val="Verdana"/>
      <family val="2"/>
    </font>
    <font>
      <b/>
      <sz val="11"/>
      <color theme="1"/>
      <name val="Verdana"/>
      <family val="2"/>
    </font>
    <font>
      <b/>
      <sz val="11"/>
      <color rgb="FF66FFFF"/>
      <name val="Verdana"/>
      <family val="2"/>
    </font>
    <font>
      <sz val="7"/>
      <name val="Verdana"/>
      <family val="2"/>
    </font>
    <font>
      <sz val="7"/>
      <color rgb="FFFF0000"/>
      <name val="Verdana"/>
      <family val="2"/>
    </font>
    <font>
      <b/>
      <sz val="10"/>
      <color theme="1"/>
      <name val="Verdana"/>
      <family val="2"/>
    </font>
    <font>
      <b/>
      <sz val="10"/>
      <color rgb="FFC00000"/>
      <name val="Verdana"/>
      <family val="2"/>
    </font>
    <font>
      <b/>
      <u/>
      <sz val="14"/>
      <name val="Verdana"/>
      <family val="2"/>
    </font>
    <font>
      <sz val="11"/>
      <name val="Verdana"/>
      <family val="2"/>
    </font>
    <font>
      <b/>
      <sz val="8"/>
      <color theme="1"/>
      <name val="Verdana"/>
      <family val="2"/>
    </font>
    <font>
      <sz val="10"/>
      <color theme="1"/>
      <name val="Verdana"/>
      <family val="2"/>
    </font>
    <font>
      <sz val="8"/>
      <color theme="1"/>
      <name val="Verdana"/>
      <family val="2"/>
    </font>
    <font>
      <sz val="7"/>
      <name val="Tahoma"/>
      <family val="2"/>
    </font>
    <font>
      <sz val="11"/>
      <name val="Tahoma"/>
      <family val="2"/>
    </font>
    <font>
      <sz val="11"/>
      <name val="Maiandra GD"/>
      <family val="2"/>
    </font>
    <font>
      <sz val="11"/>
      <color rgb="FFFF0000"/>
      <name val="Tahoma"/>
      <family val="2"/>
    </font>
    <font>
      <sz val="11"/>
      <color theme="0"/>
      <name val="Verdana"/>
      <family val="2"/>
    </font>
    <font>
      <b/>
      <sz val="11"/>
      <color rgb="FFFF0000"/>
      <name val="Verdana"/>
      <family val="2"/>
    </font>
    <font>
      <b/>
      <sz val="12"/>
      <name val="Tahoma"/>
      <family val="2"/>
    </font>
    <font>
      <b/>
      <u/>
      <sz val="12"/>
      <name val="Tahoma"/>
      <family val="2"/>
    </font>
    <font>
      <sz val="12"/>
      <name val="Calibri"/>
      <family val="2"/>
      <scheme val="minor"/>
    </font>
    <font>
      <b/>
      <sz val="12"/>
      <name val="Calibri"/>
      <family val="2"/>
      <scheme val="minor"/>
    </font>
    <font>
      <b/>
      <u/>
      <sz val="12"/>
      <name val="Calibri"/>
      <family val="2"/>
      <scheme val="minor"/>
    </font>
    <font>
      <b/>
      <i/>
      <sz val="12"/>
      <name val="Calibri"/>
      <family val="2"/>
      <scheme val="minor"/>
    </font>
    <font>
      <sz val="11"/>
      <name val="Calibri"/>
      <family val="2"/>
    </font>
    <font>
      <b/>
      <sz val="11"/>
      <name val="Calibri"/>
      <family val="2"/>
    </font>
    <font>
      <b/>
      <u/>
      <sz val="11"/>
      <name val="Calibri"/>
      <family val="2"/>
    </font>
    <font>
      <b/>
      <i/>
      <sz val="11"/>
      <name val="Calibri"/>
      <family val="2"/>
    </font>
    <font>
      <sz val="11"/>
      <name val="Calibri"/>
      <family val="2"/>
      <scheme val="minor"/>
    </font>
    <font>
      <sz val="11"/>
      <name val="Calibri"/>
      <family val="2"/>
      <scheme val="minor"/>
    </font>
    <font>
      <b/>
      <sz val="11"/>
      <name val="Calibri"/>
      <family val="2"/>
      <scheme val="minor"/>
    </font>
    <font>
      <b/>
      <u/>
      <sz val="11"/>
      <name val="Calibri"/>
      <family val="2"/>
      <scheme val="minor"/>
    </font>
    <font>
      <b/>
      <sz val="11"/>
      <name val="Calibri"/>
      <family val="2"/>
      <scheme val="minor"/>
    </font>
    <font>
      <sz val="11"/>
      <name val="Calibri"/>
      <family val="2"/>
      <scheme val="minor"/>
    </font>
    <font>
      <b/>
      <i/>
      <sz val="11"/>
      <name val="Calibri"/>
      <family val="2"/>
      <scheme val="minor"/>
    </font>
    <font>
      <i/>
      <sz val="12"/>
      <name val="Calibri"/>
      <family val="2"/>
      <scheme val="minor"/>
    </font>
    <font>
      <sz val="12"/>
      <name val="Calibri"/>
      <family val="2"/>
      <scheme val="minor"/>
    </font>
    <font>
      <sz val="12"/>
      <color rgb="FFFF0000"/>
      <name val="Calibri"/>
      <family val="2"/>
      <scheme val="minor"/>
    </font>
    <font>
      <sz val="12"/>
      <color rgb="FFFF00FF"/>
      <name val="Calibri"/>
      <family val="2"/>
      <scheme val="minor"/>
    </font>
    <font>
      <b/>
      <i/>
      <u/>
      <sz val="12"/>
      <name val="Calibri"/>
      <family val="2"/>
      <scheme val="minor"/>
    </font>
    <font>
      <b/>
      <sz val="12"/>
      <name val="Calibri"/>
      <family val="2"/>
      <scheme val="minor"/>
    </font>
    <font>
      <sz val="12"/>
      <color theme="0"/>
      <name val="Calibri"/>
      <family val="2"/>
      <scheme val="minor"/>
    </font>
    <font>
      <sz val="10"/>
      <name val="Times New Roman"/>
      <family val="1"/>
    </font>
    <font>
      <sz val="10"/>
      <color indexed="10"/>
      <name val="Times New Roman"/>
      <family val="1"/>
    </font>
    <font>
      <b/>
      <sz val="10"/>
      <name val="Times New Roman"/>
      <family val="1"/>
    </font>
    <font>
      <b/>
      <sz val="12"/>
      <name val="Times New Roman"/>
      <family val="1"/>
    </font>
    <font>
      <b/>
      <sz val="11"/>
      <name val="Times New Roman"/>
      <family val="1"/>
    </font>
    <font>
      <b/>
      <sz val="10"/>
      <color indexed="10"/>
      <name val="Times New Roman"/>
      <family val="1"/>
    </font>
    <font>
      <b/>
      <sz val="11"/>
      <name val="Tahoma"/>
      <family val="2"/>
    </font>
    <font>
      <b/>
      <sz val="11"/>
      <name val="Arial"/>
      <family val="2"/>
    </font>
    <font>
      <b/>
      <u/>
      <sz val="11"/>
      <name val="Tahoma"/>
      <family val="2"/>
    </font>
    <font>
      <b/>
      <sz val="10"/>
      <name val="Tahoma"/>
      <family val="2"/>
    </font>
    <font>
      <u/>
      <sz val="10"/>
      <name val="Arial"/>
      <family val="2"/>
    </font>
    <font>
      <sz val="11"/>
      <name val="Eras Medium ITC"/>
      <family val="2"/>
    </font>
    <font>
      <b/>
      <u/>
      <sz val="11"/>
      <name val="Arial"/>
      <family val="2"/>
    </font>
    <font>
      <u/>
      <sz val="11"/>
      <name val="Arial"/>
      <family val="2"/>
    </font>
    <font>
      <b/>
      <u/>
      <sz val="11"/>
      <name val="Calibri"/>
      <family val="2"/>
      <scheme val="minor"/>
    </font>
    <font>
      <sz val="11"/>
      <color rgb="FFFF0000"/>
      <name val="Calibri"/>
      <family val="2"/>
      <scheme val="minor"/>
    </font>
    <font>
      <b/>
      <sz val="11"/>
      <color rgb="FFFF0000"/>
      <name val="Calibri"/>
      <family val="2"/>
      <scheme val="minor"/>
    </font>
    <font>
      <sz val="10"/>
      <name val="Calibri"/>
      <family val="2"/>
      <scheme val="minor"/>
    </font>
    <font>
      <sz val="11"/>
      <color indexed="10"/>
      <name val="Calibri"/>
      <family val="2"/>
      <scheme val="minor"/>
    </font>
    <font>
      <b/>
      <sz val="11"/>
      <color rgb="FFFF0000"/>
      <name val="Calibri"/>
      <family val="2"/>
      <scheme val="minor"/>
    </font>
    <font>
      <b/>
      <sz val="11"/>
      <color indexed="10"/>
      <name val="Calibri"/>
      <family val="2"/>
      <scheme val="minor"/>
    </font>
    <font>
      <sz val="10"/>
      <name val="Calibri"/>
      <family val="2"/>
      <scheme val="minor"/>
    </font>
    <font>
      <b/>
      <sz val="11"/>
      <name val="Calibri"/>
      <family val="2"/>
      <scheme val="minor"/>
    </font>
    <font>
      <u/>
      <sz val="11"/>
      <name val="Calibri"/>
      <family val="2"/>
      <scheme val="minor"/>
    </font>
    <font>
      <sz val="9"/>
      <name val="Calibri"/>
      <family val="2"/>
      <scheme val="minor"/>
    </font>
    <font>
      <b/>
      <sz val="10"/>
      <name val="Calibri"/>
      <family val="2"/>
      <scheme val="minor"/>
    </font>
    <font>
      <b/>
      <u/>
      <sz val="11"/>
      <name val="Calibri"/>
      <family val="2"/>
      <scheme val="minor"/>
    </font>
    <font>
      <u/>
      <sz val="11"/>
      <name val="Calibri"/>
      <family val="2"/>
      <scheme val="minor"/>
    </font>
    <font>
      <sz val="6"/>
      <name val="Times New Roman"/>
      <family val="1"/>
    </font>
    <font>
      <b/>
      <i/>
      <sz val="10"/>
      <name val="Times New Roman"/>
      <family val="1"/>
    </font>
    <font>
      <b/>
      <sz val="10"/>
      <color theme="0"/>
      <name val="Times New Roman"/>
      <family val="1"/>
    </font>
    <font>
      <sz val="10"/>
      <color theme="0"/>
      <name val="Times New Roman"/>
      <family val="1"/>
    </font>
    <font>
      <sz val="10"/>
      <color theme="1"/>
      <name val="Times New Roman"/>
      <family val="1"/>
    </font>
    <font>
      <sz val="10"/>
      <color rgb="FFC00000"/>
      <name val="Verdana"/>
      <family val="2"/>
    </font>
    <font>
      <b/>
      <u/>
      <sz val="10"/>
      <color rgb="FFC00000"/>
      <name val="Verdana"/>
      <family val="2"/>
    </font>
    <font>
      <b/>
      <i/>
      <sz val="10"/>
      <name val="Verdana"/>
      <family val="2"/>
    </font>
    <font>
      <sz val="11"/>
      <color rgb="FFFF0000"/>
      <name val="Calibri"/>
      <family val="2"/>
      <scheme val="minor"/>
    </font>
    <font>
      <b/>
      <sz val="10"/>
      <color rgb="FFFF0000"/>
      <name val="Calibri"/>
      <family val="2"/>
      <scheme val="minor"/>
    </font>
    <font>
      <sz val="10"/>
      <name val="Calibri"/>
      <family val="2"/>
      <scheme val="minor"/>
    </font>
    <font>
      <b/>
      <sz val="11"/>
      <color indexed="12"/>
      <name val="Calibri"/>
      <family val="2"/>
      <scheme val="minor"/>
    </font>
    <font>
      <b/>
      <sz val="11"/>
      <color rgb="FFFF0000"/>
      <name val="Calibri"/>
      <family val="2"/>
      <scheme val="minor"/>
    </font>
    <font>
      <sz val="11"/>
      <color rgb="FFFF0000"/>
      <name val="Calibri"/>
      <family val="2"/>
      <scheme val="minor"/>
    </font>
    <font>
      <sz val="11"/>
      <color indexed="10"/>
      <name val="Calibri"/>
      <family val="2"/>
    </font>
    <font>
      <b/>
      <sz val="14"/>
      <color indexed="8"/>
      <name val="Calibri"/>
      <family val="2"/>
    </font>
    <font>
      <b/>
      <sz val="11"/>
      <color indexed="8"/>
      <name val="Calibri"/>
      <family val="2"/>
    </font>
    <font>
      <b/>
      <sz val="11"/>
      <color rgb="FF0000FF"/>
      <name val="Calibri"/>
      <family val="2"/>
    </font>
    <font>
      <b/>
      <sz val="7"/>
      <color indexed="8"/>
      <name val="Calibri"/>
      <family val="2"/>
    </font>
    <font>
      <b/>
      <sz val="10"/>
      <color rgb="FF0000FF"/>
      <name val="Times New Roman"/>
      <family val="1"/>
    </font>
    <font>
      <b/>
      <sz val="8"/>
      <name val="Times New Roman"/>
      <family val="1"/>
    </font>
    <font>
      <b/>
      <sz val="10"/>
      <color rgb="FFFF0000"/>
      <name val="Times New Roman"/>
      <family val="1"/>
    </font>
    <font>
      <sz val="8"/>
      <name val="Times New Roman"/>
      <family val="1"/>
    </font>
    <font>
      <b/>
      <sz val="10"/>
      <color indexed="8"/>
      <name val="Calibri"/>
      <family val="2"/>
    </font>
    <font>
      <i/>
      <sz val="10"/>
      <name val="Arial"/>
      <family val="2"/>
    </font>
    <font>
      <u/>
      <sz val="11"/>
      <color indexed="8"/>
      <name val="Calibri"/>
      <family val="2"/>
    </font>
    <font>
      <b/>
      <u/>
      <sz val="10"/>
      <color indexed="8"/>
      <name val="Calibri"/>
      <family val="2"/>
    </font>
    <font>
      <b/>
      <u/>
      <sz val="11"/>
      <color indexed="8"/>
      <name val="Calibri"/>
      <family val="2"/>
    </font>
    <font>
      <b/>
      <u/>
      <sz val="11"/>
      <color rgb="FF0000FF"/>
      <name val="Calibri"/>
      <family val="2"/>
    </font>
    <font>
      <b/>
      <sz val="12"/>
      <color indexed="8"/>
      <name val="Calibri"/>
      <family val="2"/>
    </font>
    <font>
      <b/>
      <sz val="11"/>
      <color rgb="FFFF0000"/>
      <name val="Calibri"/>
      <family val="2"/>
    </font>
    <font>
      <b/>
      <sz val="10"/>
      <color rgb="FF000099"/>
      <name val="Times New Roman"/>
      <family val="1"/>
    </font>
    <font>
      <b/>
      <sz val="7"/>
      <name val="Times New Roman"/>
      <family val="1"/>
    </font>
    <font>
      <b/>
      <sz val="11"/>
      <name val="Calibri"/>
      <family val="2"/>
    </font>
    <font>
      <sz val="11"/>
      <color indexed="12"/>
      <name val="Calibri"/>
      <family val="2"/>
    </font>
    <font>
      <sz val="7"/>
      <name val="Times New Roman"/>
      <family val="1"/>
    </font>
    <font>
      <sz val="12"/>
      <color indexed="8"/>
      <name val="Calibri"/>
      <family val="2"/>
    </font>
    <font>
      <sz val="14"/>
      <color indexed="8"/>
      <name val="Calibri"/>
      <family val="2"/>
    </font>
    <font>
      <b/>
      <sz val="11"/>
      <color indexed="10"/>
      <name val="Calibri"/>
      <family val="2"/>
    </font>
    <font>
      <sz val="14"/>
      <name val="Times New Roman"/>
      <family val="1"/>
    </font>
    <font>
      <b/>
      <sz val="10"/>
      <color indexed="12"/>
      <name val="Arial"/>
      <family val="2"/>
    </font>
    <font>
      <b/>
      <sz val="8"/>
      <color indexed="12"/>
      <name val="Arial"/>
      <family val="2"/>
    </font>
    <font>
      <b/>
      <sz val="12"/>
      <color theme="0"/>
      <name val="Arial"/>
      <family val="2"/>
    </font>
    <font>
      <sz val="11"/>
      <color indexed="10"/>
      <name val="Calibri"/>
      <family val="2"/>
    </font>
    <font>
      <sz val="11"/>
      <color theme="1"/>
      <name val="Calibri"/>
      <family val="2"/>
    </font>
    <font>
      <sz val="11"/>
      <color rgb="FFFF0000"/>
      <name val="Calibri"/>
      <family val="2"/>
    </font>
    <font>
      <b/>
      <sz val="11"/>
      <color rgb="FFFF0000"/>
      <name val="Calibri"/>
      <family val="2"/>
    </font>
    <font>
      <sz val="11"/>
      <color rgb="FF0000FF"/>
      <name val="Calibri"/>
      <family val="2"/>
    </font>
    <font>
      <sz val="14"/>
      <name val="Calibri"/>
      <family val="2"/>
      <scheme val="minor"/>
    </font>
    <font>
      <b/>
      <sz val="14"/>
      <name val="Calibri"/>
      <family val="2"/>
      <scheme val="minor"/>
    </font>
    <font>
      <sz val="14"/>
      <color rgb="FF0000FF"/>
      <name val="Calibri"/>
      <family val="2"/>
      <scheme val="minor"/>
    </font>
    <font>
      <sz val="14"/>
      <color rgb="FFFF0000"/>
      <name val="Calibri"/>
      <family val="2"/>
      <scheme val="minor"/>
    </font>
    <font>
      <sz val="14"/>
      <color theme="0"/>
      <name val="Calibri"/>
      <family val="2"/>
      <scheme val="minor"/>
    </font>
    <font>
      <b/>
      <sz val="14"/>
      <color theme="0"/>
      <name val="Calibri"/>
      <family val="2"/>
      <scheme val="minor"/>
    </font>
    <font>
      <sz val="10"/>
      <name val="CityBlueprint"/>
      <charset val="2"/>
    </font>
    <font>
      <b/>
      <sz val="24"/>
      <name val="Bernard MT Condensed"/>
      <family val="1"/>
    </font>
    <font>
      <b/>
      <sz val="20"/>
      <name val="Arial"/>
      <family val="2"/>
    </font>
    <font>
      <b/>
      <sz val="28"/>
      <color indexed="17"/>
      <name val="Swis721 BlkOul BT"/>
      <charset val="134"/>
    </font>
    <font>
      <b/>
      <sz val="28"/>
      <color indexed="17"/>
      <name val="Arial"/>
      <family val="2"/>
    </font>
    <font>
      <sz val="20"/>
      <color indexed="18"/>
      <name val="Arial"/>
      <family val="2"/>
    </font>
    <font>
      <b/>
      <sz val="20"/>
      <color indexed="18"/>
      <name val="Arial"/>
      <family val="2"/>
    </font>
    <font>
      <sz val="18"/>
      <color indexed="18"/>
      <name val="Tahoma"/>
      <family val="2"/>
    </font>
    <font>
      <sz val="18"/>
      <color indexed="18"/>
      <name val="Arial"/>
      <family val="2"/>
    </font>
    <font>
      <b/>
      <sz val="16"/>
      <name val="Arial"/>
      <family val="2"/>
    </font>
    <font>
      <sz val="22"/>
      <color indexed="58"/>
      <name val="Arial"/>
      <family val="2"/>
    </font>
    <font>
      <sz val="14"/>
      <color indexed="18"/>
      <name val="Arial"/>
      <family val="2"/>
    </font>
    <font>
      <b/>
      <sz val="18"/>
      <name val="Engravers MT"/>
      <family val="1"/>
    </font>
    <font>
      <b/>
      <sz val="24"/>
      <name val="Arial"/>
      <family val="2"/>
    </font>
    <font>
      <sz val="14"/>
      <name val="Arial"/>
      <family val="2"/>
    </font>
    <font>
      <sz val="10"/>
      <name val="Elephant"/>
      <family val="1"/>
    </font>
    <font>
      <sz val="16"/>
      <name val="Times"/>
      <charset val="134"/>
    </font>
    <font>
      <sz val="20"/>
      <color indexed="18"/>
      <name val="Bernard MT Condensed"/>
      <family val="1"/>
    </font>
    <font>
      <b/>
      <sz val="20"/>
      <color indexed="18"/>
      <name val="Bernard MT Condensed"/>
      <family val="1"/>
    </font>
    <font>
      <b/>
      <sz val="16"/>
      <name val="Modern"/>
      <family val="3"/>
      <charset val="255"/>
    </font>
    <font>
      <b/>
      <sz val="12"/>
      <name val="Garamond"/>
      <family val="1"/>
    </font>
    <font>
      <sz val="22"/>
      <color indexed="58"/>
      <name val="Vineta BT"/>
      <charset val="134"/>
    </font>
    <font>
      <u/>
      <sz val="8.8000000000000007"/>
      <color theme="10"/>
      <name val="Calibri"/>
      <family val="2"/>
    </font>
    <font>
      <b/>
      <sz val="18"/>
      <color indexed="8"/>
      <name val="Calibri"/>
      <family val="2"/>
    </font>
    <font>
      <sz val="16"/>
      <color indexed="8"/>
      <name val="Calibri"/>
      <family val="2"/>
    </font>
    <font>
      <sz val="10"/>
      <color indexed="8"/>
      <name val="Calibri"/>
      <family val="2"/>
    </font>
    <font>
      <b/>
      <sz val="16"/>
      <color indexed="8"/>
      <name val="Calibri"/>
      <family val="2"/>
    </font>
    <font>
      <sz val="9"/>
      <color indexed="8"/>
      <name val="Calibri"/>
      <family val="2"/>
    </font>
    <font>
      <sz val="9"/>
      <color indexed="10"/>
      <name val="Arial"/>
      <family val="2"/>
    </font>
    <font>
      <b/>
      <u/>
      <sz val="12"/>
      <name val="Arial"/>
      <family val="2"/>
    </font>
    <font>
      <b/>
      <sz val="7"/>
      <name val="Arial"/>
      <family val="2"/>
    </font>
    <font>
      <b/>
      <sz val="13.5"/>
      <name val="Arial"/>
      <family val="2"/>
    </font>
    <font>
      <b/>
      <u/>
      <sz val="10"/>
      <name val="Arial"/>
      <family val="2"/>
    </font>
    <font>
      <sz val="10"/>
      <color indexed="17"/>
      <name val="Arial"/>
      <family val="2"/>
    </font>
    <font>
      <b/>
      <u/>
      <sz val="10"/>
      <color indexed="10"/>
      <name val="Arial"/>
      <family val="2"/>
    </font>
    <font>
      <b/>
      <sz val="20"/>
      <name val="Times New Roman"/>
      <family val="1"/>
    </font>
    <font>
      <b/>
      <u/>
      <sz val="11"/>
      <name val="Times New Roman"/>
      <family val="1"/>
    </font>
    <font>
      <sz val="11"/>
      <name val="Times New Roman"/>
      <family val="1"/>
    </font>
    <font>
      <b/>
      <sz val="10"/>
      <color indexed="12"/>
      <name val="Times New Roman"/>
      <family val="1"/>
    </font>
    <font>
      <u/>
      <sz val="10"/>
      <name val="Times New Roman"/>
      <family val="1"/>
    </font>
    <font>
      <sz val="9"/>
      <name val="Times New Roman"/>
      <family val="1"/>
    </font>
    <font>
      <b/>
      <u/>
      <sz val="10"/>
      <name val="Times New Roman"/>
      <family val="1"/>
    </font>
    <font>
      <b/>
      <sz val="9"/>
      <name val="Times New Roman"/>
      <family val="1"/>
    </font>
    <font>
      <b/>
      <sz val="9"/>
      <color theme="1"/>
      <name val="Times New Roman"/>
      <family val="1"/>
    </font>
    <font>
      <sz val="11"/>
      <color theme="1"/>
      <name val="Times New Roman"/>
      <family val="1"/>
    </font>
    <font>
      <sz val="14"/>
      <color theme="1"/>
      <name val="Times New Roman"/>
      <family val="1"/>
    </font>
    <font>
      <sz val="12"/>
      <color theme="1"/>
      <name val="Times New Roman"/>
      <family val="1"/>
    </font>
    <font>
      <b/>
      <sz val="11"/>
      <color theme="1"/>
      <name val="Times New Roman"/>
      <family val="1"/>
    </font>
    <font>
      <sz val="11"/>
      <name val="Calibri"/>
      <family val="2"/>
    </font>
    <font>
      <sz val="11"/>
      <color rgb="FFFF0000"/>
      <name val="Calibri"/>
      <family val="2"/>
    </font>
    <font>
      <sz val="11"/>
      <color theme="1"/>
      <name val="Calibri"/>
      <family val="2"/>
    </font>
    <font>
      <b/>
      <u/>
      <sz val="11"/>
      <name val="Calibri"/>
      <family val="2"/>
    </font>
    <font>
      <b/>
      <sz val="9"/>
      <name val="Century Gothic"/>
      <family val="2"/>
    </font>
    <font>
      <sz val="10"/>
      <name val="Calibri"/>
      <family val="2"/>
    </font>
    <font>
      <sz val="9"/>
      <name val="Century Gothic"/>
      <family val="2"/>
    </font>
    <font>
      <b/>
      <sz val="9"/>
      <color rgb="FFFF0000"/>
      <name val="Century Gothic"/>
      <family val="2"/>
    </font>
    <font>
      <sz val="12"/>
      <name val="Times New Roman"/>
      <family val="1"/>
    </font>
    <font>
      <b/>
      <sz val="11"/>
      <color theme="1"/>
      <name val="Calibri"/>
      <family val="2"/>
    </font>
    <font>
      <sz val="11"/>
      <color rgb="FF0000FF"/>
      <name val="Calibri"/>
      <family val="2"/>
    </font>
    <font>
      <b/>
      <sz val="11"/>
      <color rgb="FF0000FF"/>
      <name val="Calibri"/>
      <family val="2"/>
      <scheme val="minor"/>
    </font>
    <font>
      <b/>
      <sz val="11"/>
      <color rgb="FFFF00FF"/>
      <name val="Calibri"/>
      <family val="2"/>
    </font>
    <font>
      <b/>
      <sz val="11"/>
      <color theme="8" tint="0.59999389629810485"/>
      <name val="Calibri"/>
      <family val="2"/>
    </font>
    <font>
      <u/>
      <sz val="11"/>
      <name val="Calibri"/>
      <family val="2"/>
    </font>
    <font>
      <sz val="11"/>
      <color theme="0"/>
      <name val="Calibri"/>
      <family val="2"/>
    </font>
    <font>
      <sz val="10"/>
      <color theme="1"/>
      <name val="Century Gothic"/>
      <family val="2"/>
    </font>
    <font>
      <b/>
      <sz val="11"/>
      <color theme="1"/>
      <name val="Calibri"/>
      <family val="2"/>
      <scheme val="minor"/>
    </font>
    <font>
      <sz val="11"/>
      <name val="Calibri"/>
      <family val="2"/>
    </font>
    <font>
      <b/>
      <sz val="11"/>
      <color rgb="FFFF0066"/>
      <name val="Calibri"/>
      <family val="2"/>
    </font>
    <font>
      <sz val="12"/>
      <color theme="1"/>
      <name val="Calibri"/>
      <family val="2"/>
      <scheme val="minor"/>
    </font>
    <font>
      <sz val="11"/>
      <color theme="1"/>
      <name val="Century Gothic"/>
      <family val="2"/>
    </font>
    <font>
      <b/>
      <sz val="11"/>
      <color theme="0"/>
      <name val="Calibri"/>
      <family val="2"/>
    </font>
    <font>
      <b/>
      <sz val="10"/>
      <name val="Calibri"/>
      <family val="2"/>
      <scheme val="minor"/>
    </font>
    <font>
      <sz val="10"/>
      <name val="Calibri"/>
      <family val="2"/>
      <scheme val="minor"/>
    </font>
    <font>
      <b/>
      <sz val="24"/>
      <name val="Calibri"/>
      <family val="2"/>
      <scheme val="minor"/>
    </font>
    <font>
      <sz val="20"/>
      <color indexed="18"/>
      <name val="Calibri"/>
      <family val="2"/>
      <scheme val="minor"/>
    </font>
    <font>
      <b/>
      <sz val="28"/>
      <color indexed="17"/>
      <name val="Calibri"/>
      <family val="2"/>
      <scheme val="minor"/>
    </font>
    <font>
      <b/>
      <sz val="28"/>
      <color indexed="17"/>
      <name val="Calibri"/>
      <family val="2"/>
      <scheme val="minor"/>
    </font>
    <font>
      <b/>
      <sz val="20"/>
      <color indexed="18"/>
      <name val="Calibri"/>
      <family val="2"/>
      <scheme val="minor"/>
    </font>
    <font>
      <sz val="18"/>
      <color indexed="18"/>
      <name val="Calibri"/>
      <family val="2"/>
      <scheme val="minor"/>
    </font>
    <font>
      <b/>
      <sz val="16"/>
      <name val="Calibri"/>
      <family val="2"/>
      <scheme val="minor"/>
    </font>
    <font>
      <sz val="14"/>
      <color indexed="18"/>
      <name val="Calibri"/>
      <family val="2"/>
      <scheme val="minor"/>
    </font>
    <font>
      <b/>
      <sz val="18"/>
      <name val="Calibri"/>
      <family val="2"/>
      <scheme val="minor"/>
    </font>
    <font>
      <b/>
      <sz val="24"/>
      <name val="Calibri"/>
      <family val="2"/>
      <scheme val="minor"/>
    </font>
    <font>
      <sz val="20"/>
      <color indexed="18"/>
      <name val="Calibri"/>
      <family val="2"/>
      <scheme val="minor"/>
    </font>
    <font>
      <b/>
      <sz val="20"/>
      <color indexed="18"/>
      <name val="Calibri"/>
      <family val="2"/>
      <scheme val="minor"/>
    </font>
    <font>
      <b/>
      <sz val="16"/>
      <name val="Calibri"/>
      <family val="2"/>
      <scheme val="minor"/>
    </font>
    <font>
      <b/>
      <sz val="12"/>
      <color rgb="FFFF0000"/>
      <name val="Calibri"/>
      <family val="2"/>
      <scheme val="minor"/>
    </font>
    <font>
      <sz val="12"/>
      <color indexed="18"/>
      <name val="Calibri"/>
      <family val="2"/>
      <scheme val="minor"/>
    </font>
    <font>
      <b/>
      <sz val="12"/>
      <color indexed="10"/>
      <name val="Calibri"/>
      <family val="2"/>
      <scheme val="minor"/>
    </font>
    <font>
      <b/>
      <sz val="12"/>
      <color rgb="FFFF0066"/>
      <name val="Calibri"/>
      <family val="2"/>
      <scheme val="minor"/>
    </font>
    <font>
      <b/>
      <sz val="12"/>
      <color rgb="FFFF00FF"/>
      <name val="Calibri"/>
      <family val="2"/>
      <scheme val="minor"/>
    </font>
    <font>
      <sz val="12"/>
      <color rgb="FF0000FF"/>
      <name val="Calibri"/>
      <family val="2"/>
      <scheme val="minor"/>
    </font>
    <font>
      <sz val="12"/>
      <color rgb="FFFF0066"/>
      <name val="Calibri"/>
      <family val="2"/>
      <scheme val="minor"/>
    </font>
    <font>
      <sz val="12"/>
      <color indexed="10"/>
      <name val="Calibri"/>
      <family val="2"/>
      <scheme val="minor"/>
    </font>
    <font>
      <b/>
      <sz val="12"/>
      <color rgb="FF0000FF"/>
      <name val="Calibri"/>
      <family val="2"/>
      <scheme val="minor"/>
    </font>
    <font>
      <b/>
      <sz val="14"/>
      <color rgb="FFFF0000"/>
      <name val="Times New Roman"/>
      <family val="1"/>
    </font>
    <font>
      <b/>
      <sz val="12"/>
      <color rgb="FF0000FF"/>
      <name val="Arial"/>
      <family val="2"/>
    </font>
    <font>
      <sz val="12"/>
      <color rgb="FFFF0000"/>
      <name val="Tahoma"/>
      <family val="2"/>
    </font>
    <font>
      <b/>
      <u/>
      <sz val="12"/>
      <color rgb="FFFF0000"/>
      <name val="Tahoma"/>
      <family val="2"/>
    </font>
    <font>
      <sz val="12"/>
      <color indexed="10"/>
      <name val="Tahoma"/>
      <family val="2"/>
    </font>
    <font>
      <sz val="12"/>
      <color indexed="12"/>
      <name val="Tahoma"/>
      <family val="2"/>
    </font>
    <font>
      <b/>
      <sz val="12"/>
      <color rgb="FFFF0000"/>
      <name val="Tahoma"/>
      <family val="2"/>
    </font>
    <font>
      <sz val="11"/>
      <color indexed="9"/>
      <name val="Calibri"/>
      <family val="2"/>
    </font>
    <font>
      <sz val="11"/>
      <color indexed="8"/>
      <name val="Calibri"/>
      <family val="2"/>
    </font>
    <font>
      <sz val="11"/>
      <color indexed="20"/>
      <name val="Calibri"/>
      <family val="2"/>
    </font>
    <font>
      <u/>
      <sz val="10"/>
      <color indexed="12"/>
      <name val="MS Sans Serif"/>
      <family val="2"/>
    </font>
    <font>
      <sz val="10"/>
      <name val="MS Serif"/>
      <family val="1"/>
    </font>
    <font>
      <sz val="10"/>
      <name val="Times New Roman"/>
      <family val="1"/>
    </font>
    <font>
      <b/>
      <sz val="11"/>
      <color indexed="56"/>
      <name val="Calibri"/>
      <family val="2"/>
    </font>
    <font>
      <b/>
      <sz val="12"/>
      <name val="MS Sans Serif"/>
      <family val="2"/>
    </font>
    <font>
      <sz val="10"/>
      <color indexed="8"/>
      <name val="Arial"/>
      <family val="2"/>
    </font>
    <font>
      <b/>
      <sz val="11"/>
      <color indexed="52"/>
      <name val="Calibri"/>
      <family val="2"/>
    </font>
    <font>
      <b/>
      <sz val="11"/>
      <color indexed="9"/>
      <name val="Calibri"/>
      <family val="2"/>
    </font>
    <font>
      <sz val="11"/>
      <color indexed="60"/>
      <name val="Calibri"/>
      <family val="2"/>
    </font>
    <font>
      <i/>
      <sz val="11"/>
      <color indexed="23"/>
      <name val="Calibri"/>
      <family val="2"/>
    </font>
    <font>
      <b/>
      <sz val="12"/>
      <name val="Courier New"/>
      <family val="3"/>
    </font>
    <font>
      <sz val="7"/>
      <name val="Small Fonts"/>
      <family val="2"/>
    </font>
    <font>
      <b/>
      <sz val="13"/>
      <color indexed="56"/>
      <name val="Calibri"/>
      <family val="2"/>
    </font>
    <font>
      <sz val="12"/>
      <name val="MS Sans Serif"/>
      <family val="2"/>
    </font>
    <font>
      <u/>
      <sz val="12"/>
      <name val="Verdana"/>
      <family val="2"/>
    </font>
    <font>
      <b/>
      <sz val="15"/>
      <color indexed="56"/>
      <name val="Calibri"/>
      <family val="2"/>
    </font>
    <font>
      <sz val="11"/>
      <color indexed="62"/>
      <name val="Calibri"/>
      <family val="2"/>
    </font>
    <font>
      <sz val="10"/>
      <color indexed="16"/>
      <name val="MS Serif"/>
      <family val="1"/>
    </font>
    <font>
      <sz val="11"/>
      <color indexed="17"/>
      <name val="Calibri"/>
      <family val="2"/>
    </font>
    <font>
      <sz val="11"/>
      <color indexed="52"/>
      <name val="Calibri"/>
      <family val="2"/>
    </font>
    <font>
      <b/>
      <sz val="18"/>
      <color indexed="56"/>
      <name val="Cambria"/>
      <family val="1"/>
    </font>
    <font>
      <sz val="10"/>
      <name val="Arial"/>
      <family val="2"/>
    </font>
    <font>
      <u/>
      <sz val="11"/>
      <color indexed="12"/>
      <name val="Calibri"/>
      <family val="2"/>
    </font>
    <font>
      <sz val="10"/>
      <name val="Book Antiqua"/>
      <family val="1"/>
    </font>
    <font>
      <b/>
      <sz val="18"/>
      <color indexed="62"/>
      <name val="Cambria"/>
      <family val="1"/>
    </font>
    <font>
      <sz val="8"/>
      <name val="Helv"/>
      <charset val="134"/>
    </font>
    <font>
      <sz val="10"/>
      <name val="Helv"/>
      <charset val="204"/>
    </font>
    <font>
      <b/>
      <sz val="8"/>
      <color indexed="8"/>
      <name val="Helv"/>
      <charset val="134"/>
    </font>
    <font>
      <u/>
      <sz val="11"/>
      <color indexed="12"/>
      <name val="Times New Roman"/>
      <family val="1"/>
    </font>
    <font>
      <b/>
      <sz val="11"/>
      <color indexed="63"/>
      <name val="Calibri"/>
      <family val="2"/>
    </font>
    <font>
      <sz val="11.5"/>
      <name val="Times New Roman"/>
      <family val="1"/>
    </font>
    <font>
      <b/>
      <sz val="8"/>
      <name val="Verdana"/>
      <family val="2"/>
    </font>
    <font>
      <vertAlign val="superscript"/>
      <sz val="12"/>
      <name val="Calibri"/>
      <family val="2"/>
      <scheme val="minor"/>
    </font>
    <font>
      <vertAlign val="superscript"/>
      <sz val="11"/>
      <name val="Calibri"/>
      <family val="2"/>
    </font>
    <font>
      <vertAlign val="superscript"/>
      <sz val="11"/>
      <name val="Calibri"/>
      <family val="2"/>
      <scheme val="minor"/>
    </font>
    <font>
      <b/>
      <sz val="8"/>
      <color indexed="8"/>
      <name val="Calibri"/>
      <family val="2"/>
    </font>
    <font>
      <b/>
      <u/>
      <sz val="9"/>
      <color indexed="8"/>
      <name val="Calibri"/>
      <family val="2"/>
    </font>
    <font>
      <u/>
      <sz val="9"/>
      <color indexed="8"/>
      <name val="Calibri"/>
      <family val="2"/>
    </font>
    <font>
      <vertAlign val="superscript"/>
      <sz val="12"/>
      <name val="Arial"/>
      <family val="2"/>
    </font>
    <font>
      <vertAlign val="superscript"/>
      <sz val="12"/>
      <name val="Tahoma"/>
      <family val="2"/>
    </font>
    <font>
      <b/>
      <sz val="12"/>
      <name val="Calibri"/>
      <family val="2"/>
      <scheme val="minor"/>
    </font>
    <font>
      <sz val="12"/>
      <name val="Calibri"/>
      <family val="2"/>
      <scheme val="minor"/>
    </font>
    <font>
      <b/>
      <sz val="12"/>
      <name val="Arial"/>
      <family val="2"/>
    </font>
    <font>
      <b/>
      <sz val="9"/>
      <name val="Arial"/>
      <family val="2"/>
    </font>
    <font>
      <sz val="8"/>
      <name val="Arial"/>
      <family val="2"/>
    </font>
    <font>
      <sz val="12"/>
      <name val="Arial"/>
      <family val="2"/>
    </font>
    <font>
      <b/>
      <sz val="10"/>
      <name val="Times New Roman"/>
      <family val="1"/>
    </font>
    <font>
      <sz val="10"/>
      <name val="Times New Roman"/>
      <family val="1"/>
    </font>
    <font>
      <sz val="11"/>
      <name val="Times New Roman"/>
      <family val="1"/>
    </font>
    <font>
      <b/>
      <sz val="11"/>
      <name val="Times New Roman"/>
      <family val="1"/>
    </font>
    <font>
      <b/>
      <sz val="9"/>
      <name val="Verdana"/>
      <family val="2"/>
    </font>
    <font>
      <b/>
      <sz val="16"/>
      <name val="Arial"/>
      <family val="2"/>
    </font>
    <font>
      <sz val="11"/>
      <color indexed="10"/>
      <name val="Calibri"/>
      <family val="2"/>
    </font>
    <font>
      <b/>
      <sz val="11"/>
      <color indexed="8"/>
      <name val="Calibri"/>
      <family val="2"/>
    </font>
    <font>
      <b/>
      <sz val="11"/>
      <name val="Calibri"/>
      <family val="2"/>
    </font>
    <font>
      <u/>
      <sz val="8.8000000000000007"/>
      <color theme="10"/>
      <name val="Calibri"/>
      <family val="2"/>
    </font>
    <font>
      <b/>
      <sz val="8"/>
      <color indexed="10"/>
      <name val="Arial"/>
      <family val="2"/>
    </font>
    <font>
      <sz val="11"/>
      <color indexed="8"/>
      <name val="Calibri"/>
      <family val="2"/>
    </font>
    <font>
      <sz val="7"/>
      <name val="Small Fonts"/>
      <family val="2"/>
    </font>
    <font>
      <b/>
      <sz val="11"/>
      <color indexed="52"/>
      <name val="Calibri"/>
      <family val="2"/>
    </font>
    <font>
      <sz val="11"/>
      <color indexed="52"/>
      <name val="Calibri"/>
      <family val="2"/>
    </font>
    <font>
      <sz val="11"/>
      <color indexed="9"/>
      <name val="Calibri"/>
      <family val="2"/>
    </font>
    <font>
      <b/>
      <sz val="15"/>
      <color indexed="56"/>
      <name val="Calibri"/>
      <family val="2"/>
    </font>
    <font>
      <sz val="11"/>
      <color indexed="60"/>
      <name val="Calibri"/>
      <family val="2"/>
    </font>
    <font>
      <sz val="11"/>
      <color indexed="20"/>
      <name val="Calibri"/>
      <family val="2"/>
    </font>
    <font>
      <b/>
      <sz val="12"/>
      <name val="MS Sans Serif"/>
      <family val="2"/>
    </font>
    <font>
      <b/>
      <sz val="11"/>
      <color indexed="56"/>
      <name val="Calibri"/>
      <family val="2"/>
    </font>
    <font>
      <b/>
      <sz val="18"/>
      <color indexed="56"/>
      <name val="Cambria"/>
      <family val="1"/>
    </font>
    <font>
      <sz val="10"/>
      <color indexed="8"/>
      <name val="Arial"/>
      <family val="2"/>
    </font>
    <font>
      <i/>
      <sz val="11"/>
      <color indexed="23"/>
      <name val="Calibri"/>
      <family val="2"/>
    </font>
    <font>
      <u/>
      <sz val="11"/>
      <color indexed="12"/>
      <name val="Calibri"/>
      <family val="2"/>
    </font>
    <font>
      <sz val="12"/>
      <name val="MS Sans Serif"/>
      <family val="2"/>
    </font>
    <font>
      <b/>
      <sz val="13"/>
      <color indexed="56"/>
      <name val="Calibri"/>
      <family val="2"/>
    </font>
    <font>
      <b/>
      <sz val="11"/>
      <color indexed="9"/>
      <name val="Calibri"/>
      <family val="2"/>
    </font>
    <font>
      <b/>
      <sz val="11"/>
      <color indexed="63"/>
      <name val="Calibri"/>
      <family val="2"/>
    </font>
    <font>
      <b/>
      <sz val="12"/>
      <name val="Courier New"/>
      <family val="3"/>
    </font>
    <font>
      <sz val="10"/>
      <name val="MS Serif"/>
      <family val="1"/>
    </font>
    <font>
      <sz val="11"/>
      <color indexed="62"/>
      <name val="Calibri"/>
      <family val="2"/>
    </font>
    <font>
      <b/>
      <sz val="18"/>
      <color indexed="62"/>
      <name val="Cambria"/>
      <family val="1"/>
    </font>
    <font>
      <sz val="10"/>
      <color indexed="16"/>
      <name val="MS Serif"/>
      <family val="1"/>
    </font>
    <font>
      <sz val="11"/>
      <color indexed="17"/>
      <name val="Calibri"/>
      <family val="2"/>
    </font>
    <font>
      <u/>
      <sz val="11"/>
      <color indexed="12"/>
      <name val="Times New Roman"/>
      <family val="1"/>
    </font>
    <font>
      <sz val="10"/>
      <name val="Book Antiqua"/>
      <family val="1"/>
    </font>
    <font>
      <u/>
      <sz val="12"/>
      <name val="Verdana"/>
      <family val="2"/>
    </font>
    <font>
      <sz val="10"/>
      <name val="Arial"/>
      <family val="2"/>
    </font>
    <font>
      <sz val="11.5"/>
      <name val="Times New Roman"/>
      <family val="1"/>
    </font>
    <font>
      <b/>
      <sz val="14"/>
      <name val="Calibri"/>
      <family val="2"/>
      <scheme val="minor"/>
    </font>
    <font>
      <b/>
      <sz val="11"/>
      <name val="Calibri"/>
      <family val="2"/>
      <scheme val="minor"/>
    </font>
    <font>
      <sz val="11"/>
      <name val="Calibri"/>
      <family val="2"/>
      <scheme val="minor"/>
    </font>
    <font>
      <u/>
      <sz val="16"/>
      <name val="Verdana"/>
      <family val="2"/>
    </font>
    <font>
      <sz val="10"/>
      <name val="Times New Roman"/>
      <family val="1"/>
      <charset val="1"/>
    </font>
    <font>
      <sz val="11"/>
      <color rgb="FF000000"/>
      <name val="Calibri"/>
      <family val="2"/>
    </font>
    <font>
      <sz val="11"/>
      <color rgb="FF000000"/>
      <name val="Calibri"/>
      <family val="2"/>
      <scheme val="minor"/>
    </font>
    <font>
      <sz val="10"/>
      <color rgb="FF000000"/>
      <name val="Arial"/>
      <family val="2"/>
    </font>
    <font>
      <sz val="10"/>
      <name val="Helv"/>
      <family val="2"/>
    </font>
    <font>
      <b/>
      <sz val="18"/>
      <color indexed="56"/>
      <name val="Cambria"/>
      <family val="2"/>
    </font>
    <font>
      <b/>
      <sz val="12"/>
      <color rgb="FFFF0000"/>
      <name val="Calibri"/>
      <family val="2"/>
      <scheme val="minor"/>
    </font>
    <font>
      <b/>
      <sz val="12"/>
      <color rgb="FFFF0066"/>
      <name val="Calibri"/>
      <family val="2"/>
      <scheme val="minor"/>
    </font>
    <font>
      <sz val="12"/>
      <name val="Arial"/>
      <family val="2"/>
    </font>
    <font>
      <sz val="12"/>
      <color rgb="FFFF0000"/>
      <name val="Arial"/>
      <family val="2"/>
    </font>
    <font>
      <b/>
      <sz val="12"/>
      <color rgb="FFFF0000"/>
      <name val="Arial"/>
      <family val="2"/>
    </font>
    <font>
      <b/>
      <sz val="12"/>
      <name val="Arial"/>
      <family val="2"/>
    </font>
    <font>
      <sz val="16"/>
      <name val="Arial"/>
      <family val="2"/>
    </font>
    <font>
      <sz val="12"/>
      <color rgb="FF0000FF"/>
      <name val="Calibri"/>
      <family val="2"/>
      <scheme val="minor"/>
    </font>
    <font>
      <sz val="10"/>
      <color theme="7" tint="-0.499984740745262"/>
      <name val="Arial"/>
      <family val="2"/>
    </font>
    <font>
      <sz val="10"/>
      <color indexed="14"/>
      <name val="Arial"/>
      <family val="2"/>
    </font>
    <font>
      <b/>
      <sz val="12"/>
      <color indexed="10"/>
      <name val="Arial"/>
      <charset val="134"/>
    </font>
  </fonts>
  <fills count="85">
    <fill>
      <patternFill patternType="none"/>
    </fill>
    <fill>
      <patternFill patternType="gray125"/>
    </fill>
    <fill>
      <patternFill patternType="solid">
        <fgColor rgb="FFFFFFCC"/>
        <bgColor indexed="64"/>
      </patternFill>
    </fill>
    <fill>
      <patternFill patternType="solid">
        <fgColor rgb="FFFFFF00"/>
        <bgColor indexed="64"/>
      </patternFill>
    </fill>
    <fill>
      <patternFill patternType="solid">
        <fgColor theme="0"/>
        <bgColor indexed="64"/>
      </patternFill>
    </fill>
    <fill>
      <patternFill patternType="solid">
        <fgColor rgb="FFFF0000"/>
        <bgColor indexed="64"/>
      </patternFill>
    </fill>
    <fill>
      <patternFill patternType="solid">
        <fgColor indexed="13"/>
        <bgColor indexed="64"/>
      </patternFill>
    </fill>
    <fill>
      <patternFill patternType="solid">
        <fgColor rgb="FFCCECFF"/>
        <bgColor indexed="64"/>
      </patternFill>
    </fill>
    <fill>
      <patternFill patternType="solid">
        <fgColor rgb="FFF8F8F8"/>
        <bgColor indexed="64"/>
      </patternFill>
    </fill>
    <fill>
      <patternFill patternType="solid">
        <fgColor rgb="FF92D050"/>
        <bgColor indexed="64"/>
      </patternFill>
    </fill>
    <fill>
      <patternFill patternType="solid">
        <fgColor rgb="FFFF0066"/>
        <bgColor indexed="64"/>
      </patternFill>
    </fill>
    <fill>
      <patternFill patternType="solid">
        <fgColor theme="5" tint="0.39991454817346722"/>
        <bgColor indexed="64"/>
      </patternFill>
    </fill>
    <fill>
      <patternFill patternType="solid">
        <fgColor theme="8" tint="0.79995117038483843"/>
        <bgColor indexed="64"/>
      </patternFill>
    </fill>
    <fill>
      <patternFill patternType="solid">
        <fgColor indexed="9"/>
        <bgColor indexed="64"/>
      </patternFill>
    </fill>
    <fill>
      <patternFill patternType="solid">
        <fgColor indexed="23"/>
        <bgColor indexed="64"/>
      </patternFill>
    </fill>
    <fill>
      <patternFill patternType="solid">
        <fgColor indexed="44"/>
        <bgColor indexed="64"/>
      </patternFill>
    </fill>
    <fill>
      <patternFill patternType="solid">
        <fgColor theme="5"/>
        <bgColor indexed="64"/>
      </patternFill>
    </fill>
    <fill>
      <patternFill patternType="solid">
        <fgColor indexed="51"/>
        <bgColor indexed="64"/>
      </patternFill>
    </fill>
    <fill>
      <patternFill patternType="solid">
        <fgColor indexed="47"/>
        <bgColor indexed="64"/>
      </patternFill>
    </fill>
    <fill>
      <patternFill patternType="solid">
        <fgColor indexed="31"/>
        <bgColor indexed="64"/>
      </patternFill>
    </fill>
    <fill>
      <patternFill patternType="solid">
        <fgColor indexed="29"/>
        <bgColor indexed="64"/>
      </patternFill>
    </fill>
    <fill>
      <patternFill patternType="solid">
        <fgColor indexed="45"/>
        <bgColor indexed="64"/>
      </patternFill>
    </fill>
    <fill>
      <patternFill patternType="solid">
        <fgColor indexed="46"/>
        <bgColor indexed="64"/>
      </patternFill>
    </fill>
    <fill>
      <patternFill patternType="solid">
        <fgColor indexed="27"/>
        <bgColor indexed="64"/>
      </patternFill>
    </fill>
    <fill>
      <patternFill patternType="solid">
        <fgColor indexed="11"/>
        <bgColor indexed="64"/>
      </patternFill>
    </fill>
    <fill>
      <patternFill patternType="lightGrid">
        <bgColor indexed="31"/>
      </patternFill>
    </fill>
    <fill>
      <patternFill patternType="lightHorizontal">
        <bgColor indexed="45"/>
      </patternFill>
    </fill>
    <fill>
      <patternFill patternType="lightUp">
        <bgColor indexed="46"/>
      </patternFill>
    </fill>
    <fill>
      <patternFill patternType="lightVertical">
        <bgColor indexed="27"/>
      </patternFill>
    </fill>
    <fill>
      <patternFill patternType="solid">
        <fgColor theme="1"/>
        <bgColor indexed="64"/>
      </patternFill>
    </fill>
    <fill>
      <patternFill patternType="solid">
        <fgColor rgb="FF00B0F0"/>
        <bgColor indexed="64"/>
      </patternFill>
    </fill>
    <fill>
      <patternFill patternType="solid">
        <fgColor theme="9" tint="-0.249977111117893"/>
        <bgColor indexed="64"/>
      </patternFill>
    </fill>
    <fill>
      <patternFill patternType="lightGrid"/>
    </fill>
    <fill>
      <patternFill patternType="solid">
        <fgColor indexed="8"/>
        <bgColor indexed="64"/>
      </patternFill>
    </fill>
    <fill>
      <patternFill patternType="solid">
        <fgColor indexed="53"/>
        <bgColor indexed="64"/>
      </patternFill>
    </fill>
    <fill>
      <patternFill patternType="solid">
        <fgColor theme="0" tint="-0.499984740745262"/>
        <bgColor indexed="64"/>
      </patternFill>
    </fill>
    <fill>
      <patternFill patternType="solid">
        <fgColor indexed="22"/>
        <bgColor indexed="64"/>
      </patternFill>
    </fill>
    <fill>
      <patternFill patternType="solid">
        <fgColor indexed="26"/>
        <bgColor indexed="64"/>
      </patternFill>
    </fill>
    <fill>
      <patternFill patternType="solid">
        <fgColor indexed="49"/>
        <bgColor indexed="64"/>
      </patternFill>
    </fill>
    <fill>
      <patternFill patternType="solid">
        <fgColor indexed="42"/>
        <bgColor indexed="64"/>
      </patternFill>
    </fill>
    <fill>
      <patternFill patternType="solid">
        <fgColor indexed="30"/>
        <bgColor indexed="64"/>
      </patternFill>
    </fill>
    <fill>
      <patternFill patternType="solid">
        <fgColor indexed="22"/>
        <bgColor indexed="22"/>
      </patternFill>
    </fill>
    <fill>
      <patternFill patternType="solid">
        <fgColor indexed="36"/>
        <bgColor indexed="64"/>
      </patternFill>
    </fill>
    <fill>
      <patternFill patternType="solid">
        <fgColor indexed="26"/>
        <bgColor indexed="26"/>
      </patternFill>
    </fill>
    <fill>
      <patternFill patternType="lightUp">
        <fgColor indexed="9"/>
        <bgColor indexed="22"/>
      </patternFill>
    </fill>
    <fill>
      <patternFill patternType="solid">
        <fgColor indexed="31"/>
        <bgColor indexed="31"/>
      </patternFill>
    </fill>
    <fill>
      <patternFill patternType="solid">
        <fgColor indexed="27"/>
        <bgColor indexed="27"/>
      </patternFill>
    </fill>
    <fill>
      <patternFill patternType="solid">
        <fgColor indexed="10"/>
        <bgColor indexed="64"/>
      </patternFill>
    </fill>
    <fill>
      <patternFill patternType="solid">
        <fgColor indexed="47"/>
        <bgColor indexed="47"/>
      </patternFill>
    </fill>
    <fill>
      <patternFill patternType="solid">
        <fgColor indexed="55"/>
        <bgColor indexed="64"/>
      </patternFill>
    </fill>
    <fill>
      <patternFill patternType="solid">
        <fgColor indexed="43"/>
        <bgColor indexed="64"/>
      </patternFill>
    </fill>
    <fill>
      <patternFill patternType="lightUp">
        <fgColor indexed="9"/>
        <bgColor indexed="29"/>
      </patternFill>
    </fill>
    <fill>
      <patternFill patternType="solid">
        <fgColor indexed="57"/>
        <bgColor indexed="64"/>
      </patternFill>
    </fill>
    <fill>
      <patternFill patternType="solid">
        <fgColor indexed="52"/>
        <bgColor indexed="64"/>
      </patternFill>
    </fill>
    <fill>
      <patternFill patternType="solid">
        <fgColor indexed="44"/>
        <bgColor indexed="44"/>
      </patternFill>
    </fill>
    <fill>
      <patternFill patternType="solid">
        <fgColor indexed="62"/>
        <bgColor indexed="64"/>
      </patternFill>
    </fill>
    <fill>
      <patternFill patternType="solid">
        <fgColor indexed="55"/>
        <bgColor indexed="55"/>
      </patternFill>
    </fill>
    <fill>
      <patternFill patternType="solid">
        <fgColor indexed="42"/>
        <bgColor indexed="42"/>
      </patternFill>
    </fill>
    <fill>
      <patternFill patternType="lightUp">
        <fgColor indexed="9"/>
        <bgColor indexed="55"/>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theme="4" tint="0.59999389629810485"/>
        <bgColor indexed="64"/>
      </patternFill>
    </fill>
    <fill>
      <patternFill patternType="solid">
        <fgColor theme="5" tint="0.39994506668294322"/>
        <bgColor indexed="64"/>
      </patternFill>
    </fill>
    <fill>
      <patternFill patternType="solid">
        <fgColor rgb="FF66FFFF"/>
        <bgColor indexed="64"/>
      </patternFill>
    </fill>
    <fill>
      <patternFill patternType="solid">
        <fgColor theme="0" tint="-0.249977111117893"/>
        <bgColor indexed="64"/>
      </patternFill>
    </fill>
  </fills>
  <borders count="108">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top/>
      <bottom style="medium">
        <color auto="1"/>
      </bottom>
      <diagonal/>
    </border>
    <border>
      <left/>
      <right/>
      <top style="medium">
        <color auto="1"/>
      </top>
      <bottom style="medium">
        <color auto="1"/>
      </bottom>
      <diagonal/>
    </border>
    <border>
      <left/>
      <right style="thin">
        <color auto="1"/>
      </right>
      <top/>
      <bottom style="thin">
        <color auto="1"/>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style="medium">
        <color auto="1"/>
      </left>
      <right/>
      <top/>
      <bottom style="medium">
        <color auto="1"/>
      </bottom>
      <diagonal/>
    </border>
    <border>
      <left/>
      <right style="thin">
        <color auto="1"/>
      </right>
      <top style="thin">
        <color auto="1"/>
      </top>
      <bottom/>
      <diagonal/>
    </border>
    <border>
      <left/>
      <right style="thin">
        <color auto="1"/>
      </right>
      <top/>
      <bottom/>
      <diagonal/>
    </border>
    <border>
      <left/>
      <right style="medium">
        <color auto="1"/>
      </right>
      <top/>
      <bottom style="medium">
        <color auto="1"/>
      </bottom>
      <diagonal/>
    </border>
    <border>
      <left style="medium">
        <color auto="1"/>
      </left>
      <right style="thin">
        <color auto="1"/>
      </right>
      <top style="medium">
        <color auto="1"/>
      </top>
      <bottom style="medium">
        <color auto="1"/>
      </bottom>
      <diagonal/>
    </border>
    <border>
      <left/>
      <right style="medium">
        <color auto="1"/>
      </right>
      <top style="medium">
        <color auto="1"/>
      </top>
      <bottom/>
      <diagonal/>
    </border>
    <border>
      <left style="medium">
        <color auto="1"/>
      </left>
      <right style="thin">
        <color auto="1"/>
      </right>
      <top style="medium">
        <color auto="1"/>
      </top>
      <bottom/>
      <diagonal/>
    </border>
    <border>
      <left style="thin">
        <color auto="1"/>
      </left>
      <right style="medium">
        <color auto="1"/>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style="thin">
        <color auto="1"/>
      </left>
      <right style="thin">
        <color auto="1"/>
      </right>
      <top style="thin">
        <color auto="1"/>
      </top>
      <bottom style="medium">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thin">
        <color theme="0" tint="-0.34998626667073579"/>
      </right>
      <top/>
      <bottom style="thin">
        <color auto="1"/>
      </bottom>
      <diagonal/>
    </border>
    <border>
      <left style="thin">
        <color theme="0" tint="-0.34998626667073579"/>
      </left>
      <right style="thin">
        <color theme="0" tint="-0.34998626667073579"/>
      </right>
      <top/>
      <bottom style="thin">
        <color auto="1"/>
      </bottom>
      <diagonal/>
    </border>
    <border>
      <left style="thin">
        <color theme="0" tint="-0.34998626667073579"/>
      </left>
      <right style="thin">
        <color auto="1"/>
      </right>
      <top/>
      <bottom style="thin">
        <color auto="1"/>
      </bottom>
      <diagonal/>
    </border>
    <border>
      <left style="thin">
        <color auto="1"/>
      </left>
      <right style="hair">
        <color auto="1"/>
      </right>
      <top/>
      <bottom/>
      <diagonal/>
    </border>
    <border>
      <left style="hair">
        <color auto="1"/>
      </left>
      <right style="hair">
        <color auto="1"/>
      </right>
      <top/>
      <bottom/>
      <diagonal/>
    </border>
    <border>
      <left style="hair">
        <color auto="1"/>
      </left>
      <right style="thin">
        <color auto="1"/>
      </right>
      <top/>
      <bottom/>
      <diagonal/>
    </border>
    <border>
      <left style="hair">
        <color auto="1"/>
      </left>
      <right/>
      <top style="hair">
        <color auto="1"/>
      </top>
      <bottom style="hair">
        <color auto="1"/>
      </bottom>
      <diagonal/>
    </border>
    <border>
      <left/>
      <right/>
      <top style="hair">
        <color auto="1"/>
      </top>
      <bottom style="hair">
        <color auto="1"/>
      </bottom>
      <diagonal/>
    </border>
    <border>
      <left/>
      <right style="hair">
        <color auto="1"/>
      </right>
      <top style="hair">
        <color auto="1"/>
      </top>
      <bottom style="hair">
        <color auto="1"/>
      </bottom>
      <diagonal/>
    </border>
    <border>
      <left style="thin">
        <color auto="1"/>
      </left>
      <right/>
      <top style="thin">
        <color auto="1"/>
      </top>
      <bottom style="medium">
        <color auto="1"/>
      </bottom>
      <diagonal/>
    </border>
    <border>
      <left/>
      <right/>
      <top style="thin">
        <color auto="1"/>
      </top>
      <bottom style="medium">
        <color auto="1"/>
      </bottom>
      <diagonal/>
    </border>
    <border>
      <left style="medium">
        <color auto="1"/>
      </left>
      <right style="medium">
        <color auto="1"/>
      </right>
      <top/>
      <bottom style="medium">
        <color auto="1"/>
      </bottom>
      <diagonal/>
    </border>
    <border>
      <left style="medium">
        <color auto="1"/>
      </left>
      <right style="medium">
        <color auto="1"/>
      </right>
      <top style="medium">
        <color auto="1"/>
      </top>
      <bottom style="thin">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diagonal/>
    </border>
    <border>
      <left style="thin">
        <color auto="1"/>
      </left>
      <right style="medium">
        <color auto="1"/>
      </right>
      <top/>
      <bottom/>
      <diagonal/>
    </border>
    <border>
      <left/>
      <right style="medium">
        <color auto="1"/>
      </right>
      <top style="thin">
        <color auto="1"/>
      </top>
      <bottom style="thin">
        <color auto="1"/>
      </bottom>
      <diagonal/>
    </border>
    <border>
      <left style="medium">
        <color auto="1"/>
      </left>
      <right style="medium">
        <color auto="1"/>
      </right>
      <top style="medium">
        <color auto="1"/>
      </top>
      <bottom/>
      <diagonal/>
    </border>
    <border>
      <left style="medium">
        <color auto="1"/>
      </left>
      <right style="thin">
        <color auto="1"/>
      </right>
      <top style="thin">
        <color auto="1"/>
      </top>
      <bottom/>
      <diagonal/>
    </border>
    <border>
      <left style="medium">
        <color auto="1"/>
      </left>
      <right style="thin">
        <color auto="1"/>
      </right>
      <top/>
      <bottom style="thin">
        <color auto="1"/>
      </bottom>
      <diagonal/>
    </border>
    <border>
      <left style="thin">
        <color auto="1"/>
      </left>
      <right style="medium">
        <color auto="1"/>
      </right>
      <top style="thin">
        <color auto="1"/>
      </top>
      <bottom style="thin">
        <color auto="1"/>
      </bottom>
      <diagonal/>
    </border>
    <border>
      <left style="thin">
        <color auto="1"/>
      </left>
      <right/>
      <top style="medium">
        <color auto="1"/>
      </top>
      <bottom style="medium">
        <color auto="1"/>
      </bottom>
      <diagonal/>
    </border>
    <border>
      <left style="medium">
        <color auto="1"/>
      </left>
      <right/>
      <top style="double">
        <color auto="1"/>
      </top>
      <bottom/>
      <diagonal/>
    </border>
    <border>
      <left/>
      <right/>
      <top style="double">
        <color auto="1"/>
      </top>
      <bottom/>
      <diagonal/>
    </border>
    <border>
      <left style="double">
        <color auto="1"/>
      </left>
      <right/>
      <top/>
      <bottom/>
      <diagonal/>
    </border>
    <border>
      <left style="double">
        <color auto="1"/>
      </left>
      <right/>
      <top/>
      <bottom style="double">
        <color auto="1"/>
      </bottom>
      <diagonal/>
    </border>
    <border>
      <left/>
      <right/>
      <top/>
      <bottom style="double">
        <color auto="1"/>
      </bottom>
      <diagonal/>
    </border>
    <border>
      <left/>
      <right style="double">
        <color auto="1"/>
      </right>
      <top style="double">
        <color auto="1"/>
      </top>
      <bottom/>
      <diagonal/>
    </border>
    <border>
      <left/>
      <right style="double">
        <color auto="1"/>
      </right>
      <top/>
      <bottom/>
      <diagonal/>
    </border>
    <border>
      <left/>
      <right style="double">
        <color auto="1"/>
      </right>
      <top/>
      <bottom style="double">
        <color auto="1"/>
      </bottom>
      <diagonal/>
    </border>
    <border>
      <left style="thin">
        <color indexed="8"/>
      </left>
      <right style="thin">
        <color indexed="8"/>
      </right>
      <top style="thin">
        <color indexed="8"/>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top/>
      <bottom style="thin">
        <color rgb="FF000000"/>
      </bottom>
      <diagonal/>
    </border>
    <border>
      <left/>
      <right/>
      <top/>
      <bottom style="thin">
        <color rgb="FF000000"/>
      </bottom>
      <diagonal/>
    </border>
    <border>
      <left/>
      <right style="medium">
        <color auto="1"/>
      </right>
      <top style="medium">
        <color auto="1"/>
      </top>
      <bottom style="thin">
        <color auto="1"/>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style="dotted">
        <color auto="1"/>
      </left>
      <right style="dotted">
        <color auto="1"/>
      </right>
      <top style="dotted">
        <color auto="1"/>
      </top>
      <bottom style="dotted">
        <color auto="1"/>
      </bottom>
      <diagonal/>
    </border>
    <border>
      <left style="dotted">
        <color auto="1"/>
      </left>
      <right style="dotted">
        <color auto="1"/>
      </right>
      <top/>
      <bottom style="dotted">
        <color auto="1"/>
      </bottom>
      <diagonal/>
    </border>
    <border>
      <left style="dotted">
        <color auto="1"/>
      </left>
      <right/>
      <top style="dotted">
        <color auto="1"/>
      </top>
      <bottom style="dotted">
        <color auto="1"/>
      </bottom>
      <diagonal/>
    </border>
    <border>
      <left/>
      <right/>
      <top style="dotted">
        <color auto="1"/>
      </top>
      <bottom style="dotted">
        <color auto="1"/>
      </bottom>
      <diagonal/>
    </border>
    <border>
      <left/>
      <right style="dotted">
        <color auto="1"/>
      </right>
      <top style="dotted">
        <color auto="1"/>
      </top>
      <bottom style="dotted">
        <color auto="1"/>
      </bottom>
      <diagonal/>
    </border>
    <border>
      <left style="thin">
        <color auto="1"/>
      </left>
      <right style="thin">
        <color auto="1"/>
      </right>
      <top style="hair">
        <color auto="1"/>
      </top>
      <bottom style="hair">
        <color auto="1"/>
      </bottom>
      <diagonal/>
    </border>
    <border>
      <left style="thin">
        <color indexed="22"/>
      </left>
      <right style="thin">
        <color indexed="22"/>
      </right>
      <top style="thin">
        <color indexed="22"/>
      </top>
      <bottom style="thin">
        <color indexed="2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22"/>
      </bottom>
      <diagonal/>
    </border>
    <border>
      <left/>
      <right/>
      <top style="thin">
        <color indexed="62"/>
      </top>
      <bottom style="double">
        <color indexed="62"/>
      </bottom>
      <diagonal/>
    </border>
    <border>
      <left/>
      <right/>
      <top/>
      <bottom style="thick">
        <color indexed="62"/>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s>
  <cellStyleXfs count="18961">
    <xf numFmtId="0" fontId="0" fillId="0" borderId="0"/>
    <xf numFmtId="0" fontId="4" fillId="0" borderId="0"/>
    <xf numFmtId="0" fontId="4" fillId="0" borderId="0"/>
    <xf numFmtId="43" fontId="4" fillId="0" borderId="0" applyFont="0" applyFill="0" applyBorder="0" applyAlignment="0" applyProtection="0"/>
    <xf numFmtId="0" fontId="4" fillId="0" borderId="0"/>
    <xf numFmtId="43" fontId="4" fillId="0" borderId="0" applyFont="0" applyFill="0" applyBorder="0" applyAlignment="0" applyProtection="0"/>
    <xf numFmtId="44" fontId="4" fillId="0" borderId="0" applyFont="0" applyFill="0" applyBorder="0" applyAlignment="0" applyProtection="0"/>
    <xf numFmtId="0" fontId="2" fillId="0" borderId="0"/>
    <xf numFmtId="0" fontId="4" fillId="0" borderId="0"/>
    <xf numFmtId="43" fontId="4" fillId="0" borderId="0" applyFont="0" applyFill="0" applyBorder="0" applyAlignment="0" applyProtection="0"/>
    <xf numFmtId="0" fontId="4" fillId="0" borderId="0"/>
    <xf numFmtId="0" fontId="4" fillId="0" borderId="0"/>
    <xf numFmtId="167" fontId="4" fillId="0" borderId="0" applyFont="0" applyFill="0" applyBorder="0" applyAlignment="0" applyProtection="0"/>
    <xf numFmtId="0" fontId="304" fillId="43" borderId="0" applyNumberFormat="0" applyBorder="0" applyAlignment="0" applyProtection="0"/>
    <xf numFmtId="0" fontId="4" fillId="0" borderId="0"/>
    <xf numFmtId="0" fontId="2" fillId="0" borderId="0"/>
    <xf numFmtId="43" fontId="4" fillId="0" borderId="0" applyFont="0" applyFill="0" applyBorder="0" applyAlignment="0" applyProtection="0"/>
    <xf numFmtId="0" fontId="119" fillId="0" borderId="0"/>
    <xf numFmtId="0" fontId="4" fillId="0" borderId="0"/>
    <xf numFmtId="0" fontId="4" fillId="0" borderId="0"/>
    <xf numFmtId="9" fontId="4" fillId="0" borderId="0" applyFont="0" applyFill="0" applyBorder="0" applyAlignment="0" applyProtection="0"/>
    <xf numFmtId="0" fontId="304" fillId="41" borderId="0" applyNumberFormat="0" applyBorder="0" applyAlignment="0" applyProtection="0"/>
    <xf numFmtId="0" fontId="4" fillId="0" borderId="0"/>
    <xf numFmtId="43" fontId="4" fillId="0" borderId="0" applyFont="0" applyFill="0" applyBorder="0" applyAlignment="0" applyProtection="0"/>
    <xf numFmtId="0" fontId="119" fillId="0" borderId="0"/>
    <xf numFmtId="0" fontId="223" fillId="0" borderId="0" applyNumberFormat="0" applyFill="0" applyBorder="0" applyAlignment="0" applyProtection="0">
      <alignment vertical="top"/>
      <protection locked="0"/>
    </xf>
    <xf numFmtId="44" fontId="4" fillId="0" borderId="0" applyFont="0" applyFill="0" applyBorder="0" applyAlignment="0" applyProtection="0"/>
    <xf numFmtId="0" fontId="4" fillId="0" borderId="0"/>
    <xf numFmtId="0" fontId="4" fillId="0" borderId="0"/>
    <xf numFmtId="0" fontId="309" fillId="0" borderId="98" applyNumberFormat="0" applyFill="0" applyAlignment="0" applyProtection="0"/>
    <xf numFmtId="0" fontId="304" fillId="39" borderId="0" applyNumberFormat="0" applyBorder="0" applyAlignment="0" applyProtection="0"/>
    <xf numFmtId="0" fontId="4" fillId="0" borderId="0"/>
    <xf numFmtId="0" fontId="4" fillId="0" borderId="0"/>
    <xf numFmtId="9" fontId="2" fillId="0" borderId="0" applyFont="0" applyFill="0" applyBorder="0" applyAlignment="0" applyProtection="0"/>
    <xf numFmtId="43" fontId="4" fillId="0" borderId="0" applyFont="0" applyFill="0" applyBorder="0" applyAlignment="0" applyProtection="0"/>
    <xf numFmtId="0" fontId="304" fillId="0" borderId="0"/>
    <xf numFmtId="0" fontId="4" fillId="0" borderId="0"/>
    <xf numFmtId="0" fontId="4" fillId="0" borderId="9">
      <alignment horizontal="center"/>
    </xf>
    <xf numFmtId="0" fontId="4" fillId="0" borderId="0"/>
    <xf numFmtId="0" fontId="4" fillId="0" borderId="9">
      <alignment horizontal="center"/>
    </xf>
    <xf numFmtId="9" fontId="2" fillId="0" borderId="0" applyFont="0" applyFill="0" applyBorder="0" applyAlignment="0" applyProtection="0"/>
    <xf numFmtId="0" fontId="4" fillId="0" borderId="0"/>
    <xf numFmtId="0" fontId="4" fillId="0" borderId="0"/>
    <xf numFmtId="0" fontId="304" fillId="43"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2" fontId="4" fillId="0" borderId="0" applyFont="0" applyFill="0" applyBorder="0" applyAlignment="0" applyProtection="0"/>
    <xf numFmtId="43" fontId="4" fillId="0" borderId="0" applyFont="0" applyFill="0" applyBorder="0" applyAlignment="0" applyProtection="0"/>
    <xf numFmtId="0" fontId="305" fillId="21" borderId="0" applyNumberFormat="0" applyBorder="0" applyAlignment="0" applyProtection="0"/>
    <xf numFmtId="0" fontId="4" fillId="0" borderId="0"/>
    <xf numFmtId="0" fontId="303" fillId="24" borderId="0" applyNumberFormat="0" applyBorder="0" applyAlignment="0" applyProtection="0"/>
    <xf numFmtId="0" fontId="304" fillId="46" borderId="0" applyNumberFormat="0" applyBorder="0" applyAlignment="0" applyProtection="0"/>
    <xf numFmtId="0" fontId="304" fillId="19" borderId="0" applyNumberFormat="0" applyBorder="0" applyAlignment="0" applyProtection="0"/>
    <xf numFmtId="43" fontId="4" fillId="0" borderId="0" applyFont="0" applyFill="0" applyBorder="0" applyAlignment="0" applyProtection="0"/>
    <xf numFmtId="0" fontId="2" fillId="0" borderId="0"/>
    <xf numFmtId="0" fontId="4" fillId="0" borderId="0"/>
    <xf numFmtId="0" fontId="4" fillId="0" borderId="0"/>
    <xf numFmtId="0" fontId="312" fillId="36" borderId="99" applyNumberFormat="0" applyAlignment="0" applyProtection="0"/>
    <xf numFmtId="0" fontId="4" fillId="0" borderId="0"/>
    <xf numFmtId="43" fontId="4" fillId="0" borderId="0" applyFont="0" applyFill="0" applyBorder="0" applyAlignment="0" applyProtection="0"/>
    <xf numFmtId="0" fontId="2" fillId="0" borderId="0"/>
    <xf numFmtId="0" fontId="4" fillId="0" borderId="0"/>
    <xf numFmtId="43" fontId="4" fillId="0" borderId="0" applyFont="0" applyFill="0" applyBorder="0" applyAlignment="0" applyProtection="0"/>
    <xf numFmtId="0" fontId="4" fillId="0" borderId="0"/>
    <xf numFmtId="0" fontId="311" fillId="0" borderId="0" applyFill="0" applyBorder="0" applyAlignment="0"/>
    <xf numFmtId="0" fontId="4" fillId="0" borderId="0"/>
    <xf numFmtId="0" fontId="4" fillId="0" borderId="0"/>
    <xf numFmtId="0" fontId="4" fillId="0" borderId="0"/>
    <xf numFmtId="0" fontId="4" fillId="0" borderId="0"/>
    <xf numFmtId="2" fontId="4" fillId="0" borderId="0" applyFont="0" applyFill="0" applyBorder="0" applyAlignment="0" applyProtection="0"/>
    <xf numFmtId="43" fontId="4" fillId="0" borderId="0" applyFont="0" applyFill="0" applyBorder="0" applyAlignment="0" applyProtection="0"/>
    <xf numFmtId="0" fontId="2" fillId="0" borderId="0"/>
    <xf numFmtId="0" fontId="304" fillId="39" borderId="0" applyNumberFormat="0" applyBorder="0" applyAlignment="0" applyProtection="0"/>
    <xf numFmtId="0" fontId="4" fillId="0" borderId="0"/>
    <xf numFmtId="0" fontId="4" fillId="0" borderId="0"/>
    <xf numFmtId="2" fontId="4" fillId="0" borderId="0" applyFont="0" applyFill="0" applyBorder="0" applyAlignment="0" applyProtection="0"/>
    <xf numFmtId="43" fontId="4" fillId="0" borderId="0" applyFont="0" applyFill="0" applyBorder="0" applyAlignment="0" applyProtection="0"/>
    <xf numFmtId="0" fontId="2" fillId="0" borderId="0"/>
    <xf numFmtId="0" fontId="4" fillId="0" borderId="0"/>
    <xf numFmtId="0" fontId="4" fillId="0" borderId="0"/>
    <xf numFmtId="0" fontId="4" fillId="0" borderId="0"/>
    <xf numFmtId="0" fontId="4" fillId="0" borderId="0"/>
    <xf numFmtId="0" fontId="303" fillId="34" borderId="0" applyNumberFormat="0" applyBorder="0" applyAlignment="0" applyProtection="0"/>
    <xf numFmtId="2" fontId="4" fillId="0" borderId="0" applyFont="0" applyFill="0" applyBorder="0" applyAlignment="0" applyProtection="0"/>
    <xf numFmtId="43" fontId="4" fillId="0" borderId="0" applyFont="0" applyFill="0" applyBorder="0" applyAlignment="0" applyProtection="0"/>
    <xf numFmtId="0" fontId="2" fillId="0" borderId="0"/>
    <xf numFmtId="0" fontId="2" fillId="0" borderId="0"/>
    <xf numFmtId="0" fontId="304" fillId="39" borderId="0" applyNumberFormat="0" applyBorder="0" applyAlignment="0" applyProtection="0"/>
    <xf numFmtId="0" fontId="4" fillId="0" borderId="0"/>
    <xf numFmtId="0" fontId="316" fillId="0" borderId="0">
      <alignment vertical="top"/>
    </xf>
    <xf numFmtId="0" fontId="309" fillId="0" borderId="98" applyNumberFormat="0" applyFill="0" applyAlignment="0" applyProtection="0"/>
    <xf numFmtId="43" fontId="4" fillId="0" borderId="0" applyFont="0" applyFill="0" applyBorder="0" applyAlignment="0" applyProtection="0"/>
    <xf numFmtId="0" fontId="304" fillId="39" borderId="0" applyNumberFormat="0" applyBorder="0" applyAlignment="0" applyProtection="0"/>
    <xf numFmtId="0" fontId="304" fillId="20"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2" fillId="0" borderId="0"/>
    <xf numFmtId="43" fontId="4" fillId="0" borderId="0" applyFont="0" applyFill="0" applyBorder="0" applyAlignment="0" applyProtection="0"/>
    <xf numFmtId="0" fontId="318" fillId="0" borderId="101" applyNumberFormat="0" applyFill="0" applyAlignment="0" applyProtection="0"/>
    <xf numFmtId="0" fontId="4" fillId="0" borderId="0"/>
    <xf numFmtId="43" fontId="4" fillId="0" borderId="0" applyFont="0" applyFill="0" applyBorder="0" applyAlignment="0" applyProtection="0"/>
    <xf numFmtId="0" fontId="119" fillId="0" borderId="0"/>
    <xf numFmtId="0" fontId="2" fillId="0" borderId="0"/>
    <xf numFmtId="0" fontId="304" fillId="45" borderId="0" applyNumberFormat="0" applyBorder="0" applyAlignment="0" applyProtection="0"/>
    <xf numFmtId="0" fontId="313" fillId="49" borderId="100" applyNumberFormat="0" applyAlignment="0" applyProtection="0"/>
    <xf numFmtId="0" fontId="304" fillId="0" borderId="0"/>
    <xf numFmtId="43" fontId="4" fillId="0" borderId="0" applyFont="0" applyFill="0" applyBorder="0" applyAlignment="0" applyProtection="0"/>
    <xf numFmtId="0" fontId="4" fillId="0" borderId="0"/>
    <xf numFmtId="0" fontId="4" fillId="0" borderId="0"/>
    <xf numFmtId="0" fontId="4" fillId="0" borderId="0"/>
    <xf numFmtId="0" fontId="304" fillId="22" borderId="0" applyNumberFormat="0" applyBorder="0" applyAlignment="0" applyProtection="0"/>
    <xf numFmtId="0" fontId="303" fillId="52" borderId="0" applyNumberFormat="0" applyBorder="0" applyAlignment="0" applyProtection="0"/>
    <xf numFmtId="0" fontId="4" fillId="0" borderId="0"/>
    <xf numFmtId="0" fontId="4" fillId="0" borderId="0"/>
    <xf numFmtId="0" fontId="119" fillId="0" borderId="0"/>
    <xf numFmtId="1" fontId="4" fillId="0" borderId="0"/>
    <xf numFmtId="0" fontId="303" fillId="24" borderId="0" applyNumberFormat="0" applyBorder="0" applyAlignment="0" applyProtection="0"/>
    <xf numFmtId="9" fontId="4" fillId="0" borderId="0" applyFont="0" applyFill="0" applyBorder="0" applyAlignment="0" applyProtection="0"/>
    <xf numFmtId="0" fontId="119" fillId="0" borderId="0"/>
    <xf numFmtId="0" fontId="2" fillId="0" borderId="0"/>
    <xf numFmtId="182" fontId="4" fillId="0" borderId="0" applyFont="0" applyFill="0" applyBorder="0" applyAlignment="0" applyProtection="0"/>
    <xf numFmtId="0" fontId="2" fillId="0" borderId="0"/>
    <xf numFmtId="44" fontId="4" fillId="0" borderId="0" applyFont="0" applyFill="0" applyBorder="0" applyAlignment="0" applyProtection="0"/>
    <xf numFmtId="43" fontId="4" fillId="0" borderId="0" applyFont="0" applyFill="0" applyBorder="0" applyAlignment="0" applyProtection="0"/>
    <xf numFmtId="0" fontId="4" fillId="0" borderId="0"/>
    <xf numFmtId="0" fontId="304" fillId="18" borderId="0" applyNumberFormat="0" applyBorder="0" applyAlignment="0" applyProtection="0"/>
    <xf numFmtId="0" fontId="4" fillId="0" borderId="0"/>
    <xf numFmtId="0" fontId="4" fillId="0" borderId="0"/>
    <xf numFmtId="43" fontId="4" fillId="0" borderId="0" applyFont="0" applyFill="0" applyBorder="0" applyAlignment="0" applyProtection="0"/>
    <xf numFmtId="1" fontId="4" fillId="0" borderId="0"/>
    <xf numFmtId="0" fontId="2" fillId="0" borderId="0"/>
    <xf numFmtId="0" fontId="304" fillId="21" borderId="0" applyNumberFormat="0" applyBorder="0" applyAlignment="0" applyProtection="0"/>
    <xf numFmtId="43" fontId="4" fillId="0" borderId="0" applyFont="0" applyFill="0" applyBorder="0" applyAlignment="0" applyProtection="0"/>
    <xf numFmtId="43" fontId="4" fillId="0" borderId="0" applyFont="0" applyFill="0" applyBorder="0" applyAlignment="0" applyProtection="0"/>
    <xf numFmtId="9" fontId="2" fillId="0" borderId="0" applyFont="0" applyFill="0" applyBorder="0" applyAlignment="0" applyProtection="0"/>
    <xf numFmtId="0" fontId="4" fillId="0" borderId="0"/>
    <xf numFmtId="0" fontId="4" fillId="0" borderId="0"/>
    <xf numFmtId="0" fontId="304" fillId="21" borderId="0" applyNumberFormat="0" applyBorder="0" applyAlignment="0" applyProtection="0"/>
    <xf numFmtId="0" fontId="4" fillId="0" borderId="0"/>
    <xf numFmtId="43" fontId="4" fillId="0" borderId="0" applyFont="0" applyFill="0" applyBorder="0" applyAlignment="0" applyProtection="0"/>
    <xf numFmtId="0" fontId="4" fillId="0" borderId="0"/>
    <xf numFmtId="0" fontId="4" fillId="0" borderId="0"/>
    <xf numFmtId="0" fontId="119" fillId="0" borderId="0"/>
    <xf numFmtId="0" fontId="303" fillId="48" borderId="0" applyNumberFormat="0" applyBorder="0" applyAlignment="0" applyProtection="0"/>
    <xf numFmtId="0" fontId="4" fillId="0" borderId="0"/>
    <xf numFmtId="0" fontId="4" fillId="0" borderId="0"/>
    <xf numFmtId="0" fontId="2" fillId="0" borderId="0"/>
    <xf numFmtId="0" fontId="304" fillId="39" borderId="0" applyNumberFormat="0" applyBorder="0" applyAlignment="0" applyProtection="0"/>
    <xf numFmtId="176" fontId="119"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0" fontId="304" fillId="0" borderId="0"/>
    <xf numFmtId="0" fontId="3" fillId="0" borderId="14" applyNumberFormat="0" applyAlignment="0" applyProtection="0">
      <alignment horizontal="left" vertical="center"/>
    </xf>
    <xf numFmtId="0" fontId="4" fillId="0" borderId="0"/>
    <xf numFmtId="0" fontId="2" fillId="0" borderId="0"/>
    <xf numFmtId="43" fontId="4" fillId="0" borderId="0" applyFont="0" applyFill="0" applyBorder="0" applyAlignment="0" applyProtection="0"/>
    <xf numFmtId="9" fontId="2"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0" fontId="119" fillId="0" borderId="0"/>
    <xf numFmtId="0" fontId="2" fillId="0" borderId="0"/>
    <xf numFmtId="0" fontId="4" fillId="0" borderId="0"/>
    <xf numFmtId="43" fontId="4" fillId="0" borderId="0" applyFont="0" applyFill="0" applyBorder="0" applyAlignment="0" applyProtection="0"/>
    <xf numFmtId="0" fontId="4" fillId="0" borderId="0"/>
    <xf numFmtId="0" fontId="4" fillId="0" borderId="0"/>
    <xf numFmtId="0" fontId="3" fillId="0" borderId="14" applyNumberFormat="0" applyAlignment="0" applyProtection="0">
      <alignment horizontal="left" vertical="center"/>
    </xf>
    <xf numFmtId="0" fontId="4" fillId="0" borderId="0"/>
    <xf numFmtId="0" fontId="2" fillId="0" borderId="0"/>
    <xf numFmtId="43" fontId="4" fillId="0" borderId="0" applyFont="0" applyFill="0" applyBorder="0" applyAlignment="0" applyProtection="0"/>
    <xf numFmtId="0" fontId="4" fillId="0" borderId="0"/>
    <xf numFmtId="0" fontId="4" fillId="37" borderId="97" applyNumberFormat="0" applyFont="0" applyAlignment="0" applyProtection="0"/>
    <xf numFmtId="0" fontId="4" fillId="0" borderId="0"/>
    <xf numFmtId="0" fontId="306" fillId="0" borderId="0" applyNumberFormat="0" applyFill="0" applyBorder="0" applyAlignment="0" applyProtection="0"/>
    <xf numFmtId="0" fontId="4" fillId="0" borderId="0"/>
    <xf numFmtId="0" fontId="4" fillId="0" borderId="0"/>
    <xf numFmtId="43" fontId="4" fillId="0" borderId="0" applyFont="0" applyFill="0" applyBorder="0" applyAlignment="0" applyProtection="0"/>
    <xf numFmtId="0" fontId="2" fillId="0" borderId="0"/>
    <xf numFmtId="0" fontId="2" fillId="0" borderId="0"/>
    <xf numFmtId="43" fontId="4" fillId="0" borderId="0" applyFont="0" applyFill="0" applyBorder="0" applyAlignment="0" applyProtection="0"/>
    <xf numFmtId="0" fontId="2" fillId="0" borderId="0"/>
    <xf numFmtId="37" fontId="317" fillId="0" borderId="0"/>
    <xf numFmtId="0" fontId="4" fillId="0" borderId="0"/>
    <xf numFmtId="0" fontId="4" fillId="0" borderId="0"/>
    <xf numFmtId="43" fontId="4" fillId="0" borderId="0" applyFont="0" applyFill="0" applyBorder="0" applyAlignment="0" applyProtection="0"/>
    <xf numFmtId="0" fontId="119" fillId="0" borderId="0"/>
    <xf numFmtId="0" fontId="2" fillId="0" borderId="0"/>
    <xf numFmtId="0" fontId="4" fillId="0" borderId="0"/>
    <xf numFmtId="0" fontId="4" fillId="0" borderId="0"/>
    <xf numFmtId="0" fontId="119" fillId="0" borderId="0"/>
    <xf numFmtId="0" fontId="303" fillId="48" borderId="0" applyNumberFormat="0" applyBorder="0" applyAlignment="0" applyProtection="0"/>
    <xf numFmtId="0" fontId="322" fillId="18" borderId="99" applyNumberFormat="0" applyAlignment="0" applyProtection="0"/>
    <xf numFmtId="0" fontId="4" fillId="0" borderId="0"/>
    <xf numFmtId="43" fontId="4" fillId="0" borderId="0" applyFont="0" applyFill="0" applyBorder="0" applyAlignment="0" applyProtection="0"/>
    <xf numFmtId="0" fontId="304" fillId="19" borderId="0" applyNumberFormat="0" applyBorder="0" applyAlignment="0" applyProtection="0"/>
    <xf numFmtId="0" fontId="2" fillId="0" borderId="0"/>
    <xf numFmtId="0" fontId="4" fillId="0" borderId="0"/>
    <xf numFmtId="43" fontId="4" fillId="0" borderId="0" applyFont="0" applyFill="0" applyBorder="0" applyAlignment="0" applyProtection="0"/>
    <xf numFmtId="43" fontId="4" fillId="0" borderId="0" applyFont="0" applyFill="0" applyBorder="0" applyAlignment="0" applyProtection="0"/>
    <xf numFmtId="0" fontId="4" fillId="0" borderId="0"/>
    <xf numFmtId="0" fontId="2" fillId="0" borderId="0"/>
    <xf numFmtId="0" fontId="4" fillId="0" borderId="0"/>
    <xf numFmtId="0" fontId="2" fillId="0" borderId="0"/>
    <xf numFmtId="43" fontId="4"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0" fontId="4" fillId="0" borderId="0"/>
    <xf numFmtId="0" fontId="2" fillId="0" borderId="0"/>
    <xf numFmtId="0" fontId="4" fillId="0" borderId="0"/>
    <xf numFmtId="0" fontId="303" fillId="42" borderId="0" applyNumberFormat="0" applyBorder="0" applyAlignment="0" applyProtection="0"/>
    <xf numFmtId="43" fontId="4" fillId="0" borderId="0" applyFont="0" applyFill="0" applyBorder="0" applyAlignment="0" applyProtection="0"/>
    <xf numFmtId="9" fontId="304" fillId="0" borderId="0" applyFont="0" applyFill="0" applyBorder="0" applyAlignment="0" applyProtection="0"/>
    <xf numFmtId="0" fontId="303" fillId="47" borderId="0" applyNumberFormat="0" applyBorder="0" applyAlignment="0" applyProtection="0"/>
    <xf numFmtId="43" fontId="4" fillId="0" borderId="0" applyFont="0" applyFill="0" applyBorder="0" applyAlignment="0" applyProtection="0"/>
    <xf numFmtId="0" fontId="4" fillId="0" borderId="0"/>
    <xf numFmtId="0" fontId="4" fillId="0" borderId="0"/>
    <xf numFmtId="0" fontId="304" fillId="19" borderId="0" applyNumberFormat="0" applyBorder="0" applyAlignment="0" applyProtection="0"/>
    <xf numFmtId="0" fontId="304" fillId="45" borderId="0" applyNumberFormat="0" applyBorder="0" applyAlignment="0" applyProtection="0"/>
    <xf numFmtId="0" fontId="4" fillId="0" borderId="0"/>
    <xf numFmtId="0" fontId="4" fillId="0" borderId="0"/>
    <xf numFmtId="43" fontId="4" fillId="0" borderId="0" applyFont="0" applyFill="0" applyBorder="0" applyAlignment="0" applyProtection="0"/>
    <xf numFmtId="0" fontId="2" fillId="0" borderId="0"/>
    <xf numFmtId="0" fontId="304" fillId="19" borderId="0" applyNumberFormat="0" applyBorder="0" applyAlignment="0" applyProtection="0"/>
    <xf numFmtId="43" fontId="4" fillId="0" borderId="0" applyFont="0" applyFill="0" applyBorder="0" applyAlignment="0" applyProtection="0"/>
    <xf numFmtId="0" fontId="2" fillId="0" borderId="0"/>
    <xf numFmtId="0" fontId="2" fillId="0" borderId="0"/>
    <xf numFmtId="0" fontId="304" fillId="19" borderId="0" applyNumberFormat="0" applyBorder="0" applyAlignment="0" applyProtection="0"/>
    <xf numFmtId="0" fontId="304" fillId="45" borderId="0" applyNumberFormat="0" applyBorder="0" applyAlignment="0" applyProtection="0"/>
    <xf numFmtId="1" fontId="4" fillId="0" borderId="0"/>
    <xf numFmtId="0" fontId="304" fillId="21" borderId="0" applyNumberFormat="0" applyBorder="0" applyAlignment="0" applyProtection="0"/>
    <xf numFmtId="0" fontId="4" fillId="0" borderId="0"/>
    <xf numFmtId="0" fontId="4" fillId="0" borderId="0"/>
    <xf numFmtId="43" fontId="4" fillId="0" borderId="0" applyFont="0" applyFill="0" applyBorder="0" applyAlignment="0" applyProtection="0"/>
    <xf numFmtId="1" fontId="4" fillId="0" borderId="0"/>
    <xf numFmtId="0" fontId="304" fillId="21" borderId="0" applyNumberFormat="0" applyBorder="0" applyAlignment="0" applyProtection="0"/>
    <xf numFmtId="1" fontId="4" fillId="0" borderId="0"/>
    <xf numFmtId="0" fontId="304" fillId="21" borderId="0" applyNumberFormat="0" applyBorder="0" applyAlignment="0" applyProtection="0"/>
    <xf numFmtId="0" fontId="4" fillId="0" borderId="0"/>
    <xf numFmtId="43" fontId="4" fillId="0" borderId="0" applyFont="0" applyFill="0" applyBorder="0" applyAlignment="0" applyProtection="0"/>
    <xf numFmtId="0" fontId="2" fillId="0" borderId="0"/>
    <xf numFmtId="0" fontId="304" fillId="22" borderId="0" applyNumberFormat="0" applyBorder="0" applyAlignment="0" applyProtection="0"/>
    <xf numFmtId="0" fontId="2" fillId="0" borderId="0"/>
    <xf numFmtId="0" fontId="304" fillId="22" borderId="0" applyNumberFormat="0" applyBorder="0" applyAlignment="0" applyProtection="0"/>
    <xf numFmtId="0" fontId="2" fillId="0" borderId="0"/>
    <xf numFmtId="0" fontId="304" fillId="22" borderId="0" applyNumberFormat="0" applyBorder="0" applyAlignment="0" applyProtection="0"/>
    <xf numFmtId="0" fontId="2" fillId="0" borderId="0"/>
    <xf numFmtId="0" fontId="4" fillId="0" borderId="0"/>
    <xf numFmtId="0" fontId="4" fillId="0" borderId="0"/>
    <xf numFmtId="0" fontId="304" fillId="22" borderId="0" applyNumberFormat="0" applyBorder="0" applyAlignment="0" applyProtection="0"/>
    <xf numFmtId="0" fontId="4" fillId="0" borderId="0"/>
    <xf numFmtId="0" fontId="2" fillId="0" borderId="0"/>
    <xf numFmtId="0" fontId="304" fillId="22" borderId="0" applyNumberFormat="0" applyBorder="0" applyAlignment="0" applyProtection="0"/>
    <xf numFmtId="0" fontId="2" fillId="0" borderId="0"/>
    <xf numFmtId="43" fontId="4" fillId="0" borderId="0" applyFont="0" applyFill="0" applyBorder="0" applyAlignment="0" applyProtection="0"/>
    <xf numFmtId="0" fontId="304" fillId="23" borderId="0" applyNumberFormat="0" applyBorder="0" applyAlignment="0" applyProtection="0"/>
    <xf numFmtId="0" fontId="4" fillId="0" borderId="0"/>
    <xf numFmtId="0" fontId="4" fillId="0" borderId="0"/>
    <xf numFmtId="0" fontId="4" fillId="0" borderId="0"/>
    <xf numFmtId="43" fontId="4" fillId="0" borderId="0" applyFont="0" applyFill="0" applyBorder="0" applyAlignment="0" applyProtection="0"/>
    <xf numFmtId="0" fontId="4" fillId="0" borderId="0"/>
    <xf numFmtId="43" fontId="4" fillId="0" borderId="0" applyFont="0" applyFill="0" applyBorder="0" applyAlignment="0" applyProtection="0"/>
    <xf numFmtId="0" fontId="4" fillId="0" borderId="0"/>
    <xf numFmtId="0" fontId="304" fillId="23" borderId="0" applyNumberFormat="0" applyBorder="0" applyAlignment="0" applyProtection="0"/>
    <xf numFmtId="0" fontId="4" fillId="0" borderId="0"/>
    <xf numFmtId="43" fontId="2"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0" fontId="4" fillId="0" borderId="0"/>
    <xf numFmtId="0" fontId="304" fillId="23" borderId="0" applyNumberFormat="0" applyBorder="0" applyAlignment="0" applyProtection="0"/>
    <xf numFmtId="0" fontId="4" fillId="0" borderId="0"/>
    <xf numFmtId="0" fontId="304" fillId="23" borderId="0" applyNumberFormat="0" applyBorder="0" applyAlignment="0" applyProtection="0"/>
    <xf numFmtId="43" fontId="4" fillId="0" borderId="0" applyFont="0" applyFill="0" applyBorder="0" applyAlignment="0" applyProtection="0"/>
    <xf numFmtId="0" fontId="304" fillId="23" borderId="0" applyNumberFormat="0" applyBorder="0" applyAlignment="0" applyProtection="0"/>
    <xf numFmtId="0" fontId="4" fillId="0" borderId="0"/>
    <xf numFmtId="0" fontId="4" fillId="0" borderId="0"/>
    <xf numFmtId="43" fontId="4" fillId="0" borderId="0" applyFont="0" applyFill="0" applyBorder="0" applyAlignment="0" applyProtection="0"/>
    <xf numFmtId="0" fontId="119" fillId="0" borderId="0"/>
    <xf numFmtId="0" fontId="304" fillId="18" borderId="0" applyNumberFormat="0" applyBorder="0" applyAlignment="0" applyProtection="0"/>
    <xf numFmtId="43" fontId="4" fillId="0" borderId="0" applyFont="0" applyFill="0" applyBorder="0" applyAlignment="0" applyProtection="0"/>
    <xf numFmtId="0" fontId="4" fillId="0" borderId="0"/>
    <xf numFmtId="0" fontId="4" fillId="0" borderId="0"/>
    <xf numFmtId="0" fontId="4" fillId="0" borderId="0"/>
    <xf numFmtId="43" fontId="4" fillId="0" borderId="0" applyFont="0" applyFill="0" applyBorder="0" applyAlignment="0" applyProtection="0"/>
    <xf numFmtId="9" fontId="4" fillId="0" borderId="0" applyFont="0" applyFill="0" applyBorder="0" applyAlignment="0" applyProtection="0"/>
    <xf numFmtId="0" fontId="119" fillId="0" borderId="0"/>
    <xf numFmtId="0" fontId="2" fillId="0" borderId="0"/>
    <xf numFmtId="44" fontId="4" fillId="0" borderId="0" applyFont="0" applyFill="0" applyBorder="0" applyAlignment="0" applyProtection="0"/>
    <xf numFmtId="43" fontId="4"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0" fontId="304" fillId="18" borderId="0" applyNumberFormat="0" applyBorder="0" applyAlignment="0" applyProtection="0"/>
    <xf numFmtId="0" fontId="4" fillId="37" borderId="97" applyNumberFormat="0" applyFont="0" applyAlignment="0" applyProtection="0"/>
    <xf numFmtId="0" fontId="4" fillId="0" borderId="0"/>
    <xf numFmtId="0" fontId="4" fillId="0" borderId="0"/>
    <xf numFmtId="0" fontId="4" fillId="0" borderId="0"/>
    <xf numFmtId="43" fontId="4" fillId="0" borderId="0" applyFont="0" applyFill="0" applyBorder="0" applyAlignment="0" applyProtection="0"/>
    <xf numFmtId="0" fontId="312" fillId="36" borderId="99" applyNumberFormat="0" applyAlignment="0" applyProtection="0"/>
    <xf numFmtId="37" fontId="317" fillId="0" borderId="0"/>
    <xf numFmtId="0" fontId="304" fillId="18" borderId="0" applyNumberFormat="0" applyBorder="0" applyAlignment="0" applyProtection="0"/>
    <xf numFmtId="0" fontId="4" fillId="37" borderId="97" applyNumberFormat="0" applyFont="0" applyAlignment="0" applyProtection="0"/>
    <xf numFmtId="0" fontId="4" fillId="0" borderId="0"/>
    <xf numFmtId="0" fontId="4" fillId="0" borderId="0"/>
    <xf numFmtId="0" fontId="304" fillId="18" borderId="0" applyNumberFormat="0" applyBorder="0" applyAlignment="0" applyProtection="0"/>
    <xf numFmtId="0" fontId="304" fillId="15" borderId="0" applyNumberFormat="0" applyBorder="0" applyAlignment="0" applyProtection="0"/>
    <xf numFmtId="0" fontId="2" fillId="0" borderId="0"/>
    <xf numFmtId="0" fontId="304" fillId="15" borderId="0" applyNumberFormat="0" applyBorder="0" applyAlignment="0" applyProtection="0"/>
    <xf numFmtId="0" fontId="4" fillId="0" borderId="0"/>
    <xf numFmtId="0" fontId="304" fillId="15" borderId="0" applyNumberFormat="0" applyBorder="0" applyAlignment="0" applyProtection="0"/>
    <xf numFmtId="43" fontId="4" fillId="0" borderId="0" applyFont="0" applyFill="0" applyBorder="0" applyAlignment="0" applyProtection="0"/>
    <xf numFmtId="0" fontId="304" fillId="15" borderId="0" applyNumberFormat="0" applyBorder="0" applyAlignment="0" applyProtection="0"/>
    <xf numFmtId="0" fontId="304" fillId="15" borderId="0" applyNumberFormat="0" applyBorder="0" applyAlignment="0" applyProtection="0"/>
    <xf numFmtId="0" fontId="304" fillId="20" borderId="0" applyNumberFormat="0" applyBorder="0" applyAlignment="0" applyProtection="0"/>
    <xf numFmtId="0" fontId="4" fillId="0" borderId="0"/>
    <xf numFmtId="0" fontId="4" fillId="0" borderId="0"/>
    <xf numFmtId="0" fontId="119" fillId="0" borderId="0"/>
    <xf numFmtId="0" fontId="304" fillId="20" borderId="0" applyNumberFormat="0" applyBorder="0" applyAlignment="0" applyProtection="0"/>
    <xf numFmtId="0" fontId="4" fillId="0" borderId="0"/>
    <xf numFmtId="0" fontId="4" fillId="0" borderId="0"/>
    <xf numFmtId="0" fontId="4" fillId="0" borderId="0"/>
    <xf numFmtId="0" fontId="119" fillId="0" borderId="0"/>
    <xf numFmtId="0" fontId="304" fillId="20" borderId="0" applyNumberFormat="0" applyBorder="0" applyAlignment="0" applyProtection="0"/>
    <xf numFmtId="43" fontId="4" fillId="0" borderId="0" applyFont="0" applyFill="0" applyBorder="0" applyAlignment="0" applyProtection="0"/>
    <xf numFmtId="0" fontId="304" fillId="20" borderId="0" applyNumberFormat="0" applyBorder="0" applyAlignment="0" applyProtection="0"/>
    <xf numFmtId="0" fontId="304" fillId="24" borderId="0" applyNumberFormat="0" applyBorder="0" applyAlignment="0" applyProtection="0"/>
    <xf numFmtId="0" fontId="303" fillId="54" borderId="0" applyNumberFormat="0" applyBorder="0" applyAlignment="0" applyProtection="0"/>
    <xf numFmtId="0" fontId="4" fillId="0" borderId="0"/>
    <xf numFmtId="0" fontId="4" fillId="0" borderId="0"/>
    <xf numFmtId="0" fontId="4" fillId="0" borderId="0"/>
    <xf numFmtId="0" fontId="304" fillId="24" borderId="0" applyNumberFormat="0" applyBorder="0" applyAlignment="0" applyProtection="0"/>
    <xf numFmtId="0" fontId="4" fillId="0" borderId="0"/>
    <xf numFmtId="0" fontId="4" fillId="0" borderId="0"/>
    <xf numFmtId="0" fontId="4" fillId="0" borderId="0"/>
    <xf numFmtId="0" fontId="304" fillId="24" borderId="0" applyNumberFormat="0" applyBorder="0" applyAlignment="0" applyProtection="0"/>
    <xf numFmtId="0" fontId="4" fillId="0" borderId="0"/>
    <xf numFmtId="1" fontId="4" fillId="0" borderId="0"/>
    <xf numFmtId="0" fontId="304" fillId="22" borderId="0" applyNumberFormat="0" applyBorder="0" applyAlignment="0" applyProtection="0"/>
    <xf numFmtId="0" fontId="4" fillId="0" borderId="0"/>
    <xf numFmtId="0" fontId="304" fillId="24" borderId="0" applyNumberFormat="0" applyBorder="0" applyAlignment="0" applyProtection="0"/>
    <xf numFmtId="0" fontId="304" fillId="24" borderId="0" applyNumberFormat="0" applyBorder="0" applyAlignment="0" applyProtection="0"/>
    <xf numFmtId="0" fontId="319" fillId="0" borderId="0" applyNumberFormat="0" applyFill="0">
      <alignment horizontal="left" vertical="center"/>
    </xf>
    <xf numFmtId="0" fontId="2" fillId="0" borderId="0"/>
    <xf numFmtId="0" fontId="4" fillId="0" borderId="0"/>
    <xf numFmtId="1" fontId="4" fillId="0" borderId="0"/>
    <xf numFmtId="0" fontId="304" fillId="22" borderId="0" applyNumberFormat="0" applyBorder="0" applyAlignment="0" applyProtection="0"/>
    <xf numFmtId="1" fontId="4" fillId="0" borderId="0"/>
    <xf numFmtId="0" fontId="304" fillId="22" borderId="0" applyNumberFormat="0" applyBorder="0" applyAlignment="0" applyProtection="0"/>
    <xf numFmtId="0" fontId="4" fillId="0" borderId="0"/>
    <xf numFmtId="1" fontId="4" fillId="0" borderId="0"/>
    <xf numFmtId="0" fontId="304" fillId="22" borderId="0" applyNumberFormat="0" applyBorder="0" applyAlignment="0" applyProtection="0"/>
    <xf numFmtId="0" fontId="4" fillId="0" borderId="0"/>
    <xf numFmtId="0" fontId="4" fillId="0" borderId="0"/>
    <xf numFmtId="0" fontId="304" fillId="48" borderId="0" applyNumberFormat="0" applyBorder="0" applyAlignment="0" applyProtection="0"/>
    <xf numFmtId="0" fontId="304" fillId="15" borderId="0" applyNumberFormat="0" applyBorder="0" applyAlignment="0" applyProtection="0"/>
    <xf numFmtId="0" fontId="4" fillId="0" borderId="0"/>
    <xf numFmtId="43" fontId="4" fillId="0" borderId="0" applyFont="0" applyFill="0" applyBorder="0" applyAlignment="0" applyProtection="0"/>
    <xf numFmtId="0" fontId="4" fillId="0" borderId="0"/>
    <xf numFmtId="40" fontId="123" fillId="0" borderId="0"/>
    <xf numFmtId="0" fontId="304" fillId="15" borderId="0" applyNumberFormat="0" applyBorder="0" applyAlignment="0" applyProtection="0"/>
    <xf numFmtId="0" fontId="4" fillId="0" borderId="0"/>
    <xf numFmtId="0" fontId="2" fillId="0" borderId="0"/>
    <xf numFmtId="0" fontId="4" fillId="0" borderId="0"/>
    <xf numFmtId="43" fontId="4" fillId="0" borderId="0" applyFont="0" applyFill="0" applyBorder="0" applyAlignment="0" applyProtection="0"/>
    <xf numFmtId="0" fontId="119" fillId="0" borderId="0"/>
    <xf numFmtId="10" fontId="17" fillId="37" borderId="1" applyNumberFormat="0" applyBorder="0" applyAlignment="0" applyProtection="0"/>
    <xf numFmtId="44" fontId="4" fillId="0" borderId="0" applyFont="0" applyFill="0" applyBorder="0" applyAlignment="0" applyProtection="0"/>
    <xf numFmtId="0" fontId="304" fillId="15" borderId="0" applyNumberFormat="0" applyBorder="0" applyAlignment="0" applyProtection="0"/>
    <xf numFmtId="0" fontId="4" fillId="0" borderId="0"/>
    <xf numFmtId="0" fontId="119" fillId="0" borderId="0"/>
    <xf numFmtId="0" fontId="304" fillId="15" borderId="0" applyNumberFormat="0" applyBorder="0" applyAlignment="0" applyProtection="0"/>
    <xf numFmtId="0" fontId="4" fillId="0" borderId="0"/>
    <xf numFmtId="0" fontId="303" fillId="55" borderId="0" applyNumberFormat="0" applyBorder="0" applyAlignment="0" applyProtection="0"/>
    <xf numFmtId="0" fontId="304" fillId="15" borderId="0" applyNumberFormat="0" applyBorder="0" applyAlignment="0" applyProtection="0"/>
    <xf numFmtId="9" fontId="2" fillId="0" borderId="0" applyFont="0" applyFill="0" applyBorder="0" applyAlignment="0" applyProtection="0"/>
    <xf numFmtId="0" fontId="304" fillId="17" borderId="0" applyNumberFormat="0" applyBorder="0" applyAlignment="0" applyProtection="0"/>
    <xf numFmtId="0" fontId="2" fillId="0" borderId="0"/>
    <xf numFmtId="0" fontId="303" fillId="40" borderId="0" applyNumberFormat="0" applyBorder="0" applyAlignment="0" applyProtection="0"/>
    <xf numFmtId="0" fontId="2" fillId="0" borderId="0"/>
    <xf numFmtId="0" fontId="4" fillId="0" borderId="0"/>
    <xf numFmtId="0" fontId="4" fillId="0" borderId="0"/>
    <xf numFmtId="43" fontId="4" fillId="0" borderId="0" applyFont="0" applyFill="0" applyBorder="0" applyAlignment="0" applyProtection="0"/>
    <xf numFmtId="0" fontId="4" fillId="0" borderId="0"/>
    <xf numFmtId="0" fontId="4" fillId="37" borderId="97" applyNumberFormat="0" applyFont="0" applyAlignment="0" applyProtection="0"/>
    <xf numFmtId="0" fontId="4" fillId="0" borderId="0"/>
    <xf numFmtId="0" fontId="4" fillId="0" borderId="0"/>
    <xf numFmtId="9" fontId="2" fillId="0" borderId="0" applyFont="0" applyFill="0" applyBorder="0" applyAlignment="0" applyProtection="0"/>
    <xf numFmtId="0" fontId="304" fillId="17" borderId="0" applyNumberFormat="0" applyBorder="0" applyAlignment="0" applyProtection="0"/>
    <xf numFmtId="0" fontId="4" fillId="0" borderId="0"/>
    <xf numFmtId="0" fontId="2" fillId="0" borderId="0"/>
    <xf numFmtId="0" fontId="4" fillId="0" borderId="0"/>
    <xf numFmtId="0" fontId="4" fillId="0" borderId="0"/>
    <xf numFmtId="43" fontId="4" fillId="0" borderId="0" applyFont="0" applyFill="0" applyBorder="0" applyAlignment="0" applyProtection="0"/>
    <xf numFmtId="0" fontId="4" fillId="0" borderId="0"/>
    <xf numFmtId="0" fontId="4" fillId="37" borderId="97" applyNumberFormat="0" applyFont="0" applyAlignment="0" applyProtection="0"/>
    <xf numFmtId="0" fontId="4" fillId="0" borderId="0"/>
    <xf numFmtId="0" fontId="4" fillId="0" borderId="0"/>
    <xf numFmtId="9" fontId="2" fillId="0" borderId="0" applyFont="0" applyFill="0" applyBorder="0" applyAlignment="0" applyProtection="0"/>
    <xf numFmtId="0" fontId="304" fillId="17" borderId="0" applyNumberFormat="0" applyBorder="0" applyAlignment="0" applyProtection="0"/>
    <xf numFmtId="0" fontId="4" fillId="0" borderId="0"/>
    <xf numFmtId="1" fontId="4" fillId="0" borderId="0"/>
    <xf numFmtId="43" fontId="4" fillId="0" borderId="0" applyFont="0" applyFill="0" applyBorder="0" applyAlignment="0" applyProtection="0"/>
    <xf numFmtId="0" fontId="303" fillId="42" borderId="0" applyNumberFormat="0" applyBorder="0" applyAlignment="0" applyProtection="0"/>
    <xf numFmtId="9" fontId="2" fillId="0" borderId="0" applyFont="0" applyFill="0" applyBorder="0" applyAlignment="0" applyProtection="0"/>
    <xf numFmtId="0" fontId="4" fillId="0" borderId="0"/>
    <xf numFmtId="0" fontId="304" fillId="17" borderId="0" applyNumberFormat="0" applyBorder="0" applyAlignment="0" applyProtection="0"/>
    <xf numFmtId="9" fontId="2" fillId="0" borderId="0" applyFont="0" applyFill="0" applyBorder="0" applyAlignment="0" applyProtection="0"/>
    <xf numFmtId="0" fontId="304" fillId="17" borderId="0" applyNumberFormat="0" applyBorder="0" applyAlignment="0" applyProtection="0"/>
    <xf numFmtId="9" fontId="2" fillId="0" borderId="0" applyFont="0" applyFill="0" applyBorder="0" applyAlignment="0" applyProtection="0"/>
    <xf numFmtId="184" fontId="119" fillId="0" borderId="0" applyFont="0" applyFill="0" applyBorder="0" applyAlignment="0" applyProtection="0"/>
    <xf numFmtId="0" fontId="2" fillId="0" borderId="0"/>
    <xf numFmtId="1" fontId="4" fillId="0" borderId="0"/>
    <xf numFmtId="0" fontId="303" fillId="40" borderId="0" applyNumberFormat="0" applyBorder="0" applyAlignment="0" applyProtection="0"/>
    <xf numFmtId="0" fontId="304" fillId="45" borderId="0" applyNumberFormat="0" applyBorder="0" applyAlignment="0" applyProtection="0"/>
    <xf numFmtId="0" fontId="2" fillId="0" borderId="0"/>
    <xf numFmtId="0" fontId="303" fillId="40" borderId="0" applyNumberFormat="0" applyBorder="0" applyAlignment="0" applyProtection="0"/>
    <xf numFmtId="0" fontId="2" fillId="0" borderId="0"/>
    <xf numFmtId="9" fontId="2" fillId="0" borderId="0" applyFont="0" applyFill="0" applyBorder="0" applyAlignment="0" applyProtection="0"/>
    <xf numFmtId="0" fontId="4" fillId="0" borderId="0"/>
    <xf numFmtId="0" fontId="303" fillId="56" borderId="0" applyNumberFormat="0" applyBorder="0" applyAlignment="0" applyProtection="0"/>
    <xf numFmtId="184" fontId="119" fillId="0" borderId="0" applyFont="0" applyFill="0" applyBorder="0" applyAlignment="0" applyProtection="0"/>
    <xf numFmtId="0" fontId="2" fillId="0" borderId="0"/>
    <xf numFmtId="1" fontId="4" fillId="0" borderId="0"/>
    <xf numFmtId="0" fontId="303" fillId="40" borderId="0" applyNumberFormat="0" applyBorder="0" applyAlignment="0" applyProtection="0"/>
    <xf numFmtId="1" fontId="4" fillId="0" borderId="0"/>
    <xf numFmtId="0" fontId="303" fillId="20" borderId="0" applyNumberFormat="0" applyBorder="0" applyAlignment="0" applyProtection="0"/>
    <xf numFmtId="0" fontId="4" fillId="0" borderId="0"/>
    <xf numFmtId="0" fontId="303" fillId="20" borderId="0" applyNumberFormat="0" applyBorder="0" applyAlignment="0" applyProtection="0"/>
    <xf numFmtId="0" fontId="4" fillId="0" borderId="0"/>
    <xf numFmtId="0" fontId="303" fillId="20" borderId="0" applyNumberFormat="0" applyBorder="0" applyAlignment="0" applyProtection="0"/>
    <xf numFmtId="9" fontId="2" fillId="0" borderId="0" applyFont="0" applyFill="0" applyBorder="0" applyAlignment="0" applyProtection="0"/>
    <xf numFmtId="0" fontId="4" fillId="0" borderId="0"/>
    <xf numFmtId="0" fontId="119" fillId="0" borderId="0"/>
    <xf numFmtId="1" fontId="4" fillId="0" borderId="0"/>
    <xf numFmtId="0" fontId="303" fillId="20" borderId="0" applyNumberFormat="0" applyBorder="0" applyAlignment="0" applyProtection="0"/>
    <xf numFmtId="0" fontId="305" fillId="21" borderId="0" applyNumberFormat="0" applyBorder="0" applyAlignment="0" applyProtection="0"/>
    <xf numFmtId="0" fontId="4" fillId="0" borderId="0"/>
    <xf numFmtId="0" fontId="303" fillId="24" borderId="0" applyNumberFormat="0" applyBorder="0" applyAlignment="0" applyProtection="0"/>
    <xf numFmtId="1" fontId="4" fillId="0" borderId="0"/>
    <xf numFmtId="0" fontId="303" fillId="24" borderId="0" applyNumberFormat="0" applyBorder="0" applyAlignment="0" applyProtection="0"/>
    <xf numFmtId="1" fontId="4" fillId="0" borderId="0"/>
    <xf numFmtId="43" fontId="4" fillId="0" borderId="0" applyFont="0" applyFill="0" applyBorder="0" applyAlignment="0" applyProtection="0"/>
    <xf numFmtId="0" fontId="303" fillId="42" borderId="0" applyNumberFormat="0" applyBorder="0" applyAlignment="0" applyProtection="0"/>
    <xf numFmtId="176" fontId="119" fillId="0" borderId="0" applyFont="0" applyFill="0" applyBorder="0" applyAlignment="0" applyProtection="0"/>
    <xf numFmtId="176" fontId="119" fillId="0" borderId="0" applyFont="0" applyFill="0" applyBorder="0" applyAlignment="0" applyProtection="0"/>
    <xf numFmtId="0" fontId="303" fillId="42" borderId="0" applyNumberFormat="0" applyBorder="0" applyAlignment="0" applyProtection="0"/>
    <xf numFmtId="176" fontId="119" fillId="0" borderId="0" applyFont="0" applyFill="0" applyBorder="0" applyAlignment="0" applyProtection="0"/>
    <xf numFmtId="176" fontId="119" fillId="0" borderId="0" applyFont="0" applyFill="0" applyBorder="0" applyAlignment="0" applyProtection="0"/>
    <xf numFmtId="1" fontId="4" fillId="0" borderId="0"/>
    <xf numFmtId="0" fontId="303" fillId="42" borderId="0" applyNumberFormat="0" applyBorder="0" applyAlignment="0" applyProtection="0"/>
    <xf numFmtId="1" fontId="4" fillId="0" borderId="0"/>
    <xf numFmtId="0" fontId="303" fillId="38" borderId="0" applyNumberFormat="0" applyBorder="0" applyAlignment="0" applyProtection="0"/>
    <xf numFmtId="0" fontId="303" fillId="38" borderId="0" applyNumberFormat="0" applyBorder="0" applyAlignment="0" applyProtection="0"/>
    <xf numFmtId="43" fontId="4" fillId="0" borderId="0" applyFont="0" applyFill="0" applyBorder="0" applyAlignment="0" applyProtection="0"/>
    <xf numFmtId="0" fontId="4" fillId="0" borderId="0"/>
    <xf numFmtId="0" fontId="318" fillId="0" borderId="101" applyNumberFormat="0" applyFill="0" applyAlignment="0" applyProtection="0"/>
    <xf numFmtId="0" fontId="303" fillId="38" borderId="0" applyNumberFormat="0" applyBorder="0" applyAlignment="0" applyProtection="0"/>
    <xf numFmtId="0" fontId="304" fillId="57" borderId="0" applyNumberFormat="0" applyBorder="0" applyAlignment="0" applyProtection="0"/>
    <xf numFmtId="43" fontId="4" fillId="0" borderId="0" applyFont="0" applyFill="0" applyBorder="0" applyAlignment="0" applyProtection="0"/>
    <xf numFmtId="0" fontId="4" fillId="0" borderId="0"/>
    <xf numFmtId="1" fontId="4" fillId="0" borderId="0"/>
    <xf numFmtId="0" fontId="303" fillId="38" borderId="0" applyNumberFormat="0" applyBorder="0" applyAlignment="0" applyProtection="0"/>
    <xf numFmtId="0" fontId="4" fillId="0" borderId="9">
      <alignment horizontal="center"/>
    </xf>
    <xf numFmtId="1" fontId="4" fillId="0" borderId="0"/>
    <xf numFmtId="0" fontId="303" fillId="53" borderId="0" applyNumberFormat="0" applyBorder="0" applyAlignment="0" applyProtection="0"/>
    <xf numFmtId="0" fontId="4" fillId="0" borderId="0"/>
    <xf numFmtId="43" fontId="4" fillId="0" borderId="0" applyFont="0" applyFill="0" applyBorder="0" applyAlignment="0" applyProtection="0"/>
    <xf numFmtId="0" fontId="4" fillId="0" borderId="0"/>
    <xf numFmtId="171" fontId="121" fillId="0" borderId="25">
      <alignment horizontal="right"/>
    </xf>
    <xf numFmtId="43" fontId="4" fillId="0" borderId="0" applyFont="0" applyFill="0" applyBorder="0" applyAlignment="0" applyProtection="0"/>
    <xf numFmtId="0" fontId="4" fillId="0" borderId="0"/>
    <xf numFmtId="0" fontId="303" fillId="53" borderId="0" applyNumberFormat="0" applyBorder="0" applyAlignment="0" applyProtection="0"/>
    <xf numFmtId="0" fontId="4" fillId="0" borderId="0"/>
    <xf numFmtId="0" fontId="303" fillId="53" borderId="0" applyNumberFormat="0" applyBorder="0" applyAlignment="0" applyProtection="0"/>
    <xf numFmtId="0" fontId="4" fillId="0" borderId="0"/>
    <xf numFmtId="0" fontId="119" fillId="0" borderId="0"/>
    <xf numFmtId="0" fontId="4" fillId="0" borderId="0"/>
    <xf numFmtId="1" fontId="4" fillId="0" borderId="0"/>
    <xf numFmtId="0" fontId="303" fillId="53" borderId="0" applyNumberFormat="0" applyBorder="0" applyAlignment="0" applyProtection="0"/>
    <xf numFmtId="0" fontId="4" fillId="0" borderId="0"/>
    <xf numFmtId="43" fontId="4" fillId="0" borderId="0" applyFont="0" applyFill="0" applyBorder="0" applyAlignment="0" applyProtection="0"/>
    <xf numFmtId="0" fontId="4" fillId="0" borderId="0"/>
    <xf numFmtId="0" fontId="304" fillId="45" borderId="0" applyNumberFormat="0" applyBorder="0" applyAlignment="0" applyProtection="0"/>
    <xf numFmtId="185" fontId="119" fillId="0" borderId="0" applyFont="0" applyFill="0" applyBorder="0" applyAlignment="0" applyProtection="0"/>
    <xf numFmtId="0" fontId="304" fillId="45" borderId="0" applyNumberFormat="0" applyBorder="0" applyAlignment="0" applyProtection="0"/>
    <xf numFmtId="0" fontId="4" fillId="0" borderId="0"/>
    <xf numFmtId="0" fontId="4" fillId="0" borderId="0"/>
    <xf numFmtId="0" fontId="304" fillId="45" borderId="0" applyNumberFormat="0" applyBorder="0" applyAlignment="0" applyProtection="0"/>
    <xf numFmtId="0" fontId="4" fillId="0" borderId="0"/>
    <xf numFmtId="0" fontId="2" fillId="0" borderId="0"/>
    <xf numFmtId="0" fontId="304" fillId="45" borderId="0" applyNumberFormat="0" applyBorder="0" applyAlignment="0" applyProtection="0"/>
    <xf numFmtId="0" fontId="4" fillId="0" borderId="0"/>
    <xf numFmtId="0" fontId="304" fillId="45" borderId="0" applyNumberFormat="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0" fontId="4" fillId="37" borderId="97" applyNumberFormat="0" applyFont="0" applyAlignment="0" applyProtection="0"/>
    <xf numFmtId="0" fontId="4" fillId="0" borderId="0"/>
    <xf numFmtId="0" fontId="303" fillId="42" borderId="0" applyNumberFormat="0" applyBorder="0" applyAlignment="0" applyProtection="0"/>
    <xf numFmtId="9" fontId="4" fillId="0" borderId="0" applyFont="0" applyFill="0" applyBorder="0" applyAlignment="0" applyProtection="0"/>
    <xf numFmtId="0" fontId="303" fillId="34" borderId="0" applyNumberFormat="0" applyBorder="0" applyAlignment="0" applyProtection="0"/>
    <xf numFmtId="1" fontId="4" fillId="0" borderId="0"/>
    <xf numFmtId="0" fontId="303" fillId="54" borderId="0" applyNumberFormat="0" applyBorder="0" applyAlignment="0" applyProtection="0"/>
    <xf numFmtId="0" fontId="4" fillId="0" borderId="0"/>
    <xf numFmtId="0" fontId="4" fillId="0" borderId="0"/>
    <xf numFmtId="0" fontId="4" fillId="0" borderId="0"/>
    <xf numFmtId="0" fontId="303" fillId="54" borderId="0" applyNumberFormat="0" applyBorder="0" applyAlignment="0" applyProtection="0"/>
    <xf numFmtId="0" fontId="119" fillId="0" borderId="0"/>
    <xf numFmtId="0" fontId="4" fillId="0" borderId="0"/>
    <xf numFmtId="0" fontId="4" fillId="0" borderId="0"/>
    <xf numFmtId="0" fontId="303" fillId="54" borderId="0" applyNumberFormat="0" applyBorder="0" applyAlignment="0" applyProtection="0"/>
    <xf numFmtId="0" fontId="303" fillId="55" borderId="0" applyNumberFormat="0" applyBorder="0" applyAlignment="0" applyProtection="0"/>
    <xf numFmtId="43" fontId="4" fillId="0" borderId="0" applyFont="0" applyFill="0" applyBorder="0" applyAlignment="0" applyProtection="0"/>
    <xf numFmtId="0" fontId="4" fillId="0" borderId="0"/>
    <xf numFmtId="0" fontId="303" fillId="55" borderId="0" applyNumberFormat="0" applyBorder="0" applyAlignment="0" applyProtection="0"/>
    <xf numFmtId="0" fontId="303" fillId="55" borderId="0" applyNumberFormat="0" applyBorder="0" applyAlignment="0" applyProtection="0"/>
    <xf numFmtId="0" fontId="304" fillId="45" borderId="0" applyNumberFormat="0" applyBorder="0" applyAlignment="0" applyProtection="0"/>
    <xf numFmtId="43" fontId="4" fillId="0" borderId="0" applyFont="0" applyFill="0" applyBorder="0" applyAlignment="0" applyProtection="0"/>
    <xf numFmtId="0" fontId="304" fillId="43" borderId="0" applyNumberFormat="0" applyBorder="0" applyAlignment="0" applyProtection="0"/>
    <xf numFmtId="0" fontId="4" fillId="0" borderId="0"/>
    <xf numFmtId="0" fontId="4" fillId="0" borderId="0"/>
    <xf numFmtId="2" fontId="4" fillId="0" borderId="0" applyFont="0" applyFill="0" applyBorder="0" applyAlignment="0" applyProtection="0"/>
    <xf numFmtId="43" fontId="4" fillId="0" borderId="0" applyFont="0" applyFill="0" applyBorder="0" applyAlignment="0" applyProtection="0"/>
    <xf numFmtId="0" fontId="4" fillId="0" borderId="0"/>
    <xf numFmtId="167" fontId="4" fillId="0" borderId="0" applyFont="0" applyFill="0" applyBorder="0" applyAlignment="0" applyProtection="0"/>
    <xf numFmtId="0" fontId="304" fillId="43" borderId="0" applyNumberFormat="0" applyBorder="0" applyAlignment="0" applyProtection="0"/>
    <xf numFmtId="43" fontId="4" fillId="0" borderId="0" applyFont="0" applyFill="0" applyBorder="0" applyAlignment="0" applyProtection="0"/>
    <xf numFmtId="0" fontId="4" fillId="0" borderId="0"/>
    <xf numFmtId="0" fontId="4" fillId="0" borderId="0"/>
    <xf numFmtId="0" fontId="304" fillId="43" borderId="0" applyNumberFormat="0" applyBorder="0" applyAlignment="0" applyProtection="0"/>
    <xf numFmtId="0" fontId="328" fillId="0" borderId="0" applyNumberFormat="0" applyFill="0" applyBorder="0" applyAlignment="0" applyProtection="0">
      <alignment vertical="top"/>
      <protection locked="0"/>
    </xf>
    <xf numFmtId="0" fontId="4" fillId="0" borderId="0"/>
    <xf numFmtId="43" fontId="4" fillId="0" borderId="0" applyFont="0" applyFill="0" applyBorder="0" applyAlignment="0" applyProtection="0"/>
    <xf numFmtId="0" fontId="4" fillId="0" borderId="0"/>
    <xf numFmtId="0" fontId="304" fillId="41" borderId="0" applyNumberFormat="0" applyBorder="0" applyAlignment="0" applyProtection="0"/>
    <xf numFmtId="0" fontId="4" fillId="0" borderId="0"/>
    <xf numFmtId="0" fontId="4" fillId="0" borderId="0"/>
    <xf numFmtId="43" fontId="2" fillId="0" borderId="0" applyFont="0" applyFill="0" applyBorder="0" applyAlignment="0" applyProtection="0"/>
    <xf numFmtId="0" fontId="4" fillId="0" borderId="0"/>
    <xf numFmtId="43" fontId="4" fillId="0" borderId="0" applyFont="0" applyFill="0" applyBorder="0" applyAlignment="0" applyProtection="0"/>
    <xf numFmtId="0" fontId="4" fillId="0" borderId="0"/>
    <xf numFmtId="0" fontId="304" fillId="41" borderId="0" applyNumberFormat="0" applyBorder="0" applyAlignment="0" applyProtection="0"/>
    <xf numFmtId="0" fontId="4" fillId="0" borderId="0"/>
    <xf numFmtId="1" fontId="4" fillId="0" borderId="0"/>
    <xf numFmtId="0" fontId="2" fillId="0" borderId="0"/>
    <xf numFmtId="0" fontId="2" fillId="0" borderId="0"/>
    <xf numFmtId="0" fontId="4" fillId="0" borderId="0"/>
    <xf numFmtId="0" fontId="304" fillId="41" borderId="0" applyNumberFormat="0" applyBorder="0" applyAlignment="0" applyProtection="0"/>
    <xf numFmtId="0" fontId="4" fillId="0" borderId="0"/>
    <xf numFmtId="0" fontId="303" fillId="56" borderId="0" applyNumberFormat="0" applyBorder="0" applyAlignment="0" applyProtection="0"/>
    <xf numFmtId="43" fontId="4" fillId="0" borderId="0" applyFont="0" applyFill="0" applyBorder="0" applyAlignment="0" applyProtection="0"/>
    <xf numFmtId="0" fontId="119" fillId="0" borderId="0"/>
    <xf numFmtId="0" fontId="4" fillId="0" borderId="0"/>
    <xf numFmtId="0" fontId="303" fillId="56" borderId="0" applyNumberFormat="0" applyBorder="0" applyAlignment="0" applyProtection="0"/>
    <xf numFmtId="179" fontId="4" fillId="0" borderId="0" applyFill="0" applyBorder="0" applyAlignment="0" applyProtection="0"/>
    <xf numFmtId="0" fontId="2" fillId="0" borderId="0"/>
    <xf numFmtId="1" fontId="4" fillId="0" borderId="0"/>
    <xf numFmtId="43" fontId="4" fillId="0" borderId="0" applyFont="0" applyFill="0" applyBorder="0" applyAlignment="0" applyProtection="0"/>
    <xf numFmtId="0" fontId="4" fillId="0" borderId="0"/>
    <xf numFmtId="0" fontId="2" fillId="0" borderId="0"/>
    <xf numFmtId="43" fontId="4" fillId="0" borderId="0" applyFont="0" applyFill="0" applyBorder="0" applyAlignment="0" applyProtection="0"/>
    <xf numFmtId="0" fontId="303" fillId="47" borderId="0" applyNumberFormat="0" applyBorder="0" applyAlignment="0" applyProtection="0"/>
    <xf numFmtId="9" fontId="304" fillId="0" borderId="0" applyFont="0" applyFill="0" applyBorder="0" applyAlignment="0" applyProtection="0"/>
    <xf numFmtId="0" fontId="303" fillId="47" borderId="0" applyNumberFormat="0" applyBorder="0" applyAlignment="0" applyProtection="0"/>
    <xf numFmtId="0" fontId="324" fillId="39" borderId="0" applyNumberFormat="0" applyBorder="0" applyAlignment="0" applyProtection="0"/>
    <xf numFmtId="43" fontId="4" fillId="0" borderId="0" applyFont="0" applyFill="0" applyBorder="0" applyAlignment="0" applyProtection="0"/>
    <xf numFmtId="0" fontId="303" fillId="47" borderId="0" applyNumberFormat="0" applyBorder="0" applyAlignment="0" applyProtection="0"/>
    <xf numFmtId="43" fontId="4" fillId="0" borderId="0" applyFont="0" applyFill="0" applyBorder="0" applyAlignment="0" applyProtection="0"/>
    <xf numFmtId="0" fontId="4" fillId="0" borderId="0"/>
    <xf numFmtId="0" fontId="2" fillId="0" borderId="0"/>
    <xf numFmtId="0" fontId="4" fillId="37" borderId="97" applyNumberFormat="0" applyFont="0" applyAlignment="0" applyProtection="0"/>
    <xf numFmtId="0" fontId="4" fillId="0" borderId="0"/>
    <xf numFmtId="0" fontId="4" fillId="0" borderId="0"/>
    <xf numFmtId="0" fontId="304" fillId="43" borderId="0" applyNumberFormat="0" applyBorder="0" applyAlignment="0" applyProtection="0"/>
    <xf numFmtId="9" fontId="4" fillId="0" borderId="0" applyFont="0" applyFill="0" applyBorder="0" applyAlignment="0" applyProtection="0"/>
    <xf numFmtId="0" fontId="4" fillId="0" borderId="0"/>
    <xf numFmtId="0" fontId="303" fillId="38" borderId="0" applyNumberFormat="0" applyBorder="0" applyAlignment="0" applyProtection="0"/>
    <xf numFmtId="0" fontId="4" fillId="0" borderId="0"/>
    <xf numFmtId="0" fontId="4" fillId="0" borderId="0"/>
    <xf numFmtId="9" fontId="2" fillId="0" borderId="0" applyFont="0" applyFill="0" applyBorder="0" applyAlignment="0" applyProtection="0"/>
    <xf numFmtId="0" fontId="304" fillId="43" borderId="0" applyNumberFormat="0" applyBorder="0" applyAlignment="0" applyProtection="0"/>
    <xf numFmtId="0" fontId="303" fillId="38" borderId="0" applyNumberFormat="0" applyBorder="0" applyAlignment="0" applyProtection="0"/>
    <xf numFmtId="0" fontId="4" fillId="0" borderId="0"/>
    <xf numFmtId="0" fontId="4" fillId="0" borderId="0"/>
    <xf numFmtId="9" fontId="2" fillId="0" borderId="0" applyFont="0" applyFill="0" applyBorder="0" applyAlignment="0" applyProtection="0"/>
    <xf numFmtId="0" fontId="304" fillId="43" borderId="0" applyNumberFormat="0" applyBorder="0" applyAlignment="0" applyProtection="0"/>
    <xf numFmtId="0" fontId="303" fillId="38" borderId="0" applyNumberFormat="0" applyBorder="0" applyAlignment="0" applyProtection="0"/>
    <xf numFmtId="0" fontId="119" fillId="0" borderId="0"/>
    <xf numFmtId="0" fontId="2" fillId="0" borderId="0"/>
    <xf numFmtId="43" fontId="4" fillId="0" borderId="0" applyFont="0" applyFill="0" applyBorder="0" applyAlignment="0" applyProtection="0"/>
    <xf numFmtId="43" fontId="4" fillId="0" borderId="0" applyFont="0" applyFill="0" applyBorder="0" applyAlignment="0" applyProtection="0"/>
    <xf numFmtId="0" fontId="4" fillId="0" borderId="0"/>
    <xf numFmtId="0" fontId="2" fillId="0" borderId="0"/>
    <xf numFmtId="0" fontId="2" fillId="0" borderId="0"/>
    <xf numFmtId="0" fontId="304" fillId="57" borderId="0" applyNumberFormat="0" applyBorder="0" applyAlignment="0" applyProtection="0"/>
    <xf numFmtId="9" fontId="4" fillId="0" borderId="0" applyFont="0" applyFill="0" applyBorder="0" applyAlignment="0" applyProtection="0"/>
    <xf numFmtId="0" fontId="4" fillId="37" borderId="97" applyNumberFormat="0" applyFont="0" applyAlignment="0" applyProtection="0"/>
    <xf numFmtId="0" fontId="4" fillId="0" borderId="0"/>
    <xf numFmtId="0" fontId="304" fillId="57" borderId="0" applyNumberFormat="0" applyBorder="0" applyAlignment="0" applyProtection="0"/>
    <xf numFmtId="0" fontId="304" fillId="57" borderId="0" applyNumberFormat="0" applyBorder="0" applyAlignment="0" applyProtection="0"/>
    <xf numFmtId="0" fontId="2" fillId="0" borderId="0"/>
    <xf numFmtId="0" fontId="313" fillId="49" borderId="100" applyNumberFormat="0" applyAlignment="0" applyProtection="0"/>
    <xf numFmtId="0" fontId="303" fillId="41" borderId="0" applyNumberFormat="0" applyBorder="0" applyAlignment="0" applyProtection="0"/>
    <xf numFmtId="0" fontId="2" fillId="0" borderId="0"/>
    <xf numFmtId="182" fontId="4" fillId="0" borderId="0" applyFont="0" applyFill="0" applyBorder="0" applyAlignment="0" applyProtection="0"/>
    <xf numFmtId="0" fontId="2" fillId="0" borderId="0"/>
    <xf numFmtId="0" fontId="2" fillId="0" borderId="0"/>
    <xf numFmtId="0" fontId="2" fillId="0" borderId="0"/>
    <xf numFmtId="176" fontId="119" fillId="0" borderId="0" applyFont="0" applyFill="0" applyBorder="0" applyAlignment="0" applyProtection="0"/>
    <xf numFmtId="0" fontId="4" fillId="0" borderId="0"/>
    <xf numFmtId="43" fontId="4" fillId="0" borderId="0" applyFont="0" applyFill="0" applyBorder="0" applyAlignment="0" applyProtection="0"/>
    <xf numFmtId="0" fontId="119" fillId="0" borderId="0"/>
    <xf numFmtId="0" fontId="303" fillId="41" borderId="0" applyNumberFormat="0" applyBorder="0" applyAlignment="0" applyProtection="0"/>
    <xf numFmtId="0" fontId="163" fillId="0" borderId="102" applyNumberFormat="0" applyFill="0" applyAlignment="0" applyProtection="0"/>
    <xf numFmtId="0" fontId="4" fillId="37" borderId="97" applyNumberFormat="0" applyFont="0" applyAlignment="0" applyProtection="0"/>
    <xf numFmtId="0" fontId="4" fillId="0" borderId="0"/>
    <xf numFmtId="0" fontId="163" fillId="58" borderId="0" applyNumberFormat="0" applyBorder="0" applyAlignment="0" applyProtection="0"/>
    <xf numFmtId="0" fontId="4" fillId="0" borderId="0"/>
    <xf numFmtId="0" fontId="2" fillId="0" borderId="0"/>
    <xf numFmtId="43" fontId="4" fillId="0" borderId="0" applyFont="0" applyFill="0" applyBorder="0" applyAlignment="0" applyProtection="0"/>
    <xf numFmtId="0" fontId="2" fillId="0" borderId="0"/>
    <xf numFmtId="0" fontId="303" fillId="41" borderId="0" applyNumberFormat="0" applyBorder="0" applyAlignment="0" applyProtection="0"/>
    <xf numFmtId="43" fontId="4" fillId="0" borderId="0" applyFont="0" applyFill="0" applyBorder="0" applyAlignment="0" applyProtection="0"/>
    <xf numFmtId="0" fontId="2" fillId="0" borderId="0"/>
    <xf numFmtId="0" fontId="303" fillId="41" borderId="0" applyNumberFormat="0" applyBorder="0" applyAlignment="0" applyProtection="0"/>
    <xf numFmtId="0" fontId="4" fillId="0" borderId="0"/>
    <xf numFmtId="0" fontId="4" fillId="0" borderId="0"/>
    <xf numFmtId="43" fontId="4" fillId="0" borderId="0" applyFont="0" applyFill="0" applyBorder="0" applyAlignment="0" applyProtection="0"/>
    <xf numFmtId="0" fontId="4" fillId="0" borderId="0"/>
    <xf numFmtId="0" fontId="119" fillId="0" borderId="0"/>
    <xf numFmtId="0" fontId="2" fillId="0" borderId="0"/>
    <xf numFmtId="0" fontId="303" fillId="52" borderId="0" applyNumberFormat="0" applyBorder="0" applyAlignment="0" applyProtection="0"/>
    <xf numFmtId="43" fontId="4" fillId="0" borderId="0" applyFont="0" applyFill="0" applyBorder="0" applyAlignment="0" applyProtection="0"/>
    <xf numFmtId="0" fontId="4" fillId="0" borderId="0"/>
    <xf numFmtId="0" fontId="4" fillId="0" borderId="0"/>
    <xf numFmtId="0" fontId="4" fillId="0" borderId="0"/>
    <xf numFmtId="0" fontId="303" fillId="52" borderId="0" applyNumberFormat="0" applyBorder="0" applyAlignment="0" applyProtection="0"/>
    <xf numFmtId="0" fontId="303" fillId="52" borderId="0" applyNumberFormat="0" applyBorder="0" applyAlignment="0" applyProtection="0"/>
    <xf numFmtId="0" fontId="4" fillId="0" borderId="0"/>
    <xf numFmtId="183" fontId="119" fillId="0" borderId="0" applyFont="0" applyFill="0" applyBorder="0" applyAlignment="0" applyProtection="0"/>
    <xf numFmtId="0" fontId="4" fillId="0" borderId="0"/>
    <xf numFmtId="0" fontId="4" fillId="0" borderId="0"/>
    <xf numFmtId="0" fontId="304" fillId="45" borderId="0" applyNumberFormat="0" applyBorder="0" applyAlignment="0" applyProtection="0"/>
    <xf numFmtId="176" fontId="119" fillId="0" borderId="0" applyFont="0" applyFill="0" applyBorder="0" applyAlignment="0" applyProtection="0"/>
    <xf numFmtId="43" fontId="2" fillId="0" borderId="0" applyFont="0" applyFill="0" applyBorder="0" applyAlignment="0" applyProtection="0"/>
    <xf numFmtId="1" fontId="4" fillId="0" borderId="0"/>
    <xf numFmtId="0" fontId="304" fillId="45" borderId="0" applyNumberFormat="0" applyBorder="0" applyAlignment="0" applyProtection="0"/>
    <xf numFmtId="0" fontId="4" fillId="0" borderId="0"/>
    <xf numFmtId="0" fontId="2" fillId="0" borderId="0"/>
    <xf numFmtId="0" fontId="304" fillId="45" borderId="0" applyNumberFormat="0" applyBorder="0" applyAlignment="0" applyProtection="0"/>
    <xf numFmtId="0" fontId="2" fillId="0" borderId="0"/>
    <xf numFmtId="0" fontId="4" fillId="0" borderId="0"/>
    <xf numFmtId="43" fontId="4" fillId="0" borderId="0" applyFont="0" applyFill="0" applyBorder="0" applyAlignment="0" applyProtection="0"/>
    <xf numFmtId="0" fontId="2" fillId="0" borderId="0"/>
    <xf numFmtId="0" fontId="4" fillId="0" borderId="0"/>
    <xf numFmtId="9" fontId="4" fillId="0" borderId="0" applyFont="0" applyFill="0" applyBorder="0" applyAlignment="0" applyProtection="0"/>
    <xf numFmtId="0" fontId="304" fillId="41" borderId="0" applyNumberFormat="0" applyBorder="0" applyAlignment="0" applyProtection="0"/>
    <xf numFmtId="0" fontId="4" fillId="0" borderId="0"/>
    <xf numFmtId="0" fontId="304" fillId="48" borderId="0" applyNumberFormat="0" applyBorder="0" applyAlignment="0" applyProtection="0"/>
    <xf numFmtId="0" fontId="4" fillId="0" borderId="0"/>
    <xf numFmtId="0" fontId="4" fillId="0" borderId="0"/>
    <xf numFmtId="43" fontId="4" fillId="0" borderId="0" applyFont="0" applyFill="0" applyBorder="0" applyAlignment="0" applyProtection="0"/>
    <xf numFmtId="0" fontId="304" fillId="41" borderId="0" applyNumberFormat="0" applyBorder="0" applyAlignment="0" applyProtection="0"/>
    <xf numFmtId="0" fontId="4" fillId="0" borderId="0"/>
    <xf numFmtId="43" fontId="4" fillId="0" borderId="0" applyFont="0" applyFill="0" applyBorder="0" applyAlignment="0" applyProtection="0"/>
    <xf numFmtId="0" fontId="304" fillId="41" borderId="0" applyNumberFormat="0" applyBorder="0" applyAlignment="0" applyProtection="0"/>
    <xf numFmtId="0" fontId="4" fillId="0" borderId="0"/>
    <xf numFmtId="0" fontId="2" fillId="0" borderId="0"/>
    <xf numFmtId="0" fontId="2" fillId="0" borderId="0"/>
    <xf numFmtId="43" fontId="4" fillId="0" borderId="0" applyFont="0" applyFill="0" applyBorder="0" applyAlignment="0" applyProtection="0"/>
    <xf numFmtId="0" fontId="304" fillId="41" borderId="0" applyNumberFormat="0" applyBorder="0" applyAlignment="0" applyProtection="0"/>
    <xf numFmtId="0" fontId="4" fillId="0" borderId="0"/>
    <xf numFmtId="0" fontId="303" fillId="41" borderId="0" applyNumberFormat="0" applyBorder="0" applyAlignment="0" applyProtection="0"/>
    <xf numFmtId="0" fontId="2" fillId="0" borderId="0"/>
    <xf numFmtId="0" fontId="4" fillId="0" borderId="0"/>
    <xf numFmtId="0" fontId="4" fillId="0" borderId="0"/>
    <xf numFmtId="43" fontId="4" fillId="0" borderId="0" applyFont="0" applyFill="0" applyBorder="0" applyAlignment="0" applyProtection="0"/>
    <xf numFmtId="43" fontId="4" fillId="0" borderId="0" applyFont="0" applyFill="0" applyBorder="0" applyAlignment="0" applyProtection="0"/>
    <xf numFmtId="0" fontId="303" fillId="41" borderId="0" applyNumberFormat="0" applyBorder="0" applyAlignment="0" applyProtection="0"/>
    <xf numFmtId="0" fontId="2" fillId="0" borderId="0"/>
    <xf numFmtId="0" fontId="4" fillId="0" borderId="0"/>
    <xf numFmtId="0" fontId="2" fillId="0" borderId="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0" fontId="4" fillId="0" borderId="0"/>
    <xf numFmtId="0" fontId="303" fillId="42" borderId="0" applyNumberFormat="0" applyBorder="0" applyAlignment="0" applyProtection="0"/>
    <xf numFmtId="9" fontId="4" fillId="0" borderId="0" applyFont="0" applyFill="0" applyBorder="0" applyAlignment="0" applyProtection="0"/>
    <xf numFmtId="0" fontId="303" fillId="34" borderId="0" applyNumberFormat="0" applyBorder="0" applyAlignment="0" applyProtection="0"/>
    <xf numFmtId="0" fontId="323" fillId="0" borderId="0" applyNumberFormat="0" applyAlignment="0">
      <alignment horizontal="left"/>
    </xf>
    <xf numFmtId="0" fontId="303" fillId="42" borderId="0" applyNumberFormat="0" applyBorder="0" applyAlignment="0" applyProtection="0"/>
    <xf numFmtId="0" fontId="2" fillId="0" borderId="0"/>
    <xf numFmtId="43" fontId="4" fillId="0" borderId="0" applyFont="0" applyFill="0" applyBorder="0" applyAlignment="0" applyProtection="0"/>
    <xf numFmtId="0" fontId="304" fillId="46" borderId="0" applyNumberFormat="0" applyBorder="0" applyAlignment="0" applyProtection="0"/>
    <xf numFmtId="0" fontId="2" fillId="0" borderId="0"/>
    <xf numFmtId="43" fontId="4" fillId="0" borderId="0" applyFont="0" applyFill="0" applyBorder="0" applyAlignment="0" applyProtection="0"/>
    <xf numFmtId="0" fontId="304" fillId="46" borderId="0" applyNumberFormat="0" applyBorder="0" applyAlignment="0" applyProtection="0"/>
    <xf numFmtId="0" fontId="304" fillId="46" borderId="0" applyNumberFormat="0" applyBorder="0" applyAlignment="0" applyProtection="0"/>
    <xf numFmtId="0" fontId="4" fillId="0" borderId="0"/>
    <xf numFmtId="43" fontId="4" fillId="0" borderId="0" applyFont="0" applyFill="0" applyBorder="0" applyAlignment="0" applyProtection="0"/>
    <xf numFmtId="0" fontId="119" fillId="0" borderId="0"/>
    <xf numFmtId="0" fontId="304" fillId="45" borderId="0" applyNumberFormat="0" applyBorder="0" applyAlignment="0" applyProtection="0"/>
    <xf numFmtId="0" fontId="4" fillId="0" borderId="0"/>
    <xf numFmtId="0" fontId="4" fillId="0" borderId="0"/>
    <xf numFmtId="0" fontId="304" fillId="45" borderId="0" applyNumberFormat="0" applyBorder="0" applyAlignment="0" applyProtection="0"/>
    <xf numFmtId="0" fontId="2" fillId="0" borderId="0"/>
    <xf numFmtId="0" fontId="4" fillId="0" borderId="0"/>
    <xf numFmtId="0" fontId="304" fillId="45" borderId="0" applyNumberFormat="0" applyBorder="0" applyAlignment="0" applyProtection="0"/>
    <xf numFmtId="0" fontId="303" fillId="54" borderId="0" applyNumberFormat="0" applyBorder="0" applyAlignment="0" applyProtection="0"/>
    <xf numFmtId="0" fontId="303" fillId="54" borderId="0" applyNumberFormat="0" applyBorder="0" applyAlignment="0" applyProtection="0"/>
    <xf numFmtId="0" fontId="4" fillId="0" borderId="0"/>
    <xf numFmtId="0" fontId="4" fillId="0" borderId="0"/>
    <xf numFmtId="9" fontId="4" fillId="0" borderId="0" applyFont="0" applyFill="0" applyBorder="0" applyAlignment="0" applyProtection="0"/>
    <xf numFmtId="0" fontId="4" fillId="0" borderId="0"/>
    <xf numFmtId="0" fontId="303" fillId="38" borderId="0" applyNumberFormat="0" applyBorder="0" applyAlignment="0" applyProtection="0"/>
    <xf numFmtId="9" fontId="2" fillId="0" borderId="0" applyFont="0" applyFill="0" applyBorder="0" applyAlignment="0" applyProtection="0"/>
    <xf numFmtId="0" fontId="304" fillId="43" borderId="0" applyNumberFormat="0" applyBorder="0" applyAlignment="0" applyProtection="0"/>
    <xf numFmtId="0" fontId="4" fillId="0" borderId="0"/>
    <xf numFmtId="9" fontId="2" fillId="0" borderId="0" applyFont="0" applyFill="0" applyBorder="0" applyAlignment="0" applyProtection="0"/>
    <xf numFmtId="0" fontId="54" fillId="0" borderId="1">
      <alignment wrapText="1"/>
    </xf>
    <xf numFmtId="0" fontId="4" fillId="0" borderId="0"/>
    <xf numFmtId="0" fontId="2" fillId="0" borderId="0"/>
    <xf numFmtId="0" fontId="4" fillId="0" borderId="0"/>
    <xf numFmtId="43" fontId="4" fillId="0" borderId="0" applyFont="0" applyFill="0" applyBorder="0" applyAlignment="0" applyProtection="0"/>
    <xf numFmtId="0" fontId="304" fillId="43" borderId="0" applyNumberFormat="0" applyBorder="0" applyAlignment="0" applyProtection="0"/>
    <xf numFmtId="0" fontId="4" fillId="37" borderId="97" applyNumberFormat="0" applyFont="0" applyAlignment="0" applyProtection="0"/>
    <xf numFmtId="0" fontId="4" fillId="0" borderId="0"/>
    <xf numFmtId="0" fontId="4" fillId="0" borderId="0"/>
    <xf numFmtId="9" fontId="2" fillId="0" borderId="0" applyFont="0" applyFill="0" applyBorder="0" applyAlignment="0" applyProtection="0"/>
    <xf numFmtId="0" fontId="4" fillId="0" borderId="0"/>
    <xf numFmtId="0" fontId="2" fillId="0" borderId="0"/>
    <xf numFmtId="0" fontId="4" fillId="0" borderId="0"/>
    <xf numFmtId="43" fontId="4" fillId="0" borderId="0" applyFont="0" applyFill="0" applyBorder="0" applyAlignment="0" applyProtection="0"/>
    <xf numFmtId="43" fontId="4" fillId="0" borderId="0" applyFont="0" applyFill="0" applyBorder="0" applyAlignment="0" applyProtection="0"/>
    <xf numFmtId="0" fontId="304" fillId="43" borderId="0" applyNumberFormat="0" applyBorder="0" applyAlignment="0" applyProtection="0"/>
    <xf numFmtId="0" fontId="4" fillId="37" borderId="97" applyNumberFormat="0" applyFont="0" applyAlignment="0" applyProtection="0"/>
    <xf numFmtId="0" fontId="4" fillId="0" borderId="0"/>
    <xf numFmtId="0" fontId="4" fillId="0" borderId="0"/>
    <xf numFmtId="43" fontId="4" fillId="0" borderId="0" applyFont="0" applyFill="0" applyBorder="0" applyAlignment="0" applyProtection="0"/>
    <xf numFmtId="0" fontId="304" fillId="43" borderId="0" applyNumberFormat="0" applyBorder="0" applyAlignment="0" applyProtection="0"/>
    <xf numFmtId="0" fontId="304" fillId="48" borderId="0" applyNumberFormat="0" applyBorder="0" applyAlignment="0" applyProtection="0"/>
    <xf numFmtId="44" fontId="4" fillId="0" borderId="0" applyFont="0" applyFill="0" applyBorder="0" applyAlignment="0" applyProtection="0"/>
    <xf numFmtId="0" fontId="4" fillId="0" borderId="0"/>
    <xf numFmtId="43" fontId="4" fillId="0" borderId="0" applyFont="0" applyFill="0" applyBorder="0" applyAlignment="0" applyProtection="0"/>
    <xf numFmtId="0" fontId="4" fillId="0" borderId="0"/>
    <xf numFmtId="0" fontId="4" fillId="0" borderId="9">
      <alignment horizontal="center"/>
    </xf>
    <xf numFmtId="0" fontId="311" fillId="0" borderId="0" applyFill="0" applyBorder="0" applyAlignment="0"/>
    <xf numFmtId="0" fontId="119" fillId="0" borderId="0"/>
    <xf numFmtId="0" fontId="304" fillId="48" borderId="0" applyNumberFormat="0" applyBorder="0" applyAlignment="0" applyProtection="0"/>
    <xf numFmtId="0" fontId="4" fillId="0" borderId="0"/>
    <xf numFmtId="44" fontId="4" fillId="0" borderId="0" applyFont="0" applyFill="0" applyBorder="0" applyAlignment="0" applyProtection="0"/>
    <xf numFmtId="0" fontId="4" fillId="0" borderId="0"/>
    <xf numFmtId="1" fontId="4" fillId="0" borderId="0"/>
    <xf numFmtId="0" fontId="303" fillId="48" borderId="0" applyNumberFormat="0" applyBorder="0" applyAlignment="0" applyProtection="0"/>
    <xf numFmtId="0" fontId="4" fillId="0" borderId="0"/>
    <xf numFmtId="0" fontId="4" fillId="0" borderId="0"/>
    <xf numFmtId="0" fontId="303" fillId="34" borderId="0" applyNumberFormat="0" applyBorder="0" applyAlignment="0" applyProtection="0"/>
    <xf numFmtId="0" fontId="305" fillId="21" borderId="0" applyNumberFormat="0" applyBorder="0" applyAlignment="0" applyProtection="0"/>
    <xf numFmtId="0" fontId="305" fillId="21" borderId="0" applyNumberFormat="0" applyBorder="0" applyAlignment="0" applyProtection="0"/>
    <xf numFmtId="0" fontId="319" fillId="0" borderId="0" applyNumberFormat="0" applyFill="0">
      <alignment horizontal="left" vertical="center"/>
    </xf>
    <xf numFmtId="0" fontId="304" fillId="0" borderId="0"/>
    <xf numFmtId="43" fontId="4" fillId="0" borderId="0" applyFont="0" applyFill="0" applyBorder="0" applyAlignment="0" applyProtection="0"/>
    <xf numFmtId="0" fontId="4" fillId="0" borderId="0"/>
    <xf numFmtId="0" fontId="4" fillId="0" borderId="0"/>
    <xf numFmtId="1" fontId="4" fillId="0" borderId="0"/>
    <xf numFmtId="0" fontId="4" fillId="0" borderId="0"/>
    <xf numFmtId="0" fontId="161" fillId="0" borderId="0" applyNumberFormat="0" applyFill="0" applyBorder="0" applyAlignment="0" applyProtection="0"/>
    <xf numFmtId="0" fontId="119" fillId="0" borderId="0"/>
    <xf numFmtId="0" fontId="311" fillId="0" borderId="0" applyFill="0" applyBorder="0" applyAlignment="0"/>
    <xf numFmtId="0" fontId="2" fillId="0" borderId="0"/>
    <xf numFmtId="0" fontId="312" fillId="36" borderId="99" applyNumberFormat="0" applyAlignment="0" applyProtection="0"/>
    <xf numFmtId="0" fontId="4" fillId="0" borderId="0"/>
    <xf numFmtId="0" fontId="4" fillId="0" borderId="0"/>
    <xf numFmtId="43" fontId="4" fillId="0" borderId="0" applyFont="0" applyFill="0" applyBorder="0" applyAlignment="0" applyProtection="0"/>
    <xf numFmtId="0" fontId="312" fillId="36" borderId="99" applyNumberFormat="0" applyAlignment="0" applyProtection="0"/>
    <xf numFmtId="0" fontId="4" fillId="0" borderId="0"/>
    <xf numFmtId="0" fontId="313" fillId="49" borderId="100" applyNumberFormat="0" applyAlignment="0" applyProtection="0"/>
    <xf numFmtId="38" fontId="17" fillId="36" borderId="0" applyNumberFormat="0" applyBorder="0" applyAlignment="0" applyProtection="0"/>
    <xf numFmtId="0" fontId="4" fillId="0" borderId="0"/>
    <xf numFmtId="0" fontId="313" fillId="49" borderId="100" applyNumberFormat="0" applyAlignment="0" applyProtection="0"/>
    <xf numFmtId="43" fontId="4" fillId="0" borderId="0" applyFont="0" applyFill="0" applyBorder="0" applyAlignment="0" applyProtection="0"/>
    <xf numFmtId="0" fontId="4" fillId="0" borderId="0"/>
    <xf numFmtId="0" fontId="2" fillId="0" borderId="0"/>
    <xf numFmtId="0" fontId="4" fillId="37" borderId="97" applyNumberFormat="0" applyFont="0" applyAlignment="0" applyProtection="0"/>
    <xf numFmtId="0" fontId="4" fillId="0" borderId="0"/>
    <xf numFmtId="0" fontId="4"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43" fontId="4" fillId="0" borderId="0" applyFont="0" applyFill="0" applyBorder="0" applyAlignment="0" applyProtection="0"/>
    <xf numFmtId="0" fontId="4" fillId="0" borderId="0"/>
    <xf numFmtId="0" fontId="2" fillId="0" borderId="0"/>
    <xf numFmtId="43" fontId="4" fillId="0" borderId="0" applyFont="0" applyFill="0" applyBorder="0" applyAlignment="0" applyProtection="0"/>
    <xf numFmtId="0" fontId="4" fillId="0" borderId="0"/>
    <xf numFmtId="0" fontId="2" fillId="0" borderId="0"/>
    <xf numFmtId="43" fontId="4" fillId="0" borderId="0" applyFont="0" applyFill="0" applyBorder="0" applyAlignment="0" applyProtection="0"/>
    <xf numFmtId="0" fontId="4" fillId="0" borderId="0"/>
    <xf numFmtId="0" fontId="2" fillId="0" borderId="0"/>
    <xf numFmtId="43" fontId="4" fillId="0" borderId="0" applyFont="0" applyFill="0" applyBorder="0" applyAlignment="0" applyProtection="0"/>
    <xf numFmtId="0" fontId="4" fillId="0" borderId="0"/>
    <xf numFmtId="0" fontId="2" fillId="0" borderId="0"/>
    <xf numFmtId="43" fontId="4" fillId="0" borderId="0" applyFont="0" applyFill="0" applyBorder="0" applyAlignment="0" applyProtection="0"/>
    <xf numFmtId="0" fontId="4" fillId="0" borderId="0"/>
    <xf numFmtId="0" fontId="4" fillId="0" borderId="0"/>
    <xf numFmtId="0" fontId="4" fillId="0" borderId="0"/>
    <xf numFmtId="0" fontId="2" fillId="0" borderId="0"/>
    <xf numFmtId="0" fontId="4" fillId="0" borderId="0"/>
    <xf numFmtId="0" fontId="2" fillId="0" borderId="0"/>
    <xf numFmtId="181" fontId="119" fillId="0" borderId="0" applyFont="0" applyFill="0" applyBorder="0" applyAlignment="0" applyProtection="0"/>
    <xf numFmtId="0" fontId="4" fillId="0" borderId="0"/>
    <xf numFmtId="43" fontId="4"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0" fontId="4" fillId="0" borderId="0"/>
    <xf numFmtId="0" fontId="304" fillId="0" borderId="0"/>
    <xf numFmtId="0" fontId="4" fillId="0" borderId="0"/>
    <xf numFmtId="0" fontId="4" fillId="0" borderId="0"/>
    <xf numFmtId="43" fontId="4" fillId="0" borderId="0" applyFont="0" applyFill="0" applyBorder="0" applyAlignment="0" applyProtection="0"/>
    <xf numFmtId="0" fontId="4" fillId="0" borderId="0"/>
    <xf numFmtId="43" fontId="4" fillId="0" borderId="0" applyFont="0" applyFill="0" applyBorder="0" applyAlignment="0" applyProtection="0"/>
    <xf numFmtId="0" fontId="4" fillId="0" borderId="0"/>
    <xf numFmtId="43" fontId="4" fillId="0" borderId="0" applyFont="0" applyFill="0" applyBorder="0" applyAlignment="0" applyProtection="0"/>
    <xf numFmtId="0" fontId="4" fillId="0" borderId="0"/>
    <xf numFmtId="43" fontId="4" fillId="0" borderId="0" applyFont="0" applyFill="0" applyBorder="0" applyAlignment="0" applyProtection="0"/>
    <xf numFmtId="0" fontId="4" fillId="0" borderId="0"/>
    <xf numFmtId="43" fontId="4" fillId="0" borderId="0" applyFont="0" applyFill="0" applyBorder="0" applyAlignment="0" applyProtection="0"/>
    <xf numFmtId="0" fontId="4" fillId="0" borderId="0"/>
    <xf numFmtId="0" fontId="4" fillId="0" borderId="0"/>
    <xf numFmtId="0" fontId="322" fillId="18" borderId="99" applyNumberFormat="0" applyAlignment="0" applyProtection="0"/>
    <xf numFmtId="43" fontId="4" fillId="0" borderId="0" applyFont="0" applyFill="0" applyBorder="0" applyAlignment="0" applyProtection="0"/>
    <xf numFmtId="0" fontId="4" fillId="0" borderId="0"/>
    <xf numFmtId="0" fontId="4" fillId="37" borderId="97" applyNumberFormat="0" applyFont="0" applyAlignment="0" applyProtection="0"/>
    <xf numFmtId="190" fontId="119" fillId="0" borderId="0" applyFont="0" applyFill="0" applyBorder="0" applyAlignment="0" applyProtection="0"/>
    <xf numFmtId="0" fontId="2" fillId="0" borderId="0"/>
    <xf numFmtId="0" fontId="4" fillId="0" borderId="0"/>
    <xf numFmtId="43" fontId="4" fillId="0" borderId="0" applyFont="0" applyFill="0" applyBorder="0" applyAlignment="0" applyProtection="0"/>
    <xf numFmtId="0" fontId="54" fillId="0" borderId="1">
      <alignment wrapText="1"/>
    </xf>
    <xf numFmtId="0" fontId="322" fillId="18" borderId="99" applyNumberFormat="0" applyAlignment="0" applyProtection="0"/>
    <xf numFmtId="0" fontId="2" fillId="0" borderId="0"/>
    <xf numFmtId="0" fontId="4" fillId="0" borderId="0"/>
    <xf numFmtId="43" fontId="4" fillId="0" borderId="0" applyFont="0" applyFill="0" applyBorder="0" applyAlignment="0" applyProtection="0"/>
    <xf numFmtId="0" fontId="4" fillId="0" borderId="0"/>
    <xf numFmtId="43" fontId="4" fillId="0" borderId="0" applyFont="0" applyFill="0" applyBorder="0" applyAlignment="0" applyProtection="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44" fontId="4" fillId="0" borderId="0" applyFont="0" applyFill="0" applyBorder="0" applyAlignment="0" applyProtection="0"/>
    <xf numFmtId="0" fontId="2" fillId="0" borderId="0"/>
    <xf numFmtId="0" fontId="4" fillId="0" borderId="0"/>
    <xf numFmtId="43" fontId="4" fillId="0" borderId="0" applyFont="0" applyFill="0" applyBorder="0" applyAlignment="0" applyProtection="0"/>
    <xf numFmtId="183" fontId="119" fillId="0" borderId="0" applyFont="0" applyFill="0" applyBorder="0" applyAlignment="0" applyProtection="0"/>
    <xf numFmtId="44" fontId="4" fillId="0" borderId="0" applyFont="0" applyFill="0" applyBorder="0" applyAlignment="0" applyProtection="0"/>
    <xf numFmtId="0" fontId="4" fillId="0" borderId="0"/>
    <xf numFmtId="44" fontId="4" fillId="0" borderId="0" applyFont="0" applyFill="0" applyBorder="0" applyAlignment="0" applyProtection="0"/>
    <xf numFmtId="0" fontId="4" fillId="0" borderId="0"/>
    <xf numFmtId="0" fontId="2" fillId="0" borderId="0"/>
    <xf numFmtId="0" fontId="314" fillId="50" borderId="0" applyNumberFormat="0" applyBorder="0" applyAlignment="0" applyProtection="0"/>
    <xf numFmtId="176" fontId="119" fillId="0" borderId="0" applyFont="0" applyFill="0" applyBorder="0" applyAlignment="0" applyProtection="0"/>
    <xf numFmtId="0" fontId="4" fillId="0" borderId="0"/>
    <xf numFmtId="43" fontId="4" fillId="0" borderId="0" applyFont="0" applyFill="0" applyBorder="0" applyAlignment="0" applyProtection="0"/>
    <xf numFmtId="0" fontId="4" fillId="0" borderId="0"/>
    <xf numFmtId="0" fontId="119" fillId="0" borderId="0"/>
    <xf numFmtId="0" fontId="4" fillId="0" borderId="0"/>
    <xf numFmtId="0" fontId="210" fillId="0" borderId="0" applyProtection="0">
      <alignment horizontal="center" vertical="center"/>
    </xf>
    <xf numFmtId="43" fontId="4" fillId="0" borderId="0" applyFont="0" applyFill="0" applyBorder="0" applyAlignment="0" applyProtection="0"/>
    <xf numFmtId="0" fontId="119" fillId="0" borderId="0"/>
    <xf numFmtId="0" fontId="4" fillId="0" borderId="0"/>
    <xf numFmtId="0" fontId="2" fillId="0" borderId="0"/>
    <xf numFmtId="176" fontId="119" fillId="0" borderId="0" applyFont="0" applyFill="0" applyBorder="0" applyAlignment="0" applyProtection="0"/>
    <xf numFmtId="182" fontId="4" fillId="0" borderId="0" applyFont="0" applyFill="0" applyBorder="0" applyAlignment="0" applyProtection="0"/>
    <xf numFmtId="0" fontId="2" fillId="0" borderId="0"/>
    <xf numFmtId="0" fontId="2" fillId="0" borderId="0"/>
    <xf numFmtId="0" fontId="2" fillId="0" borderId="0"/>
    <xf numFmtId="176" fontId="119" fillId="0" borderId="0" applyFont="0" applyFill="0" applyBorder="0" applyAlignment="0" applyProtection="0"/>
    <xf numFmtId="0" fontId="2" fillId="0" borderId="0"/>
    <xf numFmtId="176" fontId="119" fillId="0" borderId="0" applyFont="0" applyFill="0" applyBorder="0" applyAlignment="0" applyProtection="0"/>
    <xf numFmtId="176" fontId="119" fillId="0" borderId="0" applyFont="0" applyFill="0" applyBorder="0" applyAlignment="0" applyProtection="0"/>
    <xf numFmtId="0" fontId="2" fillId="0" borderId="0"/>
    <xf numFmtId="176" fontId="119" fillId="0" borderId="0" applyFont="0" applyFill="0" applyBorder="0" applyAlignment="0" applyProtection="0"/>
    <xf numFmtId="176" fontId="119" fillId="0" borderId="0" applyFont="0" applyFill="0" applyBorder="0" applyAlignment="0" applyProtection="0"/>
    <xf numFmtId="0" fontId="2" fillId="0" borderId="0"/>
    <xf numFmtId="176" fontId="119" fillId="0" borderId="0" applyFont="0" applyFill="0" applyBorder="0" applyAlignment="0" applyProtection="0"/>
    <xf numFmtId="176" fontId="119" fillId="0" borderId="0" applyFont="0" applyFill="0" applyBorder="0" applyAlignment="0" applyProtection="0"/>
    <xf numFmtId="0" fontId="2" fillId="0" borderId="0"/>
    <xf numFmtId="187" fontId="119" fillId="0" borderId="0" applyFont="0" applyFill="0" applyBorder="0" applyAlignment="0" applyProtection="0"/>
    <xf numFmtId="166" fontId="119" fillId="0" borderId="0" applyFont="0" applyFill="0" applyBorder="0" applyAlignment="0" applyProtection="0"/>
    <xf numFmtId="38" fontId="17" fillId="36" borderId="0" applyNumberFormat="0" applyBorder="0" applyAlignment="0" applyProtection="0"/>
    <xf numFmtId="0" fontId="4" fillId="0" borderId="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44" fontId="4" fillId="0" borderId="0" applyFont="0" applyFill="0" applyBorder="0" applyAlignment="0" applyProtection="0"/>
    <xf numFmtId="0" fontId="2" fillId="0" borderId="0"/>
    <xf numFmtId="43" fontId="4" fillId="0" borderId="0" applyFont="0" applyFill="0" applyBorder="0" applyAlignment="0" applyProtection="0"/>
    <xf numFmtId="0" fontId="4" fillId="0" borderId="0"/>
    <xf numFmtId="0" fontId="2" fillId="0" borderId="0"/>
    <xf numFmtId="0" fontId="4" fillId="0" borderId="0"/>
    <xf numFmtId="43" fontId="4" fillId="0" borderId="0" applyFont="0" applyFill="0" applyBorder="0" applyAlignment="0" applyProtection="0"/>
    <xf numFmtId="43" fontId="4" fillId="0" borderId="0" applyFont="0" applyFill="0" applyBorder="0" applyAlignment="0" applyProtection="0"/>
    <xf numFmtId="0" fontId="119" fillId="0" borderId="0"/>
    <xf numFmtId="0" fontId="4" fillId="0" borderId="0"/>
    <xf numFmtId="43" fontId="4" fillId="0" borderId="0" applyFont="0" applyFill="0" applyBorder="0" applyAlignment="0" applyProtection="0"/>
    <xf numFmtId="43" fontId="4" fillId="0" borderId="0" applyFont="0" applyFill="0" applyBorder="0" applyAlignment="0" applyProtection="0"/>
    <xf numFmtId="0" fontId="4" fillId="0" borderId="0"/>
    <xf numFmtId="43" fontId="4" fillId="0" borderId="0" applyFont="0" applyFill="0" applyBorder="0" applyAlignment="0" applyProtection="0"/>
    <xf numFmtId="43" fontId="4" fillId="0" borderId="0" applyFont="0" applyFill="0" applyBorder="0" applyAlignment="0" applyProtection="0"/>
    <xf numFmtId="0" fontId="4" fillId="0" borderId="0"/>
    <xf numFmtId="43" fontId="4" fillId="0" borderId="0" applyFont="0" applyFill="0" applyBorder="0" applyAlignment="0" applyProtection="0"/>
    <xf numFmtId="43" fontId="4" fillId="0" borderId="0" applyFont="0" applyFill="0" applyBorder="0" applyAlignment="0" applyProtection="0"/>
    <xf numFmtId="0" fontId="4" fillId="0" borderId="0"/>
    <xf numFmtId="43" fontId="4" fillId="0" borderId="0" applyFont="0" applyFill="0" applyBorder="0" applyAlignment="0" applyProtection="0"/>
    <xf numFmtId="0" fontId="4" fillId="0" borderId="0"/>
    <xf numFmtId="43" fontId="4"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43" fontId="4" fillId="0" borderId="0" applyFont="0" applyFill="0" applyBorder="0" applyAlignment="0" applyProtection="0"/>
    <xf numFmtId="0" fontId="4" fillId="0" borderId="0"/>
    <xf numFmtId="0" fontId="2" fillId="0" borderId="0"/>
    <xf numFmtId="0" fontId="4" fillId="0" borderId="0"/>
    <xf numFmtId="43" fontId="4" fillId="0" borderId="0" applyFont="0" applyFill="0" applyBorder="0" applyAlignment="0" applyProtection="0"/>
    <xf numFmtId="0" fontId="4" fillId="0" borderId="0"/>
    <xf numFmtId="0" fontId="2" fillId="0" borderId="0"/>
    <xf numFmtId="0" fontId="2" fillId="0" borderId="0"/>
    <xf numFmtId="43" fontId="4"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0" fontId="4" fillId="0" borderId="0"/>
    <xf numFmtId="43" fontId="4" fillId="0" borderId="0" applyFont="0" applyFill="0" applyBorder="0" applyAlignment="0" applyProtection="0"/>
    <xf numFmtId="0" fontId="4" fillId="0" borderId="0"/>
    <xf numFmtId="9" fontId="4" fillId="0" borderId="0" applyFont="0" applyFill="0" applyBorder="0" applyAlignment="0" applyProtection="0"/>
    <xf numFmtId="0" fontId="119" fillId="0" borderId="0"/>
    <xf numFmtId="171" fontId="121" fillId="0" borderId="25">
      <alignment horizontal="right"/>
    </xf>
    <xf numFmtId="43" fontId="4" fillId="0" borderId="0" applyFont="0" applyFill="0" applyBorder="0" applyAlignment="0" applyProtection="0"/>
    <xf numFmtId="0" fontId="4" fillId="0" borderId="0"/>
    <xf numFmtId="171" fontId="121" fillId="0" borderId="25">
      <alignment horizontal="right"/>
    </xf>
    <xf numFmtId="43" fontId="4" fillId="0" borderId="0" applyFont="0" applyFill="0" applyBorder="0" applyAlignment="0" applyProtection="0"/>
    <xf numFmtId="43" fontId="4" fillId="0" borderId="0" applyFont="0" applyFill="0" applyBorder="0" applyAlignment="0" applyProtection="0"/>
    <xf numFmtId="0" fontId="4" fillId="0" borderId="0"/>
    <xf numFmtId="43" fontId="4" fillId="0" borderId="0" applyFont="0" applyFill="0" applyBorder="0" applyAlignment="0" applyProtection="0"/>
    <xf numFmtId="0" fontId="4" fillId="0" borderId="0"/>
    <xf numFmtId="43" fontId="4" fillId="0" borderId="0" applyFont="0" applyFill="0" applyBorder="0" applyAlignment="0" applyProtection="0"/>
    <xf numFmtId="43" fontId="4"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0" fontId="4" fillId="0" borderId="0"/>
    <xf numFmtId="43" fontId="4" fillId="0" borderId="0" applyFont="0" applyFill="0" applyBorder="0" applyAlignment="0" applyProtection="0"/>
    <xf numFmtId="0" fontId="4" fillId="0" borderId="0"/>
    <xf numFmtId="0" fontId="2" fillId="0" borderId="0"/>
    <xf numFmtId="43" fontId="4" fillId="0" borderId="0" applyFont="0" applyFill="0" applyBorder="0" applyAlignment="0" applyProtection="0"/>
    <xf numFmtId="43" fontId="4" fillId="0" borderId="0" applyFont="0" applyFill="0" applyBorder="0" applyAlignment="0" applyProtection="0"/>
    <xf numFmtId="0" fontId="2" fillId="0" borderId="0"/>
    <xf numFmtId="43" fontId="4" fillId="0" borderId="0" applyFont="0" applyFill="0" applyBorder="0" applyAlignment="0" applyProtection="0"/>
    <xf numFmtId="0" fontId="4" fillId="0" borderId="0"/>
    <xf numFmtId="43" fontId="4" fillId="0" borderId="0" applyFont="0" applyFill="0" applyBorder="0" applyAlignment="0" applyProtection="0"/>
    <xf numFmtId="0" fontId="2" fillId="0" borderId="0"/>
    <xf numFmtId="43" fontId="4" fillId="0" borderId="0" applyFont="0" applyFill="0" applyBorder="0" applyAlignment="0" applyProtection="0"/>
    <xf numFmtId="0" fontId="4" fillId="0" borderId="0"/>
    <xf numFmtId="43" fontId="4" fillId="0" borderId="0" applyFont="0" applyFill="0" applyBorder="0" applyAlignment="0" applyProtection="0"/>
    <xf numFmtId="43" fontId="4" fillId="0" borderId="0" applyFont="0" applyFill="0" applyBorder="0" applyAlignment="0" applyProtection="0"/>
    <xf numFmtId="0" fontId="4" fillId="0" borderId="0"/>
    <xf numFmtId="43" fontId="4" fillId="0" borderId="0" applyFont="0" applyFill="0" applyBorder="0" applyAlignment="0" applyProtection="0"/>
    <xf numFmtId="0" fontId="4" fillId="0" borderId="0"/>
    <xf numFmtId="43" fontId="4" fillId="0" borderId="0" applyFont="0" applyFill="0" applyBorder="0" applyAlignment="0" applyProtection="0"/>
    <xf numFmtId="0" fontId="119" fillId="0" borderId="0"/>
    <xf numFmtId="0" fontId="2" fillId="0" borderId="0"/>
    <xf numFmtId="0" fontId="4" fillId="0" borderId="0"/>
    <xf numFmtId="43" fontId="4" fillId="0" borderId="0" applyFont="0" applyFill="0" applyBorder="0" applyAlignment="0" applyProtection="0"/>
    <xf numFmtId="0" fontId="119" fillId="0" borderId="0"/>
    <xf numFmtId="0" fontId="4" fillId="0" borderId="0"/>
    <xf numFmtId="43" fontId="4" fillId="0" borderId="0" applyFont="0" applyFill="0" applyBorder="0" applyAlignment="0" applyProtection="0"/>
    <xf numFmtId="0" fontId="4" fillId="0" borderId="0"/>
    <xf numFmtId="0" fontId="119" fillId="0" borderId="0"/>
    <xf numFmtId="43" fontId="4" fillId="0" borderId="0" applyFont="0" applyFill="0" applyBorder="0" applyAlignment="0" applyProtection="0"/>
    <xf numFmtId="0" fontId="4" fillId="0" borderId="0"/>
    <xf numFmtId="0" fontId="119" fillId="0" borderId="0"/>
    <xf numFmtId="0" fontId="4" fillId="0" borderId="9">
      <alignment horizontal="center"/>
    </xf>
    <xf numFmtId="0" fontId="4" fillId="0" borderId="0"/>
    <xf numFmtId="43" fontId="4"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0" fontId="4" fillId="0" borderId="0"/>
    <xf numFmtId="0" fontId="2" fillId="0" borderId="0"/>
    <xf numFmtId="0" fontId="4" fillId="0" borderId="0"/>
    <xf numFmtId="43" fontId="4" fillId="0" borderId="0" applyFont="0" applyFill="0" applyBorder="0" applyAlignment="0" applyProtection="0"/>
    <xf numFmtId="0" fontId="4" fillId="0" borderId="0"/>
    <xf numFmtId="0" fontId="4" fillId="0" borderId="0"/>
    <xf numFmtId="0" fontId="2" fillId="0" borderId="0"/>
    <xf numFmtId="0" fontId="4" fillId="0" borderId="0"/>
    <xf numFmtId="43" fontId="4" fillId="0" borderId="0" applyFont="0" applyFill="0" applyBorder="0" applyAlignment="0" applyProtection="0"/>
    <xf numFmtId="0" fontId="4" fillId="0" borderId="0"/>
    <xf numFmtId="0" fontId="30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43" fontId="2" fillId="0" borderId="0" applyFont="0" applyFill="0" applyBorder="0" applyAlignment="0" applyProtection="0"/>
    <xf numFmtId="0" fontId="4" fillId="0" borderId="0"/>
    <xf numFmtId="43" fontId="4" fillId="0" borderId="0" applyFont="0" applyFill="0" applyBorder="0" applyAlignment="0" applyProtection="0"/>
    <xf numFmtId="0" fontId="4" fillId="0" borderId="0"/>
    <xf numFmtId="43" fontId="4"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2"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2"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43" fontId="4" fillId="0" borderId="0" applyFont="0" applyFill="0" applyBorder="0" applyAlignment="0" applyProtection="0"/>
    <xf numFmtId="0" fontId="4" fillId="0" borderId="0"/>
    <xf numFmtId="0" fontId="4" fillId="0" borderId="0"/>
    <xf numFmtId="43" fontId="2"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0" fontId="4" fillId="0" borderId="0"/>
    <xf numFmtId="0" fontId="4" fillId="0" borderId="0"/>
    <xf numFmtId="43" fontId="2"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0" fontId="315" fillId="0" borderId="0" applyNumberFormat="0" applyFill="0" applyBorder="0" applyAlignment="0" applyProtection="0"/>
    <xf numFmtId="0" fontId="4" fillId="0" borderId="0"/>
    <xf numFmtId="0" fontId="2" fillId="0" borderId="0"/>
    <xf numFmtId="43" fontId="4" fillId="0" borderId="0" applyFont="0" applyFill="0" applyBorder="0" applyAlignment="0" applyProtection="0"/>
    <xf numFmtId="0" fontId="4" fillId="37" borderId="97" applyNumberFormat="0" applyFont="0" applyAlignment="0" applyProtection="0"/>
    <xf numFmtId="43" fontId="4" fillId="0" borderId="0" applyFont="0" applyFill="0" applyBorder="0" applyAlignment="0" applyProtection="0"/>
    <xf numFmtId="0" fontId="4" fillId="0" borderId="0"/>
    <xf numFmtId="0" fontId="4" fillId="0" borderId="0"/>
    <xf numFmtId="0" fontId="4" fillId="37" borderId="97" applyNumberFormat="0" applyFont="0" applyAlignment="0" applyProtection="0"/>
    <xf numFmtId="43" fontId="4" fillId="0" borderId="0" applyFont="0" applyFill="0" applyBorder="0" applyAlignment="0" applyProtection="0"/>
    <xf numFmtId="0" fontId="4" fillId="0" borderId="0"/>
    <xf numFmtId="0" fontId="4" fillId="0" borderId="0"/>
    <xf numFmtId="0" fontId="4" fillId="0" borderId="0"/>
    <xf numFmtId="43" fontId="4" fillId="0" borderId="0" applyFont="0" applyFill="0" applyBorder="0" applyAlignment="0" applyProtection="0"/>
    <xf numFmtId="0" fontId="4" fillId="0" borderId="0"/>
    <xf numFmtId="43" fontId="4" fillId="0" borderId="0" applyFont="0" applyFill="0" applyBorder="0" applyAlignment="0" applyProtection="0"/>
    <xf numFmtId="0" fontId="4" fillId="0" borderId="0"/>
    <xf numFmtId="43" fontId="2"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0" fontId="4" fillId="0" borderId="0"/>
    <xf numFmtId="43" fontId="4" fillId="0" borderId="0" applyFont="0" applyFill="0" applyBorder="0" applyAlignment="0" applyProtection="0"/>
    <xf numFmtId="0" fontId="4" fillId="0" borderId="0"/>
    <xf numFmtId="0" fontId="318" fillId="0" borderId="101" applyNumberFormat="0" applyFill="0" applyAlignment="0" applyProtection="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43" fontId="2" fillId="0" borderId="0" applyFont="0" applyFill="0" applyBorder="0" applyAlignment="0" applyProtection="0"/>
    <xf numFmtId="0" fontId="2" fillId="0" borderId="0"/>
    <xf numFmtId="1" fontId="4" fillId="0" borderId="0"/>
    <xf numFmtId="0" fontId="2" fillId="0" borderId="0"/>
    <xf numFmtId="0" fontId="4" fillId="0" borderId="0"/>
    <xf numFmtId="43" fontId="2" fillId="0" borderId="0" applyFont="0" applyFill="0" applyBorder="0" applyAlignment="0" applyProtection="0"/>
    <xf numFmtId="0" fontId="2" fillId="0" borderId="0"/>
    <xf numFmtId="0" fontId="4" fillId="0" borderId="0"/>
    <xf numFmtId="43" fontId="2" fillId="0" borderId="0" applyFont="0" applyFill="0" applyBorder="0" applyAlignment="0" applyProtection="0"/>
    <xf numFmtId="194" fontId="119" fillId="0" borderId="0" applyFont="0" applyFill="0" applyBorder="0" applyAlignment="0" applyProtection="0"/>
    <xf numFmtId="0" fontId="2" fillId="0" borderId="0"/>
    <xf numFmtId="43" fontId="4" fillId="0" borderId="0" applyFont="0" applyFill="0" applyBorder="0" applyAlignment="0" applyProtection="0"/>
    <xf numFmtId="0" fontId="4" fillId="0" borderId="0"/>
    <xf numFmtId="43" fontId="4" fillId="0" borderId="0" applyFont="0" applyFill="0" applyBorder="0" applyAlignment="0" applyProtection="0"/>
    <xf numFmtId="0" fontId="4" fillId="0" borderId="0"/>
    <xf numFmtId="0" fontId="2" fillId="0" borderId="0"/>
    <xf numFmtId="43" fontId="4" fillId="0" borderId="0" applyFont="0" applyFill="0" applyBorder="0" applyAlignment="0" applyProtection="0"/>
    <xf numFmtId="43" fontId="4" fillId="0" borderId="0" applyFont="0" applyFill="0" applyBorder="0" applyAlignment="0" applyProtection="0"/>
    <xf numFmtId="0" fontId="4" fillId="0" borderId="0"/>
    <xf numFmtId="43" fontId="4" fillId="0" borderId="0" applyFont="0" applyFill="0" applyBorder="0" applyAlignment="0" applyProtection="0"/>
    <xf numFmtId="43" fontId="4" fillId="0" borderId="0" applyFont="0" applyFill="0" applyBorder="0" applyAlignment="0" applyProtection="0"/>
    <xf numFmtId="0" fontId="4" fillId="0" borderId="0"/>
    <xf numFmtId="43" fontId="4" fillId="0" borderId="0" applyFont="0" applyFill="0" applyBorder="0" applyAlignment="0" applyProtection="0"/>
    <xf numFmtId="43" fontId="4" fillId="0" borderId="0" applyFont="0" applyFill="0" applyBorder="0" applyAlignment="0" applyProtection="0"/>
    <xf numFmtId="0" fontId="2" fillId="0" borderId="0"/>
    <xf numFmtId="43" fontId="4" fillId="0" borderId="0" applyFont="0" applyFill="0" applyBorder="0" applyAlignment="0" applyProtection="0"/>
    <xf numFmtId="43" fontId="4" fillId="0" borderId="0" applyFont="0" applyFill="0" applyBorder="0" applyAlignment="0" applyProtection="0"/>
    <xf numFmtId="0" fontId="4" fillId="0" borderId="0"/>
    <xf numFmtId="0" fontId="2" fillId="0" borderId="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0" fontId="4" fillId="0" borderId="0"/>
    <xf numFmtId="0" fontId="2"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319" fillId="0" borderId="0" applyNumberFormat="0" applyFill="0">
      <alignment horizontal="left" vertical="center"/>
    </xf>
    <xf numFmtId="37" fontId="317"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119" fillId="0" borderId="0"/>
    <xf numFmtId="0" fontId="2" fillId="0" borderId="0"/>
    <xf numFmtId="0" fontId="304" fillId="0" borderId="0"/>
    <xf numFmtId="176" fontId="119" fillId="0" borderId="0" applyFont="0" applyFill="0" applyBorder="0" applyAlignment="0" applyProtection="0"/>
    <xf numFmtId="43" fontId="4" fillId="0" borderId="0" applyFont="0" applyFill="0" applyBorder="0" applyAlignment="0" applyProtection="0"/>
    <xf numFmtId="0" fontId="4" fillId="0" borderId="0"/>
    <xf numFmtId="43" fontId="4" fillId="0" borderId="0" applyFont="0" applyFill="0" applyBorder="0" applyAlignment="0" applyProtection="0"/>
    <xf numFmtId="43" fontId="4" fillId="0" borderId="0" applyFont="0" applyFill="0" applyBorder="0" applyAlignment="0" applyProtection="0"/>
    <xf numFmtId="0" fontId="3" fillId="0" borderId="10">
      <alignment horizontal="left" vertical="center"/>
    </xf>
    <xf numFmtId="0" fontId="4" fillId="0" borderId="0"/>
    <xf numFmtId="43" fontId="4" fillId="0" borderId="0" applyFont="0" applyFill="0" applyBorder="0" applyAlignment="0" applyProtection="0"/>
    <xf numFmtId="0" fontId="3" fillId="0" borderId="10">
      <alignment horizontal="left" vertical="center"/>
    </xf>
    <xf numFmtId="0" fontId="4" fillId="0" borderId="0"/>
    <xf numFmtId="43" fontId="4" fillId="0" borderId="0" applyFont="0" applyFill="0" applyBorder="0" applyAlignment="0" applyProtection="0"/>
    <xf numFmtId="43" fontId="4" fillId="0" borderId="0" applyFont="0" applyFill="0" applyBorder="0" applyAlignment="0" applyProtection="0"/>
    <xf numFmtId="0" fontId="322" fillId="18" borderId="99" applyNumberFormat="0" applyAlignment="0" applyProtection="0"/>
    <xf numFmtId="0" fontId="2" fillId="0" borderId="0"/>
    <xf numFmtId="0" fontId="4" fillId="0" borderId="0"/>
    <xf numFmtId="43" fontId="4" fillId="0" borderId="0" applyFont="0" applyFill="0" applyBorder="0" applyAlignment="0" applyProtection="0"/>
    <xf numFmtId="0" fontId="54" fillId="0" borderId="1">
      <alignment wrapText="1"/>
    </xf>
    <xf numFmtId="0" fontId="4" fillId="0" borderId="0"/>
    <xf numFmtId="0" fontId="4" fillId="0" borderId="0"/>
    <xf numFmtId="43" fontId="4" fillId="0" borderId="0" applyFont="0" applyFill="0" applyBorder="0" applyAlignment="0" applyProtection="0"/>
    <xf numFmtId="0" fontId="4" fillId="0" borderId="0"/>
    <xf numFmtId="43" fontId="4" fillId="0" borderId="0" applyFont="0" applyFill="0" applyBorder="0" applyAlignment="0" applyProtection="0"/>
    <xf numFmtId="0" fontId="309" fillId="0" borderId="98" applyNumberFormat="0" applyFill="0" applyAlignment="0" applyProtection="0"/>
    <xf numFmtId="0" fontId="4" fillId="0" borderId="0"/>
    <xf numFmtId="43" fontId="4" fillId="0" borderId="0" applyFont="0" applyFill="0" applyBorder="0" applyAlignment="0" applyProtection="0"/>
    <xf numFmtId="0" fontId="4" fillId="0" borderId="0"/>
    <xf numFmtId="0" fontId="2" fillId="0" borderId="0"/>
    <xf numFmtId="0" fontId="309" fillId="0" borderId="98" applyNumberFormat="0" applyFill="0" applyAlignment="0" applyProtection="0"/>
    <xf numFmtId="0" fontId="4" fillId="0" borderId="0"/>
    <xf numFmtId="43" fontId="4" fillId="0" borderId="0" applyFont="0" applyFill="0" applyBorder="0" applyAlignment="0" applyProtection="0"/>
    <xf numFmtId="0" fontId="119" fillId="0" borderId="0"/>
    <xf numFmtId="0" fontId="119" fillId="0" borderId="0"/>
    <xf numFmtId="0" fontId="314" fillId="50" borderId="0" applyNumberFormat="0" applyBorder="0" applyAlignment="0" applyProtection="0"/>
    <xf numFmtId="0" fontId="4" fillId="0" borderId="0"/>
    <xf numFmtId="43" fontId="4" fillId="0" borderId="0" applyFont="0" applyFill="0" applyBorder="0" applyAlignment="0" applyProtection="0"/>
    <xf numFmtId="0" fontId="119" fillId="0" borderId="0"/>
    <xf numFmtId="0" fontId="2" fillId="0" borderId="0"/>
    <xf numFmtId="183" fontId="119" fillId="0" borderId="0" applyFont="0" applyFill="0" applyBorder="0" applyAlignment="0" applyProtection="0"/>
    <xf numFmtId="0" fontId="4" fillId="0" borderId="0"/>
    <xf numFmtId="0" fontId="4" fillId="0" borderId="0"/>
    <xf numFmtId="183" fontId="119" fillId="0" borderId="0" applyFont="0" applyFill="0" applyBorder="0" applyAlignment="0" applyProtection="0"/>
    <xf numFmtId="0" fontId="4" fillId="0" borderId="0"/>
    <xf numFmtId="0" fontId="4" fillId="0" borderId="0"/>
    <xf numFmtId="183" fontId="119" fillId="0" borderId="0" applyFont="0" applyFill="0" applyBorder="0" applyAlignment="0" applyProtection="0"/>
    <xf numFmtId="43" fontId="4" fillId="0" borderId="0" applyFont="0" applyFill="0" applyBorder="0" applyAlignment="0" applyProtection="0"/>
    <xf numFmtId="185" fontId="119" fillId="0" borderId="0" applyFont="0" applyFill="0" applyBorder="0" applyAlignment="0" applyProtection="0"/>
    <xf numFmtId="0" fontId="4" fillId="0" borderId="0"/>
    <xf numFmtId="185" fontId="119" fillId="0" borderId="0" applyFont="0" applyFill="0" applyBorder="0" applyAlignment="0" applyProtection="0"/>
    <xf numFmtId="0" fontId="2" fillId="0" borderId="0"/>
    <xf numFmtId="43" fontId="4" fillId="0" borderId="0" applyFont="0" applyFill="0" applyBorder="0" applyAlignment="0" applyProtection="0"/>
    <xf numFmtId="0" fontId="2" fillId="0" borderId="0"/>
    <xf numFmtId="43" fontId="4" fillId="0" borderId="0" applyFont="0" applyFill="0" applyBorder="0" applyAlignment="0" applyProtection="0"/>
    <xf numFmtId="0" fontId="2" fillId="0" borderId="0"/>
    <xf numFmtId="0" fontId="2" fillId="0" borderId="0"/>
    <xf numFmtId="43" fontId="4" fillId="0" borderId="0" applyFont="0" applyFill="0" applyBorder="0" applyAlignment="0" applyProtection="0"/>
    <xf numFmtId="0" fontId="2" fillId="0" borderId="0"/>
    <xf numFmtId="0" fontId="2" fillId="0" borderId="0"/>
    <xf numFmtId="43" fontId="4" fillId="0" borderId="0" applyFont="0" applyFill="0" applyBorder="0" applyAlignment="0" applyProtection="0"/>
    <xf numFmtId="0" fontId="2" fillId="0" borderId="0"/>
    <xf numFmtId="0" fontId="2" fillId="0" borderId="0"/>
    <xf numFmtId="43" fontId="4" fillId="0" borderId="0" applyFont="0" applyFill="0" applyBorder="0" applyAlignment="0" applyProtection="0"/>
    <xf numFmtId="0" fontId="2" fillId="0" borderId="0"/>
    <xf numFmtId="43" fontId="4" fillId="0" borderId="0" applyFont="0" applyFill="0" applyBorder="0" applyAlignment="0" applyProtection="0"/>
    <xf numFmtId="43" fontId="4" fillId="0" borderId="0" applyFont="0" applyFill="0" applyBorder="0" applyAlignment="0" applyProtection="0"/>
    <xf numFmtId="183" fontId="119" fillId="0" borderId="0" applyFont="0" applyFill="0" applyBorder="0" applyAlignment="0" applyProtection="0"/>
    <xf numFmtId="0" fontId="4" fillId="0" borderId="0"/>
    <xf numFmtId="183" fontId="119" fillId="0" borderId="0" applyFont="0" applyFill="0" applyBorder="0" applyAlignment="0" applyProtection="0"/>
    <xf numFmtId="0" fontId="4" fillId="0" borderId="0"/>
    <xf numFmtId="183" fontId="119" fillId="0" borderId="0" applyFont="0" applyFill="0" applyBorder="0" applyAlignment="0" applyProtection="0"/>
    <xf numFmtId="183" fontId="119" fillId="0" borderId="0" applyFont="0" applyFill="0" applyBorder="0" applyAlignment="0" applyProtection="0"/>
    <xf numFmtId="0" fontId="309" fillId="0" borderId="0" applyNumberFormat="0" applyFill="0" applyBorder="0" applyAlignment="0" applyProtection="0"/>
    <xf numFmtId="183" fontId="119" fillId="0" borderId="0" applyFont="0" applyFill="0" applyBorder="0" applyAlignment="0" applyProtection="0"/>
    <xf numFmtId="43" fontId="4" fillId="0" borderId="0" applyFont="0" applyFill="0" applyBorder="0" applyAlignment="0" applyProtection="0"/>
    <xf numFmtId="1" fontId="4" fillId="0" borderId="0"/>
    <xf numFmtId="43" fontId="4" fillId="0" borderId="0" applyFont="0" applyFill="0" applyBorder="0" applyAlignment="0" applyProtection="0"/>
    <xf numFmtId="43" fontId="4" fillId="0" borderId="0" applyFont="0" applyFill="0" applyBorder="0" applyAlignment="0" applyProtection="0"/>
    <xf numFmtId="1" fontId="4" fillId="0" borderId="0"/>
    <xf numFmtId="43" fontId="4" fillId="0" borderId="0" applyFont="0" applyFill="0" applyBorder="0" applyAlignment="0" applyProtection="0"/>
    <xf numFmtId="1" fontId="4" fillId="0" borderId="0"/>
    <xf numFmtId="43" fontId="4" fillId="0" borderId="0" applyFont="0" applyFill="0" applyBorder="0" applyAlignment="0" applyProtection="0"/>
    <xf numFmtId="1" fontId="4" fillId="0" borderId="0"/>
    <xf numFmtId="43" fontId="4" fillId="0" borderId="0" applyFont="0" applyFill="0" applyBorder="0" applyAlignment="0" applyProtection="0"/>
    <xf numFmtId="1" fontId="4" fillId="0" borderId="0"/>
    <xf numFmtId="43" fontId="4" fillId="0" borderId="0" applyFont="0" applyFill="0" applyBorder="0" applyAlignment="0" applyProtection="0"/>
    <xf numFmtId="0" fontId="335" fillId="36" borderId="105" applyNumberFormat="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43" fontId="4" fillId="0" borderId="0" applyFont="0" applyFill="0" applyBorder="0" applyAlignment="0" applyProtection="0"/>
    <xf numFmtId="0" fontId="2" fillId="0" borderId="0"/>
    <xf numFmtId="43" fontId="4" fillId="0" borderId="0" applyFont="0" applyFill="0" applyBorder="0" applyAlignment="0" applyProtection="0"/>
    <xf numFmtId="0" fontId="2" fillId="0" borderId="0"/>
    <xf numFmtId="43" fontId="4" fillId="0" borderId="0" applyFont="0" applyFill="0" applyBorder="0" applyAlignment="0" applyProtection="0"/>
    <xf numFmtId="43" fontId="4" fillId="0" borderId="0" applyFont="0" applyFill="0" applyBorder="0" applyAlignment="0" applyProtection="0"/>
    <xf numFmtId="0" fontId="4" fillId="0" borderId="0"/>
    <xf numFmtId="0" fontId="2" fillId="0" borderId="0"/>
    <xf numFmtId="43" fontId="4" fillId="0" borderId="0" applyFont="0" applyFill="0" applyBorder="0" applyAlignment="0" applyProtection="0"/>
    <xf numFmtId="0" fontId="2" fillId="0" borderId="0"/>
    <xf numFmtId="43" fontId="4" fillId="0" borderId="0" applyFont="0" applyFill="0" applyBorder="0" applyAlignment="0" applyProtection="0"/>
    <xf numFmtId="0" fontId="2" fillId="0" borderId="0"/>
    <xf numFmtId="0" fontId="2" fillId="0" borderId="0"/>
    <xf numFmtId="43" fontId="4" fillId="0" borderId="0" applyFont="0" applyFill="0" applyBorder="0" applyAlignment="0" applyProtection="0"/>
    <xf numFmtId="0" fontId="2" fillId="0" borderId="0"/>
    <xf numFmtId="0" fontId="2" fillId="0" borderId="0"/>
    <xf numFmtId="43" fontId="4" fillId="0" borderId="0" applyFont="0" applyFill="0" applyBorder="0" applyAlignment="0" applyProtection="0"/>
    <xf numFmtId="0" fontId="2" fillId="0" borderId="0"/>
    <xf numFmtId="43" fontId="4" fillId="0" borderId="0" applyFont="0" applyFill="0" applyBorder="0" applyAlignment="0" applyProtection="0"/>
    <xf numFmtId="0" fontId="2" fillId="0" borderId="0"/>
    <xf numFmtId="43" fontId="4" fillId="0" borderId="0" applyFont="0" applyFill="0" applyBorder="0" applyAlignment="0" applyProtection="0"/>
    <xf numFmtId="0" fontId="2" fillId="0" borderId="0"/>
    <xf numFmtId="0" fontId="2" fillId="0" borderId="0"/>
    <xf numFmtId="43" fontId="4" fillId="0" borderId="0" applyFont="0" applyFill="0" applyBorder="0" applyAlignment="0" applyProtection="0"/>
    <xf numFmtId="0" fontId="2" fillId="0" borderId="0"/>
    <xf numFmtId="43" fontId="4" fillId="0" borderId="0" applyFont="0" applyFill="0" applyBorder="0" applyAlignment="0" applyProtection="0"/>
    <xf numFmtId="43" fontId="4" fillId="0" borderId="0" applyFont="0" applyFill="0" applyBorder="0" applyAlignment="0" applyProtection="0"/>
    <xf numFmtId="0" fontId="2"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0" fontId="4" fillId="0" borderId="0"/>
    <xf numFmtId="0" fontId="4" fillId="0" borderId="0"/>
    <xf numFmtId="0" fontId="2" fillId="0" borderId="0"/>
    <xf numFmtId="43" fontId="4" fillId="0" borderId="0" applyFont="0" applyFill="0" applyBorder="0" applyAlignment="0" applyProtection="0"/>
    <xf numFmtId="0" fontId="4" fillId="0" borderId="0"/>
    <xf numFmtId="0" fontId="4" fillId="0" borderId="0"/>
    <xf numFmtId="0" fontId="2" fillId="0" borderId="0"/>
    <xf numFmtId="43" fontId="4" fillId="0" borderId="0" applyFont="0" applyFill="0" applyBorder="0" applyAlignment="0" applyProtection="0"/>
    <xf numFmtId="43" fontId="4"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43" fontId="4" fillId="0" borderId="0" applyFont="0" applyFill="0" applyBorder="0" applyAlignment="0" applyProtection="0"/>
    <xf numFmtId="0" fontId="2" fillId="0" borderId="0"/>
    <xf numFmtId="0" fontId="4" fillId="0" borderId="0"/>
    <xf numFmtId="0" fontId="4" fillId="0" borderId="0"/>
    <xf numFmtId="0" fontId="4" fillId="0" borderId="0"/>
    <xf numFmtId="43" fontId="4"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0" fontId="2" fillId="0" borderId="0"/>
    <xf numFmtId="1" fontId="4" fillId="0" borderId="0"/>
    <xf numFmtId="0" fontId="4" fillId="0" borderId="0"/>
    <xf numFmtId="0" fontId="4" fillId="0" borderId="0"/>
    <xf numFmtId="43" fontId="4" fillId="0" borderId="0" applyFont="0" applyFill="0" applyBorder="0" applyAlignment="0" applyProtection="0"/>
    <xf numFmtId="1" fontId="4" fillId="0" borderId="0"/>
    <xf numFmtId="0" fontId="307" fillId="0" borderId="0" applyNumberFormat="0" applyAlignment="0">
      <alignment horizontal="left"/>
    </xf>
    <xf numFmtId="0" fontId="4" fillId="0" borderId="0"/>
    <xf numFmtId="0" fontId="4" fillId="0" borderId="0"/>
    <xf numFmtId="43" fontId="4" fillId="0" borderId="0" applyFont="0" applyFill="0" applyBorder="0" applyAlignment="0" applyProtection="0"/>
    <xf numFmtId="2" fontId="4" fillId="0" borderId="0" applyFont="0" applyFill="0" applyBorder="0" applyAlignment="0" applyProtection="0"/>
    <xf numFmtId="43" fontId="4" fillId="0" borderId="0" applyFont="0" applyFill="0" applyBorder="0" applyAlignment="0" applyProtection="0"/>
    <xf numFmtId="0" fontId="4" fillId="0" borderId="0"/>
    <xf numFmtId="0" fontId="4" fillId="0" borderId="0"/>
    <xf numFmtId="0" fontId="4" fillId="0" borderId="0"/>
    <xf numFmtId="2" fontId="4" fillId="0" borderId="0" applyFont="0" applyFill="0" applyBorder="0" applyAlignment="0" applyProtection="0"/>
    <xf numFmtId="43" fontId="4" fillId="0" borderId="0" applyFont="0" applyFill="0" applyBorder="0" applyAlignment="0" applyProtection="0"/>
    <xf numFmtId="0" fontId="4" fillId="0" borderId="0"/>
    <xf numFmtId="0" fontId="4" fillId="0" borderId="0"/>
    <xf numFmtId="2"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43" fontId="4" fillId="0" borderId="0" applyFont="0" applyFill="0" applyBorder="0" applyAlignment="0" applyProtection="0"/>
    <xf numFmtId="0" fontId="4" fillId="0" borderId="0"/>
    <xf numFmtId="43" fontId="4" fillId="0" borderId="0" applyFont="0" applyFill="0" applyBorder="0" applyAlignment="0" applyProtection="0"/>
    <xf numFmtId="0" fontId="2" fillId="0" borderId="0"/>
    <xf numFmtId="0" fontId="4" fillId="0" borderId="0"/>
    <xf numFmtId="43" fontId="4" fillId="0" borderId="0" applyFont="0" applyFill="0" applyBorder="0" applyAlignment="0" applyProtection="0"/>
    <xf numFmtId="10" fontId="17" fillId="37" borderId="1" applyNumberFormat="0" applyBorder="0" applyAlignment="0" applyProtection="0"/>
    <xf numFmtId="0" fontId="4" fillId="0" borderId="0"/>
    <xf numFmtId="43" fontId="4" fillId="0" borderId="0" applyFont="0" applyFill="0" applyBorder="0" applyAlignment="0" applyProtection="0"/>
    <xf numFmtId="0" fontId="2" fillId="0" borderId="0"/>
    <xf numFmtId="44" fontId="4" fillId="0" borderId="0" applyFont="0" applyFill="0" applyBorder="0" applyAlignment="0" applyProtection="0"/>
    <xf numFmtId="0" fontId="4" fillId="0" borderId="0"/>
    <xf numFmtId="43" fontId="4" fillId="0" borderId="0" applyFont="0" applyFill="0" applyBorder="0" applyAlignment="0" applyProtection="0"/>
    <xf numFmtId="0" fontId="2" fillId="0" borderId="0"/>
    <xf numFmtId="44" fontId="304"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 fontId="4" fillId="0" borderId="0"/>
    <xf numFmtId="0" fontId="4" fillId="0" borderId="0"/>
    <xf numFmtId="43" fontId="4" fillId="0" borderId="0" applyFont="0" applyFill="0" applyBorder="0" applyAlignment="0" applyProtection="0"/>
    <xf numFmtId="0" fontId="4" fillId="0" borderId="0"/>
    <xf numFmtId="1" fontId="4" fillId="0" borderId="0"/>
    <xf numFmtId="0" fontId="4" fillId="0" borderId="0"/>
    <xf numFmtId="43" fontId="4" fillId="0" borderId="0" applyFont="0" applyFill="0" applyBorder="0" applyAlignment="0" applyProtection="0"/>
    <xf numFmtId="0" fontId="4" fillId="0" borderId="0"/>
    <xf numFmtId="1" fontId="4" fillId="0" borderId="0"/>
    <xf numFmtId="0" fontId="4" fillId="0" borderId="0"/>
    <xf numFmtId="43" fontId="4" fillId="0" borderId="0" applyFont="0" applyFill="0" applyBorder="0" applyAlignment="0" applyProtection="0"/>
    <xf numFmtId="0" fontId="4" fillId="0" borderId="0"/>
    <xf numFmtId="0" fontId="324" fillId="39" borderId="0" applyNumberFormat="0" applyBorder="0" applyAlignment="0" applyProtection="0"/>
    <xf numFmtId="43" fontId="4" fillId="0" borderId="0" applyFont="0" applyFill="0" applyBorder="0" applyAlignment="0" applyProtection="0"/>
    <xf numFmtId="0" fontId="4" fillId="0" borderId="0"/>
    <xf numFmtId="43" fontId="4" fillId="0" borderId="0" applyFont="0" applyFill="0" applyBorder="0" applyAlignment="0" applyProtection="0"/>
    <xf numFmtId="0" fontId="4" fillId="0" borderId="0"/>
    <xf numFmtId="43" fontId="4" fillId="0" borderId="0" applyFont="0" applyFill="0" applyBorder="0" applyAlignment="0" applyProtection="0"/>
    <xf numFmtId="0" fontId="4" fillId="0" borderId="0"/>
    <xf numFmtId="43" fontId="4" fillId="0" borderId="0" applyFont="0" applyFill="0" applyBorder="0" applyAlignment="0" applyProtection="0"/>
    <xf numFmtId="0" fontId="4" fillId="0" borderId="0"/>
    <xf numFmtId="43" fontId="4" fillId="0" borderId="0" applyFont="0" applyFill="0" applyBorder="0" applyAlignment="0" applyProtection="0"/>
    <xf numFmtId="0" fontId="4" fillId="0" borderId="0"/>
    <xf numFmtId="43" fontId="4" fillId="0" borderId="0" applyFont="0" applyFill="0" applyBorder="0" applyAlignment="0" applyProtection="0"/>
    <xf numFmtId="43" fontId="4" fillId="0" borderId="0" applyFont="0" applyFill="0" applyBorder="0" applyAlignment="0" applyProtection="0"/>
    <xf numFmtId="0" fontId="4" fillId="0" borderId="0"/>
    <xf numFmtId="43" fontId="4" fillId="0" borderId="0" applyFont="0" applyFill="0" applyBorder="0" applyAlignment="0" applyProtection="0"/>
    <xf numFmtId="0" fontId="2" fillId="0" borderId="0"/>
    <xf numFmtId="43" fontId="4" fillId="0" borderId="0" applyFont="0" applyFill="0" applyBorder="0" applyAlignment="0" applyProtection="0"/>
    <xf numFmtId="0" fontId="2" fillId="0" borderId="0"/>
    <xf numFmtId="43" fontId="4" fillId="0" borderId="0" applyFont="0" applyFill="0" applyBorder="0" applyAlignment="0" applyProtection="0"/>
    <xf numFmtId="0" fontId="4" fillId="0" borderId="0"/>
    <xf numFmtId="43" fontId="4" fillId="0" borderId="0" applyFont="0" applyFill="0" applyBorder="0" applyAlignment="0" applyProtection="0"/>
    <xf numFmtId="43" fontId="4" fillId="0" borderId="0" applyFont="0" applyFill="0" applyBorder="0" applyAlignment="0" applyProtection="0"/>
    <xf numFmtId="0" fontId="4" fillId="0" borderId="0"/>
    <xf numFmtId="0" fontId="2" fillId="0" borderId="0"/>
    <xf numFmtId="43" fontId="4" fillId="0" borderId="0" applyFont="0" applyFill="0" applyBorder="0" applyAlignment="0" applyProtection="0"/>
    <xf numFmtId="0" fontId="2" fillId="0" borderId="0"/>
    <xf numFmtId="43" fontId="4" fillId="0" borderId="0" applyFont="0" applyFill="0" applyBorder="0" applyAlignment="0" applyProtection="0"/>
    <xf numFmtId="0" fontId="335" fillId="36" borderId="105" applyNumberFormat="0" applyAlignment="0" applyProtection="0"/>
    <xf numFmtId="0" fontId="2" fillId="0" borderId="0"/>
    <xf numFmtId="43" fontId="4" fillId="0" borderId="0" applyFont="0" applyFill="0" applyBorder="0" applyAlignment="0" applyProtection="0"/>
    <xf numFmtId="0" fontId="2" fillId="0" borderId="0"/>
    <xf numFmtId="0" fontId="4" fillId="0" borderId="0"/>
    <xf numFmtId="43" fontId="4" fillId="0" borderId="0" applyFont="0" applyFill="0" applyBorder="0" applyAlignment="0" applyProtection="0"/>
    <xf numFmtId="0" fontId="2" fillId="0" borderId="0"/>
    <xf numFmtId="0" fontId="4" fillId="0" borderId="0"/>
    <xf numFmtId="43" fontId="4" fillId="0" borderId="0" applyFont="0" applyFill="0" applyBorder="0" applyAlignment="0" applyProtection="0"/>
    <xf numFmtId="0" fontId="2" fillId="0" borderId="0"/>
    <xf numFmtId="0" fontId="4" fillId="0" borderId="0"/>
    <xf numFmtId="0" fontId="2" fillId="0" borderId="0"/>
    <xf numFmtId="0" fontId="4" fillId="0" borderId="0"/>
    <xf numFmtId="43" fontId="4" fillId="0" borderId="0" applyFont="0" applyFill="0" applyBorder="0" applyAlignment="0" applyProtection="0"/>
    <xf numFmtId="0" fontId="119" fillId="0" borderId="0"/>
    <xf numFmtId="0" fontId="2" fillId="0" borderId="0"/>
    <xf numFmtId="0" fontId="4" fillId="0" borderId="0"/>
    <xf numFmtId="43" fontId="4" fillId="0" borderId="0" applyFont="0" applyFill="0" applyBorder="0" applyAlignment="0" applyProtection="0"/>
    <xf numFmtId="0" fontId="4" fillId="0" borderId="0"/>
    <xf numFmtId="0" fontId="2" fillId="0" borderId="0"/>
    <xf numFmtId="43" fontId="4" fillId="0" borderId="0" applyFont="0" applyFill="0" applyBorder="0" applyAlignment="0" applyProtection="0"/>
    <xf numFmtId="0" fontId="4" fillId="0" borderId="0"/>
    <xf numFmtId="0" fontId="2" fillId="0" borderId="0"/>
    <xf numFmtId="43" fontId="4" fillId="0" borderId="0" applyFont="0" applyFill="0" applyBorder="0" applyAlignment="0" applyProtection="0"/>
    <xf numFmtId="43" fontId="4" fillId="0" borderId="0" applyFont="0" applyFill="0" applyBorder="0" applyAlignment="0" applyProtection="0"/>
    <xf numFmtId="43" fontId="304"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43" fontId="2"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43" fontId="304" fillId="0" borderId="0" applyFont="0" applyFill="0" applyBorder="0" applyAlignment="0" applyProtection="0"/>
    <xf numFmtId="0" fontId="2" fillId="0" borderId="0"/>
    <xf numFmtId="0" fontId="4" fillId="0" borderId="0"/>
    <xf numFmtId="0" fontId="4" fillId="0" borderId="0"/>
    <xf numFmtId="43" fontId="4" fillId="0" borderId="0" applyFont="0" applyFill="0" applyBorder="0" applyAlignment="0" applyProtection="0"/>
    <xf numFmtId="0" fontId="2" fillId="0" borderId="0"/>
    <xf numFmtId="0" fontId="4" fillId="0" borderId="0"/>
    <xf numFmtId="43" fontId="4" fillId="0" borderId="0" applyFont="0" applyFill="0" applyBorder="0" applyAlignment="0" applyProtection="0"/>
    <xf numFmtId="0" fontId="4" fillId="0" borderId="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2" fillId="0" borderId="0"/>
    <xf numFmtId="184" fontId="119" fillId="0" borderId="0" applyFont="0" applyFill="0" applyBorder="0" applyAlignment="0" applyProtection="0"/>
    <xf numFmtId="0" fontId="4" fillId="0" borderId="0"/>
    <xf numFmtId="43" fontId="4" fillId="0" borderId="0" applyFont="0" applyFill="0" applyBorder="0" applyAlignment="0" applyProtection="0"/>
    <xf numFmtId="0" fontId="2" fillId="0" borderId="0"/>
    <xf numFmtId="43" fontId="304" fillId="0" borderId="0" applyFont="0" applyFill="0" applyBorder="0" applyAlignment="0" applyProtection="0"/>
    <xf numFmtId="0" fontId="4" fillId="0" borderId="0"/>
    <xf numFmtId="43" fontId="4" fillId="0" borderId="0" applyFont="0" applyFill="0" applyBorder="0" applyAlignment="0" applyProtection="0"/>
    <xf numFmtId="43" fontId="4" fillId="0" borderId="0" applyFont="0" applyFill="0" applyBorder="0" applyAlignment="0" applyProtection="0"/>
    <xf numFmtId="0" fontId="2" fillId="0" borderId="0"/>
    <xf numFmtId="0" fontId="2" fillId="0" borderId="0"/>
    <xf numFmtId="0" fontId="4" fillId="0" borderId="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307" fillId="0" borderId="0" applyNumberFormat="0" applyAlignment="0">
      <alignment horizontal="left"/>
    </xf>
    <xf numFmtId="0" fontId="307" fillId="0" borderId="0" applyNumberFormat="0" applyAlignment="0">
      <alignment horizontal="left"/>
    </xf>
    <xf numFmtId="0" fontId="119" fillId="0" borderId="0"/>
    <xf numFmtId="0" fontId="2" fillId="0" borderId="0"/>
    <xf numFmtId="43" fontId="4" fillId="0" borderId="0" applyFont="0" applyFill="0" applyBorder="0" applyAlignment="0" applyProtection="0"/>
    <xf numFmtId="0" fontId="4" fillId="0" borderId="0"/>
    <xf numFmtId="43" fontId="304" fillId="0" borderId="0" applyFont="0" applyFill="0" applyBorder="0" applyAlignment="0" applyProtection="0"/>
    <xf numFmtId="0" fontId="4" fillId="0" borderId="0"/>
    <xf numFmtId="0" fontId="2" fillId="0" borderId="0"/>
    <xf numFmtId="43" fontId="4" fillId="0" borderId="0" applyFont="0" applyFill="0" applyBorder="0" applyAlignment="0" applyProtection="0"/>
    <xf numFmtId="0" fontId="4" fillId="0" borderId="0"/>
    <xf numFmtId="43" fontId="304" fillId="0" borderId="0" applyFont="0" applyFill="0" applyBorder="0" applyAlignment="0" applyProtection="0"/>
    <xf numFmtId="0" fontId="4" fillId="0" borderId="0"/>
    <xf numFmtId="43" fontId="4" fillId="0" borderId="0" applyFont="0" applyFill="0" applyBorder="0" applyAlignment="0" applyProtection="0"/>
    <xf numFmtId="43" fontId="4" fillId="0" borderId="0" applyFont="0" applyFill="0" applyBorder="0" applyAlignment="0" applyProtection="0"/>
    <xf numFmtId="0" fontId="2" fillId="0" borderId="0"/>
    <xf numFmtId="0" fontId="4" fillId="0" borderId="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0" fontId="2" fillId="0" borderId="0"/>
    <xf numFmtId="43" fontId="4" fillId="0" borderId="0" applyFont="0" applyFill="0" applyBorder="0" applyAlignment="0" applyProtection="0"/>
    <xf numFmtId="0" fontId="4" fillId="0" borderId="0"/>
    <xf numFmtId="0" fontId="2" fillId="0" borderId="0"/>
    <xf numFmtId="43" fontId="4" fillId="0" borderId="0" applyFont="0" applyFill="0" applyBorder="0" applyAlignment="0" applyProtection="0"/>
    <xf numFmtId="0" fontId="4" fillId="0" borderId="0"/>
    <xf numFmtId="1" fontId="4" fillId="0" borderId="0"/>
    <xf numFmtId="0" fontId="4" fillId="0" borderId="0"/>
    <xf numFmtId="43" fontId="4" fillId="0" borderId="0" applyFont="0" applyFill="0" applyBorder="0" applyAlignment="0" applyProtection="0"/>
    <xf numFmtId="0" fontId="4" fillId="0" borderId="0"/>
    <xf numFmtId="43" fontId="4" fillId="0" borderId="0" applyFont="0" applyFill="0" applyBorder="0" applyAlignment="0" applyProtection="0"/>
    <xf numFmtId="0" fontId="2" fillId="0" borderId="0"/>
    <xf numFmtId="0" fontId="4" fillId="0" borderId="0"/>
    <xf numFmtId="43" fontId="4" fillId="0" borderId="0" applyFont="0" applyFill="0" applyBorder="0" applyAlignment="0" applyProtection="0"/>
    <xf numFmtId="0" fontId="4" fillId="0" borderId="0"/>
    <xf numFmtId="43" fontId="4" fillId="0" borderId="0" applyFont="0" applyFill="0" applyBorder="0" applyAlignment="0" applyProtection="0"/>
    <xf numFmtId="0" fontId="4" fillId="0" borderId="0"/>
    <xf numFmtId="43" fontId="4" fillId="0" borderId="0" applyFont="0" applyFill="0" applyBorder="0" applyAlignment="0" applyProtection="0"/>
    <xf numFmtId="184" fontId="119" fillId="0" borderId="0" applyFont="0" applyFill="0" applyBorder="0" applyAlignment="0" applyProtection="0"/>
    <xf numFmtId="43" fontId="2" fillId="0" borderId="0" applyFont="0" applyFill="0" applyBorder="0" applyAlignment="0" applyProtection="0"/>
    <xf numFmtId="0" fontId="2" fillId="0" borderId="0"/>
    <xf numFmtId="0" fontId="4" fillId="0" borderId="0"/>
    <xf numFmtId="0" fontId="4" fillId="0" borderId="0"/>
    <xf numFmtId="43" fontId="2" fillId="0" borderId="0" applyFont="0" applyFill="0" applyBorder="0" applyAlignment="0" applyProtection="0"/>
    <xf numFmtId="0" fontId="4" fillId="0" borderId="0"/>
    <xf numFmtId="0" fontId="2" fillId="0" borderId="0"/>
    <xf numFmtId="184" fontId="119" fillId="0" borderId="0" applyFont="0" applyFill="0" applyBorder="0" applyAlignment="0" applyProtection="0"/>
    <xf numFmtId="0" fontId="307" fillId="0" borderId="0" applyNumberFormat="0" applyAlignment="0">
      <alignment horizontal="left"/>
    </xf>
    <xf numFmtId="0" fontId="4" fillId="0" borderId="0"/>
    <xf numFmtId="0" fontId="2" fillId="0" borderId="0"/>
    <xf numFmtId="0" fontId="307" fillId="0" borderId="0" applyNumberFormat="0" applyAlignment="0">
      <alignment horizontal="left"/>
    </xf>
    <xf numFmtId="0" fontId="309" fillId="0" borderId="0" applyNumberFormat="0" applyFill="0" applyBorder="0" applyAlignment="0" applyProtection="0"/>
    <xf numFmtId="44" fontId="4" fillId="0" borderId="0" applyFont="0" applyFill="0" applyBorder="0" applyAlignment="0" applyProtection="0"/>
    <xf numFmtId="0" fontId="304" fillId="0" borderId="0"/>
    <xf numFmtId="0" fontId="4" fillId="0" borderId="0"/>
    <xf numFmtId="44" fontId="4" fillId="0" borderId="0" applyFont="0" applyFill="0" applyBorder="0" applyAlignment="0" applyProtection="0"/>
    <xf numFmtId="0" fontId="304" fillId="0" borderId="0"/>
    <xf numFmtId="0" fontId="4" fillId="0" borderId="0"/>
    <xf numFmtId="44" fontId="4" fillId="0" borderId="0" applyFont="0" applyFill="0" applyBorder="0" applyAlignment="0" applyProtection="0"/>
    <xf numFmtId="0" fontId="4" fillId="0" borderId="0"/>
    <xf numFmtId="44" fontId="4" fillId="0" borderId="0" applyFont="0" applyFill="0" applyBorder="0" applyAlignment="0" applyProtection="0"/>
    <xf numFmtId="0" fontId="323" fillId="0" borderId="0" applyNumberFormat="0" applyAlignment="0">
      <alignment horizontal="left"/>
    </xf>
    <xf numFmtId="0" fontId="4" fillId="0" borderId="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0" fontId="2" fillId="0" borderId="0"/>
    <xf numFmtId="44" fontId="4" fillId="0" borderId="0" applyFont="0" applyFill="0" applyBorder="0" applyAlignment="0" applyProtection="0"/>
    <xf numFmtId="44" fontId="4" fillId="0" borderId="0" applyFont="0" applyFill="0" applyBorder="0" applyAlignment="0" applyProtection="0"/>
    <xf numFmtId="0" fontId="4" fillId="0" borderId="0"/>
    <xf numFmtId="0" fontId="3" fillId="0" borderId="14" applyNumberFormat="0" applyAlignment="0" applyProtection="0">
      <alignment horizontal="left" vertical="center"/>
    </xf>
    <xf numFmtId="44" fontId="4" fillId="0" borderId="0" applyFont="0" applyFill="0" applyBorder="0" applyAlignment="0" applyProtection="0"/>
    <xf numFmtId="0" fontId="4" fillId="0" borderId="0"/>
    <xf numFmtId="0" fontId="3" fillId="0" borderId="10">
      <alignment horizontal="left" vertical="center"/>
    </xf>
    <xf numFmtId="44" fontId="4" fillId="0" borderId="0" applyFont="0" applyFill="0" applyBorder="0" applyAlignment="0" applyProtection="0"/>
    <xf numFmtId="0" fontId="4" fillId="0" borderId="0"/>
    <xf numFmtId="10" fontId="17" fillId="37" borderId="1" applyNumberFormat="0" applyBorder="0" applyAlignment="0" applyProtection="0"/>
    <xf numFmtId="44" fontId="4" fillId="0" borderId="0" applyFont="0" applyFill="0" applyBorder="0" applyAlignment="0" applyProtection="0"/>
    <xf numFmtId="0" fontId="4" fillId="0" borderId="0"/>
    <xf numFmtId="44" fontId="4" fillId="0" borderId="0" applyFont="0" applyFill="0" applyBorder="0" applyAlignment="0" applyProtection="0"/>
    <xf numFmtId="0" fontId="4" fillId="0" borderId="0"/>
    <xf numFmtId="0" fontId="4" fillId="0" borderId="0"/>
    <xf numFmtId="44" fontId="4" fillId="0" borderId="0" applyFont="0" applyFill="0" applyBorder="0" applyAlignment="0" applyProtection="0"/>
    <xf numFmtId="0" fontId="4" fillId="0" borderId="0"/>
    <xf numFmtId="44" fontId="4" fillId="0" borderId="0" applyFont="0" applyFill="0" applyBorder="0" applyAlignment="0" applyProtection="0"/>
    <xf numFmtId="0" fontId="4" fillId="0" borderId="0"/>
    <xf numFmtId="0" fontId="4" fillId="0" borderId="0"/>
    <xf numFmtId="44" fontId="4" fillId="0" borderId="0" applyFont="0" applyFill="0" applyBorder="0" applyAlignment="0" applyProtection="0"/>
    <xf numFmtId="0" fontId="4" fillId="0" borderId="0"/>
    <xf numFmtId="0" fontId="4" fillId="0" borderId="0"/>
    <xf numFmtId="0" fontId="2" fillId="0" borderId="0"/>
    <xf numFmtId="44" fontId="4" fillId="0" borderId="0" applyFont="0" applyFill="0" applyBorder="0" applyAlignment="0" applyProtection="0"/>
    <xf numFmtId="0" fontId="163" fillId="58" borderId="0" applyNumberFormat="0" applyBorder="0" applyAlignment="0" applyProtection="0"/>
    <xf numFmtId="0" fontId="4" fillId="0" borderId="0"/>
    <xf numFmtId="0" fontId="163" fillId="58" borderId="0" applyNumberFormat="0" applyBorder="0" applyAlignment="0" applyProtection="0"/>
    <xf numFmtId="0" fontId="4" fillId="0" borderId="0"/>
    <xf numFmtId="0" fontId="163" fillId="51" borderId="0" applyNumberFormat="0" applyBorder="0" applyAlignment="0" applyProtection="0"/>
    <xf numFmtId="0" fontId="4" fillId="0" borderId="0"/>
    <xf numFmtId="0" fontId="4" fillId="0" borderId="9">
      <alignment horizontal="center"/>
    </xf>
    <xf numFmtId="0" fontId="163" fillId="51" borderId="0" applyNumberFormat="0" applyBorder="0" applyAlignment="0" applyProtection="0"/>
    <xf numFmtId="0" fontId="4" fillId="0" borderId="0"/>
    <xf numFmtId="0" fontId="4" fillId="0" borderId="0"/>
    <xf numFmtId="9" fontId="4" fillId="0" borderId="0" applyFont="0" applyFill="0" applyBorder="0" applyAlignment="0" applyProtection="0"/>
    <xf numFmtId="0" fontId="119" fillId="0" borderId="0"/>
    <xf numFmtId="0" fontId="4" fillId="0" borderId="0"/>
    <xf numFmtId="0" fontId="4" fillId="0" borderId="9">
      <alignment horizontal="center"/>
    </xf>
    <xf numFmtId="0" fontId="163" fillId="51" borderId="0" applyNumberFormat="0" applyBorder="0" applyAlignment="0" applyProtection="0"/>
    <xf numFmtId="0" fontId="4" fillId="0" borderId="0"/>
    <xf numFmtId="0" fontId="4" fillId="0" borderId="0"/>
    <xf numFmtId="9" fontId="4" fillId="0" borderId="0" applyFont="0" applyFill="0" applyBorder="0" applyAlignment="0" applyProtection="0"/>
    <xf numFmtId="0" fontId="119" fillId="0" borderId="0"/>
    <xf numFmtId="0" fontId="4" fillId="0" borderId="0"/>
    <xf numFmtId="0" fontId="119" fillId="0" borderId="0"/>
    <xf numFmtId="0" fontId="163" fillId="44" borderId="0" applyNumberFormat="0" applyBorder="0" applyAlignment="0" applyProtection="0"/>
    <xf numFmtId="0" fontId="163" fillId="44" borderId="0" applyNumberFormat="0" applyBorder="0" applyAlignment="0" applyProtection="0"/>
    <xf numFmtId="0" fontId="4" fillId="0" borderId="0"/>
    <xf numFmtId="0" fontId="4" fillId="0" borderId="0"/>
    <xf numFmtId="0" fontId="4" fillId="0" borderId="0"/>
    <xf numFmtId="171" fontId="121" fillId="0" borderId="25">
      <alignment horizontal="right"/>
    </xf>
    <xf numFmtId="0" fontId="4" fillId="0" borderId="0"/>
    <xf numFmtId="9" fontId="4" fillId="0" borderId="0" applyFont="0" applyFill="0" applyBorder="0" applyAlignment="0" applyProtection="0"/>
    <xf numFmtId="0" fontId="4" fillId="0" borderId="0"/>
    <xf numFmtId="0" fontId="163" fillId="44" borderId="0" applyNumberFormat="0" applyBorder="0" applyAlignment="0" applyProtection="0"/>
    <xf numFmtId="0" fontId="4" fillId="0" borderId="0"/>
    <xf numFmtId="0" fontId="4" fillId="0" borderId="0"/>
    <xf numFmtId="0" fontId="4" fillId="0" borderId="0"/>
    <xf numFmtId="0" fontId="323" fillId="0" borderId="0" applyNumberFormat="0" applyAlignment="0">
      <alignment horizontal="left"/>
    </xf>
    <xf numFmtId="0" fontId="323" fillId="0" borderId="0" applyNumberFormat="0" applyAlignment="0">
      <alignment horizontal="left"/>
    </xf>
    <xf numFmtId="0" fontId="4" fillId="0" borderId="0"/>
    <xf numFmtId="0" fontId="323" fillId="0" borderId="0" applyNumberFormat="0" applyAlignment="0">
      <alignment horizontal="left"/>
    </xf>
    <xf numFmtId="0" fontId="309" fillId="0" borderId="0" applyNumberFormat="0" applyFill="0" applyBorder="0" applyAlignment="0" applyProtection="0"/>
    <xf numFmtId="0" fontId="4" fillId="0" borderId="0"/>
    <xf numFmtId="167" fontId="4" fillId="0" borderId="0" applyFont="0" applyFill="0" applyBorder="0" applyAlignment="0" applyProtection="0"/>
    <xf numFmtId="0" fontId="2" fillId="0" borderId="0"/>
    <xf numFmtId="0" fontId="4" fillId="0" borderId="0"/>
    <xf numFmtId="167" fontId="4" fillId="0" borderId="0" applyFont="0" applyFill="0" applyBorder="0" applyAlignment="0" applyProtection="0"/>
    <xf numFmtId="0" fontId="332" fillId="0" borderId="0"/>
    <xf numFmtId="0" fontId="4" fillId="0" borderId="0"/>
    <xf numFmtId="167" fontId="4" fillId="0" borderId="0" applyFont="0" applyFill="0" applyBorder="0" applyAlignment="0" applyProtection="0"/>
    <xf numFmtId="0" fontId="310" fillId="0" borderId="1">
      <alignment horizontal="center"/>
    </xf>
    <xf numFmtId="0" fontId="4" fillId="0" borderId="0"/>
    <xf numFmtId="167" fontId="4" fillId="0" borderId="0" applyFont="0" applyFill="0" applyBorder="0" applyAlignment="0" applyProtection="0"/>
    <xf numFmtId="0" fontId="310" fillId="0" borderId="1">
      <alignment horizontal="center"/>
    </xf>
    <xf numFmtId="0" fontId="4" fillId="0" borderId="0"/>
    <xf numFmtId="167" fontId="4" fillId="0" borderId="0" applyFont="0" applyFill="0" applyBorder="0" applyAlignment="0" applyProtection="0"/>
    <xf numFmtId="167" fontId="4" fillId="0" borderId="0" applyFont="0" applyFill="0" applyBorder="0" applyAlignment="0" applyProtection="0"/>
    <xf numFmtId="0" fontId="2" fillId="0" borderId="0"/>
    <xf numFmtId="0" fontId="304" fillId="0" borderId="0"/>
    <xf numFmtId="0" fontId="4" fillId="0" borderId="0"/>
    <xf numFmtId="0" fontId="2" fillId="0" borderId="0"/>
    <xf numFmtId="0" fontId="304" fillId="0" borderId="0"/>
    <xf numFmtId="0" fontId="4" fillId="0" borderId="0"/>
    <xf numFmtId="0" fontId="4" fillId="0" borderId="0"/>
    <xf numFmtId="0" fontId="315" fillId="0" borderId="0" applyNumberFormat="0" applyFill="0" applyBorder="0" applyAlignment="0" applyProtection="0"/>
    <xf numFmtId="0" fontId="4" fillId="0" borderId="0"/>
    <xf numFmtId="1" fontId="4" fillId="0" borderId="0"/>
    <xf numFmtId="0" fontId="315" fillId="0" borderId="0" applyNumberFormat="0" applyFill="0" applyBorder="0" applyAlignment="0" applyProtection="0"/>
    <xf numFmtId="0" fontId="4" fillId="0" borderId="0"/>
    <xf numFmtId="0" fontId="315" fillId="0" borderId="0" applyNumberFormat="0" applyFill="0" applyBorder="0" applyAlignment="0" applyProtection="0"/>
    <xf numFmtId="0" fontId="4" fillId="0" borderId="0"/>
    <xf numFmtId="1" fontId="4" fillId="0" borderId="0"/>
    <xf numFmtId="0" fontId="2" fillId="0" borderId="0"/>
    <xf numFmtId="1" fontId="4" fillId="0" borderId="0"/>
    <xf numFmtId="0" fontId="2" fillId="0" borderId="0"/>
    <xf numFmtId="1" fontId="4" fillId="0" borderId="0"/>
    <xf numFmtId="0" fontId="4" fillId="0" borderId="0"/>
    <xf numFmtId="1" fontId="4" fillId="0" borderId="0"/>
    <xf numFmtId="0" fontId="4" fillId="0" borderId="0"/>
    <xf numFmtId="1" fontId="4" fillId="0" borderId="0"/>
    <xf numFmtId="0" fontId="4" fillId="0" borderId="0"/>
    <xf numFmtId="1" fontId="4" fillId="0" borderId="0"/>
    <xf numFmtId="0" fontId="4" fillId="0" borderId="0"/>
    <xf numFmtId="1" fontId="4" fillId="0" borderId="0"/>
    <xf numFmtId="0" fontId="4" fillId="0" borderId="0"/>
    <xf numFmtId="0" fontId="4" fillId="0" borderId="0"/>
    <xf numFmtId="1" fontId="4" fillId="0" borderId="0"/>
    <xf numFmtId="1" fontId="4" fillId="0" borderId="0"/>
    <xf numFmtId="0" fontId="4" fillId="0" borderId="0"/>
    <xf numFmtId="1" fontId="4" fillId="0" borderId="0"/>
    <xf numFmtId="0" fontId="4" fillId="0" borderId="0"/>
    <xf numFmtId="1" fontId="4" fillId="0" borderId="0"/>
    <xf numFmtId="1" fontId="4" fillId="0" borderId="0"/>
    <xf numFmtId="0" fontId="4" fillId="0" borderId="0"/>
    <xf numFmtId="1" fontId="4" fillId="0" borderId="0"/>
    <xf numFmtId="0" fontId="4" fillId="0" borderId="0"/>
    <xf numFmtId="1" fontId="4" fillId="0" borderId="0"/>
    <xf numFmtId="0" fontId="4" fillId="0" borderId="0"/>
    <xf numFmtId="1" fontId="4" fillId="0" borderId="0"/>
    <xf numFmtId="0" fontId="4" fillId="0" borderId="0"/>
    <xf numFmtId="1" fontId="4" fillId="0" borderId="0"/>
    <xf numFmtId="0" fontId="4" fillId="0" borderId="0"/>
    <xf numFmtId="1" fontId="4" fillId="0" borderId="0"/>
    <xf numFmtId="0" fontId="2" fillId="0" borderId="0"/>
    <xf numFmtId="1" fontId="4" fillId="0" borderId="0"/>
    <xf numFmtId="1" fontId="4" fillId="0" borderId="0"/>
    <xf numFmtId="1" fontId="4" fillId="0" borderId="0"/>
    <xf numFmtId="1" fontId="4" fillId="0" borderId="0"/>
    <xf numFmtId="1" fontId="4" fillId="0" borderId="0"/>
    <xf numFmtId="1" fontId="4" fillId="0" borderId="0"/>
    <xf numFmtId="10" fontId="4" fillId="0" borderId="0" applyFont="0" applyFill="0" applyBorder="0" applyAlignment="0" applyProtection="0"/>
    <xf numFmtId="1" fontId="4" fillId="0" borderId="0"/>
    <xf numFmtId="10" fontId="4" fillId="0" borderId="0" applyFont="0" applyFill="0" applyBorder="0" applyAlignment="0" applyProtection="0"/>
    <xf numFmtId="1" fontId="4" fillId="0" borderId="0"/>
    <xf numFmtId="0" fontId="4" fillId="0" borderId="0"/>
    <xf numFmtId="38" fontId="17" fillId="36" borderId="0" applyNumberFormat="0" applyBorder="0" applyAlignment="0" applyProtection="0"/>
    <xf numFmtId="10" fontId="4" fillId="0" borderId="0" applyFont="0" applyFill="0" applyBorder="0" applyAlignment="0" applyProtection="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1" fontId="4" fillId="0" borderId="0"/>
    <xf numFmtId="0" fontId="2" fillId="0" borderId="0"/>
    <xf numFmtId="1" fontId="4" fillId="0" borderId="0"/>
    <xf numFmtId="0" fontId="4" fillId="0" borderId="0"/>
    <xf numFmtId="1" fontId="4" fillId="0" borderId="0"/>
    <xf numFmtId="0" fontId="4" fillId="0" borderId="0"/>
    <xf numFmtId="1" fontId="4" fillId="0" borderId="0"/>
    <xf numFmtId="0" fontId="4" fillId="0" borderId="0"/>
    <xf numFmtId="1" fontId="4" fillId="0" borderId="0"/>
    <xf numFmtId="0" fontId="4" fillId="0" borderId="0"/>
    <xf numFmtId="1" fontId="4" fillId="0" borderId="0"/>
    <xf numFmtId="0" fontId="4" fillId="0" borderId="0"/>
    <xf numFmtId="1" fontId="4" fillId="0" borderId="0"/>
    <xf numFmtId="0" fontId="4" fillId="0" borderId="0"/>
    <xf numFmtId="1" fontId="4" fillId="0" borderId="0"/>
    <xf numFmtId="0" fontId="4" fillId="0" borderId="0"/>
    <xf numFmtId="0" fontId="4" fillId="0" borderId="0"/>
    <xf numFmtId="0" fontId="324" fillId="39" borderId="0" applyNumberFormat="0" applyBorder="0" applyAlignment="0" applyProtection="0"/>
    <xf numFmtId="0" fontId="4" fillId="0" borderId="0"/>
    <xf numFmtId="0" fontId="324" fillId="39" borderId="0" applyNumberFormat="0" applyBorder="0" applyAlignment="0" applyProtection="0"/>
    <xf numFmtId="9" fontId="2" fillId="0" borderId="0" applyFont="0" applyFill="0" applyBorder="0" applyAlignment="0" applyProtection="0"/>
    <xf numFmtId="0" fontId="314" fillId="50" borderId="0" applyNumberFormat="0" applyBorder="0" applyAlignment="0" applyProtection="0"/>
    <xf numFmtId="38" fontId="17" fillId="36" borderId="0" applyNumberFormat="0" applyBorder="0" applyAlignment="0" applyProtection="0"/>
    <xf numFmtId="0" fontId="119" fillId="0" borderId="0"/>
    <xf numFmtId="0" fontId="2" fillId="0" borderId="0"/>
    <xf numFmtId="0" fontId="4" fillId="0" borderId="0"/>
    <xf numFmtId="0" fontId="321" fillId="0" borderId="103" applyNumberFormat="0" applyFill="0" applyAlignment="0" applyProtection="0"/>
    <xf numFmtId="0" fontId="4" fillId="0" borderId="0"/>
    <xf numFmtId="0" fontId="321" fillId="0" borderId="103" applyNumberFormat="0" applyFill="0" applyAlignment="0" applyProtection="0"/>
    <xf numFmtId="0" fontId="4" fillId="0" borderId="0"/>
    <xf numFmtId="0" fontId="321" fillId="0" borderId="103" applyNumberFormat="0" applyFill="0" applyAlignment="0" applyProtection="0"/>
    <xf numFmtId="0" fontId="321" fillId="0" borderId="103" applyNumberFormat="0" applyFill="0" applyAlignment="0" applyProtection="0"/>
    <xf numFmtId="0" fontId="318" fillId="0" borderId="101" applyNumberFormat="0" applyFill="0" applyAlignment="0" applyProtection="0"/>
    <xf numFmtId="0" fontId="309" fillId="0" borderId="0" applyNumberFormat="0" applyFill="0" applyBorder="0" applyAlignment="0" applyProtection="0"/>
    <xf numFmtId="0" fontId="4" fillId="0" borderId="0"/>
    <xf numFmtId="9" fontId="4" fillId="0" borderId="0" applyFont="0" applyFill="0" applyBorder="0" applyAlignment="0" applyProtection="0"/>
    <xf numFmtId="0" fontId="334" fillId="0" borderId="0" applyNumberFormat="0" applyFill="0" applyBorder="0" applyAlignment="0" applyProtection="0">
      <alignment vertical="top"/>
      <protection locked="0"/>
    </xf>
    <xf numFmtId="0" fontId="4" fillId="0" borderId="0"/>
    <xf numFmtId="9" fontId="4" fillId="0" borderId="0" applyFont="0" applyFill="0" applyBorder="0" applyAlignment="0" applyProtection="0"/>
    <xf numFmtId="0" fontId="328" fillId="0" borderId="0" applyNumberFormat="0" applyFill="0" applyBorder="0" applyAlignment="0" applyProtection="0">
      <alignment vertical="top"/>
      <protection locked="0"/>
    </xf>
    <xf numFmtId="9" fontId="2" fillId="0" borderId="0" applyFont="0" applyFill="0" applyBorder="0" applyAlignment="0" applyProtection="0"/>
    <xf numFmtId="10" fontId="17" fillId="37" borderId="1" applyNumberFormat="0" applyBorder="0" applyAlignment="0" applyProtection="0"/>
    <xf numFmtId="0" fontId="4" fillId="37" borderId="97" applyNumberFormat="0" applyFont="0" applyAlignment="0" applyProtection="0"/>
    <xf numFmtId="0" fontId="4" fillId="0" borderId="0"/>
    <xf numFmtId="0" fontId="4" fillId="0" borderId="0"/>
    <xf numFmtId="0" fontId="2" fillId="0" borderId="0"/>
    <xf numFmtId="0" fontId="325" fillId="0" borderId="104" applyNumberFormat="0" applyFill="0" applyAlignment="0" applyProtection="0"/>
    <xf numFmtId="0" fontId="2" fillId="0" borderId="0"/>
    <xf numFmtId="0" fontId="325" fillId="0" borderId="104" applyNumberFormat="0" applyFill="0" applyAlignment="0" applyProtection="0"/>
    <xf numFmtId="0" fontId="2" fillId="0" borderId="0"/>
    <xf numFmtId="0" fontId="325" fillId="0" borderId="104" applyNumberFormat="0" applyFill="0" applyAlignment="0" applyProtection="0"/>
    <xf numFmtId="0" fontId="2" fillId="0" borderId="0"/>
    <xf numFmtId="0" fontId="325" fillId="0" borderId="104" applyNumberFormat="0" applyFill="0" applyAlignment="0" applyProtection="0"/>
    <xf numFmtId="0" fontId="4" fillId="0" borderId="0"/>
    <xf numFmtId="0" fontId="210" fillId="0" borderId="0" applyProtection="0">
      <alignment horizontal="center" vertical="center"/>
    </xf>
    <xf numFmtId="0" fontId="4" fillId="0" borderId="0"/>
    <xf numFmtId="0" fontId="210" fillId="0" borderId="0" applyProtection="0">
      <alignment horizontal="center" vertical="center"/>
    </xf>
    <xf numFmtId="0" fontId="4" fillId="0" borderId="0"/>
    <xf numFmtId="0" fontId="4" fillId="0" borderId="0"/>
    <xf numFmtId="0" fontId="210" fillId="0" borderId="0" applyProtection="0">
      <alignment horizontal="center" vertical="center"/>
    </xf>
    <xf numFmtId="171" fontId="121" fillId="0" borderId="25">
      <alignment horizontal="right"/>
    </xf>
    <xf numFmtId="0" fontId="314" fillId="50" borderId="0" applyNumberFormat="0" applyBorder="0" applyAlignment="0" applyProtection="0"/>
    <xf numFmtId="0" fontId="2" fillId="0" borderId="0"/>
    <xf numFmtId="0" fontId="4" fillId="0" borderId="0"/>
    <xf numFmtId="0" fontId="319" fillId="0" borderId="0" applyNumberFormat="0" applyFill="0">
      <alignment horizontal="left" vertical="center"/>
    </xf>
    <xf numFmtId="37" fontId="317" fillId="0" borderId="0"/>
    <xf numFmtId="0" fontId="4" fillId="0" borderId="0"/>
    <xf numFmtId="37" fontId="317" fillId="0" borderId="0"/>
    <xf numFmtId="0" fontId="4" fillId="0" borderId="0"/>
    <xf numFmtId="37" fontId="317" fillId="0" borderId="0"/>
    <xf numFmtId="0" fontId="4" fillId="0" borderId="0"/>
    <xf numFmtId="37" fontId="31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37" borderId="97" applyNumberFormat="0" applyFont="0" applyAlignment="0" applyProtection="0"/>
    <xf numFmtId="0" fontId="4" fillId="0" borderId="0"/>
    <xf numFmtId="0" fontId="4" fillId="0" borderId="0"/>
    <xf numFmtId="0" fontId="4" fillId="37" borderId="97" applyNumberFormat="0" applyFont="0" applyAlignment="0" applyProtection="0"/>
    <xf numFmtId="0" fontId="4" fillId="0" borderId="0"/>
    <xf numFmtId="0" fontId="4" fillId="0" borderId="0"/>
    <xf numFmtId="0" fontId="4" fillId="37" borderId="97" applyNumberFormat="0" applyFont="0" applyAlignment="0" applyProtection="0"/>
    <xf numFmtId="0" fontId="304" fillId="0" borderId="0"/>
    <xf numFmtId="0" fontId="4" fillId="0" borderId="0"/>
    <xf numFmtId="0" fontId="4" fillId="0" borderId="0"/>
    <xf numFmtId="0" fontId="4" fillId="37" borderId="97" applyNumberFormat="0" applyFont="0" applyAlignment="0" applyProtection="0"/>
    <xf numFmtId="0" fontId="4" fillId="0" borderId="0"/>
    <xf numFmtId="0" fontId="4" fillId="0" borderId="0"/>
    <xf numFmtId="0" fontId="4" fillId="37" borderId="97" applyNumberFormat="0" applyFont="0" applyAlignment="0" applyProtection="0"/>
    <xf numFmtId="0" fontId="4" fillId="0" borderId="0"/>
    <xf numFmtId="0" fontId="4" fillId="0" borderId="0"/>
    <xf numFmtId="0" fontId="4" fillId="37" borderId="97" applyNumberFormat="0" applyFont="0" applyAlignment="0" applyProtection="0"/>
    <xf numFmtId="0" fontId="4" fillId="0" borderId="0"/>
    <xf numFmtId="0" fontId="4" fillId="0" borderId="0"/>
    <xf numFmtId="0" fontId="4" fillId="37" borderId="97" applyNumberFormat="0" applyFont="0" applyAlignment="0" applyProtection="0"/>
    <xf numFmtId="0" fontId="4" fillId="0" borderId="0"/>
    <xf numFmtId="0" fontId="4" fillId="37" borderId="97" applyNumberFormat="0" applyFont="0" applyAlignment="0" applyProtection="0"/>
    <xf numFmtId="0" fontId="4" fillId="0" borderId="0"/>
    <xf numFmtId="0" fontId="4" fillId="37" borderId="97" applyNumberFormat="0" applyFont="0" applyAlignment="0" applyProtection="0"/>
    <xf numFmtId="0" fontId="4" fillId="0" borderId="0"/>
    <xf numFmtId="0" fontId="4" fillId="0" borderId="0"/>
    <xf numFmtId="9" fontId="4" fillId="0" borderId="0" applyFont="0" applyFill="0" applyBorder="0" applyAlignment="0" applyProtection="0"/>
    <xf numFmtId="0" fontId="4" fillId="37" borderId="97" applyNumberFormat="0" applyFont="0" applyAlignment="0" applyProtection="0"/>
    <xf numFmtId="0" fontId="4" fillId="0" borderId="0"/>
    <xf numFmtId="9" fontId="4" fillId="0" borderId="0" applyFont="0" applyFill="0" applyBorder="0" applyAlignment="0" applyProtection="0"/>
    <xf numFmtId="0" fontId="4" fillId="37" borderId="97" applyNumberFormat="0" applyFont="0" applyAlignment="0" applyProtection="0"/>
    <xf numFmtId="0" fontId="4" fillId="0" borderId="0"/>
    <xf numFmtId="9" fontId="4" fillId="0" borderId="0" applyFont="0" applyFill="0" applyBorder="0" applyAlignment="0" applyProtection="0"/>
    <xf numFmtId="0" fontId="4" fillId="0" borderId="0"/>
    <xf numFmtId="0" fontId="4" fillId="0" borderId="0"/>
    <xf numFmtId="0" fontId="4" fillId="37" borderId="97" applyNumberFormat="0" applyFont="0" applyAlignment="0" applyProtection="0"/>
    <xf numFmtId="0" fontId="4" fillId="0" borderId="0"/>
    <xf numFmtId="0" fontId="4" fillId="0" borderId="0"/>
    <xf numFmtId="0" fontId="4" fillId="37" borderId="97" applyNumberFormat="0" applyFont="0" applyAlignment="0" applyProtection="0"/>
    <xf numFmtId="0" fontId="4" fillId="0" borderId="0"/>
    <xf numFmtId="0" fontId="4" fillId="37" borderId="97" applyNumberFormat="0" applyFont="0" applyAlignment="0" applyProtection="0"/>
    <xf numFmtId="0" fontId="4" fillId="0" borderId="0"/>
    <xf numFmtId="0" fontId="4" fillId="37" borderId="97" applyNumberFormat="0" applyFont="0" applyAlignment="0" applyProtection="0"/>
    <xf numFmtId="0" fontId="4" fillId="0" borderId="0"/>
    <xf numFmtId="0" fontId="4" fillId="0" borderId="0"/>
    <xf numFmtId="0" fontId="4" fillId="37" borderId="97" applyNumberFormat="0" applyFont="0" applyAlignment="0" applyProtection="0"/>
    <xf numFmtId="0" fontId="4" fillId="0" borderId="0"/>
    <xf numFmtId="0" fontId="4" fillId="0" borderId="0"/>
    <xf numFmtId="0" fontId="4" fillId="37" borderId="97" applyNumberFormat="0" applyFont="0" applyAlignment="0" applyProtection="0"/>
    <xf numFmtId="0" fontId="4" fillId="0" borderId="0"/>
    <xf numFmtId="0" fontId="4" fillId="0" borderId="0"/>
    <xf numFmtId="0" fontId="4" fillId="37" borderId="97" applyNumberFormat="0" applyFont="0" applyAlignment="0" applyProtection="0"/>
    <xf numFmtId="0" fontId="4" fillId="0" borderId="0"/>
    <xf numFmtId="0" fontId="4" fillId="0" borderId="0"/>
    <xf numFmtId="0" fontId="4" fillId="37" borderId="97" applyNumberFormat="0" applyFont="0" applyAlignment="0" applyProtection="0"/>
    <xf numFmtId="0" fontId="4" fillId="0" borderId="0"/>
    <xf numFmtId="0" fontId="4" fillId="0" borderId="0"/>
    <xf numFmtId="0" fontId="163" fillId="0" borderId="102" applyNumberFormat="0" applyFill="0" applyAlignment="0" applyProtection="0"/>
    <xf numFmtId="0" fontId="4" fillId="37" borderId="97"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9"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9" fillId="0" borderId="0"/>
    <xf numFmtId="0" fontId="4" fillId="0" borderId="0"/>
    <xf numFmtId="0" fontId="119"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9" fontId="2" fillId="0" borderId="0" applyFont="0" applyFill="0" applyBorder="0" applyAlignment="0" applyProtection="0"/>
    <xf numFmtId="0" fontId="119" fillId="0" borderId="0"/>
    <xf numFmtId="0" fontId="4" fillId="0" borderId="0"/>
    <xf numFmtId="0" fontId="4" fillId="0" borderId="0"/>
    <xf numFmtId="9" fontId="2"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37" borderId="97"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4" fillId="0" borderId="0"/>
    <xf numFmtId="0" fontId="2"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40" fontId="123" fillId="0" borderId="0"/>
    <xf numFmtId="0" fontId="4" fillId="0" borderId="0"/>
    <xf numFmtId="0" fontId="4" fillId="0" borderId="0"/>
    <xf numFmtId="40" fontId="123"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04" fillId="0" borderId="0"/>
    <xf numFmtId="0" fontId="4"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9" fillId="0" borderId="0"/>
    <xf numFmtId="0" fontId="4" fillId="0" borderId="0"/>
    <xf numFmtId="0" fontId="4" fillId="0" borderId="0"/>
    <xf numFmtId="0" fontId="119" fillId="0" borderId="0"/>
    <xf numFmtId="0" fontId="4" fillId="0" borderId="0"/>
    <xf numFmtId="0" fontId="4" fillId="0" borderId="0"/>
    <xf numFmtId="0" fontId="119"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9" fillId="0" borderId="0"/>
    <xf numFmtId="0" fontId="4" fillId="0" borderId="0"/>
    <xf numFmtId="0" fontId="4" fillId="0" borderId="0"/>
    <xf numFmtId="0" fontId="119" fillId="0" borderId="0"/>
    <xf numFmtId="0" fontId="4" fillId="0" borderId="0"/>
    <xf numFmtId="0" fontId="4" fillId="0" borderId="0"/>
    <xf numFmtId="0" fontId="119" fillId="0" borderId="0"/>
    <xf numFmtId="0" fontId="4" fillId="0" borderId="0"/>
    <xf numFmtId="0" fontId="4" fillId="0" borderId="0"/>
    <xf numFmtId="0" fontId="119" fillId="0" borderId="0"/>
    <xf numFmtId="0" fontId="4" fillId="0" borderId="0"/>
    <xf numFmtId="0" fontId="4" fillId="0" borderId="0"/>
    <xf numFmtId="0" fontId="119" fillId="0" borderId="0"/>
    <xf numFmtId="0" fontId="4" fillId="0" borderId="0"/>
    <xf numFmtId="9" fontId="2" fillId="0" borderId="0" applyFont="0" applyFill="0" applyBorder="0" applyAlignment="0" applyProtection="0"/>
    <xf numFmtId="0" fontId="4" fillId="0" borderId="0"/>
    <xf numFmtId="9" fontId="2"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2" fillId="0" borderId="0" applyFont="0" applyFill="0" applyBorder="0" applyAlignment="0" applyProtection="0"/>
    <xf numFmtId="0" fontId="4" fillId="0" borderId="0"/>
    <xf numFmtId="9" fontId="2" fillId="0" borderId="0" applyFont="0" applyFill="0" applyBorder="0" applyAlignment="0" applyProtection="0"/>
    <xf numFmtId="0" fontId="4" fillId="0" borderId="0"/>
    <xf numFmtId="0" fontId="4" fillId="0" borderId="0"/>
    <xf numFmtId="0" fontId="2" fillId="0" borderId="0"/>
    <xf numFmtId="0" fontId="4" fillId="0" borderId="0"/>
    <xf numFmtId="0" fontId="4" fillId="0" borderId="0"/>
    <xf numFmtId="0" fontId="2"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9">
      <alignment horizontal="center"/>
    </xf>
    <xf numFmtId="0" fontId="4" fillId="0" borderId="0"/>
    <xf numFmtId="0" fontId="4" fillId="0" borderId="0"/>
    <xf numFmtId="0" fontId="4" fillId="0" borderId="9">
      <alignment horizontal="center"/>
    </xf>
    <xf numFmtId="0" fontId="4" fillId="0" borderId="0"/>
    <xf numFmtId="0" fontId="4" fillId="0" borderId="0"/>
    <xf numFmtId="9" fontId="4" fillId="0" borderId="0" applyFont="0" applyFill="0" applyBorder="0" applyAlignment="0" applyProtection="0"/>
    <xf numFmtId="0" fontId="119" fillId="0" borderId="0"/>
    <xf numFmtId="0" fontId="4" fillId="0" borderId="9">
      <alignment horizontal="center"/>
    </xf>
    <xf numFmtId="0" fontId="4" fillId="0" borderId="0"/>
    <xf numFmtId="0" fontId="4" fillId="0" borderId="0"/>
    <xf numFmtId="9" fontId="4" fillId="0" borderId="0" applyFont="0" applyFill="0" applyBorder="0" applyAlignment="0" applyProtection="0"/>
    <xf numFmtId="0" fontId="119" fillId="0" borderId="0"/>
    <xf numFmtId="0" fontId="4" fillId="0" borderId="9">
      <alignment horizontal="center"/>
    </xf>
    <xf numFmtId="0" fontId="4" fillId="0" borderId="0"/>
    <xf numFmtId="0" fontId="4" fillId="0" borderId="0"/>
    <xf numFmtId="0" fontId="2" fillId="0" borderId="0"/>
    <xf numFmtId="0" fontId="119"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91" fontId="331" fillId="0" borderId="0" applyNumberFormat="0" applyFill="0" applyBorder="0" applyAlignment="0" applyProtection="0">
      <alignment horizontal="left"/>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9" fontId="4" fillId="0" borderId="0" applyFont="0" applyFill="0" applyBorder="0" applyAlignment="0" applyProtection="0"/>
    <xf numFmtId="0" fontId="119" fillId="0" borderId="0"/>
    <xf numFmtId="0" fontId="119"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10" fillId="0" borderId="0">
      <alignment horizontal="center" vertical="center"/>
    </xf>
    <xf numFmtId="0" fontId="4" fillId="0" borderId="0"/>
    <xf numFmtId="0" fontId="310" fillId="0" borderId="0">
      <alignment horizontal="center" vertical="center"/>
    </xf>
    <xf numFmtId="0" fontId="4" fillId="0" borderId="0"/>
    <xf numFmtId="0" fontId="310" fillId="0" borderId="0">
      <alignment horizontal="center" vertical="center"/>
    </xf>
    <xf numFmtId="0" fontId="4" fillId="0" borderId="0"/>
    <xf numFmtId="0" fontId="310" fillId="0" borderId="0">
      <alignment horizontal="center" vertical="center"/>
    </xf>
    <xf numFmtId="0" fontId="4" fillId="0" borderId="0"/>
    <xf numFmtId="0" fontId="4" fillId="0" borderId="0"/>
    <xf numFmtId="0" fontId="4" fillId="0" borderId="0"/>
    <xf numFmtId="0" fontId="4" fillId="0" borderId="0"/>
    <xf numFmtId="0" fontId="4" fillId="0" borderId="0"/>
    <xf numFmtId="0" fontId="319" fillId="0" borderId="0" applyNumberFormat="0" applyFill="0">
      <alignment horizontal="left" vertical="center"/>
    </xf>
    <xf numFmtId="0" fontId="4" fillId="0" borderId="0"/>
    <xf numFmtId="0" fontId="319" fillId="0" borderId="0" applyNumberFormat="0" applyFill="0">
      <alignment horizontal="left" vertical="center"/>
    </xf>
    <xf numFmtId="0" fontId="4" fillId="0" borderId="0"/>
    <xf numFmtId="0" fontId="319" fillId="0" borderId="0" applyNumberFormat="0" applyFill="0">
      <alignment horizontal="left"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2" fillId="0" borderId="0" applyFont="0" applyFill="0" applyBorder="0" applyAlignment="0" applyProtection="0"/>
    <xf numFmtId="0" fontId="4" fillId="0" borderId="0"/>
    <xf numFmtId="0" fontId="2" fillId="0" borderId="0"/>
    <xf numFmtId="0" fontId="4" fillId="0" borderId="0"/>
    <xf numFmtId="9" fontId="2"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37" borderId="97" applyNumberFormat="0" applyFont="0" applyAlignment="0" applyProtection="0"/>
    <xf numFmtId="0" fontId="4" fillId="0" borderId="0"/>
    <xf numFmtId="0" fontId="4" fillId="0" borderId="0"/>
    <xf numFmtId="0" fontId="4" fillId="37" borderId="97" applyNumberFormat="0" applyFont="0" applyAlignment="0" applyProtection="0"/>
    <xf numFmtId="0" fontId="4" fillId="0" borderId="0"/>
    <xf numFmtId="0" fontId="4" fillId="0" borderId="0"/>
    <xf numFmtId="0" fontId="4" fillId="0" borderId="0"/>
    <xf numFmtId="0" fontId="4" fillId="0" borderId="0"/>
    <xf numFmtId="0" fontId="4" fillId="37" borderId="97"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30"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20" fillId="0" borderId="1">
      <alignment horizontal="center" vertical="center" wrapText="1"/>
    </xf>
    <xf numFmtId="0" fontId="4" fillId="0" borderId="0"/>
    <xf numFmtId="0" fontId="4" fillId="0" borderId="0"/>
    <xf numFmtId="0" fontId="4" fillId="0" borderId="0"/>
    <xf numFmtId="0" fontId="4" fillId="0" borderId="0"/>
    <xf numFmtId="0" fontId="4" fillId="0" borderId="0"/>
    <xf numFmtId="0" fontId="4" fillId="0" borderId="0"/>
    <xf numFmtId="0" fontId="304" fillId="0" borderId="0"/>
    <xf numFmtId="0" fontId="2" fillId="0" borderId="0"/>
    <xf numFmtId="0" fontId="2" fillId="0" borderId="0"/>
    <xf numFmtId="0" fontId="4" fillId="0" borderId="0"/>
    <xf numFmtId="0" fontId="2" fillId="0" borderId="0"/>
    <xf numFmtId="0" fontId="2" fillId="0" borderId="0"/>
    <xf numFmtId="0" fontId="4" fillId="0" borderId="0"/>
    <xf numFmtId="0" fontId="2" fillId="0" borderId="0"/>
    <xf numFmtId="0" fontId="2" fillId="0" borderId="0"/>
    <xf numFmtId="0" fontId="4" fillId="0" borderId="0"/>
    <xf numFmtId="0" fontId="4" fillId="0" borderId="0"/>
    <xf numFmtId="0" fontId="4" fillId="0" borderId="0"/>
    <xf numFmtId="0" fontId="2" fillId="0" borderId="0"/>
    <xf numFmtId="0" fontId="304" fillId="0" borderId="0"/>
    <xf numFmtId="0" fontId="4" fillId="0" borderId="0"/>
    <xf numFmtId="0" fontId="4" fillId="0" borderId="0"/>
    <xf numFmtId="9" fontId="4" fillId="0" borderId="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10" fillId="0" borderId="0">
      <alignment horizontal="center" vertic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2" fillId="0" borderId="0"/>
    <xf numFmtId="0" fontId="326" fillId="0" borderId="0" applyNumberFormat="0" applyFill="0" applyBorder="0" applyAlignment="0" applyProtection="0"/>
    <xf numFmtId="0" fontId="2" fillId="0" borderId="0"/>
    <xf numFmtId="0" fontId="326"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9"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37" borderId="97" applyNumberFormat="0" applyFont="0" applyAlignment="0" applyProtection="0"/>
    <xf numFmtId="0" fontId="4" fillId="0" borderId="0"/>
    <xf numFmtId="0" fontId="4" fillId="0" borderId="0"/>
    <xf numFmtId="0" fontId="4" fillId="37" borderId="97" applyNumberFormat="0" applyFont="0" applyAlignment="0" applyProtection="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9" fontId="2" fillId="0" borderId="0" applyFont="0" applyFill="0" applyBorder="0" applyAlignment="0" applyProtection="0"/>
    <xf numFmtId="0" fontId="4" fillId="0" borderId="0"/>
    <xf numFmtId="9" fontId="2" fillId="0" borderId="0" applyFont="0" applyFill="0" applyBorder="0" applyAlignment="0" applyProtection="0"/>
    <xf numFmtId="0" fontId="2" fillId="0" borderId="0"/>
    <xf numFmtId="0" fontId="4" fillId="0" borderId="0"/>
    <xf numFmtId="0" fontId="119" fillId="0" borderId="0"/>
    <xf numFmtId="0" fontId="2" fillId="0" borderId="0"/>
    <xf numFmtId="0" fontId="4" fillId="0" borderId="0"/>
    <xf numFmtId="0" fontId="4" fillId="0" borderId="0"/>
    <xf numFmtId="0" fontId="2" fillId="0" borderId="0"/>
    <xf numFmtId="0" fontId="4" fillId="0" borderId="0"/>
    <xf numFmtId="0" fontId="4"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329" fillId="0" borderId="0"/>
    <xf numFmtId="0" fontId="4" fillId="0" borderId="0"/>
    <xf numFmtId="0" fontId="4" fillId="0" borderId="0"/>
    <xf numFmtId="0" fontId="4" fillId="0" borderId="0"/>
    <xf numFmtId="0" fontId="119" fillId="0" borderId="0"/>
    <xf numFmtId="0" fontId="4" fillId="0" borderId="0"/>
    <xf numFmtId="0" fontId="4" fillId="0" borderId="0"/>
    <xf numFmtId="0" fontId="4" fillId="0" borderId="0"/>
    <xf numFmtId="0" fontId="119" fillId="0" borderId="0"/>
    <xf numFmtId="0" fontId="4" fillId="0" borderId="0"/>
    <xf numFmtId="0" fontId="2" fillId="0" borderId="0"/>
    <xf numFmtId="0" fontId="4" fillId="0" borderId="0"/>
    <xf numFmtId="0" fontId="4" fillId="0" borderId="0"/>
    <xf numFmtId="0" fontId="119" fillId="0" borderId="0"/>
    <xf numFmtId="0" fontId="2" fillId="0" borderId="0"/>
    <xf numFmtId="0" fontId="4" fillId="0" borderId="0"/>
    <xf numFmtId="0" fontId="119"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119" fillId="0" borderId="0"/>
    <xf numFmtId="0" fontId="4" fillId="0" borderId="0"/>
    <xf numFmtId="0" fontId="4" fillId="0" borderId="0"/>
    <xf numFmtId="0" fontId="119" fillId="0" borderId="0"/>
    <xf numFmtId="0" fontId="4" fillId="0" borderId="0"/>
    <xf numFmtId="0" fontId="4" fillId="0" borderId="0"/>
    <xf numFmtId="0" fontId="2" fillId="0" borderId="0"/>
    <xf numFmtId="0" fontId="4" fillId="0" borderId="0"/>
    <xf numFmtId="0" fontId="2" fillId="0" borderId="0"/>
    <xf numFmtId="0" fontId="4" fillId="0" borderId="0"/>
    <xf numFmtId="0" fontId="2" fillId="0" borderId="0"/>
    <xf numFmtId="0" fontId="4" fillId="0" borderId="0"/>
    <xf numFmtId="0" fontId="4" fillId="0" borderId="0"/>
    <xf numFmtId="0" fontId="4" fillId="0" borderId="0"/>
    <xf numFmtId="0" fontId="119" fillId="0" borderId="0"/>
    <xf numFmtId="0" fontId="119" fillId="0" borderId="0"/>
    <xf numFmtId="0" fontId="2" fillId="0" borderId="0"/>
    <xf numFmtId="0" fontId="4" fillId="0" borderId="0"/>
    <xf numFmtId="0" fontId="119" fillId="0" borderId="0"/>
    <xf numFmtId="0" fontId="4" fillId="0" borderId="0"/>
    <xf numFmtId="0" fontId="119" fillId="0" borderId="0"/>
    <xf numFmtId="0" fontId="4" fillId="0" borderId="0"/>
    <xf numFmtId="0" fontId="4" fillId="0" borderId="0"/>
    <xf numFmtId="0" fontId="4" fillId="0" borderId="0"/>
    <xf numFmtId="0" fontId="4" fillId="0" borderId="9">
      <alignment horizontal="center"/>
    </xf>
    <xf numFmtId="0" fontId="2" fillId="0" borderId="0"/>
    <xf numFmtId="0" fontId="4" fillId="0" borderId="0"/>
    <xf numFmtId="0" fontId="2" fillId="0" borderId="0"/>
    <xf numFmtId="0" fontId="4" fillId="0" borderId="0"/>
    <xf numFmtId="0" fontId="4" fillId="0" borderId="0"/>
    <xf numFmtId="0" fontId="2" fillId="0" borderId="0"/>
    <xf numFmtId="0" fontId="4" fillId="0" borderId="0"/>
    <xf numFmtId="0" fontId="4" fillId="0" borderId="0"/>
    <xf numFmtId="0" fontId="2" fillId="0" borderId="0"/>
    <xf numFmtId="0" fontId="4" fillId="0" borderId="0"/>
    <xf numFmtId="0" fontId="4"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119" fillId="0" borderId="0"/>
    <xf numFmtId="0" fontId="119" fillId="0" borderId="0"/>
    <xf numFmtId="0" fontId="119"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9" fillId="0" borderId="0"/>
    <xf numFmtId="0" fontId="4" fillId="0" borderId="0"/>
    <xf numFmtId="0" fontId="119" fillId="0" borderId="0"/>
    <xf numFmtId="0" fontId="119" fillId="0" borderId="0"/>
    <xf numFmtId="0" fontId="4" fillId="0" borderId="0"/>
    <xf numFmtId="0" fontId="119" fillId="0" borderId="0"/>
    <xf numFmtId="0" fontId="4" fillId="0" borderId="0"/>
    <xf numFmtId="0" fontId="2" fillId="0" borderId="0"/>
    <xf numFmtId="0" fontId="119" fillId="0" borderId="0"/>
    <xf numFmtId="0" fontId="2" fillId="0" borderId="0"/>
    <xf numFmtId="0" fontId="119"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38"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119" fillId="0" borderId="0"/>
    <xf numFmtId="0" fontId="4" fillId="0" borderId="0"/>
    <xf numFmtId="0" fontId="119" fillId="0" borderId="0"/>
    <xf numFmtId="0" fontId="2" fillId="0" borderId="0"/>
    <xf numFmtId="0" fontId="4" fillId="0" borderId="0"/>
    <xf numFmtId="0" fontId="119" fillId="0" borderId="0"/>
    <xf numFmtId="0" fontId="4" fillId="0" borderId="0"/>
    <xf numFmtId="0" fontId="4" fillId="0" borderId="0"/>
    <xf numFmtId="0" fontId="30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9" fillId="0" borderId="0"/>
    <xf numFmtId="0" fontId="4" fillId="0" borderId="0"/>
    <xf numFmtId="0" fontId="119"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9" fillId="0" borderId="0"/>
    <xf numFmtId="0" fontId="4" fillId="0" borderId="0"/>
    <xf numFmtId="0" fontId="119" fillId="0" borderId="0"/>
    <xf numFmtId="0" fontId="2" fillId="0" borderId="0"/>
    <xf numFmtId="0" fontId="119" fillId="0" borderId="0"/>
    <xf numFmtId="0" fontId="2" fillId="0" borderId="0"/>
    <xf numFmtId="0" fontId="2" fillId="0" borderId="0"/>
    <xf numFmtId="0" fontId="4" fillId="0" borderId="0"/>
    <xf numFmtId="0" fontId="4" fillId="0" borderId="0"/>
    <xf numFmtId="0" fontId="4" fillId="0" borderId="0"/>
    <xf numFmtId="0" fontId="4" fillId="0" borderId="0"/>
    <xf numFmtId="0" fontId="119" fillId="0" borderId="0"/>
    <xf numFmtId="0" fontId="4" fillId="0" borderId="0"/>
    <xf numFmtId="0" fontId="119"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37" borderId="97"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2" fillId="0" borderId="0"/>
    <xf numFmtId="0" fontId="2" fillId="0" borderId="0"/>
    <xf numFmtId="0" fontId="2" fillId="0" borderId="0"/>
    <xf numFmtId="9" fontId="4" fillId="0" borderId="0" applyFont="0" applyFill="0" applyBorder="0" applyAlignment="0" applyProtection="0"/>
    <xf numFmtId="0" fontId="2" fillId="0" borderId="0"/>
    <xf numFmtId="0" fontId="2" fillId="0" borderId="0"/>
    <xf numFmtId="9" fontId="4"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4" fillId="0" borderId="0" applyFill="0" applyBorder="0" applyAlignment="0" applyProtection="0"/>
    <xf numFmtId="0" fontId="4" fillId="0" borderId="0"/>
    <xf numFmtId="0" fontId="2" fillId="0" borderId="0"/>
    <xf numFmtId="9" fontId="2" fillId="0" borderId="0" applyFont="0" applyFill="0" applyBorder="0" applyAlignment="0" applyProtection="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37" borderId="97" applyNumberFormat="0" applyFont="0" applyAlignment="0" applyProtection="0"/>
    <xf numFmtId="0" fontId="4" fillId="0" borderId="0"/>
    <xf numFmtId="0" fontId="2" fillId="0" borderId="0"/>
    <xf numFmtId="0" fontId="4" fillId="37" borderId="97" applyNumberFormat="0" applyFont="0" applyAlignment="0" applyProtection="0"/>
    <xf numFmtId="0" fontId="4"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30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04" fillId="0" borderId="0"/>
    <xf numFmtId="0" fontId="4" fillId="0" borderId="0"/>
    <xf numFmtId="0" fontId="304" fillId="0" borderId="0"/>
    <xf numFmtId="0" fontId="2" fillId="0" borderId="0"/>
    <xf numFmtId="0" fontId="2" fillId="0" borderId="0"/>
    <xf numFmtId="0" fontId="2" fillId="0" borderId="0"/>
    <xf numFmtId="0" fontId="2" fillId="0" borderId="0"/>
    <xf numFmtId="0" fontId="4" fillId="37" borderId="97" applyNumberFormat="0" applyFont="0" applyAlignment="0" applyProtection="0"/>
    <xf numFmtId="0" fontId="4" fillId="0" borderId="0"/>
    <xf numFmtId="0" fontId="30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0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04" fillId="0" borderId="0"/>
    <xf numFmtId="0" fontId="4" fillId="0" borderId="0"/>
    <xf numFmtId="0" fontId="2" fillId="0" borderId="0"/>
    <xf numFmtId="0" fontId="4" fillId="0" borderId="0"/>
    <xf numFmtId="0" fontId="335" fillId="36" borderId="105" applyNumberFormat="0" applyAlignment="0" applyProtection="0"/>
    <xf numFmtId="0" fontId="4" fillId="0" borderId="0"/>
    <xf numFmtId="0" fontId="335" fillId="36" borderId="105" applyNumberFormat="0" applyAlignment="0" applyProtection="0"/>
    <xf numFmtId="0" fontId="4" fillId="0" borderId="0"/>
    <xf numFmtId="0" fontId="4" fillId="0" borderId="0"/>
    <xf numFmtId="0" fontId="4" fillId="0" borderId="0"/>
    <xf numFmtId="0" fontId="310" fillId="0" borderId="1">
      <alignment horizontal="center"/>
    </xf>
    <xf numFmtId="0" fontId="4" fillId="0" borderId="0"/>
    <xf numFmtId="0" fontId="4" fillId="0" borderId="0"/>
    <xf numFmtId="0" fontId="33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2" fillId="0" borderId="0"/>
    <xf numFmtId="0" fontId="2" fillId="0" borderId="0"/>
    <xf numFmtId="9" fontId="4" fillId="0" borderId="0" applyFont="0" applyFill="0" applyBorder="0" applyAlignment="0" applyProtection="0"/>
    <xf numFmtId="0" fontId="2" fillId="0" borderId="0"/>
    <xf numFmtId="9" fontId="304" fillId="0" borderId="0" applyFont="0" applyFill="0" applyBorder="0" applyAlignment="0" applyProtection="0"/>
    <xf numFmtId="0" fontId="2" fillId="0" borderId="0"/>
    <xf numFmtId="9" fontId="119" fillId="0" borderId="0" applyFont="0" applyFill="0" applyBorder="0" applyAlignment="0" applyProtection="0"/>
    <xf numFmtId="0" fontId="2" fillId="0" borderId="0"/>
    <xf numFmtId="9" fontId="4"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4" fillId="0" borderId="0"/>
    <xf numFmtId="0" fontId="4" fillId="0" borderId="0"/>
    <xf numFmtId="0" fontId="4" fillId="0" borderId="0"/>
    <xf numFmtId="0" fontId="119" fillId="0" borderId="0"/>
    <xf numFmtId="0" fontId="119" fillId="0" borderId="0"/>
    <xf numFmtId="0" fontId="161" fillId="0" borderId="0" applyNumberFormat="0" applyFill="0" applyBorder="0" applyAlignment="0" applyProtection="0"/>
    <xf numFmtId="0" fontId="119" fillId="0" borderId="0"/>
    <xf numFmtId="0" fontId="2" fillId="0" borderId="0"/>
    <xf numFmtId="0" fontId="119" fillId="0" borderId="0"/>
    <xf numFmtId="0" fontId="2" fillId="0" borderId="0"/>
    <xf numFmtId="0" fontId="119" fillId="0" borderId="0"/>
    <xf numFmtId="0" fontId="30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30"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310" fillId="0" borderId="1">
      <alignment horizontal="center"/>
    </xf>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30"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37" borderId="97" applyNumberFormat="0" applyFont="0" applyAlignment="0" applyProtection="0"/>
    <xf numFmtId="0" fontId="2" fillId="0" borderId="0"/>
    <xf numFmtId="0" fontId="4" fillId="37" borderId="97" applyNumberFormat="0" applyFont="0" applyAlignment="0" applyProtection="0"/>
    <xf numFmtId="0" fontId="2" fillId="0" borderId="0"/>
    <xf numFmtId="0" fontId="2" fillId="0" borderId="0"/>
    <xf numFmtId="0" fontId="4" fillId="37" borderId="97" applyNumberFormat="0" applyFont="0" applyAlignment="0" applyProtection="0"/>
    <xf numFmtId="0" fontId="2" fillId="0" borderId="0"/>
    <xf numFmtId="0" fontId="4" fillId="0" borderId="0"/>
    <xf numFmtId="0" fontId="2" fillId="0" borderId="0"/>
    <xf numFmtId="0" fontId="2" fillId="0" borderId="0"/>
    <xf numFmtId="0" fontId="4" fillId="37" borderId="97" applyNumberFormat="0" applyFont="0" applyAlignment="0" applyProtection="0"/>
    <xf numFmtId="0" fontId="2" fillId="0" borderId="0"/>
    <xf numFmtId="0" fontId="2"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4" fillId="0" borderId="9">
      <alignment horizontal="center"/>
    </xf>
    <xf numFmtId="0" fontId="2" fillId="0" borderId="0"/>
    <xf numFmtId="0" fontId="2" fillId="0" borderId="0"/>
    <xf numFmtId="0" fontId="2" fillId="0" borderId="0"/>
    <xf numFmtId="0" fontId="2" fillId="0" borderId="0"/>
    <xf numFmtId="0" fontId="2" fillId="0" borderId="0"/>
    <xf numFmtId="0" fontId="2" fillId="0" borderId="0"/>
    <xf numFmtId="0" fontId="119"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9">
      <alignment horizontal="center"/>
    </xf>
    <xf numFmtId="0" fontId="4" fillId="0" borderId="0"/>
    <xf numFmtId="0" fontId="4" fillId="0" borderId="9">
      <alignment horizontal="center"/>
    </xf>
    <xf numFmtId="0" fontId="4" fillId="0" borderId="0"/>
    <xf numFmtId="0" fontId="4" fillId="0" borderId="0"/>
    <xf numFmtId="0" fontId="4" fillId="0" borderId="0"/>
    <xf numFmtId="9" fontId="2" fillId="0" borderId="0" applyFont="0" applyFill="0" applyBorder="0" applyAlignment="0" applyProtection="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2" fillId="0" borderId="0" applyFont="0" applyFill="0" applyBorder="0" applyAlignment="0" applyProtection="0"/>
    <xf numFmtId="0" fontId="4" fillId="0" borderId="0"/>
    <xf numFmtId="0" fontId="4" fillId="37" borderId="97" applyNumberFormat="0" applyFont="0" applyAlignment="0" applyProtection="0"/>
    <xf numFmtId="0" fontId="4" fillId="0" borderId="0"/>
    <xf numFmtId="0" fontId="4" fillId="0" borderId="9">
      <alignment horizontal="center"/>
    </xf>
    <xf numFmtId="0" fontId="4" fillId="0" borderId="0"/>
    <xf numFmtId="0" fontId="4" fillId="37" borderId="97" applyNumberFormat="0" applyFont="0" applyAlignment="0" applyProtection="0"/>
    <xf numFmtId="0" fontId="4" fillId="0" borderId="0"/>
    <xf numFmtId="0" fontId="4" fillId="37" borderId="97" applyNumberFormat="0" applyFont="0" applyAlignment="0" applyProtection="0"/>
    <xf numFmtId="0" fontId="4" fillId="0" borderId="0"/>
    <xf numFmtId="0" fontId="4" fillId="37" borderId="97" applyNumberFormat="0" applyFont="0" applyAlignment="0" applyProtection="0"/>
    <xf numFmtId="0" fontId="4" fillId="37" borderId="97" applyNumberFormat="0" applyFont="0" applyAlignment="0" applyProtection="0"/>
    <xf numFmtId="0" fontId="4" fillId="0" borderId="0"/>
    <xf numFmtId="0" fontId="4" fillId="37" borderId="97" applyNumberFormat="0" applyFont="0" applyAlignment="0" applyProtection="0"/>
    <xf numFmtId="0" fontId="4" fillId="37" borderId="97" applyNumberFormat="0" applyFont="0" applyAlignment="0" applyProtection="0"/>
    <xf numFmtId="0" fontId="4" fillId="0" borderId="0"/>
    <xf numFmtId="0" fontId="4" fillId="37" borderId="97" applyNumberFormat="0" applyFont="0" applyAlignment="0" applyProtection="0"/>
    <xf numFmtId="0" fontId="4" fillId="0" borderId="0"/>
    <xf numFmtId="0" fontId="4" fillId="37" borderId="97" applyNumberFormat="0" applyFont="0" applyAlignment="0" applyProtection="0"/>
    <xf numFmtId="0" fontId="4" fillId="0" borderId="0"/>
    <xf numFmtId="0" fontId="4" fillId="0" borderId="9">
      <alignment horizontal="center"/>
    </xf>
    <xf numFmtId="0" fontId="4" fillId="0" borderId="0"/>
    <xf numFmtId="0" fontId="4" fillId="0" borderId="0"/>
    <xf numFmtId="0" fontId="4" fillId="0" borderId="0"/>
    <xf numFmtId="0" fontId="4" fillId="0" borderId="0"/>
    <xf numFmtId="0" fontId="4" fillId="0" borderId="9">
      <alignment horizontal="center"/>
    </xf>
    <xf numFmtId="0" fontId="4" fillId="0" borderId="0"/>
    <xf numFmtId="0" fontId="4" fillId="0" borderId="0"/>
    <xf numFmtId="0" fontId="4" fillId="0" borderId="0"/>
    <xf numFmtId="0" fontId="4" fillId="0" borderId="0"/>
    <xf numFmtId="0" fontId="4" fillId="37" borderId="97" applyNumberFormat="0" applyFont="0" applyAlignment="0" applyProtection="0"/>
    <xf numFmtId="0" fontId="4" fillId="0" borderId="0"/>
    <xf numFmtId="0" fontId="4" fillId="0" borderId="9">
      <alignment horizontal="center"/>
    </xf>
    <xf numFmtId="9" fontId="2" fillId="0" borderId="0" applyFont="0" applyFill="0" applyBorder="0" applyAlignment="0" applyProtection="0"/>
    <xf numFmtId="0" fontId="4" fillId="0" borderId="0"/>
    <xf numFmtId="0" fontId="4" fillId="0" borderId="0"/>
    <xf numFmtId="0" fontId="4" fillId="0" borderId="0"/>
    <xf numFmtId="0" fontId="4" fillId="0" borderId="0"/>
    <xf numFmtId="0" fontId="4" fillId="37" borderId="97" applyNumberFormat="0" applyFont="0" applyAlignment="0" applyProtection="0"/>
    <xf numFmtId="0" fontId="4" fillId="0" borderId="0"/>
    <xf numFmtId="0" fontId="4" fillId="0" borderId="0"/>
    <xf numFmtId="0" fontId="4" fillId="37" borderId="97" applyNumberFormat="0" applyFont="0" applyAlignment="0" applyProtection="0"/>
    <xf numFmtId="0" fontId="4" fillId="0" borderId="0"/>
    <xf numFmtId="0" fontId="4" fillId="0" borderId="9">
      <alignment horizontal="center"/>
    </xf>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9">
      <alignment horizontal="center"/>
    </xf>
    <xf numFmtId="0" fontId="4" fillId="0" borderId="0"/>
    <xf numFmtId="0" fontId="4" fillId="0" borderId="9">
      <alignment horizontal="center"/>
    </xf>
    <xf numFmtId="0" fontId="4" fillId="0" borderId="0"/>
    <xf numFmtId="0" fontId="4" fillId="0" borderId="9">
      <alignment horizontal="center"/>
    </xf>
    <xf numFmtId="0" fontId="4" fillId="0" borderId="0"/>
    <xf numFmtId="0" fontId="4" fillId="0" borderId="9">
      <alignment horizontal="center"/>
    </xf>
    <xf numFmtId="0" fontId="4" fillId="0" borderId="0"/>
    <xf numFmtId="0" fontId="4" fillId="0" borderId="9">
      <alignment horizontal="center"/>
    </xf>
    <xf numFmtId="9" fontId="2" fillId="0" borderId="0" applyFont="0" applyFill="0" applyBorder="0" applyAlignment="0" applyProtection="0"/>
    <xf numFmtId="0" fontId="4" fillId="0" borderId="0"/>
    <xf numFmtId="0" fontId="4" fillId="0" borderId="9">
      <alignment horizontal="center"/>
    </xf>
    <xf numFmtId="9" fontId="2" fillId="0" borderId="0" applyFont="0" applyFill="0" applyBorder="0" applyAlignment="0" applyProtection="0"/>
    <xf numFmtId="0" fontId="4" fillId="0" borderId="0"/>
    <xf numFmtId="9" fontId="4" fillId="0" borderId="0" applyFont="0" applyFill="0" applyBorder="0" applyAlignment="0" applyProtection="0"/>
    <xf numFmtId="0" fontId="4" fillId="0" borderId="0"/>
    <xf numFmtId="0" fontId="4" fillId="0" borderId="0"/>
    <xf numFmtId="0" fontId="4" fillId="0" borderId="9">
      <alignment horizontal="center"/>
    </xf>
    <xf numFmtId="0" fontId="4" fillId="0" borderId="0"/>
    <xf numFmtId="0" fontId="4" fillId="0" borderId="9">
      <alignment horizontal="center"/>
    </xf>
    <xf numFmtId="0" fontId="332" fillId="0" borderId="0"/>
    <xf numFmtId="0" fontId="4" fillId="0" borderId="0"/>
    <xf numFmtId="0" fontId="4" fillId="0" borderId="9">
      <alignment horizontal="center"/>
    </xf>
    <xf numFmtId="0" fontId="332" fillId="0" borderId="0"/>
    <xf numFmtId="0" fontId="4" fillId="0" borderId="0"/>
    <xf numFmtId="0" fontId="4" fillId="0" borderId="9">
      <alignment horizontal="center"/>
    </xf>
    <xf numFmtId="0" fontId="4" fillId="0" borderId="0"/>
    <xf numFmtId="0" fontId="4" fillId="0" borderId="9">
      <alignment horizontal="center"/>
    </xf>
    <xf numFmtId="9" fontId="2" fillId="0" borderId="0" applyFont="0" applyFill="0" applyBorder="0" applyAlignment="0" applyProtection="0"/>
    <xf numFmtId="0" fontId="4" fillId="0" borderId="0"/>
    <xf numFmtId="0" fontId="4" fillId="0" borderId="9">
      <alignment horizontal="center"/>
    </xf>
    <xf numFmtId="9" fontId="2" fillId="0" borderId="0" applyFont="0" applyFill="0" applyBorder="0" applyAlignment="0" applyProtection="0"/>
    <xf numFmtId="0" fontId="4" fillId="0" borderId="0"/>
    <xf numFmtId="9" fontId="4" fillId="0" borderId="0" applyFont="0" applyFill="0" applyBorder="0" applyAlignment="0" applyProtection="0"/>
    <xf numFmtId="0" fontId="2" fillId="0" borderId="0"/>
    <xf numFmtId="0" fontId="4" fillId="0" borderId="0"/>
    <xf numFmtId="0" fontId="4" fillId="0" borderId="0"/>
    <xf numFmtId="0" fontId="4" fillId="0" borderId="9">
      <alignment horizontal="center"/>
    </xf>
    <xf numFmtId="0" fontId="4" fillId="0" borderId="0"/>
    <xf numFmtId="0" fontId="4" fillId="0" borderId="9">
      <alignment horizontal="center"/>
    </xf>
    <xf numFmtId="0" fontId="310" fillId="0" borderId="1">
      <alignment horizontal="center"/>
    </xf>
    <xf numFmtId="0" fontId="4" fillId="0" borderId="0"/>
    <xf numFmtId="0" fontId="4" fillId="0" borderId="9">
      <alignment horizontal="center"/>
    </xf>
    <xf numFmtId="0" fontId="4" fillId="0" borderId="0"/>
    <xf numFmtId="0" fontId="4" fillId="0" borderId="9">
      <alignment horizontal="center"/>
    </xf>
    <xf numFmtId="0" fontId="4" fillId="0" borderId="0"/>
    <xf numFmtId="0" fontId="4" fillId="0" borderId="9">
      <alignment horizontal="center"/>
    </xf>
    <xf numFmtId="0" fontId="4" fillId="0" borderId="0"/>
    <xf numFmtId="0" fontId="4" fillId="0" borderId="9">
      <alignment horizontal="center"/>
    </xf>
    <xf numFmtId="0" fontId="4" fillId="0" borderId="0"/>
    <xf numFmtId="9" fontId="4" fillId="0" borderId="0" applyFont="0" applyFill="0" applyBorder="0" applyAlignment="0" applyProtection="0"/>
    <xf numFmtId="0" fontId="2" fillId="0" borderId="0"/>
    <xf numFmtId="0" fontId="4" fillId="0" borderId="0"/>
    <xf numFmtId="0" fontId="4" fillId="0" borderId="0"/>
    <xf numFmtId="0" fontId="4" fillId="0" borderId="9">
      <alignment horizontal="center"/>
    </xf>
    <xf numFmtId="0" fontId="4" fillId="0" borderId="0"/>
    <xf numFmtId="0" fontId="4" fillId="0" borderId="9">
      <alignment horizontal="center"/>
    </xf>
    <xf numFmtId="0" fontId="4" fillId="0" borderId="0"/>
    <xf numFmtId="0" fontId="4" fillId="0" borderId="9">
      <alignment horizontal="center"/>
    </xf>
    <xf numFmtId="0" fontId="4" fillId="0" borderId="0"/>
    <xf numFmtId="0" fontId="4" fillId="0" borderId="9">
      <alignment horizontal="center"/>
    </xf>
    <xf numFmtId="0" fontId="4" fillId="0" borderId="0"/>
    <xf numFmtId="0" fontId="4" fillId="0" borderId="9">
      <alignment horizontal="center"/>
    </xf>
    <xf numFmtId="9" fontId="2" fillId="0" borderId="0" applyFont="0" applyFill="0" applyBorder="0" applyAlignment="0" applyProtection="0"/>
    <xf numFmtId="0" fontId="4" fillId="0" borderId="0"/>
    <xf numFmtId="0" fontId="4" fillId="0" borderId="9">
      <alignment horizontal="center"/>
    </xf>
    <xf numFmtId="9" fontId="2" fillId="0" borderId="0" applyFont="0" applyFill="0" applyBorder="0" applyAlignment="0" applyProtection="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9">
      <alignment horizontal="center"/>
    </xf>
    <xf numFmtId="0" fontId="4" fillId="0" borderId="0"/>
    <xf numFmtId="0" fontId="4" fillId="0" borderId="0"/>
    <xf numFmtId="0" fontId="4" fillId="0" borderId="9">
      <alignment horizontal="center"/>
    </xf>
    <xf numFmtId="0" fontId="4" fillId="0" borderId="0"/>
    <xf numFmtId="0" fontId="4" fillId="0" borderId="0"/>
    <xf numFmtId="0" fontId="4" fillId="0" borderId="9">
      <alignment horizontal="center"/>
    </xf>
    <xf numFmtId="0" fontId="4" fillId="0" borderId="0"/>
    <xf numFmtId="0" fontId="4" fillId="0" borderId="0"/>
    <xf numFmtId="0" fontId="4" fillId="0" borderId="9">
      <alignment horizontal="center"/>
    </xf>
    <xf numFmtId="0" fontId="4" fillId="0" borderId="0"/>
    <xf numFmtId="0" fontId="4" fillId="0" borderId="0"/>
    <xf numFmtId="0" fontId="4" fillId="0" borderId="9">
      <alignment horizontal="center"/>
    </xf>
    <xf numFmtId="0" fontId="4" fillId="0" borderId="0"/>
    <xf numFmtId="0" fontId="4" fillId="0" borderId="0"/>
    <xf numFmtId="0" fontId="4" fillId="0" borderId="9">
      <alignment horizontal="center"/>
    </xf>
    <xf numFmtId="0" fontId="4" fillId="0" borderId="0"/>
    <xf numFmtId="9" fontId="4" fillId="0" borderId="0" applyFont="0" applyFill="0" applyBorder="0" applyAlignment="0" applyProtection="0"/>
    <xf numFmtId="0" fontId="4" fillId="0" borderId="0"/>
    <xf numFmtId="0" fontId="4" fillId="0" borderId="0"/>
    <xf numFmtId="0" fontId="4" fillId="0" borderId="9">
      <alignment horizontal="center"/>
    </xf>
    <xf numFmtId="0" fontId="4" fillId="0" borderId="0"/>
    <xf numFmtId="0" fontId="4" fillId="0" borderId="9">
      <alignment horizontal="center"/>
    </xf>
    <xf numFmtId="0" fontId="4" fillId="0" borderId="0"/>
    <xf numFmtId="0" fontId="4" fillId="0" borderId="9">
      <alignment horizontal="center"/>
    </xf>
    <xf numFmtId="0" fontId="4" fillId="0" borderId="0"/>
    <xf numFmtId="0" fontId="4" fillId="0" borderId="9">
      <alignment horizontal="center"/>
    </xf>
    <xf numFmtId="0" fontId="4" fillId="0" borderId="0"/>
    <xf numFmtId="0" fontId="4" fillId="0" borderId="9">
      <alignment horizontal="center"/>
    </xf>
    <xf numFmtId="0" fontId="4" fillId="0" borderId="0"/>
    <xf numFmtId="0" fontId="4" fillId="0" borderId="9">
      <alignment horizontal="center"/>
    </xf>
    <xf numFmtId="0" fontId="4" fillId="0" borderId="0"/>
    <xf numFmtId="0" fontId="4" fillId="0" borderId="0"/>
    <xf numFmtId="0" fontId="4" fillId="0" borderId="0"/>
    <xf numFmtId="0" fontId="4" fillId="0" borderId="9">
      <alignment horizontal="center"/>
    </xf>
    <xf numFmtId="0" fontId="4" fillId="0" borderId="0"/>
    <xf numFmtId="0" fontId="4" fillId="0" borderId="9">
      <alignment horizontal="center"/>
    </xf>
    <xf numFmtId="0" fontId="4" fillId="0" borderId="0"/>
    <xf numFmtId="0" fontId="4" fillId="0" borderId="9">
      <alignment horizontal="center"/>
    </xf>
    <xf numFmtId="0" fontId="4" fillId="37" borderId="97" applyNumberFormat="0" applyFont="0" applyAlignment="0" applyProtection="0"/>
    <xf numFmtId="0" fontId="4" fillId="0" borderId="0"/>
    <xf numFmtId="0" fontId="4" fillId="0" borderId="9">
      <alignment horizontal="center"/>
    </xf>
    <xf numFmtId="0" fontId="4" fillId="0" borderId="0"/>
    <xf numFmtId="0" fontId="4" fillId="0" borderId="9">
      <alignment horizontal="center"/>
    </xf>
    <xf numFmtId="0" fontId="4" fillId="0" borderId="0"/>
    <xf numFmtId="0" fontId="4" fillId="0" borderId="9">
      <alignment horizontal="center"/>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2"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9" fontId="4" fillId="0" borderId="0" applyFont="0" applyFill="0" applyBorder="0" applyAlignment="0" applyProtection="0"/>
    <xf numFmtId="0" fontId="2" fillId="0" borderId="0"/>
    <xf numFmtId="9" fontId="4" fillId="0" borderId="0" applyFont="0" applyFill="0" applyBorder="0" applyAlignment="0" applyProtection="0"/>
    <xf numFmtId="0" fontId="2" fillId="0" borderId="0"/>
    <xf numFmtId="9" fontId="4" fillId="0" borderId="0" applyFont="0" applyFill="0" applyBorder="0" applyAlignment="0" applyProtection="0"/>
    <xf numFmtId="0" fontId="2" fillId="0" borderId="0"/>
    <xf numFmtId="9" fontId="4" fillId="0" borderId="0" applyFont="0" applyFill="0" applyBorder="0" applyAlignment="0" applyProtection="0"/>
    <xf numFmtId="0" fontId="2" fillId="0" borderId="0"/>
    <xf numFmtId="9" fontId="4" fillId="0" borderId="0" applyFont="0" applyFill="0" applyBorder="0" applyAlignment="0" applyProtection="0"/>
    <xf numFmtId="0" fontId="2" fillId="0" borderId="0"/>
    <xf numFmtId="9" fontId="4" fillId="0" borderId="0" applyFont="0" applyFill="0" applyBorder="0" applyAlignment="0" applyProtection="0"/>
    <xf numFmtId="0" fontId="2" fillId="0" borderId="0"/>
    <xf numFmtId="9" fontId="4" fillId="0" borderId="0" applyFont="0" applyFill="0" applyBorder="0" applyAlignment="0" applyProtection="0"/>
    <xf numFmtId="0" fontId="2" fillId="0" borderId="0"/>
    <xf numFmtId="9" fontId="4" fillId="0" borderId="0" applyFont="0" applyFill="0" applyBorder="0" applyAlignment="0" applyProtection="0"/>
    <xf numFmtId="0" fontId="2" fillId="0" borderId="0"/>
    <xf numFmtId="0" fontId="2" fillId="0" borderId="0"/>
    <xf numFmtId="0" fontId="2" fillId="0" borderId="0"/>
    <xf numFmtId="0" fontId="33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82" fontId="4" fillId="0" borderId="0" applyFont="0" applyFill="0" applyBorder="0" applyAlignment="0" applyProtection="0"/>
    <xf numFmtId="0" fontId="2" fillId="0" borderId="0"/>
    <xf numFmtId="182" fontId="4"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304" fillId="0" borderId="0" applyFont="0" applyFill="0" applyBorder="0" applyAlignment="0" applyProtection="0"/>
    <xf numFmtId="0" fontId="2" fillId="0" borderId="0"/>
    <xf numFmtId="9" fontId="304" fillId="0" borderId="0" applyFont="0" applyFill="0" applyBorder="0" applyAlignment="0" applyProtection="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9" fontId="4" fillId="0" borderId="0" applyFont="0" applyFill="0" applyBorder="0" applyAlignment="0" applyProtection="0"/>
    <xf numFmtId="0" fontId="2" fillId="0" borderId="0"/>
    <xf numFmtId="0" fontId="2" fillId="0" borderId="0"/>
    <xf numFmtId="9" fontId="4"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4" fillId="0" borderId="0"/>
    <xf numFmtId="0" fontId="4" fillId="0" borderId="0"/>
    <xf numFmtId="0" fontId="2"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61" fillId="0" borderId="0" applyNumberFormat="0" applyFill="0" applyBorder="0" applyAlignment="0" applyProtection="0"/>
    <xf numFmtId="0" fontId="4" fillId="0" borderId="0"/>
    <xf numFmtId="0" fontId="161" fillId="0" borderId="0" applyNumberFormat="0" applyFill="0" applyBorder="0" applyAlignment="0" applyProtection="0"/>
    <xf numFmtId="0" fontId="4" fillId="0" borderId="0"/>
    <xf numFmtId="0" fontId="4" fillId="0" borderId="0"/>
    <xf numFmtId="0" fontId="4" fillId="0" borderId="0"/>
    <xf numFmtId="0" fontId="119" fillId="0" borderId="0"/>
    <xf numFmtId="0" fontId="4" fillId="0" borderId="0"/>
    <xf numFmtId="0" fontId="4" fillId="0" borderId="0"/>
    <xf numFmtId="0" fontId="4" fillId="0" borderId="0"/>
    <xf numFmtId="0" fontId="163" fillId="0" borderId="102" applyNumberFormat="0" applyFill="0" applyAlignment="0" applyProtection="0"/>
    <xf numFmtId="0" fontId="4" fillId="0" borderId="0"/>
    <xf numFmtId="0" fontId="163" fillId="0" borderId="102" applyNumberFormat="0" applyFill="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10" fillId="0" borderId="0">
      <alignment horizontal="center" vertical="center"/>
    </xf>
    <xf numFmtId="0" fontId="4" fillId="0" borderId="0"/>
    <xf numFmtId="0" fontId="4" fillId="0" borderId="0"/>
    <xf numFmtId="0" fontId="4" fillId="0" borderId="0"/>
    <xf numFmtId="0" fontId="4" fillId="0" borderId="0"/>
    <xf numFmtId="0" fontId="4" fillId="0" borderId="0"/>
    <xf numFmtId="0" fontId="119" fillId="0" borderId="0"/>
    <xf numFmtId="0" fontId="119" fillId="0" borderId="0"/>
    <xf numFmtId="9" fontId="4" fillId="0" borderId="0" applyFont="0" applyFill="0" applyBorder="0" applyAlignment="0" applyProtection="0"/>
    <xf numFmtId="0" fontId="119" fillId="0" borderId="0"/>
    <xf numFmtId="9" fontId="4" fillId="0" borderId="0" applyFont="0" applyFill="0" applyBorder="0" applyAlignment="0" applyProtection="0"/>
    <xf numFmtId="0" fontId="119" fillId="0" borderId="0"/>
    <xf numFmtId="9" fontId="4" fillId="0" borderId="0" applyFont="0" applyFill="0" applyBorder="0" applyAlignment="0" applyProtection="0"/>
    <xf numFmtId="0" fontId="119" fillId="0" borderId="0"/>
    <xf numFmtId="9" fontId="4" fillId="0" borderId="0" applyFont="0" applyFill="0" applyBorder="0" applyAlignment="0" applyProtection="0"/>
    <xf numFmtId="0" fontId="119"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9" fontId="4" fillId="0" borderId="0" applyFont="0" applyFill="0" applyBorder="0" applyAlignment="0" applyProtection="0"/>
    <xf numFmtId="0" fontId="4" fillId="0" borderId="0"/>
    <xf numFmtId="9" fontId="4" fillId="0" borderId="0" applyFont="0" applyFill="0" applyBorder="0" applyAlignment="0" applyProtection="0"/>
    <xf numFmtId="0" fontId="4" fillId="0" borderId="0"/>
    <xf numFmtId="9" fontId="4" fillId="0" borderId="0" applyFont="0" applyFill="0" applyBorder="0" applyAlignment="0" applyProtection="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20" fillId="0" borderId="1">
      <alignment horizontal="center" vertical="center" wrapText="1"/>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20" fillId="0" borderId="1">
      <alignment horizontal="center" vertical="center" wrapText="1"/>
    </xf>
    <xf numFmtId="0" fontId="4" fillId="0" borderId="0"/>
    <xf numFmtId="9" fontId="2" fillId="0" borderId="0" applyFont="0" applyFill="0" applyBorder="0" applyAlignment="0" applyProtection="0"/>
    <xf numFmtId="0" fontId="4" fillId="0" borderId="0"/>
    <xf numFmtId="9" fontId="2" fillId="0" borderId="0" applyFont="0" applyFill="0" applyBorder="0" applyAlignment="0" applyProtection="0"/>
    <xf numFmtId="0" fontId="4" fillId="0" borderId="0"/>
    <xf numFmtId="9" fontId="2" fillId="0" borderId="0" applyFont="0" applyFill="0" applyBorder="0" applyAlignment="0" applyProtection="0"/>
    <xf numFmtId="9" fontId="2" fillId="0" borderId="0" applyFont="0" applyFill="0" applyBorder="0" applyAlignment="0" applyProtection="0"/>
    <xf numFmtId="0" fontId="4" fillId="0" borderId="0"/>
    <xf numFmtId="9" fontId="2" fillId="0" borderId="0" applyFont="0" applyFill="0" applyBorder="0" applyAlignment="0" applyProtection="0"/>
    <xf numFmtId="9" fontId="2" fillId="0" borderId="0" applyFont="0" applyFill="0" applyBorder="0" applyAlignment="0" applyProtection="0"/>
    <xf numFmtId="0" fontId="4" fillId="0" borderId="0"/>
    <xf numFmtId="9" fontId="2" fillId="0" borderId="0" applyFont="0" applyFill="0" applyBorder="0" applyAlignment="0" applyProtection="0"/>
    <xf numFmtId="0" fontId="4" fillId="0" borderId="0"/>
    <xf numFmtId="0" fontId="4" fillId="0" borderId="0"/>
    <xf numFmtId="0" fontId="326" fillId="0" borderId="0" applyNumberFormat="0" applyFill="0" applyBorder="0" applyAlignment="0" applyProtection="0"/>
    <xf numFmtId="0" fontId="4" fillId="0" borderId="1">
      <alignment vertical="center" wrapText="1" shrinkToFit="1"/>
    </xf>
    <xf numFmtId="0" fontId="4" fillId="0" borderId="1">
      <alignment vertical="center" wrapText="1" shrinkToFit="1"/>
    </xf>
    <xf numFmtId="0" fontId="4" fillId="0" borderId="0"/>
    <xf numFmtId="9" fontId="4" fillId="0" borderId="0" applyFont="0" applyFill="0" applyBorder="0" applyAlignment="0" applyProtection="0"/>
    <xf numFmtId="0" fontId="4" fillId="0" borderId="0"/>
    <xf numFmtId="9" fontId="4" fillId="0" borderId="0" applyFont="0" applyFill="0" applyBorder="0" applyAlignment="0" applyProtection="0"/>
    <xf numFmtId="0" fontId="4" fillId="0" borderId="0"/>
    <xf numFmtId="9" fontId="4" fillId="0" borderId="0" applyFont="0" applyFill="0" applyBorder="0" applyAlignment="0" applyProtection="0"/>
    <xf numFmtId="0" fontId="327" fillId="0" borderId="0"/>
    <xf numFmtId="0" fontId="4" fillId="0" borderId="0"/>
    <xf numFmtId="0" fontId="4" fillId="0" borderId="0"/>
    <xf numFmtId="0" fontId="4" fillId="0" borderId="0"/>
    <xf numFmtId="0" fontId="4" fillId="0" borderId="0">
      <alignment wrapText="1"/>
    </xf>
    <xf numFmtId="0" fontId="4" fillId="0" borderId="0"/>
    <xf numFmtId="0" fontId="4" fillId="37" borderId="97" applyNumberFormat="0" applyFont="0" applyAlignment="0" applyProtection="0"/>
    <xf numFmtId="9" fontId="4" fillId="0" borderId="0" applyFont="0" applyFill="0" applyBorder="0" applyAlignment="0" applyProtection="0"/>
    <xf numFmtId="0" fontId="4" fillId="37" borderId="97" applyNumberFormat="0" applyFont="0" applyAlignment="0" applyProtection="0"/>
    <xf numFmtId="9" fontId="4" fillId="0" borderId="0" applyFont="0" applyFill="0" applyBorder="0" applyAlignment="0" applyProtection="0"/>
    <xf numFmtId="0" fontId="4" fillId="37" borderId="97" applyNumberFormat="0" applyFont="0" applyAlignment="0" applyProtection="0"/>
    <xf numFmtId="9" fontId="4" fillId="0" borderId="0" applyFont="0" applyFill="0" applyBorder="0" applyAlignment="0" applyProtection="0"/>
    <xf numFmtId="0" fontId="4" fillId="37" borderId="97" applyNumberFormat="0" applyFont="0" applyAlignment="0" applyProtection="0"/>
    <xf numFmtId="0" fontId="4" fillId="37" borderId="97" applyNumberFormat="0" applyFont="0" applyAlignment="0" applyProtection="0"/>
    <xf numFmtId="0" fontId="4" fillId="37" borderId="97" applyNumberFormat="0" applyFont="0" applyAlignment="0" applyProtection="0"/>
    <xf numFmtId="0" fontId="4" fillId="37" borderId="97" applyNumberFormat="0" applyFont="0" applyAlignment="0" applyProtection="0"/>
    <xf numFmtId="0" fontId="308" fillId="0" borderId="0"/>
    <xf numFmtId="0" fontId="4" fillId="37" borderId="97" applyNumberFormat="0" applyFont="0" applyAlignment="0" applyProtection="0"/>
    <xf numFmtId="0" fontId="4" fillId="37" borderId="97" applyNumberFormat="0" applyFont="0" applyAlignment="0" applyProtection="0"/>
    <xf numFmtId="0" fontId="4" fillId="37" borderId="97" applyNumberFormat="0" applyFont="0" applyAlignment="0" applyProtection="0"/>
    <xf numFmtId="0" fontId="4" fillId="37" borderId="97" applyNumberFormat="0" applyFont="0" applyAlignment="0" applyProtection="0"/>
    <xf numFmtId="0" fontId="4" fillId="37" borderId="97" applyNumberFormat="0" applyFont="0" applyAlignment="0" applyProtection="0"/>
    <xf numFmtId="0" fontId="4" fillId="37" borderId="97" applyNumberFormat="0" applyFont="0" applyAlignment="0" applyProtection="0"/>
    <xf numFmtId="0" fontId="4" fillId="37" borderId="97" applyNumberFormat="0" applyFont="0" applyAlignment="0" applyProtection="0"/>
    <xf numFmtId="0" fontId="4" fillId="37" borderId="97" applyNumberFormat="0" applyFont="0" applyAlignment="0" applyProtection="0"/>
    <xf numFmtId="0" fontId="4" fillId="37" borderId="97" applyNumberFormat="0" applyFont="0" applyAlignment="0" applyProtection="0"/>
    <xf numFmtId="0" fontId="4" fillId="37" borderId="97" applyNumberFormat="0" applyFont="0" applyAlignment="0" applyProtection="0"/>
    <xf numFmtId="0" fontId="4" fillId="37" borderId="97" applyNumberFormat="0" applyFont="0" applyAlignment="0" applyProtection="0"/>
    <xf numFmtId="0" fontId="4" fillId="37" borderId="97" applyNumberFormat="0" applyFont="0" applyAlignment="0" applyProtection="0"/>
    <xf numFmtId="0" fontId="4" fillId="37" borderId="97" applyNumberFormat="0" applyFont="0" applyAlignment="0" applyProtection="0"/>
    <xf numFmtId="0" fontId="4" fillId="37" borderId="97" applyNumberFormat="0" applyFont="0" applyAlignment="0" applyProtection="0"/>
    <xf numFmtId="0" fontId="4" fillId="37" borderId="97" applyNumberFormat="0" applyFont="0" applyAlignment="0" applyProtection="0"/>
    <xf numFmtId="0" fontId="4" fillId="37" borderId="97" applyNumberFormat="0" applyFont="0" applyAlignment="0" applyProtection="0"/>
    <xf numFmtId="0" fontId="4" fillId="37" borderId="97" applyNumberFormat="0" applyFont="0" applyAlignment="0" applyProtection="0"/>
    <xf numFmtId="0" fontId="4" fillId="37" borderId="97" applyNumberFormat="0" applyFont="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10"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19"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304" fillId="0" borderId="0" applyFont="0" applyFill="0" applyBorder="0" applyAlignment="0" applyProtection="0"/>
    <xf numFmtId="9" fontId="304"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4"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40" fontId="333" fillId="0" borderId="0" applyBorder="0">
      <alignment horizontal="right"/>
    </xf>
    <xf numFmtId="9" fontId="2" fillId="0" borderId="0" applyFont="0" applyFill="0" applyBorder="0" applyAlignment="0" applyProtection="0"/>
    <xf numFmtId="40" fontId="333" fillId="0" borderId="0" applyBorder="0">
      <alignment horizontal="right"/>
    </xf>
    <xf numFmtId="9" fontId="2" fillId="0" borderId="0" applyFont="0" applyFill="0" applyBorder="0" applyAlignment="0" applyProtection="0"/>
    <xf numFmtId="40" fontId="333" fillId="0" borderId="0" applyBorder="0">
      <alignment horizontal="right"/>
    </xf>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304" fillId="0" borderId="0" applyFont="0" applyFill="0" applyBorder="0" applyAlignment="0" applyProtection="0"/>
    <xf numFmtId="9" fontId="304" fillId="0" borderId="0" applyFont="0" applyFill="0" applyBorder="0" applyAlignment="0" applyProtection="0"/>
    <xf numFmtId="9" fontId="304" fillId="0" borderId="0" applyFont="0" applyFill="0" applyBorder="0" applyAlignment="0" applyProtection="0"/>
    <xf numFmtId="9" fontId="30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119" fillId="0" borderId="0" applyFont="0" applyFill="0" applyBorder="0" applyAlignment="0" applyProtection="0"/>
    <xf numFmtId="9" fontId="119"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191" fontId="331" fillId="0" borderId="0" applyNumberFormat="0" applyFill="0" applyBorder="0" applyAlignment="0" applyProtection="0">
      <alignment horizontal="left"/>
    </xf>
    <xf numFmtId="191" fontId="331" fillId="0" borderId="0" applyNumberFormat="0" applyFill="0" applyBorder="0" applyAlignment="0" applyProtection="0">
      <alignment horizontal="left"/>
    </xf>
    <xf numFmtId="0" fontId="310" fillId="0" borderId="1">
      <alignment horizontal="center"/>
    </xf>
    <xf numFmtId="0" fontId="310" fillId="0" borderId="1">
      <alignment horizontal="center"/>
    </xf>
    <xf numFmtId="0" fontId="310" fillId="0" borderId="0">
      <alignment horizontal="center" vertical="center"/>
    </xf>
    <xf numFmtId="49" fontId="4" fillId="0" borderId="0"/>
    <xf numFmtId="182" fontId="4" fillId="0" borderId="0" applyFont="0" applyFill="0" applyBorder="0" applyAlignment="0" applyProtection="0"/>
    <xf numFmtId="182" fontId="4" fillId="0" borderId="0" applyFont="0" applyFill="0" applyBorder="0" applyAlignment="0" applyProtection="0"/>
    <xf numFmtId="182"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26" fillId="0" borderId="0" applyNumberFormat="0" applyFill="0" applyBorder="0" applyAlignment="0" applyProtection="0"/>
    <xf numFmtId="0" fontId="4" fillId="0" borderId="9">
      <alignment horizontal="center"/>
    </xf>
    <xf numFmtId="0" fontId="4" fillId="0" borderId="9">
      <alignment horizontal="center"/>
    </xf>
    <xf numFmtId="0" fontId="4" fillId="0" borderId="9">
      <alignment horizontal="center"/>
    </xf>
    <xf numFmtId="0" fontId="4" fillId="0" borderId="9">
      <alignment horizontal="center"/>
    </xf>
    <xf numFmtId="0" fontId="4" fillId="0" borderId="9">
      <alignment horizontal="center"/>
    </xf>
    <xf numFmtId="0" fontId="4" fillId="0" borderId="9">
      <alignment horizontal="center"/>
    </xf>
    <xf numFmtId="0" fontId="4" fillId="0" borderId="9">
      <alignment horizontal="center"/>
    </xf>
    <xf numFmtId="0" fontId="4" fillId="0" borderId="9">
      <alignment horizontal="center"/>
    </xf>
    <xf numFmtId="0" fontId="4" fillId="0" borderId="9">
      <alignment horizontal="center"/>
    </xf>
    <xf numFmtId="0" fontId="4" fillId="0" borderId="9">
      <alignment horizontal="center"/>
    </xf>
    <xf numFmtId="0" fontId="4" fillId="0" borderId="9">
      <alignment horizontal="center"/>
    </xf>
    <xf numFmtId="0" fontId="4" fillId="0" borderId="9">
      <alignment horizontal="center"/>
    </xf>
    <xf numFmtId="0" fontId="4" fillId="0" borderId="9">
      <alignment horizontal="center"/>
    </xf>
    <xf numFmtId="0" fontId="4" fillId="0" borderId="9">
      <alignment horizontal="center"/>
    </xf>
    <xf numFmtId="0" fontId="4" fillId="0" borderId="9">
      <alignment horizontal="center"/>
    </xf>
    <xf numFmtId="0" fontId="4" fillId="0" borderId="9">
      <alignment horizontal="center"/>
    </xf>
    <xf numFmtId="0" fontId="4" fillId="0" borderId="9">
      <alignment horizontal="center"/>
    </xf>
    <xf numFmtId="0" fontId="4" fillId="0" borderId="9">
      <alignment horizontal="center"/>
    </xf>
    <xf numFmtId="0" fontId="4" fillId="0" borderId="9">
      <alignment horizontal="center"/>
    </xf>
    <xf numFmtId="0" fontId="119" fillId="0" borderId="0"/>
    <xf numFmtId="0" fontId="4" fillId="0" borderId="0"/>
    <xf numFmtId="164" fontId="390" fillId="0" borderId="0" applyFont="0" applyFill="0" applyBorder="0" applyAlignment="0" applyProtection="0"/>
    <xf numFmtId="164" fontId="390" fillId="0" borderId="0" applyFont="0" applyFill="0" applyBorder="0" applyAlignment="0" applyProtection="0"/>
    <xf numFmtId="0" fontId="390" fillId="0" borderId="0"/>
    <xf numFmtId="0" fontId="1" fillId="0" borderId="0"/>
    <xf numFmtId="44" fontId="390" fillId="0" borderId="0" applyFont="0" applyFill="0" applyBorder="0" applyAlignment="0" applyProtection="0"/>
    <xf numFmtId="0" fontId="390" fillId="0" borderId="0"/>
    <xf numFmtId="0" fontId="390" fillId="0" borderId="0"/>
    <xf numFmtId="164" fontId="390" fillId="0" borderId="0" applyFont="0" applyFill="0" applyBorder="0" applyAlignment="0" applyProtection="0"/>
    <xf numFmtId="0" fontId="390" fillId="0" borderId="0"/>
    <xf numFmtId="0" fontId="390" fillId="0" borderId="0"/>
    <xf numFmtId="0" fontId="363" fillId="43" borderId="0" applyNumberFormat="0" applyBorder="0" applyAlignment="0" applyProtection="0"/>
    <xf numFmtId="167" fontId="390" fillId="0" borderId="0" applyFont="0" applyFill="0" applyBorder="0" applyAlignment="0" applyProtection="0"/>
    <xf numFmtId="164" fontId="390" fillId="0" borderId="0" applyFont="0" applyFill="0" applyBorder="0" applyAlignment="0" applyProtection="0"/>
    <xf numFmtId="0" fontId="1" fillId="0" borderId="0"/>
    <xf numFmtId="9" fontId="390" fillId="0" borderId="0" applyFont="0" applyFill="0" applyBorder="0" applyAlignment="0" applyProtection="0"/>
    <xf numFmtId="0" fontId="390" fillId="0" borderId="0"/>
    <xf numFmtId="0" fontId="390" fillId="0" borderId="0"/>
    <xf numFmtId="44" fontId="390" fillId="0" borderId="0" applyFont="0" applyFill="0" applyBorder="0" applyAlignment="0" applyProtection="0"/>
    <xf numFmtId="0" fontId="361" fillId="0" borderId="0" applyNumberFormat="0" applyFill="0" applyBorder="0" applyAlignment="0" applyProtection="0">
      <alignment vertical="top"/>
      <protection locked="0"/>
    </xf>
    <xf numFmtId="0" fontId="353" fillId="0" borderId="0"/>
    <xf numFmtId="0" fontId="390" fillId="0" borderId="0"/>
    <xf numFmtId="164" fontId="390" fillId="0" borderId="0" applyFont="0" applyFill="0" applyBorder="0" applyAlignment="0" applyProtection="0"/>
    <xf numFmtId="0" fontId="363" fillId="41" borderId="0" applyNumberFormat="0" applyBorder="0" applyAlignment="0" applyProtection="0"/>
    <xf numFmtId="9" fontId="1" fillId="0" borderId="0" applyFont="0" applyFill="0" applyBorder="0" applyAlignment="0" applyProtection="0"/>
    <xf numFmtId="0" fontId="390" fillId="0" borderId="0"/>
    <xf numFmtId="0" fontId="390" fillId="0" borderId="0"/>
    <xf numFmtId="0" fontId="390" fillId="0" borderId="9">
      <alignment horizontal="center"/>
    </xf>
    <xf numFmtId="0" fontId="390" fillId="0" borderId="0"/>
    <xf numFmtId="0" fontId="363" fillId="0" borderId="0"/>
    <xf numFmtId="0" fontId="390" fillId="0" borderId="0"/>
    <xf numFmtId="0" fontId="390" fillId="0" borderId="9">
      <alignment horizontal="center"/>
    </xf>
    <xf numFmtId="9" fontId="1" fillId="0" borderId="0" applyFont="0" applyFill="0" applyBorder="0" applyAlignment="0" applyProtection="0"/>
    <xf numFmtId="0" fontId="390" fillId="0" borderId="0"/>
    <xf numFmtId="0" fontId="390" fillId="0" borderId="0"/>
    <xf numFmtId="2" fontId="390" fillId="0" borderId="0" applyFont="0" applyFill="0" applyBorder="0" applyAlignment="0" applyProtection="0"/>
    <xf numFmtId="164" fontId="390" fillId="0" borderId="0" applyFont="0" applyFill="0" applyBorder="0" applyAlignment="0" applyProtection="0"/>
    <xf numFmtId="0" fontId="390" fillId="0" borderId="0"/>
    <xf numFmtId="0" fontId="390" fillId="0" borderId="0"/>
    <xf numFmtId="0" fontId="390" fillId="0" borderId="0"/>
    <xf numFmtId="0" fontId="390" fillId="0" borderId="0"/>
    <xf numFmtId="0" fontId="390" fillId="0" borderId="0"/>
    <xf numFmtId="0" fontId="390" fillId="0" borderId="0"/>
    <xf numFmtId="0" fontId="367" fillId="24" borderId="0" applyNumberFormat="0" applyBorder="0" applyAlignment="0" applyProtection="0"/>
    <xf numFmtId="0" fontId="370" fillId="21" borderId="0" applyNumberFormat="0" applyBorder="0" applyAlignment="0" applyProtection="0"/>
    <xf numFmtId="164" fontId="390" fillId="0" borderId="0" applyFont="0" applyFill="0" applyBorder="0" applyAlignment="0" applyProtection="0"/>
    <xf numFmtId="0" fontId="390" fillId="0" borderId="0"/>
    <xf numFmtId="0" fontId="1" fillId="0" borderId="0"/>
    <xf numFmtId="0" fontId="390" fillId="0" borderId="0"/>
    <xf numFmtId="0" fontId="365" fillId="36" borderId="99" applyNumberFormat="0" applyAlignment="0" applyProtection="0"/>
    <xf numFmtId="0" fontId="390" fillId="0" borderId="0"/>
    <xf numFmtId="164" fontId="390" fillId="0" borderId="0" applyFont="0" applyFill="0" applyBorder="0" applyAlignment="0" applyProtection="0"/>
    <xf numFmtId="0" fontId="390" fillId="0" borderId="0"/>
    <xf numFmtId="164" fontId="390" fillId="0" borderId="0" applyFont="0" applyFill="0" applyBorder="0" applyAlignment="0" applyProtection="0"/>
    <xf numFmtId="0" fontId="1" fillId="0" borderId="0"/>
    <xf numFmtId="0" fontId="374" fillId="0" borderId="0" applyFill="0" applyBorder="0" applyAlignment="0"/>
    <xf numFmtId="0" fontId="390" fillId="0" borderId="0"/>
    <xf numFmtId="0" fontId="390" fillId="0" borderId="0"/>
    <xf numFmtId="0" fontId="390" fillId="0" borderId="0"/>
    <xf numFmtId="0" fontId="1" fillId="0" borderId="0"/>
    <xf numFmtId="0" fontId="390" fillId="0" borderId="0"/>
    <xf numFmtId="2" fontId="390" fillId="0" borderId="0" applyFont="0" applyFill="0" applyBorder="0" applyAlignment="0" applyProtection="0"/>
    <xf numFmtId="164" fontId="390" fillId="0" borderId="0" applyFont="0" applyFill="0" applyBorder="0" applyAlignment="0" applyProtection="0"/>
    <xf numFmtId="0" fontId="390" fillId="0" borderId="0"/>
    <xf numFmtId="0" fontId="390" fillId="0" borderId="0"/>
    <xf numFmtId="0" fontId="390" fillId="0" borderId="0"/>
    <xf numFmtId="0" fontId="390" fillId="0" borderId="0"/>
    <xf numFmtId="2" fontId="390" fillId="0" borderId="0" applyFont="0" applyFill="0" applyBorder="0" applyAlignment="0" applyProtection="0"/>
    <xf numFmtId="164" fontId="390" fillId="0" borderId="0" applyFont="0" applyFill="0" applyBorder="0" applyAlignment="0" applyProtection="0"/>
    <xf numFmtId="0" fontId="1" fillId="0" borderId="0"/>
    <xf numFmtId="0" fontId="363" fillId="39" borderId="0" applyNumberFormat="0" applyBorder="0" applyAlignment="0" applyProtection="0"/>
    <xf numFmtId="0" fontId="390" fillId="0" borderId="0"/>
    <xf numFmtId="0" fontId="1" fillId="0" borderId="0"/>
    <xf numFmtId="0" fontId="363" fillId="39" borderId="0" applyNumberFormat="0" applyBorder="0" applyAlignment="0" applyProtection="0"/>
    <xf numFmtId="2" fontId="390" fillId="0" borderId="0" applyFont="0" applyFill="0" applyBorder="0" applyAlignment="0" applyProtection="0"/>
    <xf numFmtId="164" fontId="390" fillId="0" borderId="0" applyFont="0" applyFill="0" applyBorder="0" applyAlignment="0" applyProtection="0"/>
    <xf numFmtId="0" fontId="1" fillId="0" borderId="0"/>
    <xf numFmtId="0" fontId="367" fillId="34" borderId="0" applyNumberFormat="0" applyBorder="0" applyAlignment="0" applyProtection="0"/>
    <xf numFmtId="0" fontId="390" fillId="0" borderId="0"/>
    <xf numFmtId="0" fontId="390" fillId="0" borderId="0"/>
    <xf numFmtId="0" fontId="390" fillId="0" borderId="0"/>
    <xf numFmtId="0" fontId="390" fillId="0" borderId="0"/>
    <xf numFmtId="0" fontId="390" fillId="0" borderId="0"/>
    <xf numFmtId="0" fontId="390" fillId="0" borderId="0"/>
    <xf numFmtId="164" fontId="390" fillId="0" borderId="0" applyFont="0" applyFill="0" applyBorder="0" applyAlignment="0" applyProtection="0"/>
    <xf numFmtId="164" fontId="390" fillId="0" borderId="0" applyFont="0" applyFill="0" applyBorder="0" applyAlignment="0" applyProtection="0"/>
    <xf numFmtId="0" fontId="390" fillId="0" borderId="0"/>
    <xf numFmtId="0" fontId="1" fillId="0" borderId="0"/>
    <xf numFmtId="0" fontId="363" fillId="45" borderId="0" applyNumberFormat="0" applyBorder="0" applyAlignment="0" applyProtection="0"/>
    <xf numFmtId="0" fontId="353" fillId="0" borderId="0"/>
    <xf numFmtId="0" fontId="1" fillId="0" borderId="0"/>
    <xf numFmtId="0" fontId="378" fillId="0" borderId="101" applyNumberFormat="0" applyFill="0" applyAlignment="0" applyProtection="0"/>
    <xf numFmtId="0" fontId="390" fillId="0" borderId="0"/>
    <xf numFmtId="164" fontId="390" fillId="0" borderId="0" applyFont="0" applyFill="0" applyBorder="0" applyAlignment="0" applyProtection="0"/>
    <xf numFmtId="0" fontId="363" fillId="0" borderId="0"/>
    <xf numFmtId="0" fontId="379" fillId="49" borderId="100" applyNumberFormat="0" applyAlignment="0" applyProtection="0"/>
    <xf numFmtId="0" fontId="390" fillId="0" borderId="0"/>
    <xf numFmtId="0" fontId="390" fillId="0" borderId="0"/>
    <xf numFmtId="164" fontId="390" fillId="0" borderId="0" applyFont="0" applyFill="0" applyBorder="0" applyAlignment="0" applyProtection="0"/>
    <xf numFmtId="0" fontId="390" fillId="0" borderId="0"/>
    <xf numFmtId="0" fontId="390" fillId="0" borderId="0"/>
    <xf numFmtId="0" fontId="390" fillId="0" borderId="0"/>
    <xf numFmtId="0" fontId="353" fillId="0" borderId="0"/>
    <xf numFmtId="0" fontId="367" fillId="52" borderId="0" applyNumberFormat="0" applyBorder="0" applyAlignment="0" applyProtection="0"/>
    <xf numFmtId="1" fontId="390" fillId="0" borderId="0"/>
    <xf numFmtId="0" fontId="367" fillId="24" borderId="0" applyNumberFormat="0" applyBorder="0" applyAlignment="0" applyProtection="0"/>
    <xf numFmtId="0" fontId="390" fillId="0" borderId="0"/>
    <xf numFmtId="164" fontId="390" fillId="0" borderId="0" applyFont="0" applyFill="0" applyBorder="0" applyAlignment="0" applyProtection="0"/>
    <xf numFmtId="0" fontId="363" fillId="18" borderId="0" applyNumberFormat="0" applyBorder="0" applyAlignment="0" applyProtection="0"/>
    <xf numFmtId="0" fontId="390" fillId="0" borderId="0"/>
    <xf numFmtId="182" fontId="390" fillId="0" borderId="0" applyFont="0" applyFill="0" applyBorder="0" applyAlignment="0" applyProtection="0"/>
    <xf numFmtId="0" fontId="1" fillId="0" borderId="0"/>
    <xf numFmtId="44" fontId="390" fillId="0" borderId="0" applyFont="0" applyFill="0" applyBorder="0" applyAlignment="0" applyProtection="0"/>
    <xf numFmtId="9" fontId="390" fillId="0" borderId="0" applyFont="0" applyFill="0" applyBorder="0" applyAlignment="0" applyProtection="0"/>
    <xf numFmtId="0" fontId="353" fillId="0" borderId="0"/>
    <xf numFmtId="0" fontId="1" fillId="0" borderId="0"/>
    <xf numFmtId="164" fontId="390" fillId="0" borderId="0" applyFont="0" applyFill="0" applyBorder="0" applyAlignment="0" applyProtection="0"/>
    <xf numFmtId="0" fontId="390" fillId="0" borderId="0"/>
    <xf numFmtId="9" fontId="1" fillId="0" borderId="0" applyFont="0" applyFill="0" applyBorder="0" applyAlignment="0" applyProtection="0"/>
    <xf numFmtId="0" fontId="390" fillId="0" borderId="0"/>
    <xf numFmtId="164" fontId="390" fillId="0" borderId="0" applyFont="0" applyFill="0" applyBorder="0" applyAlignment="0" applyProtection="0"/>
    <xf numFmtId="0" fontId="367" fillId="48" borderId="0" applyNumberFormat="0" applyBorder="0" applyAlignment="0" applyProtection="0"/>
    <xf numFmtId="0" fontId="390" fillId="0" borderId="0"/>
    <xf numFmtId="0" fontId="390" fillId="0" borderId="0"/>
    <xf numFmtId="0" fontId="353" fillId="0" borderId="0"/>
    <xf numFmtId="164" fontId="390" fillId="0" borderId="0" applyFont="0" applyFill="0" applyBorder="0" applyAlignment="0" applyProtection="0"/>
    <xf numFmtId="0" fontId="390" fillId="0" borderId="0"/>
    <xf numFmtId="0" fontId="390" fillId="0" borderId="0"/>
    <xf numFmtId="0" fontId="390" fillId="0" borderId="0"/>
    <xf numFmtId="9" fontId="1" fillId="0" borderId="0" applyFont="0" applyFill="0" applyBorder="0" applyAlignment="0" applyProtection="0"/>
    <xf numFmtId="0" fontId="390" fillId="0" borderId="0"/>
    <xf numFmtId="0" fontId="348" fillId="0" borderId="14" applyNumberFormat="0" applyAlignment="0" applyProtection="0">
      <alignment horizontal="left" vertical="center"/>
    </xf>
    <xf numFmtId="0" fontId="390" fillId="0" borderId="0"/>
    <xf numFmtId="0" fontId="1" fillId="0" borderId="0"/>
    <xf numFmtId="164" fontId="390" fillId="0" borderId="0" applyFont="0" applyFill="0" applyBorder="0" applyAlignment="0" applyProtection="0"/>
    <xf numFmtId="0" fontId="353" fillId="0" borderId="0"/>
    <xf numFmtId="0" fontId="1" fillId="0" borderId="0"/>
    <xf numFmtId="0" fontId="390" fillId="0" borderId="0"/>
    <xf numFmtId="164" fontId="390" fillId="0" borderId="0" applyFont="0" applyFill="0" applyBorder="0" applyAlignment="0" applyProtection="0"/>
    <xf numFmtId="164" fontId="390" fillId="0" borderId="0" applyFont="0" applyFill="0" applyBorder="0" applyAlignment="0" applyProtection="0"/>
    <xf numFmtId="0" fontId="390" fillId="0" borderId="0"/>
    <xf numFmtId="0" fontId="390" fillId="0" borderId="0"/>
    <xf numFmtId="0" fontId="390" fillId="0" borderId="0"/>
    <xf numFmtId="0" fontId="390" fillId="37" borderId="97" applyNumberFormat="0" applyFont="0" applyAlignment="0" applyProtection="0"/>
    <xf numFmtId="0" fontId="390" fillId="0" borderId="0"/>
    <xf numFmtId="0" fontId="390" fillId="0" borderId="0"/>
    <xf numFmtId="0" fontId="348" fillId="0" borderId="14" applyNumberFormat="0" applyAlignment="0" applyProtection="0">
      <alignment horizontal="left" vertical="center"/>
    </xf>
    <xf numFmtId="0" fontId="390" fillId="0" borderId="0"/>
    <xf numFmtId="0" fontId="1" fillId="0" borderId="0"/>
    <xf numFmtId="164" fontId="390" fillId="0" borderId="0" applyFont="0" applyFill="0" applyBorder="0" applyAlignment="0" applyProtection="0"/>
    <xf numFmtId="0" fontId="1" fillId="0" borderId="0"/>
    <xf numFmtId="0" fontId="1" fillId="0" borderId="0"/>
    <xf numFmtId="0" fontId="390" fillId="0" borderId="0"/>
    <xf numFmtId="164" fontId="390" fillId="0" borderId="0" applyFont="0" applyFill="0" applyBorder="0" applyAlignment="0" applyProtection="0"/>
    <xf numFmtId="0" fontId="390" fillId="0" borderId="0"/>
    <xf numFmtId="0" fontId="1" fillId="0" borderId="0"/>
    <xf numFmtId="164" fontId="390" fillId="0" borderId="0" applyFont="0" applyFill="0" applyBorder="0" applyAlignment="0" applyProtection="0"/>
    <xf numFmtId="0" fontId="353" fillId="0" borderId="0"/>
    <xf numFmtId="0" fontId="1" fillId="0" borderId="0"/>
    <xf numFmtId="0" fontId="367" fillId="48" borderId="0" applyNumberFormat="0" applyBorder="0" applyAlignment="0" applyProtection="0"/>
    <xf numFmtId="0" fontId="390" fillId="0" borderId="0"/>
    <xf numFmtId="0" fontId="390" fillId="0" borderId="0"/>
    <xf numFmtId="0" fontId="353" fillId="0" borderId="0"/>
    <xf numFmtId="0" fontId="390" fillId="0" borderId="0"/>
    <xf numFmtId="164" fontId="390" fillId="0" borderId="0" applyFont="0" applyFill="0" applyBorder="0" applyAlignment="0" applyProtection="0"/>
    <xf numFmtId="0" fontId="390" fillId="0" borderId="0"/>
    <xf numFmtId="0" fontId="1" fillId="0" borderId="0"/>
    <xf numFmtId="0" fontId="390" fillId="0" borderId="0"/>
    <xf numFmtId="164" fontId="390" fillId="0" borderId="0" applyFont="0" applyFill="0" applyBorder="0" applyAlignment="0" applyProtection="0"/>
    <xf numFmtId="0" fontId="390" fillId="0" borderId="0"/>
    <xf numFmtId="164" fontId="390" fillId="0" borderId="0" applyFont="0" applyFill="0" applyBorder="0" applyAlignment="0" applyProtection="0"/>
    <xf numFmtId="0" fontId="390" fillId="0" borderId="0"/>
    <xf numFmtId="0" fontId="1" fillId="0" borderId="0"/>
    <xf numFmtId="0" fontId="1" fillId="0" borderId="0"/>
    <xf numFmtId="164" fontId="390" fillId="0" borderId="0" applyFont="0" applyFill="0" applyBorder="0" applyAlignment="0" applyProtection="0"/>
    <xf numFmtId="0" fontId="390" fillId="0" borderId="0"/>
    <xf numFmtId="0" fontId="390" fillId="0" borderId="0"/>
    <xf numFmtId="0" fontId="390" fillId="0" borderId="0"/>
    <xf numFmtId="0" fontId="367" fillId="42" borderId="0" applyNumberFormat="0" applyBorder="0" applyAlignment="0" applyProtection="0"/>
    <xf numFmtId="164" fontId="390" fillId="0" borderId="0" applyFont="0" applyFill="0" applyBorder="0" applyAlignment="0" applyProtection="0"/>
    <xf numFmtId="0" fontId="390" fillId="0" borderId="0"/>
    <xf numFmtId="0" fontId="1" fillId="0" borderId="0"/>
    <xf numFmtId="164" fontId="390" fillId="0" borderId="0" applyFont="0" applyFill="0" applyBorder="0" applyAlignment="0" applyProtection="0"/>
    <xf numFmtId="0" fontId="390" fillId="0" borderId="0"/>
    <xf numFmtId="0" fontId="390" fillId="0" borderId="0"/>
    <xf numFmtId="164" fontId="390" fillId="0" borderId="0" applyFont="0" applyFill="0" applyBorder="0" applyAlignment="0" applyProtection="0"/>
    <xf numFmtId="9" fontId="363" fillId="0" borderId="0" applyFont="0" applyFill="0" applyBorder="0" applyAlignment="0" applyProtection="0"/>
    <xf numFmtId="0" fontId="367" fillId="47" borderId="0" applyNumberFormat="0" applyBorder="0" applyAlignment="0" applyProtection="0"/>
    <xf numFmtId="0" fontId="372" fillId="0" borderId="98" applyNumberFormat="0" applyFill="0" applyAlignment="0" applyProtection="0"/>
    <xf numFmtId="0" fontId="390" fillId="0" borderId="0"/>
    <xf numFmtId="0" fontId="363" fillId="39" borderId="0" applyNumberFormat="0" applyBorder="0" applyAlignment="0" applyProtection="0"/>
    <xf numFmtId="0" fontId="363" fillId="19" borderId="0" applyNumberFormat="0" applyBorder="0" applyAlignment="0" applyProtection="0"/>
    <xf numFmtId="0" fontId="363" fillId="46" borderId="0" applyNumberFormat="0" applyBorder="0" applyAlignment="0" applyProtection="0"/>
    <xf numFmtId="0" fontId="390" fillId="0" borderId="0"/>
    <xf numFmtId="0" fontId="381" fillId="0" borderId="0">
      <alignment vertical="top"/>
    </xf>
    <xf numFmtId="0" fontId="372" fillId="0" borderId="98" applyNumberFormat="0" applyFill="0" applyAlignment="0" applyProtection="0"/>
    <xf numFmtId="0" fontId="390" fillId="0" borderId="0"/>
    <xf numFmtId="0" fontId="363" fillId="39" borderId="0" applyNumberFormat="0" applyBorder="0" applyAlignment="0" applyProtection="0"/>
    <xf numFmtId="164" fontId="390" fillId="0" borderId="0" applyFont="0" applyFill="0" applyBorder="0" applyAlignment="0" applyProtection="0"/>
    <xf numFmtId="1" fontId="390" fillId="0" borderId="0"/>
    <xf numFmtId="164" fontId="390" fillId="0" borderId="0" applyFont="0" applyFill="0" applyBorder="0" applyAlignment="0" applyProtection="0"/>
    <xf numFmtId="0" fontId="1" fillId="0" borderId="0"/>
    <xf numFmtId="0" fontId="363" fillId="21" borderId="0" applyNumberFormat="0" applyBorder="0" applyAlignment="0" applyProtection="0"/>
    <xf numFmtId="0" fontId="390" fillId="0" borderId="0"/>
    <xf numFmtId="0" fontId="1" fillId="0" borderId="0"/>
    <xf numFmtId="176" fontId="353" fillId="0" borderId="0" applyFont="0" applyFill="0" applyBorder="0" applyAlignment="0" applyProtection="0"/>
    <xf numFmtId="0" fontId="390" fillId="0" borderId="0"/>
    <xf numFmtId="0" fontId="390" fillId="0" borderId="0"/>
    <xf numFmtId="164" fontId="390" fillId="0" borderId="0" applyFont="0" applyFill="0" applyBorder="0" applyAlignment="0" applyProtection="0"/>
    <xf numFmtId="0" fontId="363" fillId="0" borderId="0"/>
    <xf numFmtId="0" fontId="363" fillId="19" borderId="0" applyNumberFormat="0" applyBorder="0" applyAlignment="0" applyProtection="0"/>
    <xf numFmtId="0" fontId="383" fillId="18" borderId="99" applyNumberFormat="0" applyAlignment="0" applyProtection="0"/>
    <xf numFmtId="0" fontId="390" fillId="0" borderId="0"/>
    <xf numFmtId="164" fontId="390" fillId="0" borderId="0" applyFont="0" applyFill="0" applyBorder="0" applyAlignment="0" applyProtection="0"/>
    <xf numFmtId="0" fontId="390" fillId="0" borderId="0"/>
    <xf numFmtId="164" fontId="390" fillId="0" borderId="0" applyFont="0" applyFill="0" applyBorder="0" applyAlignment="0" applyProtection="0"/>
    <xf numFmtId="0" fontId="1" fillId="0" borderId="0"/>
    <xf numFmtId="0" fontId="363" fillId="19" borderId="0" applyNumberFormat="0" applyBorder="0" applyAlignment="0" applyProtection="0"/>
    <xf numFmtId="0" fontId="363" fillId="45" borderId="0" applyNumberFormat="0" applyBorder="0" applyAlignment="0" applyProtection="0"/>
    <xf numFmtId="0" fontId="390" fillId="0" borderId="0"/>
    <xf numFmtId="0" fontId="1" fillId="0" borderId="0"/>
    <xf numFmtId="0" fontId="363" fillId="19" borderId="0" applyNumberFormat="0" applyBorder="0" applyAlignment="0" applyProtection="0"/>
    <xf numFmtId="0" fontId="363" fillId="45" borderId="0" applyNumberFormat="0" applyBorder="0" applyAlignment="0" applyProtection="0"/>
    <xf numFmtId="164" fontId="390" fillId="0" borderId="0" applyFont="0" applyFill="0" applyBorder="0" applyAlignment="0" applyProtection="0"/>
    <xf numFmtId="0" fontId="1" fillId="0" borderId="0"/>
    <xf numFmtId="1" fontId="390" fillId="0" borderId="0"/>
    <xf numFmtId="0" fontId="390" fillId="0" borderId="0"/>
    <xf numFmtId="164" fontId="390" fillId="0" borderId="0" applyFont="0" applyFill="0" applyBorder="0" applyAlignment="0" applyProtection="0"/>
    <xf numFmtId="0" fontId="363" fillId="21" borderId="0" applyNumberFormat="0" applyBorder="0" applyAlignment="0" applyProtection="0"/>
    <xf numFmtId="0" fontId="390" fillId="0" borderId="0"/>
    <xf numFmtId="1" fontId="390" fillId="0" borderId="0"/>
    <xf numFmtId="0" fontId="363" fillId="21" borderId="0" applyNumberFormat="0" applyBorder="0" applyAlignment="0" applyProtection="0"/>
    <xf numFmtId="1" fontId="390" fillId="0" borderId="0"/>
    <xf numFmtId="0" fontId="363" fillId="21" borderId="0" applyNumberFormat="0" applyBorder="0" applyAlignment="0" applyProtection="0"/>
    <xf numFmtId="0" fontId="363" fillId="22" borderId="0" applyNumberFormat="0" applyBorder="0" applyAlignment="0" applyProtection="0"/>
    <xf numFmtId="0" fontId="1" fillId="0" borderId="0"/>
    <xf numFmtId="0" fontId="390" fillId="0" borderId="0"/>
    <xf numFmtId="164" fontId="390" fillId="0" borderId="0" applyFont="0" applyFill="0" applyBorder="0" applyAlignment="0" applyProtection="0"/>
    <xf numFmtId="0" fontId="1" fillId="0" borderId="0"/>
    <xf numFmtId="0" fontId="363" fillId="22" borderId="0" applyNumberFormat="0" applyBorder="0" applyAlignment="0" applyProtection="0"/>
    <xf numFmtId="0" fontId="1" fillId="0" borderId="0"/>
    <xf numFmtId="0" fontId="363" fillId="22" borderId="0" applyNumberFormat="0" applyBorder="0" applyAlignment="0" applyProtection="0"/>
    <xf numFmtId="0" fontId="1" fillId="0" borderId="0"/>
    <xf numFmtId="0" fontId="390" fillId="0" borderId="0"/>
    <xf numFmtId="0" fontId="390" fillId="0" borderId="0"/>
    <xf numFmtId="0" fontId="390" fillId="0" borderId="0"/>
    <xf numFmtId="164" fontId="390" fillId="0" borderId="0" applyFont="0" applyFill="0" applyBorder="0" applyAlignment="0" applyProtection="0"/>
    <xf numFmtId="0" fontId="1" fillId="0" borderId="0"/>
    <xf numFmtId="0" fontId="363" fillId="22" borderId="0" applyNumberFormat="0" applyBorder="0" applyAlignment="0" applyProtection="0"/>
    <xf numFmtId="0" fontId="1" fillId="0" borderId="0"/>
    <xf numFmtId="0" fontId="390" fillId="0" borderId="0"/>
    <xf numFmtId="0" fontId="390" fillId="0" borderId="0"/>
    <xf numFmtId="164" fontId="390" fillId="0" borderId="0" applyFont="0" applyFill="0" applyBorder="0" applyAlignment="0" applyProtection="0"/>
    <xf numFmtId="0" fontId="363" fillId="23" borderId="0" applyNumberFormat="0" applyBorder="0" applyAlignment="0" applyProtection="0"/>
    <xf numFmtId="0" fontId="390" fillId="0" borderId="0"/>
    <xf numFmtId="0" fontId="363" fillId="23" borderId="0" applyNumberFormat="0" applyBorder="0" applyAlignment="0" applyProtection="0"/>
    <xf numFmtId="0" fontId="390" fillId="0" borderId="0"/>
    <xf numFmtId="0" fontId="390" fillId="0" borderId="0"/>
    <xf numFmtId="164" fontId="390" fillId="0" borderId="0" applyFont="0" applyFill="0" applyBorder="0" applyAlignment="0" applyProtection="0"/>
    <xf numFmtId="0" fontId="363" fillId="23" borderId="0" applyNumberFormat="0" applyBorder="0" applyAlignment="0" applyProtection="0"/>
    <xf numFmtId="0" fontId="390" fillId="0" borderId="0"/>
    <xf numFmtId="0" fontId="390" fillId="0" borderId="0"/>
    <xf numFmtId="164" fontId="1" fillId="0" borderId="0" applyFont="0" applyFill="0" applyBorder="0" applyAlignment="0" applyProtection="0"/>
    <xf numFmtId="0" fontId="390" fillId="0" borderId="0"/>
    <xf numFmtId="164" fontId="390" fillId="0" borderId="0" applyFont="0" applyFill="0" applyBorder="0" applyAlignment="0" applyProtection="0"/>
    <xf numFmtId="0" fontId="390" fillId="0" borderId="0"/>
    <xf numFmtId="0" fontId="390" fillId="0" borderId="0"/>
    <xf numFmtId="164" fontId="390" fillId="0" borderId="0" applyFont="0" applyFill="0" applyBorder="0" applyAlignment="0" applyProtection="0"/>
    <xf numFmtId="0" fontId="390" fillId="0" borderId="0"/>
    <xf numFmtId="164" fontId="390" fillId="0" borderId="0" applyFont="0" applyFill="0" applyBorder="0" applyAlignment="0" applyProtection="0"/>
    <xf numFmtId="0" fontId="363" fillId="23" borderId="0" applyNumberFormat="0" applyBorder="0" applyAlignment="0" applyProtection="0"/>
    <xf numFmtId="0" fontId="390" fillId="0" borderId="0"/>
    <xf numFmtId="44" fontId="390" fillId="0" borderId="0" applyFont="0" applyFill="0" applyBorder="0" applyAlignment="0" applyProtection="0"/>
    <xf numFmtId="9" fontId="390" fillId="0" borderId="0" applyFont="0" applyFill="0" applyBorder="0" applyAlignment="0" applyProtection="0"/>
    <xf numFmtId="0" fontId="353" fillId="0" borderId="0"/>
    <xf numFmtId="0" fontId="1" fillId="0" borderId="0"/>
    <xf numFmtId="164" fontId="390" fillId="0" borderId="0" applyFont="0" applyFill="0" applyBorder="0" applyAlignment="0" applyProtection="0"/>
    <xf numFmtId="0" fontId="390" fillId="0" borderId="0"/>
    <xf numFmtId="0" fontId="390" fillId="0" borderId="0"/>
    <xf numFmtId="0" fontId="390" fillId="0" borderId="0"/>
    <xf numFmtId="164" fontId="390" fillId="0" borderId="0" applyFont="0" applyFill="0" applyBorder="0" applyAlignment="0" applyProtection="0"/>
    <xf numFmtId="0" fontId="363" fillId="18" borderId="0" applyNumberFormat="0" applyBorder="0" applyAlignment="0" applyProtection="0"/>
    <xf numFmtId="164" fontId="390" fillId="0" borderId="0" applyFont="0" applyFill="0" applyBorder="0" applyAlignment="0" applyProtection="0"/>
    <xf numFmtId="0" fontId="390" fillId="0" borderId="0"/>
    <xf numFmtId="0" fontId="390" fillId="37" borderId="97" applyNumberFormat="0" applyFont="0" applyAlignment="0" applyProtection="0"/>
    <xf numFmtId="0" fontId="390" fillId="0" borderId="0"/>
    <xf numFmtId="0" fontId="390" fillId="0" borderId="0"/>
    <xf numFmtId="0" fontId="363" fillId="18" borderId="0" applyNumberFormat="0" applyBorder="0" applyAlignment="0" applyProtection="0"/>
    <xf numFmtId="0" fontId="390" fillId="0" borderId="0"/>
    <xf numFmtId="164" fontId="390" fillId="0" borderId="0" applyFont="0" applyFill="0" applyBorder="0" applyAlignment="0" applyProtection="0"/>
    <xf numFmtId="0" fontId="390" fillId="37" borderId="97" applyNumberFormat="0" applyFont="0" applyAlignment="0" applyProtection="0"/>
    <xf numFmtId="0" fontId="390" fillId="0" borderId="0"/>
    <xf numFmtId="0" fontId="390" fillId="0" borderId="0"/>
    <xf numFmtId="37" fontId="364" fillId="0" borderId="0"/>
    <xf numFmtId="0" fontId="363" fillId="18" borderId="0" applyNumberFormat="0" applyBorder="0" applyAlignment="0" applyProtection="0"/>
    <xf numFmtId="0" fontId="365" fillId="36" borderId="99" applyNumberFormat="0" applyAlignment="0" applyProtection="0"/>
    <xf numFmtId="0" fontId="390" fillId="0" borderId="0"/>
    <xf numFmtId="164" fontId="390" fillId="0" borderId="0" applyFont="0" applyFill="0" applyBorder="0" applyAlignment="0" applyProtection="0"/>
    <xf numFmtId="0" fontId="363" fillId="15" borderId="0" applyNumberFormat="0" applyBorder="0" applyAlignment="0" applyProtection="0"/>
    <xf numFmtId="0" fontId="1" fillId="0" borderId="0"/>
    <xf numFmtId="0" fontId="363" fillId="15" borderId="0" applyNumberFormat="0" applyBorder="0" applyAlignment="0" applyProtection="0"/>
    <xf numFmtId="0" fontId="390" fillId="0" borderId="0"/>
    <xf numFmtId="0" fontId="363" fillId="15" borderId="0" applyNumberFormat="0" applyBorder="0" applyAlignment="0" applyProtection="0"/>
    <xf numFmtId="164" fontId="390" fillId="0" borderId="0" applyFont="0" applyFill="0" applyBorder="0" applyAlignment="0" applyProtection="0"/>
    <xf numFmtId="0" fontId="363" fillId="15" borderId="0" applyNumberFormat="0" applyBorder="0" applyAlignment="0" applyProtection="0"/>
    <xf numFmtId="0" fontId="363" fillId="20" borderId="0" applyNumberFormat="0" applyBorder="0" applyAlignment="0" applyProtection="0"/>
    <xf numFmtId="0" fontId="363" fillId="20" borderId="0" applyNumberFormat="0" applyBorder="0" applyAlignment="0" applyProtection="0"/>
    <xf numFmtId="0" fontId="390" fillId="0" borderId="0"/>
    <xf numFmtId="0" fontId="390" fillId="0" borderId="0"/>
    <xf numFmtId="0" fontId="353" fillId="0" borderId="0"/>
    <xf numFmtId="0" fontId="390" fillId="0" borderId="0"/>
    <xf numFmtId="0" fontId="363" fillId="20" borderId="0" applyNumberFormat="0" applyBorder="0" applyAlignment="0" applyProtection="0"/>
    <xf numFmtId="0" fontId="390" fillId="0" borderId="0"/>
    <xf numFmtId="0" fontId="353" fillId="0" borderId="0"/>
    <xf numFmtId="0" fontId="390" fillId="0" borderId="0"/>
    <xf numFmtId="164" fontId="390" fillId="0" borderId="0" applyFont="0" applyFill="0" applyBorder="0" applyAlignment="0" applyProtection="0"/>
    <xf numFmtId="0" fontId="363" fillId="20" borderId="0" applyNumberFormat="0" applyBorder="0" applyAlignment="0" applyProtection="0"/>
    <xf numFmtId="0" fontId="363" fillId="24" borderId="0" applyNumberFormat="0" applyBorder="0" applyAlignment="0" applyProtection="0"/>
    <xf numFmtId="0" fontId="390" fillId="0" borderId="0"/>
    <xf numFmtId="0" fontId="363" fillId="24" borderId="0" applyNumberFormat="0" applyBorder="0" applyAlignment="0" applyProtection="0"/>
    <xf numFmtId="0" fontId="367" fillId="54" borderId="0" applyNumberFormat="0" applyBorder="0" applyAlignment="0" applyProtection="0"/>
    <xf numFmtId="0" fontId="390" fillId="0" borderId="0"/>
    <xf numFmtId="0" fontId="390" fillId="0" borderId="0"/>
    <xf numFmtId="0" fontId="390" fillId="0" borderId="0"/>
    <xf numFmtId="0" fontId="363" fillId="24" borderId="0" applyNumberFormat="0" applyBorder="0" applyAlignment="0" applyProtection="0"/>
    <xf numFmtId="0" fontId="390" fillId="0" borderId="0"/>
    <xf numFmtId="0" fontId="390" fillId="0" borderId="0"/>
    <xf numFmtId="0" fontId="390" fillId="0" borderId="0"/>
    <xf numFmtId="0" fontId="390" fillId="0" borderId="0"/>
    <xf numFmtId="1" fontId="390" fillId="0" borderId="0"/>
    <xf numFmtId="0" fontId="363" fillId="22" borderId="0" applyNumberFormat="0" applyBorder="0" applyAlignment="0" applyProtection="0"/>
    <xf numFmtId="0" fontId="363" fillId="24" borderId="0" applyNumberFormat="0" applyBorder="0" applyAlignment="0" applyProtection="0"/>
    <xf numFmtId="0" fontId="1" fillId="0" borderId="0"/>
    <xf numFmtId="0" fontId="390" fillId="0" borderId="0"/>
    <xf numFmtId="1" fontId="390" fillId="0" borderId="0"/>
    <xf numFmtId="0" fontId="363" fillId="22" borderId="0" applyNumberFormat="0" applyBorder="0" applyAlignment="0" applyProtection="0"/>
    <xf numFmtId="1" fontId="390" fillId="0" borderId="0"/>
    <xf numFmtId="0" fontId="363" fillId="22" borderId="0" applyNumberFormat="0" applyBorder="0" applyAlignment="0" applyProtection="0"/>
    <xf numFmtId="0" fontId="390" fillId="0" borderId="0"/>
    <xf numFmtId="1" fontId="390" fillId="0" borderId="0"/>
    <xf numFmtId="0" fontId="363" fillId="22" borderId="0" applyNumberFormat="0" applyBorder="0" applyAlignment="0" applyProtection="0"/>
    <xf numFmtId="0" fontId="390" fillId="0" borderId="0"/>
    <xf numFmtId="0" fontId="363" fillId="15" borderId="0" applyNumberFormat="0" applyBorder="0" applyAlignment="0" applyProtection="0"/>
    <xf numFmtId="0" fontId="390" fillId="0" borderId="0"/>
    <xf numFmtId="40" fontId="355" fillId="0" borderId="0"/>
    <xf numFmtId="0" fontId="363" fillId="15" borderId="0" applyNumberFormat="0" applyBorder="0" applyAlignment="0" applyProtection="0"/>
    <xf numFmtId="0" fontId="390" fillId="0" borderId="0"/>
    <xf numFmtId="0" fontId="390" fillId="0" borderId="0"/>
    <xf numFmtId="164" fontId="390" fillId="0" borderId="0" applyFont="0" applyFill="0" applyBorder="0" applyAlignment="0" applyProtection="0"/>
    <xf numFmtId="0" fontId="390" fillId="0" borderId="0"/>
    <xf numFmtId="10" fontId="350" fillId="37" borderId="1" applyNumberFormat="0" applyBorder="0" applyAlignment="0" applyProtection="0"/>
    <xf numFmtId="44" fontId="390" fillId="0" borderId="0" applyFont="0" applyFill="0" applyBorder="0" applyAlignment="0" applyProtection="0"/>
    <xf numFmtId="0" fontId="363" fillId="15" borderId="0" applyNumberFormat="0" applyBorder="0" applyAlignment="0" applyProtection="0"/>
    <xf numFmtId="0" fontId="390" fillId="0" borderId="0"/>
    <xf numFmtId="0" fontId="1" fillId="0" borderId="0"/>
    <xf numFmtId="0" fontId="390" fillId="0" borderId="0"/>
    <xf numFmtId="164" fontId="390" fillId="0" borderId="0" applyFont="0" applyFill="0" applyBorder="0" applyAlignment="0" applyProtection="0"/>
    <xf numFmtId="0" fontId="353" fillId="0" borderId="0"/>
    <xf numFmtId="0" fontId="353" fillId="0" borderId="0"/>
    <xf numFmtId="0" fontId="390" fillId="0" borderId="0"/>
    <xf numFmtId="0" fontId="367" fillId="55" borderId="0" applyNumberFormat="0" applyBorder="0" applyAlignment="0" applyProtection="0"/>
    <xf numFmtId="0" fontId="363" fillId="15" borderId="0" applyNumberFormat="0" applyBorder="0" applyAlignment="0" applyProtection="0"/>
    <xf numFmtId="9" fontId="1" fillId="0" borderId="0" applyFont="0" applyFill="0" applyBorder="0" applyAlignment="0" applyProtection="0"/>
    <xf numFmtId="0" fontId="363" fillId="17" borderId="0" applyNumberFormat="0" applyBorder="0" applyAlignment="0" applyProtection="0"/>
    <xf numFmtId="0" fontId="1" fillId="0" borderId="0"/>
    <xf numFmtId="0" fontId="367" fillId="40" borderId="0" applyNumberFormat="0" applyBorder="0" applyAlignment="0" applyProtection="0"/>
    <xf numFmtId="0" fontId="1" fillId="0" borderId="0"/>
    <xf numFmtId="9" fontId="1" fillId="0" borderId="0" applyFont="0" applyFill="0" applyBorder="0" applyAlignment="0" applyProtection="0"/>
    <xf numFmtId="0" fontId="363" fillId="17" borderId="0" applyNumberFormat="0" applyBorder="0" applyAlignment="0" applyProtection="0"/>
    <xf numFmtId="0" fontId="390" fillId="0" borderId="0"/>
    <xf numFmtId="0" fontId="390" fillId="37" borderId="97" applyNumberFormat="0" applyFont="0" applyAlignment="0" applyProtection="0"/>
    <xf numFmtId="0" fontId="390" fillId="0" borderId="0"/>
    <xf numFmtId="0" fontId="390" fillId="0" borderId="0"/>
    <xf numFmtId="0" fontId="390" fillId="0" borderId="0"/>
    <xf numFmtId="0" fontId="390" fillId="0" borderId="0"/>
    <xf numFmtId="0" fontId="390" fillId="0" borderId="0"/>
    <xf numFmtId="164" fontId="390" fillId="0" borderId="0" applyFont="0" applyFill="0" applyBorder="0" applyAlignment="0" applyProtection="0"/>
    <xf numFmtId="9" fontId="1" fillId="0" borderId="0" applyFont="0" applyFill="0" applyBorder="0" applyAlignment="0" applyProtection="0"/>
    <xf numFmtId="0" fontId="363" fillId="17" borderId="0" applyNumberFormat="0" applyBorder="0" applyAlignment="0" applyProtection="0"/>
    <xf numFmtId="0" fontId="390" fillId="0" borderId="0"/>
    <xf numFmtId="0" fontId="390" fillId="37" borderId="97" applyNumberFormat="0" applyFont="0" applyAlignment="0" applyProtection="0"/>
    <xf numFmtId="0" fontId="390" fillId="0" borderId="0"/>
    <xf numFmtId="0" fontId="390" fillId="0" borderId="0"/>
    <xf numFmtId="0" fontId="390" fillId="0" borderId="0"/>
    <xf numFmtId="0" fontId="1" fillId="0" borderId="0"/>
    <xf numFmtId="0" fontId="390" fillId="0" borderId="0"/>
    <xf numFmtId="0" fontId="390" fillId="0" borderId="0"/>
    <xf numFmtId="164" fontId="390" fillId="0" borderId="0" applyFont="0" applyFill="0" applyBorder="0" applyAlignment="0" applyProtection="0"/>
    <xf numFmtId="1" fontId="390" fillId="0" borderId="0"/>
    <xf numFmtId="164" fontId="390" fillId="0" borderId="0" applyFont="0" applyFill="0" applyBorder="0" applyAlignment="0" applyProtection="0"/>
    <xf numFmtId="0" fontId="367" fillId="42" borderId="0" applyNumberFormat="0" applyBorder="0" applyAlignment="0" applyProtection="0"/>
    <xf numFmtId="9" fontId="1" fillId="0" borderId="0" applyFont="0" applyFill="0" applyBorder="0" applyAlignment="0" applyProtection="0"/>
    <xf numFmtId="0" fontId="390" fillId="0" borderId="0"/>
    <xf numFmtId="9" fontId="1" fillId="0" borderId="0" applyFont="0" applyFill="0" applyBorder="0" applyAlignment="0" applyProtection="0"/>
    <xf numFmtId="0" fontId="363" fillId="17" borderId="0" applyNumberFormat="0" applyBorder="0" applyAlignment="0" applyProtection="0"/>
    <xf numFmtId="0" fontId="363" fillId="45" borderId="0" applyNumberFormat="0" applyBorder="0" applyAlignment="0" applyProtection="0"/>
    <xf numFmtId="0" fontId="1" fillId="0" borderId="0"/>
    <xf numFmtId="1" fontId="390" fillId="0" borderId="0"/>
    <xf numFmtId="0" fontId="367" fillId="40" borderId="0" applyNumberFormat="0" applyBorder="0" applyAlignment="0" applyProtection="0"/>
    <xf numFmtId="9" fontId="1" fillId="0" borderId="0" applyFont="0" applyFill="0" applyBorder="0" applyAlignment="0" applyProtection="0"/>
    <xf numFmtId="184" fontId="353" fillId="0" borderId="0" applyFont="0" applyFill="0" applyBorder="0" applyAlignment="0" applyProtection="0"/>
    <xf numFmtId="0" fontId="1" fillId="0" borderId="0"/>
    <xf numFmtId="0" fontId="367" fillId="40" borderId="0" applyNumberFormat="0" applyBorder="0" applyAlignment="0" applyProtection="0"/>
    <xf numFmtId="0" fontId="1" fillId="0" borderId="0"/>
    <xf numFmtId="0" fontId="1" fillId="0" borderId="0"/>
    <xf numFmtId="1" fontId="390" fillId="0" borderId="0"/>
    <xf numFmtId="0" fontId="367" fillId="40" borderId="0" applyNumberFormat="0" applyBorder="0" applyAlignment="0" applyProtection="0"/>
    <xf numFmtId="9" fontId="1" fillId="0" borderId="0" applyFont="0" applyFill="0" applyBorder="0" applyAlignment="0" applyProtection="0"/>
    <xf numFmtId="0" fontId="390" fillId="0" borderId="0"/>
    <xf numFmtId="0" fontId="367" fillId="56" borderId="0" applyNumberFormat="0" applyBorder="0" applyAlignment="0" applyProtection="0"/>
    <xf numFmtId="184" fontId="353" fillId="0" borderId="0" applyFont="0" applyFill="0" applyBorder="0" applyAlignment="0" applyProtection="0"/>
    <xf numFmtId="1" fontId="390" fillId="0" borderId="0"/>
    <xf numFmtId="0" fontId="367" fillId="20" borderId="0" applyNumberFormat="0" applyBorder="0" applyAlignment="0" applyProtection="0"/>
    <xf numFmtId="0" fontId="367" fillId="20" borderId="0" applyNumberFormat="0" applyBorder="0" applyAlignment="0" applyProtection="0"/>
    <xf numFmtId="0" fontId="390" fillId="0" borderId="0"/>
    <xf numFmtId="0" fontId="367" fillId="20" borderId="0" applyNumberFormat="0" applyBorder="0" applyAlignment="0" applyProtection="0"/>
    <xf numFmtId="0" fontId="390" fillId="0" borderId="0"/>
    <xf numFmtId="1" fontId="390" fillId="0" borderId="0"/>
    <xf numFmtId="0" fontId="367" fillId="20" borderId="0" applyNumberFormat="0" applyBorder="0" applyAlignment="0" applyProtection="0"/>
    <xf numFmtId="9" fontId="1" fillId="0" borderId="0" applyFont="0" applyFill="0" applyBorder="0" applyAlignment="0" applyProtection="0"/>
    <xf numFmtId="0" fontId="390" fillId="0" borderId="0"/>
    <xf numFmtId="0" fontId="353" fillId="0" borderId="0"/>
    <xf numFmtId="0" fontId="390" fillId="0" borderId="0"/>
    <xf numFmtId="0" fontId="367" fillId="24" borderId="0" applyNumberFormat="0" applyBorder="0" applyAlignment="0" applyProtection="0"/>
    <xf numFmtId="0" fontId="370" fillId="21" borderId="0" applyNumberFormat="0" applyBorder="0" applyAlignment="0" applyProtection="0"/>
    <xf numFmtId="1" fontId="390" fillId="0" borderId="0"/>
    <xf numFmtId="0" fontId="367" fillId="24" borderId="0" applyNumberFormat="0" applyBorder="0" applyAlignment="0" applyProtection="0"/>
    <xf numFmtId="1" fontId="390" fillId="0" borderId="0"/>
    <xf numFmtId="164" fontId="390" fillId="0" borderId="0" applyFont="0" applyFill="0" applyBorder="0" applyAlignment="0" applyProtection="0"/>
    <xf numFmtId="0" fontId="367" fillId="42" borderId="0" applyNumberFormat="0" applyBorder="0" applyAlignment="0" applyProtection="0"/>
    <xf numFmtId="0" fontId="367" fillId="42" borderId="0" applyNumberFormat="0" applyBorder="0" applyAlignment="0" applyProtection="0"/>
    <xf numFmtId="176" fontId="353" fillId="0" borderId="0" applyFont="0" applyFill="0" applyBorder="0" applyAlignment="0" applyProtection="0"/>
    <xf numFmtId="176" fontId="353" fillId="0" borderId="0" applyFont="0" applyFill="0" applyBorder="0" applyAlignment="0" applyProtection="0"/>
    <xf numFmtId="1" fontId="390" fillId="0" borderId="0"/>
    <xf numFmtId="0" fontId="367" fillId="42" borderId="0" applyNumberFormat="0" applyBorder="0" applyAlignment="0" applyProtection="0"/>
    <xf numFmtId="176" fontId="353" fillId="0" borderId="0" applyFont="0" applyFill="0" applyBorder="0" applyAlignment="0" applyProtection="0"/>
    <xf numFmtId="176" fontId="353" fillId="0" borderId="0" applyFont="0" applyFill="0" applyBorder="0" applyAlignment="0" applyProtection="0"/>
    <xf numFmtId="1" fontId="390" fillId="0" borderId="0"/>
    <xf numFmtId="0" fontId="367" fillId="38" borderId="0" applyNumberFormat="0" applyBorder="0" applyAlignment="0" applyProtection="0"/>
    <xf numFmtId="0" fontId="390" fillId="0" borderId="0"/>
    <xf numFmtId="0" fontId="367" fillId="38" borderId="0" applyNumberFormat="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0" fontId="367" fillId="38" borderId="0" applyNumberFormat="0" applyBorder="0" applyAlignment="0" applyProtection="0"/>
    <xf numFmtId="0" fontId="378" fillId="0" borderId="101" applyNumberFormat="0" applyFill="0" applyAlignment="0" applyProtection="0"/>
    <xf numFmtId="0" fontId="390" fillId="0" borderId="0"/>
    <xf numFmtId="0" fontId="367" fillId="38" borderId="0" applyNumberFormat="0" applyBorder="0" applyAlignment="0" applyProtection="0"/>
    <xf numFmtId="1" fontId="390" fillId="0" borderId="0"/>
    <xf numFmtId="0" fontId="390" fillId="0" borderId="0"/>
    <xf numFmtId="164" fontId="390" fillId="0" borderId="0" applyFont="0" applyFill="0" applyBorder="0" applyAlignment="0" applyProtection="0"/>
    <xf numFmtId="0" fontId="390" fillId="0" borderId="0"/>
    <xf numFmtId="0" fontId="367" fillId="53" borderId="0" applyNumberFormat="0" applyBorder="0" applyAlignment="0" applyProtection="0"/>
    <xf numFmtId="1" fontId="390" fillId="0" borderId="0"/>
    <xf numFmtId="164" fontId="390" fillId="0" borderId="0" applyFont="0" applyFill="0" applyBorder="0" applyAlignment="0" applyProtection="0"/>
    <xf numFmtId="171" fontId="352" fillId="0" borderId="25">
      <alignment horizontal="right"/>
    </xf>
    <xf numFmtId="0" fontId="390" fillId="0" borderId="0"/>
    <xf numFmtId="0" fontId="390" fillId="0" borderId="0"/>
    <xf numFmtId="0" fontId="367" fillId="53" borderId="0" applyNumberFormat="0" applyBorder="0" applyAlignment="0" applyProtection="0"/>
    <xf numFmtId="0" fontId="353" fillId="0" borderId="0"/>
    <xf numFmtId="0" fontId="390" fillId="0" borderId="0"/>
    <xf numFmtId="0" fontId="367" fillId="53" borderId="0" applyNumberFormat="0" applyBorder="0" applyAlignment="0" applyProtection="0"/>
    <xf numFmtId="0" fontId="390" fillId="0" borderId="0"/>
    <xf numFmtId="0" fontId="390" fillId="0" borderId="0"/>
    <xf numFmtId="164" fontId="390" fillId="0" borderId="0" applyFont="0" applyFill="0" applyBorder="0" applyAlignment="0" applyProtection="0"/>
    <xf numFmtId="0" fontId="390" fillId="0" borderId="0"/>
    <xf numFmtId="0" fontId="367" fillId="53" borderId="0" applyNumberFormat="0" applyBorder="0" applyAlignment="0" applyProtection="0"/>
    <xf numFmtId="1" fontId="390" fillId="0" borderId="0"/>
    <xf numFmtId="185" fontId="353" fillId="0" borderId="0" applyFont="0" applyFill="0" applyBorder="0" applyAlignment="0" applyProtection="0"/>
    <xf numFmtId="0" fontId="363" fillId="45" borderId="0" applyNumberFormat="0" applyBorder="0" applyAlignment="0" applyProtection="0"/>
    <xf numFmtId="0" fontId="390" fillId="0" borderId="0"/>
    <xf numFmtId="0" fontId="363" fillId="45" borderId="0" applyNumberFormat="0" applyBorder="0" applyAlignment="0" applyProtection="0"/>
    <xf numFmtId="0" fontId="390" fillId="0" borderId="0"/>
    <xf numFmtId="0" fontId="390" fillId="0" borderId="0"/>
    <xf numFmtId="0" fontId="390" fillId="0" borderId="0"/>
    <xf numFmtId="0" fontId="363" fillId="45" borderId="0" applyNumberFormat="0" applyBorder="0" applyAlignment="0" applyProtection="0"/>
    <xf numFmtId="0" fontId="1" fillId="0" borderId="0"/>
    <xf numFmtId="0" fontId="390" fillId="0" borderId="0"/>
    <xf numFmtId="164" fontId="390" fillId="0" borderId="0" applyFont="0" applyFill="0" applyBorder="0" applyAlignment="0" applyProtection="0"/>
    <xf numFmtId="164" fontId="390" fillId="0" borderId="0" applyFont="0" applyFill="0" applyBorder="0" applyAlignment="0" applyProtection="0"/>
    <xf numFmtId="0" fontId="367" fillId="34" borderId="0" applyNumberFormat="0" applyBorder="0" applyAlignment="0" applyProtection="0"/>
    <xf numFmtId="9" fontId="390" fillId="0" borderId="0" applyFont="0" applyFill="0" applyBorder="0" applyAlignment="0" applyProtection="0"/>
    <xf numFmtId="0" fontId="367" fillId="42" borderId="0" applyNumberFormat="0" applyBorder="0" applyAlignment="0" applyProtection="0"/>
    <xf numFmtId="0" fontId="390" fillId="0" borderId="0"/>
    <xf numFmtId="0" fontId="390" fillId="37" borderId="97" applyNumberFormat="0" applyFont="0" applyAlignment="0" applyProtection="0"/>
    <xf numFmtId="0" fontId="390" fillId="0" borderId="0"/>
    <xf numFmtId="0" fontId="367" fillId="54" borderId="0" applyNumberFormat="0" applyBorder="0" applyAlignment="0" applyProtection="0"/>
    <xf numFmtId="1" fontId="390" fillId="0" borderId="0"/>
    <xf numFmtId="0" fontId="390" fillId="0" borderId="0"/>
    <xf numFmtId="0" fontId="390" fillId="0" borderId="0"/>
    <xf numFmtId="0" fontId="367" fillId="54" borderId="0" applyNumberFormat="0" applyBorder="0" applyAlignment="0" applyProtection="0"/>
    <xf numFmtId="0" fontId="390" fillId="0" borderId="0"/>
    <xf numFmtId="0" fontId="390" fillId="0" borderId="0"/>
    <xf numFmtId="0" fontId="367" fillId="54" borderId="0" applyNumberFormat="0" applyBorder="0" applyAlignment="0" applyProtection="0"/>
    <xf numFmtId="0" fontId="390" fillId="0" borderId="0"/>
    <xf numFmtId="164" fontId="390" fillId="0" borderId="0" applyFont="0" applyFill="0" applyBorder="0" applyAlignment="0" applyProtection="0"/>
    <xf numFmtId="0" fontId="367" fillId="55" borderId="0" applyNumberFormat="0" applyBorder="0" applyAlignment="0" applyProtection="0"/>
    <xf numFmtId="0" fontId="367" fillId="55" borderId="0" applyNumberFormat="0" applyBorder="0" applyAlignment="0" applyProtection="0"/>
    <xf numFmtId="164" fontId="390" fillId="0" borderId="0" applyFont="0" applyFill="0" applyBorder="0" applyAlignment="0" applyProtection="0"/>
    <xf numFmtId="0" fontId="367" fillId="55" borderId="0" applyNumberFormat="0" applyBorder="0" applyAlignment="0" applyProtection="0"/>
    <xf numFmtId="0" fontId="390" fillId="0" borderId="0"/>
    <xf numFmtId="0" fontId="363" fillId="43" borderId="0" applyNumberFormat="0" applyBorder="0" applyAlignment="0" applyProtection="0"/>
    <xf numFmtId="164" fontId="390" fillId="0" borderId="0" applyFont="0" applyFill="0" applyBorder="0" applyAlignment="0" applyProtection="0"/>
    <xf numFmtId="2" fontId="390" fillId="0" borderId="0" applyFont="0" applyFill="0" applyBorder="0" applyAlignment="0" applyProtection="0"/>
    <xf numFmtId="0" fontId="390" fillId="0" borderId="0"/>
    <xf numFmtId="0" fontId="390" fillId="0" borderId="0"/>
    <xf numFmtId="0" fontId="363" fillId="43" borderId="0" applyNumberFormat="0" applyBorder="0" applyAlignment="0" applyProtection="0"/>
    <xf numFmtId="167" fontId="390" fillId="0" borderId="0" applyFont="0" applyFill="0" applyBorder="0" applyAlignment="0" applyProtection="0"/>
    <xf numFmtId="0" fontId="390" fillId="0" borderId="0"/>
    <xf numFmtId="164" fontId="390" fillId="0" borderId="0" applyFont="0" applyFill="0" applyBorder="0" applyAlignment="0" applyProtection="0"/>
    <xf numFmtId="0" fontId="390" fillId="0" borderId="0"/>
    <xf numFmtId="0" fontId="390" fillId="0" borderId="0"/>
    <xf numFmtId="164" fontId="390" fillId="0" borderId="0" applyFont="0" applyFill="0" applyBorder="0" applyAlignment="0" applyProtection="0"/>
    <xf numFmtId="0" fontId="390" fillId="0" borderId="0"/>
    <xf numFmtId="0" fontId="376" fillId="0" borderId="0" applyNumberFormat="0" applyFill="0" applyBorder="0" applyAlignment="0" applyProtection="0">
      <alignment vertical="top"/>
      <protection locked="0"/>
    </xf>
    <xf numFmtId="0" fontId="390" fillId="0" borderId="0"/>
    <xf numFmtId="0" fontId="363" fillId="41" borderId="0" applyNumberFormat="0" applyBorder="0" applyAlignment="0" applyProtection="0"/>
    <xf numFmtId="0" fontId="390" fillId="0" borderId="0"/>
    <xf numFmtId="164" fontId="390" fillId="0" borderId="0" applyFont="0" applyFill="0" applyBorder="0" applyAlignment="0" applyProtection="0"/>
    <xf numFmtId="0" fontId="390" fillId="0" borderId="0"/>
    <xf numFmtId="0" fontId="390" fillId="0" borderId="0"/>
    <xf numFmtId="164" fontId="1" fillId="0" borderId="0" applyFont="0" applyFill="0" applyBorder="0" applyAlignment="0" applyProtection="0"/>
    <xf numFmtId="0" fontId="390" fillId="0" borderId="0"/>
    <xf numFmtId="0" fontId="363" fillId="41" borderId="0" applyNumberFormat="0" applyBorder="0" applyAlignment="0" applyProtection="0"/>
    <xf numFmtId="0" fontId="390" fillId="0" borderId="0"/>
    <xf numFmtId="0" fontId="1" fillId="0" borderId="0"/>
    <xf numFmtId="0" fontId="1" fillId="0" borderId="0"/>
    <xf numFmtId="1" fontId="390" fillId="0" borderId="0"/>
    <xf numFmtId="0" fontId="353" fillId="0" borderId="0"/>
    <xf numFmtId="164" fontId="390" fillId="0" borderId="0" applyFont="0" applyFill="0" applyBorder="0" applyAlignment="0" applyProtection="0"/>
    <xf numFmtId="0" fontId="367" fillId="56" borderId="0" applyNumberFormat="0" applyBorder="0" applyAlignment="0" applyProtection="0"/>
    <xf numFmtId="0" fontId="390" fillId="0" borderId="0"/>
    <xf numFmtId="179" fontId="390" fillId="0" borderId="0" applyFill="0" applyBorder="0" applyAlignment="0" applyProtection="0"/>
    <xf numFmtId="0" fontId="367" fillId="56" borderId="0" applyNumberFormat="0" applyBorder="0" applyAlignment="0" applyProtection="0"/>
    <xf numFmtId="0" fontId="390" fillId="0" borderId="0"/>
    <xf numFmtId="1" fontId="390" fillId="0" borderId="0"/>
    <xf numFmtId="0" fontId="1" fillId="0" borderId="0"/>
    <xf numFmtId="0" fontId="1" fillId="0" borderId="0"/>
    <xf numFmtId="0" fontId="390" fillId="0" borderId="0"/>
    <xf numFmtId="164" fontId="390" fillId="0" borderId="0" applyFont="0" applyFill="0" applyBorder="0" applyAlignment="0" applyProtection="0"/>
    <xf numFmtId="164" fontId="390" fillId="0" borderId="0" applyFont="0" applyFill="0" applyBorder="0" applyAlignment="0" applyProtection="0"/>
    <xf numFmtId="0" fontId="367" fillId="47" borderId="0" applyNumberFormat="0" applyBorder="0" applyAlignment="0" applyProtection="0"/>
    <xf numFmtId="0" fontId="367" fillId="47" borderId="0" applyNumberFormat="0" applyBorder="0" applyAlignment="0" applyProtection="0"/>
    <xf numFmtId="9" fontId="363" fillId="0" borderId="0" applyFont="0" applyFill="0" applyBorder="0" applyAlignment="0" applyProtection="0"/>
    <xf numFmtId="164" fontId="390" fillId="0" borderId="0" applyFont="0" applyFill="0" applyBorder="0" applyAlignment="0" applyProtection="0"/>
    <xf numFmtId="0" fontId="386" fillId="39" borderId="0" applyNumberFormat="0" applyBorder="0" applyAlignment="0" applyProtection="0"/>
    <xf numFmtId="0" fontId="367" fillId="47" borderId="0" applyNumberFormat="0" applyBorder="0" applyAlignment="0" applyProtection="0"/>
    <xf numFmtId="0" fontId="1" fillId="0" borderId="0"/>
    <xf numFmtId="0" fontId="390" fillId="0" borderId="0"/>
    <xf numFmtId="164" fontId="390" fillId="0" borderId="0" applyFont="0" applyFill="0" applyBorder="0" applyAlignment="0" applyProtection="0"/>
    <xf numFmtId="0" fontId="367" fillId="38" borderId="0" applyNumberFormat="0" applyBorder="0" applyAlignment="0" applyProtection="0"/>
    <xf numFmtId="0" fontId="390" fillId="0" borderId="0"/>
    <xf numFmtId="9" fontId="390" fillId="0" borderId="0" applyFont="0" applyFill="0" applyBorder="0" applyAlignment="0" applyProtection="0"/>
    <xf numFmtId="0" fontId="390" fillId="0" borderId="0"/>
    <xf numFmtId="0" fontId="390" fillId="0" borderId="0"/>
    <xf numFmtId="0" fontId="390" fillId="37" borderId="97" applyNumberFormat="0" applyFont="0" applyAlignment="0" applyProtection="0"/>
    <xf numFmtId="0" fontId="363" fillId="43" borderId="0" applyNumberFormat="0" applyBorder="0" applyAlignment="0" applyProtection="0"/>
    <xf numFmtId="0" fontId="367" fillId="38" borderId="0" applyNumberFormat="0" applyBorder="0" applyAlignment="0" applyProtection="0"/>
    <xf numFmtId="0" fontId="390" fillId="0" borderId="0"/>
    <xf numFmtId="0" fontId="390" fillId="0" borderId="0"/>
    <xf numFmtId="0" fontId="363" fillId="43" borderId="0" applyNumberFormat="0" applyBorder="0" applyAlignment="0" applyProtection="0"/>
    <xf numFmtId="9" fontId="1" fillId="0" borderId="0" applyFont="0" applyFill="0" applyBorder="0" applyAlignment="0" applyProtection="0"/>
    <xf numFmtId="0" fontId="367" fillId="38" borderId="0" applyNumberFormat="0" applyBorder="0" applyAlignment="0" applyProtection="0"/>
    <xf numFmtId="0" fontId="390" fillId="0" borderId="0"/>
    <xf numFmtId="0" fontId="390" fillId="0" borderId="0"/>
    <xf numFmtId="0" fontId="363" fillId="43" borderId="0" applyNumberFormat="0" applyBorder="0" applyAlignment="0" applyProtection="0"/>
    <xf numFmtId="9" fontId="1" fillId="0" borderId="0" applyFont="0" applyFill="0" applyBorder="0" applyAlignment="0" applyProtection="0"/>
    <xf numFmtId="0" fontId="390" fillId="0" borderId="0"/>
    <xf numFmtId="164" fontId="390" fillId="0" borderId="0" applyFont="0" applyFill="0" applyBorder="0" applyAlignment="0" applyProtection="0"/>
    <xf numFmtId="164" fontId="390" fillId="0" borderId="0" applyFont="0" applyFill="0" applyBorder="0" applyAlignment="0" applyProtection="0"/>
    <xf numFmtId="0" fontId="1" fillId="0" borderId="0"/>
    <xf numFmtId="0" fontId="353" fillId="0" borderId="0"/>
    <xf numFmtId="0" fontId="1" fillId="0" borderId="0"/>
    <xf numFmtId="0" fontId="1" fillId="0" borderId="0"/>
    <xf numFmtId="0" fontId="363" fillId="57" borderId="0" applyNumberFormat="0" applyBorder="0" applyAlignment="0" applyProtection="0"/>
    <xf numFmtId="0" fontId="390" fillId="0" borderId="0"/>
    <xf numFmtId="0" fontId="390" fillId="37" borderId="97" applyNumberFormat="0" applyFont="0" applyAlignment="0" applyProtection="0"/>
    <xf numFmtId="9" fontId="390" fillId="0" borderId="0" applyFont="0" applyFill="0" applyBorder="0" applyAlignment="0" applyProtection="0"/>
    <xf numFmtId="0" fontId="363" fillId="57" borderId="0" applyNumberFormat="0" applyBorder="0" applyAlignment="0" applyProtection="0"/>
    <xf numFmtId="0" fontId="379" fillId="49" borderId="100" applyNumberFormat="0" applyAlignment="0" applyProtection="0"/>
    <xf numFmtId="0" fontId="1" fillId="0" borderId="0"/>
    <xf numFmtId="0" fontId="363" fillId="57" borderId="0" applyNumberFormat="0" applyBorder="0" applyAlignment="0" applyProtection="0"/>
    <xf numFmtId="0" fontId="1" fillId="0" borderId="0"/>
    <xf numFmtId="0" fontId="367" fillId="41" borderId="0" applyNumberFormat="0" applyBorder="0" applyAlignment="0" applyProtection="0"/>
    <xf numFmtId="0" fontId="353" fillId="0" borderId="0"/>
    <xf numFmtId="164" fontId="390" fillId="0" borderId="0" applyFont="0" applyFill="0" applyBorder="0" applyAlignment="0" applyProtection="0"/>
    <xf numFmtId="0" fontId="390" fillId="0" borderId="0"/>
    <xf numFmtId="0" fontId="1" fillId="0" borderId="0"/>
    <xf numFmtId="0" fontId="1" fillId="0" borderId="0"/>
    <xf numFmtId="182" fontId="390" fillId="0" borderId="0" applyFont="0" applyFill="0" applyBorder="0" applyAlignment="0" applyProtection="0"/>
    <xf numFmtId="176" fontId="353" fillId="0" borderId="0" applyFont="0" applyFill="0" applyBorder="0" applyAlignment="0" applyProtection="0"/>
    <xf numFmtId="0" fontId="1" fillId="0" borderId="0"/>
    <xf numFmtId="0" fontId="390" fillId="0" borderId="0"/>
    <xf numFmtId="0" fontId="359" fillId="58" borderId="0" applyNumberFormat="0" applyBorder="0" applyAlignment="0" applyProtection="0"/>
    <xf numFmtId="0" fontId="367" fillId="41" borderId="0" applyNumberFormat="0" applyBorder="0" applyAlignment="0" applyProtection="0"/>
    <xf numFmtId="0" fontId="390" fillId="0" borderId="0"/>
    <xf numFmtId="0" fontId="390" fillId="37" borderId="97" applyNumberFormat="0" applyFont="0" applyAlignment="0" applyProtection="0"/>
    <xf numFmtId="0" fontId="359" fillId="0" borderId="102" applyNumberFormat="0" applyFill="0" applyAlignment="0" applyProtection="0"/>
    <xf numFmtId="0" fontId="1" fillId="0" borderId="0"/>
    <xf numFmtId="164" fontId="390" fillId="0" borderId="0" applyFont="0" applyFill="0" applyBorder="0" applyAlignment="0" applyProtection="0"/>
    <xf numFmtId="0" fontId="1" fillId="0" borderId="0"/>
    <xf numFmtId="0" fontId="367" fillId="41" borderId="0" applyNumberFormat="0" applyBorder="0" applyAlignment="0" applyProtection="0"/>
    <xf numFmtId="0" fontId="1" fillId="0" borderId="0"/>
    <xf numFmtId="164" fontId="390" fillId="0" borderId="0" applyFont="0" applyFill="0" applyBorder="0" applyAlignment="0" applyProtection="0"/>
    <xf numFmtId="0" fontId="367" fillId="41" borderId="0" applyNumberFormat="0" applyBorder="0" applyAlignment="0" applyProtection="0"/>
    <xf numFmtId="0" fontId="1" fillId="0" borderId="0"/>
    <xf numFmtId="0" fontId="353" fillId="0" borderId="0"/>
    <xf numFmtId="0" fontId="390" fillId="0" borderId="0"/>
    <xf numFmtId="164" fontId="390" fillId="0" borderId="0" applyFont="0" applyFill="0" applyBorder="0" applyAlignment="0" applyProtection="0"/>
    <xf numFmtId="0" fontId="390" fillId="0" borderId="0"/>
    <xf numFmtId="0" fontId="390" fillId="0" borderId="0"/>
    <xf numFmtId="0" fontId="367" fillId="52" borderId="0" applyNumberFormat="0" applyBorder="0" applyAlignment="0" applyProtection="0"/>
    <xf numFmtId="0" fontId="390" fillId="0" borderId="0"/>
    <xf numFmtId="0" fontId="390" fillId="0" borderId="0"/>
    <xf numFmtId="164" fontId="390" fillId="0" borderId="0" applyFont="0" applyFill="0" applyBorder="0" applyAlignment="0" applyProtection="0"/>
    <xf numFmtId="0" fontId="390" fillId="0" borderId="0"/>
    <xf numFmtId="0" fontId="367" fillId="52" borderId="0" applyNumberFormat="0" applyBorder="0" applyAlignment="0" applyProtection="0"/>
    <xf numFmtId="0" fontId="367" fillId="52" borderId="0" applyNumberFormat="0" applyBorder="0" applyAlignment="0" applyProtection="0"/>
    <xf numFmtId="0" fontId="390" fillId="0" borderId="0"/>
    <xf numFmtId="0" fontId="363" fillId="45" borderId="0" applyNumberFormat="0" applyBorder="0" applyAlignment="0" applyProtection="0"/>
    <xf numFmtId="0" fontId="390" fillId="0" borderId="0"/>
    <xf numFmtId="183" fontId="353" fillId="0" borderId="0" applyFont="0" applyFill="0" applyBorder="0" applyAlignment="0" applyProtection="0"/>
    <xf numFmtId="164" fontId="1" fillId="0" borderId="0" applyFont="0" applyFill="0" applyBorder="0" applyAlignment="0" applyProtection="0"/>
    <xf numFmtId="176" fontId="353" fillId="0" borderId="0" applyFont="0" applyFill="0" applyBorder="0" applyAlignment="0" applyProtection="0"/>
    <xf numFmtId="1" fontId="390" fillId="0" borderId="0"/>
    <xf numFmtId="0" fontId="363" fillId="45" borderId="0" applyNumberFormat="0" applyBorder="0" applyAlignment="0" applyProtection="0"/>
    <xf numFmtId="0" fontId="1" fillId="0" borderId="0"/>
    <xf numFmtId="0" fontId="390" fillId="0" borderId="0"/>
    <xf numFmtId="0" fontId="390" fillId="0" borderId="0"/>
    <xf numFmtId="0" fontId="363" fillId="41" borderId="0" applyNumberFormat="0" applyBorder="0" applyAlignment="0" applyProtection="0"/>
    <xf numFmtId="9" fontId="390" fillId="0" borderId="0" applyFont="0" applyFill="0" applyBorder="0" applyAlignment="0" applyProtection="0"/>
    <xf numFmtId="0" fontId="390" fillId="0" borderId="0"/>
    <xf numFmtId="0" fontId="1" fillId="0" borderId="0"/>
    <xf numFmtId="0" fontId="390" fillId="0" borderId="0"/>
    <xf numFmtId="0" fontId="1" fillId="0" borderId="0"/>
    <xf numFmtId="164" fontId="390" fillId="0" borderId="0" applyFont="0" applyFill="0" applyBorder="0" applyAlignment="0" applyProtection="0"/>
    <xf numFmtId="0" fontId="390" fillId="0" borderId="0"/>
    <xf numFmtId="0" fontId="363" fillId="48" borderId="0" applyNumberFormat="0" applyBorder="0" applyAlignment="0" applyProtection="0"/>
    <xf numFmtId="0" fontId="390" fillId="0" borderId="0"/>
    <xf numFmtId="0" fontId="390" fillId="0" borderId="0"/>
    <xf numFmtId="0" fontId="363" fillId="41" borderId="0" applyNumberFormat="0" applyBorder="0" applyAlignment="0" applyProtection="0"/>
    <xf numFmtId="164" fontId="390" fillId="0" borderId="0" applyFont="0" applyFill="0" applyBorder="0" applyAlignment="0" applyProtection="0"/>
    <xf numFmtId="0" fontId="390" fillId="0" borderId="0"/>
    <xf numFmtId="0" fontId="363" fillId="41" borderId="0" applyNumberFormat="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0" fontId="1" fillId="0" borderId="0"/>
    <xf numFmtId="0" fontId="1" fillId="0" borderId="0"/>
    <xf numFmtId="0" fontId="390" fillId="0" borderId="0"/>
    <xf numFmtId="0" fontId="1" fillId="0" borderId="0"/>
    <xf numFmtId="0" fontId="367" fillId="41" borderId="0" applyNumberFormat="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0" fontId="390" fillId="0" borderId="0"/>
    <xf numFmtId="0" fontId="390" fillId="0" borderId="0"/>
    <xf numFmtId="0" fontId="1" fillId="0" borderId="0"/>
    <xf numFmtId="0" fontId="367" fillId="41" borderId="0" applyNumberFormat="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0" fontId="1" fillId="0" borderId="0"/>
    <xf numFmtId="0" fontId="390" fillId="0" borderId="0"/>
    <xf numFmtId="164" fontId="390" fillId="0" borderId="0" applyFont="0" applyFill="0" applyBorder="0" applyAlignment="0" applyProtection="0"/>
    <xf numFmtId="0" fontId="367" fillId="34" borderId="0" applyNumberFormat="0" applyBorder="0" applyAlignment="0" applyProtection="0"/>
    <xf numFmtId="9" fontId="390" fillId="0" borderId="0" applyFont="0" applyFill="0" applyBorder="0" applyAlignment="0" applyProtection="0"/>
    <xf numFmtId="0" fontId="385" fillId="0" borderId="0" applyNumberFormat="0" applyAlignment="0">
      <alignment horizontal="left"/>
    </xf>
    <xf numFmtId="0" fontId="367" fillId="42" borderId="0" applyNumberFormat="0" applyBorder="0" applyAlignment="0" applyProtection="0"/>
    <xf numFmtId="0" fontId="390" fillId="0" borderId="0"/>
    <xf numFmtId="0" fontId="367" fillId="42" borderId="0" applyNumberFormat="0" applyBorder="0" applyAlignment="0" applyProtection="0"/>
    <xf numFmtId="164" fontId="390" fillId="0" borderId="0" applyFont="0" applyFill="0" applyBorder="0" applyAlignment="0" applyProtection="0"/>
    <xf numFmtId="0" fontId="1" fillId="0" borderId="0"/>
    <xf numFmtId="0" fontId="363" fillId="46" borderId="0" applyNumberFormat="0" applyBorder="0" applyAlignment="0" applyProtection="0"/>
    <xf numFmtId="164" fontId="390" fillId="0" borderId="0" applyFont="0" applyFill="0" applyBorder="0" applyAlignment="0" applyProtection="0"/>
    <xf numFmtId="0" fontId="1" fillId="0" borderId="0"/>
    <xf numFmtId="0" fontId="363" fillId="46" borderId="0" applyNumberFormat="0" applyBorder="0" applyAlignment="0" applyProtection="0"/>
    <xf numFmtId="0" fontId="353" fillId="0" borderId="0"/>
    <xf numFmtId="164" fontId="390" fillId="0" borderId="0" applyFont="0" applyFill="0" applyBorder="0" applyAlignment="0" applyProtection="0"/>
    <xf numFmtId="0" fontId="390" fillId="0" borderId="0"/>
    <xf numFmtId="0" fontId="363" fillId="45" borderId="0" applyNumberFormat="0" applyBorder="0" applyAlignment="0" applyProtection="0"/>
    <xf numFmtId="0" fontId="390" fillId="0" borderId="0"/>
    <xf numFmtId="0" fontId="363" fillId="45" borderId="0" applyNumberFormat="0" applyBorder="0" applyAlignment="0" applyProtection="0"/>
    <xf numFmtId="0" fontId="390" fillId="0" borderId="0"/>
    <xf numFmtId="0" fontId="363" fillId="45" borderId="0" applyNumberFormat="0" applyBorder="0" applyAlignment="0" applyProtection="0"/>
    <xf numFmtId="0" fontId="390" fillId="0" borderId="0"/>
    <xf numFmtId="0" fontId="1" fillId="0" borderId="0"/>
    <xf numFmtId="0" fontId="367" fillId="54" borderId="0" applyNumberFormat="0" applyBorder="0" applyAlignment="0" applyProtection="0"/>
    <xf numFmtId="0" fontId="367" fillId="54" borderId="0" applyNumberFormat="0" applyBorder="0" applyAlignment="0" applyProtection="0"/>
    <xf numFmtId="0" fontId="367" fillId="38" borderId="0" applyNumberFormat="0" applyBorder="0" applyAlignment="0" applyProtection="0"/>
    <xf numFmtId="0" fontId="390" fillId="0" borderId="0"/>
    <xf numFmtId="9" fontId="390" fillId="0" borderId="0" applyFont="0" applyFill="0" applyBorder="0" applyAlignment="0" applyProtection="0"/>
    <xf numFmtId="0" fontId="390" fillId="0" borderId="0"/>
    <xf numFmtId="0" fontId="390" fillId="0" borderId="0"/>
    <xf numFmtId="0" fontId="363" fillId="43" borderId="0" applyNumberFormat="0" applyBorder="0" applyAlignment="0" applyProtection="0"/>
    <xf numFmtId="9" fontId="1" fillId="0" borderId="0" applyFont="0" applyFill="0" applyBorder="0" applyAlignment="0" applyProtection="0"/>
    <xf numFmtId="0" fontId="390" fillId="0" borderId="0"/>
    <xf numFmtId="0" fontId="390" fillId="0" borderId="0"/>
    <xf numFmtId="0" fontId="356" fillId="0" borderId="1">
      <alignment wrapText="1"/>
    </xf>
    <xf numFmtId="9" fontId="1" fillId="0" borderId="0" applyFont="0" applyFill="0" applyBorder="0" applyAlignment="0" applyProtection="0"/>
    <xf numFmtId="164" fontId="390" fillId="0" borderId="0" applyFont="0" applyFill="0" applyBorder="0" applyAlignment="0" applyProtection="0"/>
    <xf numFmtId="0" fontId="390" fillId="0" borderId="0"/>
    <xf numFmtId="0" fontId="1" fillId="0" borderId="0"/>
    <xf numFmtId="0" fontId="363" fillId="43" borderId="0" applyNumberFormat="0" applyBorder="0" applyAlignment="0" applyProtection="0"/>
    <xf numFmtId="0" fontId="390" fillId="0" borderId="0"/>
    <xf numFmtId="0" fontId="390" fillId="0" borderId="0"/>
    <xf numFmtId="0" fontId="390" fillId="37" borderId="97" applyNumberFormat="0" applyFont="0" applyAlignment="0" applyProtection="0"/>
    <xf numFmtId="0" fontId="390" fillId="0" borderId="0"/>
    <xf numFmtId="9" fontId="1"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0" fontId="390" fillId="0" borderId="0"/>
    <xf numFmtId="0" fontId="1" fillId="0" borderId="0"/>
    <xf numFmtId="0" fontId="363" fillId="43" borderId="0" applyNumberFormat="0" applyBorder="0" applyAlignment="0" applyProtection="0"/>
    <xf numFmtId="0" fontId="390" fillId="0" borderId="0"/>
    <xf numFmtId="0" fontId="390" fillId="0" borderId="0"/>
    <xf numFmtId="0" fontId="390" fillId="37" borderId="97" applyNumberFormat="0" applyFont="0" applyAlignment="0" applyProtection="0"/>
    <xf numFmtId="164" fontId="390" fillId="0" borderId="0" applyFont="0" applyFill="0" applyBorder="0" applyAlignment="0" applyProtection="0"/>
    <xf numFmtId="0" fontId="363" fillId="48" borderId="0" applyNumberFormat="0" applyBorder="0" applyAlignment="0" applyProtection="0"/>
    <xf numFmtId="44" fontId="390" fillId="0" borderId="0" applyFont="0" applyFill="0" applyBorder="0" applyAlignment="0" applyProtection="0"/>
    <xf numFmtId="0" fontId="390" fillId="0" borderId="0"/>
    <xf numFmtId="0" fontId="374" fillId="0" borderId="0" applyFill="0" applyBorder="0" applyAlignment="0"/>
    <xf numFmtId="0" fontId="390" fillId="0" borderId="9">
      <alignment horizontal="center"/>
    </xf>
    <xf numFmtId="164" fontId="390" fillId="0" borderId="0" applyFont="0" applyFill="0" applyBorder="0" applyAlignment="0" applyProtection="0"/>
    <xf numFmtId="0" fontId="390" fillId="0" borderId="0"/>
    <xf numFmtId="0" fontId="390" fillId="0" borderId="0"/>
    <xf numFmtId="0" fontId="363" fillId="48" borderId="0" applyNumberFormat="0" applyBorder="0" applyAlignment="0" applyProtection="0"/>
    <xf numFmtId="0" fontId="353" fillId="0" borderId="0"/>
    <xf numFmtId="44" fontId="390" fillId="0" borderId="0" applyFont="0" applyFill="0" applyBorder="0" applyAlignment="0" applyProtection="0"/>
    <xf numFmtId="0" fontId="390" fillId="0" borderId="0"/>
    <xf numFmtId="0" fontId="367" fillId="48" borderId="0" applyNumberFormat="0" applyBorder="0" applyAlignment="0" applyProtection="0"/>
    <xf numFmtId="1" fontId="390" fillId="0" borderId="0"/>
    <xf numFmtId="0" fontId="390" fillId="0" borderId="0"/>
    <xf numFmtId="0" fontId="390" fillId="0" borderId="0"/>
    <xf numFmtId="0" fontId="367" fillId="34" borderId="0" applyNumberFormat="0" applyBorder="0" applyAlignment="0" applyProtection="0"/>
    <xf numFmtId="0" fontId="370" fillId="21" borderId="0" applyNumberFormat="0" applyBorder="0" applyAlignment="0" applyProtection="0"/>
    <xf numFmtId="0" fontId="370" fillId="21" borderId="0" applyNumberFormat="0" applyBorder="0" applyAlignment="0" applyProtection="0"/>
    <xf numFmtId="0" fontId="390" fillId="0" borderId="0"/>
    <xf numFmtId="0" fontId="390" fillId="0" borderId="0"/>
    <xf numFmtId="164" fontId="390" fillId="0" borderId="0" applyFont="0" applyFill="0" applyBorder="0" applyAlignment="0" applyProtection="0"/>
    <xf numFmtId="0" fontId="363" fillId="0" borderId="0"/>
    <xf numFmtId="0" fontId="377" fillId="0" borderId="0" applyNumberFormat="0" applyFill="0">
      <alignment horizontal="left" vertical="center"/>
    </xf>
    <xf numFmtId="0" fontId="374" fillId="0" borderId="0" applyFill="0" applyBorder="0" applyAlignment="0"/>
    <xf numFmtId="0" fontId="353" fillId="0" borderId="0"/>
    <xf numFmtId="0" fontId="358" fillId="0" borderId="0" applyNumberFormat="0" applyFill="0" applyBorder="0" applyAlignment="0" applyProtection="0"/>
    <xf numFmtId="1" fontId="390" fillId="0" borderId="0"/>
    <xf numFmtId="0" fontId="390" fillId="0" borderId="0"/>
    <xf numFmtId="0" fontId="390" fillId="0" borderId="0"/>
    <xf numFmtId="0" fontId="365" fillId="36" borderId="99" applyNumberFormat="0" applyAlignment="0" applyProtection="0"/>
    <xf numFmtId="0" fontId="1" fillId="0" borderId="0"/>
    <xf numFmtId="164" fontId="390" fillId="0" borderId="0" applyFont="0" applyFill="0" applyBorder="0" applyAlignment="0" applyProtection="0"/>
    <xf numFmtId="0" fontId="390" fillId="0" borderId="0"/>
    <xf numFmtId="0" fontId="365" fillId="36" borderId="99" applyNumberFormat="0" applyAlignment="0" applyProtection="0"/>
    <xf numFmtId="0" fontId="379" fillId="49" borderId="100" applyNumberFormat="0" applyAlignment="0" applyProtection="0"/>
    <xf numFmtId="0" fontId="390" fillId="0" borderId="0"/>
    <xf numFmtId="0" fontId="379" fillId="49" borderId="100" applyNumberFormat="0" applyAlignment="0" applyProtection="0"/>
    <xf numFmtId="0" fontId="390" fillId="0" borderId="0"/>
    <xf numFmtId="38" fontId="350" fillId="36" borderId="0" applyNumberFormat="0" applyBorder="0" applyAlignment="0" applyProtection="0"/>
    <xf numFmtId="0" fontId="1" fillId="0" borderId="0"/>
    <xf numFmtId="0" fontId="390" fillId="0" borderId="0"/>
    <xf numFmtId="164" fontId="390" fillId="0" borderId="0" applyFont="0" applyFill="0" applyBorder="0" applyAlignment="0" applyProtection="0"/>
    <xf numFmtId="0" fontId="390" fillId="0" borderId="0"/>
    <xf numFmtId="0" fontId="390" fillId="0" borderId="0"/>
    <xf numFmtId="0" fontId="390" fillId="37" borderId="97" applyNumberFormat="0" applyFont="0" applyAlignment="0" applyProtection="0"/>
    <xf numFmtId="0" fontId="390" fillId="0" borderId="0"/>
    <xf numFmtId="0" fontId="1" fillId="0" borderId="0"/>
    <xf numFmtId="0" fontId="1"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164" fontId="390" fillId="0" borderId="0" applyFont="0" applyFill="0" applyBorder="0" applyAlignment="0" applyProtection="0"/>
    <xf numFmtId="0" fontId="1" fillId="0" borderId="0"/>
    <xf numFmtId="0" fontId="390" fillId="0" borderId="0"/>
    <xf numFmtId="164" fontId="390" fillId="0" borderId="0" applyFont="0" applyFill="0" applyBorder="0" applyAlignment="0" applyProtection="0"/>
    <xf numFmtId="0" fontId="1" fillId="0" borderId="0"/>
    <xf numFmtId="0" fontId="390" fillId="0" borderId="0"/>
    <xf numFmtId="164" fontId="390" fillId="0" borderId="0" applyFont="0" applyFill="0" applyBorder="0" applyAlignment="0" applyProtection="0"/>
    <xf numFmtId="0" fontId="1" fillId="0" borderId="0"/>
    <xf numFmtId="0" fontId="390" fillId="0" borderId="0"/>
    <xf numFmtId="164" fontId="390" fillId="0" borderId="0" applyFont="0" applyFill="0" applyBorder="0" applyAlignment="0" applyProtection="0"/>
    <xf numFmtId="0" fontId="1" fillId="0" borderId="0"/>
    <xf numFmtId="0" fontId="390" fillId="0" borderId="0"/>
    <xf numFmtId="164" fontId="390" fillId="0" borderId="0" applyFont="0" applyFill="0" applyBorder="0" applyAlignment="0" applyProtection="0"/>
    <xf numFmtId="0" fontId="1" fillId="0" borderId="0"/>
    <xf numFmtId="0" fontId="390" fillId="0" borderId="0"/>
    <xf numFmtId="0" fontId="390" fillId="0" borderId="0"/>
    <xf numFmtId="0" fontId="1" fillId="0" borderId="0"/>
    <xf numFmtId="0" fontId="390" fillId="0" borderId="0"/>
    <xf numFmtId="181" fontId="353" fillId="0" borderId="0" applyFont="0" applyFill="0" applyBorder="0" applyAlignment="0" applyProtection="0"/>
    <xf numFmtId="0" fontId="1" fillId="0" borderId="0"/>
    <xf numFmtId="0" fontId="390" fillId="0" borderId="0"/>
    <xf numFmtId="0" fontId="390" fillId="0" borderId="0"/>
    <xf numFmtId="164" fontId="390" fillId="0" borderId="0" applyFont="0" applyFill="0" applyBorder="0" applyAlignment="0" applyProtection="0"/>
    <xf numFmtId="0" fontId="390" fillId="0" borderId="0"/>
    <xf numFmtId="0" fontId="390" fillId="0" borderId="0"/>
    <xf numFmtId="164" fontId="390" fillId="0" borderId="0" applyFont="0" applyFill="0" applyBorder="0" applyAlignment="0" applyProtection="0"/>
    <xf numFmtId="0" fontId="390" fillId="0" borderId="0"/>
    <xf numFmtId="0" fontId="390" fillId="0" borderId="0"/>
    <xf numFmtId="164" fontId="390" fillId="0" borderId="0" applyFont="0" applyFill="0" applyBorder="0" applyAlignment="0" applyProtection="0"/>
    <xf numFmtId="0" fontId="390" fillId="0" borderId="0"/>
    <xf numFmtId="164" fontId="390" fillId="0" borderId="0" applyFont="0" applyFill="0" applyBorder="0" applyAlignment="0" applyProtection="0"/>
    <xf numFmtId="0" fontId="390" fillId="0" borderId="0"/>
    <xf numFmtId="0" fontId="363" fillId="0" borderId="0"/>
    <xf numFmtId="0" fontId="390" fillId="0" borderId="0"/>
    <xf numFmtId="0" fontId="390" fillId="0" borderId="0"/>
    <xf numFmtId="164" fontId="390" fillId="0" borderId="0" applyFont="0" applyFill="0" applyBorder="0" applyAlignment="0" applyProtection="0"/>
    <xf numFmtId="0" fontId="390" fillId="0" borderId="0"/>
    <xf numFmtId="164" fontId="390" fillId="0" borderId="0" applyFont="0" applyFill="0" applyBorder="0" applyAlignment="0" applyProtection="0"/>
    <xf numFmtId="0" fontId="390" fillId="0" borderId="0"/>
    <xf numFmtId="164" fontId="390" fillId="0" borderId="0" applyFont="0" applyFill="0" applyBorder="0" applyAlignment="0" applyProtection="0"/>
    <xf numFmtId="0" fontId="390" fillId="0" borderId="0"/>
    <xf numFmtId="164" fontId="390" fillId="0" borderId="0" applyFont="0" applyFill="0" applyBorder="0" applyAlignment="0" applyProtection="0"/>
    <xf numFmtId="0" fontId="390" fillId="0" borderId="0"/>
    <xf numFmtId="164" fontId="390" fillId="0" borderId="0" applyFont="0" applyFill="0" applyBorder="0" applyAlignment="0" applyProtection="0"/>
    <xf numFmtId="0" fontId="390" fillId="0" borderId="0"/>
    <xf numFmtId="0" fontId="390" fillId="0" borderId="0"/>
    <xf numFmtId="164" fontId="390" fillId="0" borderId="0" applyFont="0" applyFill="0" applyBorder="0" applyAlignment="0" applyProtection="0"/>
    <xf numFmtId="0" fontId="383" fillId="18" borderId="99" applyNumberFormat="0" applyAlignment="0" applyProtection="0"/>
    <xf numFmtId="0" fontId="390" fillId="0" borderId="0"/>
    <xf numFmtId="0" fontId="1" fillId="0" borderId="0"/>
    <xf numFmtId="0" fontId="390" fillId="37" borderId="97" applyNumberFormat="0" applyFont="0" applyAlignment="0" applyProtection="0"/>
    <xf numFmtId="0" fontId="383" fillId="18" borderId="99" applyNumberFormat="0" applyAlignment="0" applyProtection="0"/>
    <xf numFmtId="164" fontId="390" fillId="0" borderId="0" applyFont="0" applyFill="0" applyBorder="0" applyAlignment="0" applyProtection="0"/>
    <xf numFmtId="0" fontId="356" fillId="0" borderId="1">
      <alignment wrapText="1"/>
    </xf>
    <xf numFmtId="0" fontId="390" fillId="0" borderId="0"/>
    <xf numFmtId="0" fontId="1" fillId="0" borderId="0"/>
    <xf numFmtId="164" fontId="390" fillId="0" borderId="0" applyFont="0" applyFill="0" applyBorder="0" applyAlignment="0" applyProtection="0"/>
    <xf numFmtId="0" fontId="390" fillId="0" borderId="0"/>
    <xf numFmtId="0" fontId="390" fillId="0" borderId="0"/>
    <xf numFmtId="164" fontId="390" fillId="0" borderId="0" applyFont="0" applyFill="0" applyBorder="0" applyAlignment="0" applyProtection="0"/>
    <xf numFmtId="164" fontId="390" fillId="0" borderId="0" applyFont="0" applyFill="0" applyBorder="0" applyAlignment="0" applyProtection="0"/>
    <xf numFmtId="0" fontId="390" fillId="0" borderId="0"/>
    <xf numFmtId="0" fontId="390" fillId="0" borderId="0"/>
    <xf numFmtId="0" fontId="390" fillId="0" borderId="0"/>
    <xf numFmtId="0" fontId="1" fillId="0" borderId="0"/>
    <xf numFmtId="0" fontId="390" fillId="0" borderId="0"/>
    <xf numFmtId="0" fontId="1"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390" fillId="0" borderId="0"/>
    <xf numFmtId="0" fontId="1" fillId="0" borderId="0"/>
    <xf numFmtId="44" fontId="390" fillId="0" borderId="0" applyFont="0" applyFill="0" applyBorder="0" applyAlignment="0" applyProtection="0"/>
    <xf numFmtId="164" fontId="390" fillId="0" borderId="0" applyFont="0" applyFill="0" applyBorder="0" applyAlignment="0" applyProtection="0"/>
    <xf numFmtId="0" fontId="390" fillId="0" borderId="0"/>
    <xf numFmtId="44" fontId="390" fillId="0" borderId="0" applyFont="0" applyFill="0" applyBorder="0" applyAlignment="0" applyProtection="0"/>
    <xf numFmtId="0" fontId="390" fillId="0" borderId="0"/>
    <xf numFmtId="44" fontId="390" fillId="0" borderId="0" applyFont="0" applyFill="0" applyBorder="0" applyAlignment="0" applyProtection="0"/>
    <xf numFmtId="0" fontId="353" fillId="0" borderId="0"/>
    <xf numFmtId="0" fontId="390" fillId="0" borderId="0"/>
    <xf numFmtId="164" fontId="390" fillId="0" borderId="0" applyFont="0" applyFill="0" applyBorder="0" applyAlignment="0" applyProtection="0"/>
    <xf numFmtId="0" fontId="390" fillId="0" borderId="0"/>
    <xf numFmtId="176" fontId="353" fillId="0" borderId="0" applyFont="0" applyFill="0" applyBorder="0" applyAlignment="0" applyProtection="0"/>
    <xf numFmtId="0" fontId="369" fillId="50" borderId="0" applyNumberFormat="0" applyBorder="0" applyAlignment="0" applyProtection="0"/>
    <xf numFmtId="0" fontId="1" fillId="0" borderId="0"/>
    <xf numFmtId="176" fontId="353" fillId="0" borderId="0" applyFont="0" applyFill="0" applyBorder="0" applyAlignment="0" applyProtection="0"/>
    <xf numFmtId="0" fontId="1" fillId="0" borderId="0"/>
    <xf numFmtId="0" fontId="390" fillId="0" borderId="0"/>
    <xf numFmtId="0" fontId="353" fillId="0" borderId="0"/>
    <xf numFmtId="164" fontId="390" fillId="0" borderId="0" applyFont="0" applyFill="0" applyBorder="0" applyAlignment="0" applyProtection="0"/>
    <xf numFmtId="0" fontId="357" fillId="0" borderId="0" applyProtection="0">
      <alignment horizontal="center" vertical="center"/>
    </xf>
    <xf numFmtId="0" fontId="390" fillId="0" borderId="0"/>
    <xf numFmtId="0" fontId="1" fillId="0" borderId="0"/>
    <xf numFmtId="0" fontId="1" fillId="0" borderId="0"/>
    <xf numFmtId="182" fontId="390" fillId="0" borderId="0" applyFont="0" applyFill="0" applyBorder="0" applyAlignment="0" applyProtection="0"/>
    <xf numFmtId="176" fontId="353" fillId="0" borderId="0" applyFont="0" applyFill="0" applyBorder="0" applyAlignment="0" applyProtection="0"/>
    <xf numFmtId="0" fontId="1" fillId="0" borderId="0"/>
    <xf numFmtId="176" fontId="353" fillId="0" borderId="0" applyFont="0" applyFill="0" applyBorder="0" applyAlignment="0" applyProtection="0"/>
    <xf numFmtId="176" fontId="353" fillId="0" borderId="0" applyFont="0" applyFill="0" applyBorder="0" applyAlignment="0" applyProtection="0"/>
    <xf numFmtId="0" fontId="1" fillId="0" borderId="0"/>
    <xf numFmtId="0" fontId="1" fillId="0" borderId="0"/>
    <xf numFmtId="176" fontId="353" fillId="0" borderId="0" applyFont="0" applyFill="0" applyBorder="0" applyAlignment="0" applyProtection="0"/>
    <xf numFmtId="176" fontId="353" fillId="0" borderId="0" applyFont="0" applyFill="0" applyBorder="0" applyAlignment="0" applyProtection="0"/>
    <xf numFmtId="0" fontId="1" fillId="0" borderId="0"/>
    <xf numFmtId="0" fontId="1" fillId="0" borderId="0"/>
    <xf numFmtId="176" fontId="353" fillId="0" borderId="0" applyFont="0" applyFill="0" applyBorder="0" applyAlignment="0" applyProtection="0"/>
    <xf numFmtId="176" fontId="353" fillId="0" borderId="0" applyFont="0" applyFill="0" applyBorder="0" applyAlignment="0" applyProtection="0"/>
    <xf numFmtId="187" fontId="353" fillId="0" borderId="0" applyFont="0" applyFill="0" applyBorder="0" applyAlignment="0" applyProtection="0"/>
    <xf numFmtId="166" fontId="353" fillId="0" borderId="0" applyFont="0" applyFill="0" applyBorder="0" applyAlignment="0" applyProtection="0"/>
    <xf numFmtId="38" fontId="350" fillId="36" borderId="0" applyNumberFormat="0" applyBorder="0" applyAlignment="0" applyProtection="0"/>
    <xf numFmtId="0" fontId="390" fillId="0" borderId="0"/>
    <xf numFmtId="164" fontId="390" fillId="0" borderId="0" applyFont="0" applyFill="0" applyBorder="0" applyAlignment="0" applyProtection="0"/>
    <xf numFmtId="164" fontId="390" fillId="0" borderId="0" applyFont="0" applyFill="0" applyBorder="0" applyAlignment="0" applyProtection="0"/>
    <xf numFmtId="0" fontId="390" fillId="0" borderId="0"/>
    <xf numFmtId="164" fontId="390" fillId="0" borderId="0" applyFont="0" applyFill="0" applyBorder="0" applyAlignment="0" applyProtection="0"/>
    <xf numFmtId="164" fontId="390" fillId="0" borderId="0" applyFont="0" applyFill="0" applyBorder="0" applyAlignment="0" applyProtection="0"/>
    <xf numFmtId="0" fontId="390" fillId="0" borderId="0"/>
    <xf numFmtId="0" fontId="390" fillId="0" borderId="0"/>
    <xf numFmtId="164" fontId="390" fillId="0" borderId="0" applyFont="0" applyFill="0" applyBorder="0" applyAlignment="0" applyProtection="0"/>
    <xf numFmtId="0" fontId="1" fillId="0" borderId="0"/>
    <xf numFmtId="44" fontId="390" fillId="0" borderId="0" applyFont="0" applyFill="0" applyBorder="0" applyAlignment="0" applyProtection="0"/>
    <xf numFmtId="0" fontId="353" fillId="0" borderId="0"/>
    <xf numFmtId="164" fontId="390" fillId="0" borderId="0" applyFont="0" applyFill="0" applyBorder="0" applyAlignment="0" applyProtection="0"/>
    <xf numFmtId="164" fontId="390" fillId="0" borderId="0" applyFont="0" applyFill="0" applyBorder="0" applyAlignment="0" applyProtection="0"/>
    <xf numFmtId="0" fontId="390" fillId="0" borderId="0"/>
    <xf numFmtId="0" fontId="1" fillId="0" borderId="0"/>
    <xf numFmtId="164" fontId="390" fillId="0" borderId="0" applyFont="0" applyFill="0" applyBorder="0" applyAlignment="0" applyProtection="0"/>
    <xf numFmtId="164" fontId="390" fillId="0" borderId="0" applyFont="0" applyFill="0" applyBorder="0" applyAlignment="0" applyProtection="0"/>
    <xf numFmtId="0" fontId="390" fillId="0" borderId="0"/>
    <xf numFmtId="164" fontId="390" fillId="0" borderId="0" applyFont="0" applyFill="0" applyBorder="0" applyAlignment="0" applyProtection="0"/>
    <xf numFmtId="164" fontId="390" fillId="0" borderId="0" applyFont="0" applyFill="0" applyBorder="0" applyAlignment="0" applyProtection="0"/>
    <xf numFmtId="0" fontId="390" fillId="0" borderId="0"/>
    <xf numFmtId="0" fontId="390" fillId="0" borderId="0"/>
    <xf numFmtId="164" fontId="390" fillId="0" borderId="0" applyFont="0" applyFill="0" applyBorder="0" applyAlignment="0" applyProtection="0"/>
    <xf numFmtId="164" fontId="390" fillId="0" borderId="0" applyFont="0" applyFill="0" applyBorder="0" applyAlignment="0" applyProtection="0"/>
    <xf numFmtId="0" fontId="390" fillId="0" borderId="0"/>
    <xf numFmtId="0" fontId="390" fillId="0" borderId="0"/>
    <xf numFmtId="164" fontId="390" fillId="0" borderId="0" applyFont="0" applyFill="0" applyBorder="0" applyAlignment="0" applyProtection="0"/>
    <xf numFmtId="0" fontId="390" fillId="0" borderId="0"/>
    <xf numFmtId="164" fontId="390" fillId="0" borderId="0" applyFont="0" applyFill="0" applyBorder="0" applyAlignment="0" applyProtection="0"/>
    <xf numFmtId="164" fontId="390" fillId="0" borderId="0" applyFont="0" applyFill="0" applyBorder="0" applyAlignment="0" applyProtection="0"/>
    <xf numFmtId="0" fontId="390" fillId="0" borderId="0"/>
    <xf numFmtId="0" fontId="390" fillId="0" borderId="0"/>
    <xf numFmtId="164" fontId="390" fillId="0" borderId="0" applyFont="0" applyFill="0" applyBorder="0" applyAlignment="0" applyProtection="0"/>
    <xf numFmtId="44" fontId="390" fillId="0" borderId="0" applyFont="0" applyFill="0" applyBorder="0" applyAlignment="0" applyProtection="0"/>
    <xf numFmtId="0" fontId="390" fillId="0" borderId="0"/>
    <xf numFmtId="164" fontId="390" fillId="0" borderId="0" applyFont="0" applyFill="0" applyBorder="0" applyAlignment="0" applyProtection="0"/>
    <xf numFmtId="164" fontId="390" fillId="0" borderId="0" applyFont="0" applyFill="0" applyBorder="0" applyAlignment="0" applyProtection="0"/>
    <xf numFmtId="0" fontId="390" fillId="0" borderId="0"/>
    <xf numFmtId="0" fontId="1" fillId="0" borderId="0"/>
    <xf numFmtId="0" fontId="1" fillId="0" borderId="0"/>
    <xf numFmtId="0" fontId="1" fillId="0" borderId="0"/>
    <xf numFmtId="164" fontId="390" fillId="0" borderId="0" applyFont="0" applyFill="0" applyBorder="0" applyAlignment="0" applyProtection="0"/>
    <xf numFmtId="0" fontId="390" fillId="0" borderId="0"/>
    <xf numFmtId="0" fontId="390" fillId="0" borderId="0"/>
    <xf numFmtId="164" fontId="390" fillId="0" borderId="0" applyFont="0" applyFill="0" applyBorder="0" applyAlignment="0" applyProtection="0"/>
    <xf numFmtId="0" fontId="390" fillId="0" borderId="0"/>
    <xf numFmtId="164" fontId="390" fillId="0" borderId="0" applyFont="0" applyFill="0" applyBorder="0" applyAlignment="0" applyProtection="0"/>
    <xf numFmtId="0" fontId="390" fillId="0" borderId="0"/>
    <xf numFmtId="164" fontId="390" fillId="0" borderId="0" applyFont="0" applyFill="0" applyBorder="0" applyAlignment="0" applyProtection="0"/>
    <xf numFmtId="0" fontId="390" fillId="0" borderId="0"/>
    <xf numFmtId="9" fontId="390" fillId="0" borderId="0" applyFont="0" applyFill="0" applyBorder="0" applyAlignment="0" applyProtection="0"/>
    <xf numFmtId="0" fontId="353" fillId="0" borderId="0"/>
    <xf numFmtId="171" fontId="352" fillId="0" borderId="25">
      <alignment horizontal="right"/>
    </xf>
    <xf numFmtId="164" fontId="390" fillId="0" borderId="0" applyFont="0" applyFill="0" applyBorder="0" applyAlignment="0" applyProtection="0"/>
    <xf numFmtId="0" fontId="390" fillId="0" borderId="0"/>
    <xf numFmtId="171" fontId="352" fillId="0" borderId="25">
      <alignment horizontal="right"/>
    </xf>
    <xf numFmtId="164" fontId="390" fillId="0" borderId="0" applyFont="0" applyFill="0" applyBorder="0" applyAlignment="0" applyProtection="0"/>
    <xf numFmtId="164" fontId="390" fillId="0" borderId="0" applyFont="0" applyFill="0" applyBorder="0" applyAlignment="0" applyProtection="0"/>
    <xf numFmtId="0" fontId="390" fillId="0" borderId="0"/>
    <xf numFmtId="0" fontId="390" fillId="0" borderId="0"/>
    <xf numFmtId="164" fontId="390" fillId="0" borderId="0" applyFont="0" applyFill="0" applyBorder="0" applyAlignment="0" applyProtection="0"/>
    <xf numFmtId="164" fontId="390" fillId="0" borderId="0" applyFont="0" applyFill="0" applyBorder="0" applyAlignment="0" applyProtection="0"/>
    <xf numFmtId="0" fontId="390" fillId="0" borderId="0"/>
    <xf numFmtId="164" fontId="390" fillId="0" borderId="0" applyFont="0" applyFill="0" applyBorder="0" applyAlignment="0" applyProtection="0"/>
    <xf numFmtId="0" fontId="390" fillId="0" borderId="0"/>
    <xf numFmtId="164" fontId="390" fillId="0" borderId="0" applyFont="0" applyFill="0" applyBorder="0" applyAlignment="0" applyProtection="0"/>
    <xf numFmtId="0" fontId="390" fillId="0" borderId="0"/>
    <xf numFmtId="164" fontId="390" fillId="0" borderId="0" applyFont="0" applyFill="0" applyBorder="0" applyAlignment="0" applyProtection="0"/>
    <xf numFmtId="0" fontId="390" fillId="0" borderId="0"/>
    <xf numFmtId="0" fontId="1" fillId="0" borderId="0"/>
    <xf numFmtId="164" fontId="390" fillId="0" borderId="0" applyFont="0" applyFill="0" applyBorder="0" applyAlignment="0" applyProtection="0"/>
    <xf numFmtId="164" fontId="390" fillId="0" borderId="0" applyFont="0" applyFill="0" applyBorder="0" applyAlignment="0" applyProtection="0"/>
    <xf numFmtId="0" fontId="390" fillId="0" borderId="0"/>
    <xf numFmtId="164" fontId="390" fillId="0" borderId="0" applyFont="0" applyFill="0" applyBorder="0" applyAlignment="0" applyProtection="0"/>
    <xf numFmtId="0" fontId="1" fillId="0" borderId="0"/>
    <xf numFmtId="164" fontId="390" fillId="0" borderId="0" applyFont="0" applyFill="0" applyBorder="0" applyAlignment="0" applyProtection="0"/>
    <xf numFmtId="0" fontId="390" fillId="0" borderId="0"/>
    <xf numFmtId="164" fontId="390" fillId="0" borderId="0" applyFont="0" applyFill="0" applyBorder="0" applyAlignment="0" applyProtection="0"/>
    <xf numFmtId="0" fontId="1" fillId="0" borderId="0"/>
    <xf numFmtId="164" fontId="390" fillId="0" borderId="0" applyFont="0" applyFill="0" applyBorder="0" applyAlignment="0" applyProtection="0"/>
    <xf numFmtId="0" fontId="390" fillId="0" borderId="0"/>
    <xf numFmtId="164" fontId="390" fillId="0" borderId="0" applyFont="0" applyFill="0" applyBorder="0" applyAlignment="0" applyProtection="0"/>
    <xf numFmtId="164" fontId="390" fillId="0" borderId="0" applyFont="0" applyFill="0" applyBorder="0" applyAlignment="0" applyProtection="0"/>
    <xf numFmtId="0" fontId="390" fillId="0" borderId="0"/>
    <xf numFmtId="164" fontId="390" fillId="0" borderId="0" applyFont="0" applyFill="0" applyBorder="0" applyAlignment="0" applyProtection="0"/>
    <xf numFmtId="0" fontId="353" fillId="0" borderId="0"/>
    <xf numFmtId="0" fontId="1" fillId="0" borderId="0"/>
    <xf numFmtId="0" fontId="390" fillId="0" borderId="0"/>
    <xf numFmtId="164" fontId="390" fillId="0" borderId="0" applyFont="0" applyFill="0" applyBorder="0" applyAlignment="0" applyProtection="0"/>
    <xf numFmtId="0" fontId="353" fillId="0" borderId="0"/>
    <xf numFmtId="0" fontId="390" fillId="0" borderId="0"/>
    <xf numFmtId="164" fontId="390" fillId="0" borderId="0" applyFont="0" applyFill="0" applyBorder="0" applyAlignment="0" applyProtection="0"/>
    <xf numFmtId="0" fontId="390" fillId="0" borderId="0"/>
    <xf numFmtId="0" fontId="353" fillId="0" borderId="0"/>
    <xf numFmtId="164" fontId="390" fillId="0" borderId="0" applyFont="0" applyFill="0" applyBorder="0" applyAlignment="0" applyProtection="0"/>
    <xf numFmtId="0" fontId="390" fillId="0" borderId="0"/>
    <xf numFmtId="0" fontId="353" fillId="0" borderId="0"/>
    <xf numFmtId="0" fontId="390" fillId="0" borderId="9">
      <alignment horizontal="center"/>
    </xf>
    <xf numFmtId="0" fontId="390" fillId="0" borderId="0"/>
    <xf numFmtId="164" fontId="390" fillId="0" borderId="0" applyFont="0" applyFill="0" applyBorder="0" applyAlignment="0" applyProtection="0"/>
    <xf numFmtId="0" fontId="390" fillId="0" borderId="0"/>
    <xf numFmtId="0" fontId="390" fillId="0" borderId="0"/>
    <xf numFmtId="164" fontId="390" fillId="0" borderId="0" applyFont="0" applyFill="0" applyBorder="0" applyAlignment="0" applyProtection="0"/>
    <xf numFmtId="0" fontId="390" fillId="0" borderId="0"/>
    <xf numFmtId="0" fontId="1" fillId="0" borderId="0"/>
    <xf numFmtId="0" fontId="390" fillId="0" borderId="0"/>
    <xf numFmtId="164" fontId="390" fillId="0" borderId="0" applyFont="0" applyFill="0" applyBorder="0" applyAlignment="0" applyProtection="0"/>
    <xf numFmtId="0" fontId="390" fillId="0" borderId="0"/>
    <xf numFmtId="0" fontId="390" fillId="0" borderId="0"/>
    <xf numFmtId="0" fontId="1" fillId="0" borderId="0"/>
    <xf numFmtId="0" fontId="390" fillId="0" borderId="0"/>
    <xf numFmtId="164" fontId="390" fillId="0" borderId="0" applyFont="0" applyFill="0" applyBorder="0" applyAlignment="0" applyProtection="0"/>
    <xf numFmtId="0" fontId="390" fillId="0" borderId="0"/>
    <xf numFmtId="0" fontId="363" fillId="0" borderId="0"/>
    <xf numFmtId="0" fontId="390" fillId="0" borderId="0"/>
    <xf numFmtId="0" fontId="390" fillId="0" borderId="0"/>
    <xf numFmtId="164" fontId="390" fillId="0" borderId="0" applyFont="0" applyFill="0" applyBorder="0" applyAlignment="0" applyProtection="0"/>
    <xf numFmtId="0" fontId="390" fillId="0" borderId="0"/>
    <xf numFmtId="0" fontId="390" fillId="0" borderId="0"/>
    <xf numFmtId="164" fontId="390" fillId="0" borderId="0" applyFont="0" applyFill="0" applyBorder="0" applyAlignment="0" applyProtection="0"/>
    <xf numFmtId="0" fontId="390" fillId="0" borderId="0"/>
    <xf numFmtId="0" fontId="390" fillId="0" borderId="0"/>
    <xf numFmtId="0" fontId="390" fillId="0" borderId="0"/>
    <xf numFmtId="164" fontId="390" fillId="0" borderId="0" applyFont="0" applyFill="0" applyBorder="0" applyAlignment="0" applyProtection="0"/>
    <xf numFmtId="0" fontId="390" fillId="0" borderId="0"/>
    <xf numFmtId="164" fontId="1" fillId="0" borderId="0" applyFont="0" applyFill="0" applyBorder="0" applyAlignment="0" applyProtection="0"/>
    <xf numFmtId="0" fontId="390" fillId="0" borderId="0"/>
    <xf numFmtId="0" fontId="390" fillId="0" borderId="0"/>
    <xf numFmtId="164" fontId="390" fillId="0" borderId="0" applyFont="0" applyFill="0" applyBorder="0" applyAlignment="0" applyProtection="0"/>
    <xf numFmtId="0" fontId="390" fillId="0" borderId="0"/>
    <xf numFmtId="164" fontId="390" fillId="0" borderId="0" applyFont="0" applyFill="0" applyBorder="0" applyAlignment="0" applyProtection="0"/>
    <xf numFmtId="0" fontId="390" fillId="0" borderId="0"/>
    <xf numFmtId="0" fontId="390" fillId="0" borderId="0"/>
    <xf numFmtId="164" fontId="390" fillId="0" borderId="0" applyFont="0" applyFill="0" applyBorder="0" applyAlignment="0" applyProtection="0"/>
    <xf numFmtId="0" fontId="390" fillId="0" borderId="0"/>
    <xf numFmtId="0" fontId="1" fillId="0" borderId="0"/>
    <xf numFmtId="0" fontId="390" fillId="0" borderId="0"/>
    <xf numFmtId="0" fontId="390" fillId="0" borderId="0"/>
    <xf numFmtId="164" fontId="390" fillId="0" borderId="0" applyFont="0" applyFill="0" applyBorder="0" applyAlignment="0" applyProtection="0"/>
    <xf numFmtId="0" fontId="390" fillId="0" borderId="0"/>
    <xf numFmtId="0" fontId="390" fillId="0" borderId="0"/>
    <xf numFmtId="0" fontId="1" fillId="0" borderId="0"/>
    <xf numFmtId="0" fontId="390" fillId="0" borderId="0"/>
    <xf numFmtId="0" fontId="390" fillId="0" borderId="0"/>
    <xf numFmtId="164" fontId="390" fillId="0" borderId="0" applyFont="0" applyFill="0" applyBorder="0" applyAlignment="0" applyProtection="0"/>
    <xf numFmtId="0" fontId="390" fillId="0" borderId="0"/>
    <xf numFmtId="0" fontId="390" fillId="0" borderId="0"/>
    <xf numFmtId="0" fontId="390" fillId="0" borderId="0"/>
    <xf numFmtId="0" fontId="390" fillId="0" borderId="0"/>
    <xf numFmtId="164" fontId="390" fillId="0" borderId="0" applyFont="0" applyFill="0" applyBorder="0" applyAlignment="0" applyProtection="0"/>
    <xf numFmtId="0" fontId="390" fillId="0" borderId="0"/>
    <xf numFmtId="0" fontId="390" fillId="0" borderId="0"/>
    <xf numFmtId="0" fontId="390" fillId="0" borderId="0"/>
    <xf numFmtId="0" fontId="390" fillId="0" borderId="0"/>
    <xf numFmtId="164" fontId="390" fillId="0" borderId="0" applyFont="0" applyFill="0" applyBorder="0" applyAlignment="0" applyProtection="0"/>
    <xf numFmtId="0" fontId="390" fillId="0" borderId="0"/>
    <xf numFmtId="0" fontId="390" fillId="0" borderId="0"/>
    <xf numFmtId="0" fontId="390" fillId="0" borderId="0"/>
    <xf numFmtId="0" fontId="390" fillId="0" borderId="0"/>
    <xf numFmtId="164" fontId="390" fillId="0" borderId="0" applyFont="0" applyFill="0" applyBorder="0" applyAlignment="0" applyProtection="0"/>
    <xf numFmtId="0" fontId="390" fillId="0" borderId="0"/>
    <xf numFmtId="0" fontId="390" fillId="0" borderId="0"/>
    <xf numFmtId="0" fontId="390" fillId="0" borderId="0"/>
    <xf numFmtId="164" fontId="390" fillId="0" borderId="0" applyFont="0" applyFill="0" applyBorder="0" applyAlignment="0" applyProtection="0"/>
    <xf numFmtId="0" fontId="390" fillId="0" borderId="0"/>
    <xf numFmtId="0" fontId="390" fillId="0" borderId="0"/>
    <xf numFmtId="0" fontId="390" fillId="0" borderId="0"/>
    <xf numFmtId="0" fontId="390" fillId="0" borderId="0"/>
    <xf numFmtId="164" fontId="390" fillId="0" borderId="0" applyFont="0" applyFill="0" applyBorder="0" applyAlignment="0" applyProtection="0"/>
    <xf numFmtId="0" fontId="390" fillId="0" borderId="0"/>
    <xf numFmtId="164" fontId="390" fillId="0" borderId="0" applyFont="0" applyFill="0" applyBorder="0" applyAlignment="0" applyProtection="0"/>
    <xf numFmtId="0" fontId="390" fillId="0" borderId="0"/>
    <xf numFmtId="164" fontId="1" fillId="0" borderId="0" applyFont="0" applyFill="0" applyBorder="0" applyAlignment="0" applyProtection="0"/>
    <xf numFmtId="0" fontId="390" fillId="0" borderId="0"/>
    <xf numFmtId="0" fontId="390" fillId="0" borderId="0"/>
    <xf numFmtId="164" fontId="390" fillId="0" borderId="0" applyFont="0" applyFill="0" applyBorder="0" applyAlignment="0" applyProtection="0"/>
    <xf numFmtId="0" fontId="390" fillId="0" borderId="0"/>
    <xf numFmtId="0" fontId="390" fillId="0" borderId="0"/>
    <xf numFmtId="164" fontId="1" fillId="0" borderId="0" applyFont="0" applyFill="0" applyBorder="0" applyAlignment="0" applyProtection="0"/>
    <xf numFmtId="0" fontId="390" fillId="0" borderId="0"/>
    <xf numFmtId="0" fontId="390" fillId="0" borderId="0"/>
    <xf numFmtId="164" fontId="390" fillId="0" borderId="0" applyFont="0" applyFill="0" applyBorder="0" applyAlignment="0" applyProtection="0"/>
    <xf numFmtId="0" fontId="390" fillId="0" borderId="0"/>
    <xf numFmtId="0" fontId="1" fillId="0" borderId="0"/>
    <xf numFmtId="164" fontId="390" fillId="0" borderId="0" applyFont="0" applyFill="0" applyBorder="0" applyAlignment="0" applyProtection="0"/>
    <xf numFmtId="0" fontId="375" fillId="0" borderId="0" applyNumberFormat="0" applyFill="0" applyBorder="0" applyAlignment="0" applyProtection="0"/>
    <xf numFmtId="0" fontId="390" fillId="0" borderId="0"/>
    <xf numFmtId="0" fontId="390" fillId="0" borderId="0"/>
    <xf numFmtId="0" fontId="390" fillId="37" borderId="97" applyNumberFormat="0" applyFont="0" applyAlignment="0" applyProtection="0"/>
    <xf numFmtId="164" fontId="390" fillId="0" borderId="0" applyFont="0" applyFill="0" applyBorder="0" applyAlignment="0" applyProtection="0"/>
    <xf numFmtId="0" fontId="390" fillId="0" borderId="0"/>
    <xf numFmtId="0" fontId="390" fillId="0" borderId="0"/>
    <xf numFmtId="0" fontId="390" fillId="37" borderId="97" applyNumberFormat="0" applyFont="0" applyAlignment="0" applyProtection="0"/>
    <xf numFmtId="164" fontId="390" fillId="0" borderId="0" applyFont="0" applyFill="0" applyBorder="0" applyAlignment="0" applyProtection="0"/>
    <xf numFmtId="0" fontId="390" fillId="0" borderId="0"/>
    <xf numFmtId="0" fontId="390" fillId="0" borderId="0"/>
    <xf numFmtId="164" fontId="390" fillId="0" borderId="0" applyFont="0" applyFill="0" applyBorder="0" applyAlignment="0" applyProtection="0"/>
    <xf numFmtId="0" fontId="390" fillId="0" borderId="0"/>
    <xf numFmtId="164" fontId="390" fillId="0" borderId="0" applyFont="0" applyFill="0" applyBorder="0" applyAlignment="0" applyProtection="0"/>
    <xf numFmtId="0" fontId="390" fillId="0" borderId="0"/>
    <xf numFmtId="164" fontId="1" fillId="0" borderId="0" applyFont="0" applyFill="0" applyBorder="0" applyAlignment="0" applyProtection="0"/>
    <xf numFmtId="0" fontId="390" fillId="0" borderId="0"/>
    <xf numFmtId="164" fontId="390" fillId="0" borderId="0" applyFont="0" applyFill="0" applyBorder="0" applyAlignment="0" applyProtection="0"/>
    <xf numFmtId="0" fontId="390" fillId="0" borderId="0"/>
    <xf numFmtId="164" fontId="390" fillId="0" borderId="0" applyFont="0" applyFill="0" applyBorder="0" applyAlignment="0" applyProtection="0"/>
    <xf numFmtId="0" fontId="390" fillId="0" borderId="0"/>
    <xf numFmtId="0" fontId="390" fillId="0" borderId="0"/>
    <xf numFmtId="0" fontId="378" fillId="0" borderId="101" applyNumberFormat="0" applyFill="0" applyAlignment="0" applyProtection="0"/>
    <xf numFmtId="0" fontId="390" fillId="0" borderId="0"/>
    <xf numFmtId="164" fontId="390" fillId="0" borderId="0" applyFont="0" applyFill="0" applyBorder="0" applyAlignment="0" applyProtection="0"/>
    <xf numFmtId="0" fontId="390" fillId="0" borderId="0"/>
    <xf numFmtId="0" fontId="390" fillId="0" borderId="0"/>
    <xf numFmtId="0" fontId="390" fillId="0" borderId="0"/>
    <xf numFmtId="0" fontId="1" fillId="0" borderId="0"/>
    <xf numFmtId="1" fontId="390" fillId="0" borderId="0"/>
    <xf numFmtId="0" fontId="390" fillId="0" borderId="0"/>
    <xf numFmtId="164" fontId="1" fillId="0" borderId="0" applyFont="0" applyFill="0" applyBorder="0" applyAlignment="0" applyProtection="0"/>
    <xf numFmtId="164" fontId="1" fillId="0" borderId="0" applyFont="0" applyFill="0" applyBorder="0" applyAlignment="0" applyProtection="0"/>
    <xf numFmtId="0" fontId="1" fillId="0" borderId="0"/>
    <xf numFmtId="0" fontId="390" fillId="0" borderId="0"/>
    <xf numFmtId="164" fontId="1" fillId="0" borderId="0" applyFont="0" applyFill="0" applyBorder="0" applyAlignment="0" applyProtection="0"/>
    <xf numFmtId="0" fontId="1" fillId="0" borderId="0"/>
    <xf numFmtId="0" fontId="390" fillId="0" borderId="0"/>
    <xf numFmtId="194" fontId="353" fillId="0" borderId="0" applyFont="0" applyFill="0" applyBorder="0" applyAlignment="0" applyProtection="0"/>
    <xf numFmtId="0" fontId="1" fillId="0" borderId="0"/>
    <xf numFmtId="164" fontId="390" fillId="0" borderId="0" applyFont="0" applyFill="0" applyBorder="0" applyAlignment="0" applyProtection="0"/>
    <xf numFmtId="0" fontId="390" fillId="0" borderId="0"/>
    <xf numFmtId="164" fontId="390" fillId="0" borderId="0" applyFont="0" applyFill="0" applyBorder="0" applyAlignment="0" applyProtection="0"/>
    <xf numFmtId="0" fontId="390" fillId="0" borderId="0"/>
    <xf numFmtId="0" fontId="1" fillId="0" borderId="0"/>
    <xf numFmtId="164" fontId="390" fillId="0" borderId="0" applyFont="0" applyFill="0" applyBorder="0" applyAlignment="0" applyProtection="0"/>
    <xf numFmtId="164" fontId="390" fillId="0" borderId="0" applyFont="0" applyFill="0" applyBorder="0" applyAlignment="0" applyProtection="0"/>
    <xf numFmtId="0" fontId="390" fillId="0" borderId="0"/>
    <xf numFmtId="164" fontId="390" fillId="0" borderId="0" applyFont="0" applyFill="0" applyBorder="0" applyAlignment="0" applyProtection="0"/>
    <xf numFmtId="164" fontId="390" fillId="0" borderId="0" applyFont="0" applyFill="0" applyBorder="0" applyAlignment="0" applyProtection="0"/>
    <xf numFmtId="0" fontId="390" fillId="0" borderId="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0" fontId="1" fillId="0" borderId="0"/>
    <xf numFmtId="164" fontId="390" fillId="0" borderId="0" applyFont="0" applyFill="0" applyBorder="0" applyAlignment="0" applyProtection="0"/>
    <xf numFmtId="0" fontId="390" fillId="0" borderId="0"/>
    <xf numFmtId="164" fontId="390" fillId="0" borderId="0" applyFont="0" applyFill="0" applyBorder="0" applyAlignment="0" applyProtection="0"/>
    <xf numFmtId="0" fontId="1" fillId="0" borderId="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0" fontId="390" fillId="0" borderId="0"/>
    <xf numFmtId="0" fontId="390" fillId="0" borderId="0"/>
    <xf numFmtId="0" fontId="390" fillId="0" borderId="0"/>
    <xf numFmtId="164" fontId="390" fillId="0" borderId="0" applyFont="0" applyFill="0" applyBorder="0" applyAlignment="0" applyProtection="0"/>
    <xf numFmtId="0" fontId="390" fillId="0" borderId="0"/>
    <xf numFmtId="0" fontId="1" fillId="0" borderId="0"/>
    <xf numFmtId="0" fontId="390" fillId="0" borderId="0"/>
    <xf numFmtId="0" fontId="390" fillId="0" borderId="0"/>
    <xf numFmtId="164" fontId="390" fillId="0" borderId="0" applyFont="0" applyFill="0" applyBorder="0" applyAlignment="0" applyProtection="0"/>
    <xf numFmtId="0" fontId="390" fillId="0" borderId="0"/>
    <xf numFmtId="0" fontId="390" fillId="0" borderId="0"/>
    <xf numFmtId="0" fontId="390" fillId="0" borderId="0"/>
    <xf numFmtId="164" fontId="390" fillId="0" borderId="0" applyFont="0" applyFill="0" applyBorder="0" applyAlignment="0" applyProtection="0"/>
    <xf numFmtId="0" fontId="377" fillId="0" borderId="0" applyNumberFormat="0" applyFill="0">
      <alignment horizontal="left" vertical="center"/>
    </xf>
    <xf numFmtId="37" fontId="364" fillId="0" borderId="0"/>
    <xf numFmtId="0" fontId="390" fillId="0" borderId="0"/>
    <xf numFmtId="0" fontId="390" fillId="0" borderId="0"/>
    <xf numFmtId="0" fontId="390" fillId="0" borderId="0"/>
    <xf numFmtId="164" fontId="390" fillId="0" borderId="0" applyFont="0" applyFill="0" applyBorder="0" applyAlignment="0" applyProtection="0"/>
    <xf numFmtId="0" fontId="390" fillId="0" borderId="0"/>
    <xf numFmtId="0" fontId="353" fillId="0" borderId="0"/>
    <xf numFmtId="0" fontId="1" fillId="0" borderId="0"/>
    <xf numFmtId="0" fontId="363" fillId="0" borderId="0"/>
    <xf numFmtId="176" fontId="353" fillId="0" borderId="0" applyFont="0" applyFill="0" applyBorder="0" applyAlignment="0" applyProtection="0"/>
    <xf numFmtId="164" fontId="390" fillId="0" borderId="0" applyFont="0" applyFill="0" applyBorder="0" applyAlignment="0" applyProtection="0"/>
    <xf numFmtId="0" fontId="390" fillId="0" borderId="0"/>
    <xf numFmtId="164" fontId="390" fillId="0" borderId="0" applyFont="0" applyFill="0" applyBorder="0" applyAlignment="0" applyProtection="0"/>
    <xf numFmtId="164" fontId="390" fillId="0" borderId="0" applyFont="0" applyFill="0" applyBorder="0" applyAlignment="0" applyProtection="0"/>
    <xf numFmtId="0" fontId="348" fillId="0" borderId="10">
      <alignment horizontal="left" vertical="center"/>
    </xf>
    <xf numFmtId="0" fontId="390" fillId="0" borderId="0"/>
    <xf numFmtId="164" fontId="390" fillId="0" borderId="0" applyFont="0" applyFill="0" applyBorder="0" applyAlignment="0" applyProtection="0"/>
    <xf numFmtId="0" fontId="348" fillId="0" borderId="10">
      <alignment horizontal="left" vertical="center"/>
    </xf>
    <xf numFmtId="0" fontId="390" fillId="0" borderId="0"/>
    <xf numFmtId="164" fontId="390" fillId="0" borderId="0" applyFont="0" applyFill="0" applyBorder="0" applyAlignment="0" applyProtection="0"/>
    <xf numFmtId="164" fontId="390" fillId="0" borderId="0" applyFont="0" applyFill="0" applyBorder="0" applyAlignment="0" applyProtection="0"/>
    <xf numFmtId="0" fontId="383" fillId="18" borderId="99" applyNumberFormat="0" applyAlignment="0" applyProtection="0"/>
    <xf numFmtId="0" fontId="1" fillId="0" borderId="0"/>
    <xf numFmtId="0" fontId="390" fillId="0" borderId="0"/>
    <xf numFmtId="164" fontId="390" fillId="0" borderId="0" applyFont="0" applyFill="0" applyBorder="0" applyAlignment="0" applyProtection="0"/>
    <xf numFmtId="0" fontId="390" fillId="0" borderId="0"/>
    <xf numFmtId="164" fontId="390" fillId="0" borderId="0" applyFont="0" applyFill="0" applyBorder="0" applyAlignment="0" applyProtection="0"/>
    <xf numFmtId="0" fontId="356" fillId="0" borderId="1">
      <alignment wrapText="1"/>
    </xf>
    <xf numFmtId="0" fontId="390" fillId="0" borderId="0"/>
    <xf numFmtId="0" fontId="390" fillId="0" borderId="0"/>
    <xf numFmtId="164" fontId="390" fillId="0" borderId="0" applyFont="0" applyFill="0" applyBorder="0" applyAlignment="0" applyProtection="0"/>
    <xf numFmtId="0" fontId="372" fillId="0" borderId="98" applyNumberFormat="0" applyFill="0" applyAlignment="0" applyProtection="0"/>
    <xf numFmtId="0" fontId="390" fillId="0" borderId="0"/>
    <xf numFmtId="164" fontId="390" fillId="0" borderId="0" applyFont="0" applyFill="0" applyBorder="0" applyAlignment="0" applyProtection="0"/>
    <xf numFmtId="0" fontId="390" fillId="0" borderId="0"/>
    <xf numFmtId="0" fontId="1" fillId="0" borderId="0"/>
    <xf numFmtId="0" fontId="372" fillId="0" borderId="98" applyNumberFormat="0" applyFill="0" applyAlignment="0" applyProtection="0"/>
    <xf numFmtId="0" fontId="390" fillId="0" borderId="0"/>
    <xf numFmtId="164" fontId="390" fillId="0" borderId="0" applyFont="0" applyFill="0" applyBorder="0" applyAlignment="0" applyProtection="0"/>
    <xf numFmtId="0" fontId="353" fillId="0" borderId="0"/>
    <xf numFmtId="0" fontId="353" fillId="0" borderId="0"/>
    <xf numFmtId="0" fontId="369" fillId="50" borderId="0" applyNumberFormat="0" applyBorder="0" applyAlignment="0" applyProtection="0"/>
    <xf numFmtId="0" fontId="390" fillId="0" borderId="0"/>
    <xf numFmtId="164" fontId="390" fillId="0" borderId="0" applyFont="0" applyFill="0" applyBorder="0" applyAlignment="0" applyProtection="0"/>
    <xf numFmtId="0" fontId="353" fillId="0" borderId="0"/>
    <xf numFmtId="0" fontId="1" fillId="0" borderId="0"/>
    <xf numFmtId="183" fontId="353" fillId="0" borderId="0" applyFont="0" applyFill="0" applyBorder="0" applyAlignment="0" applyProtection="0"/>
    <xf numFmtId="183" fontId="353" fillId="0" borderId="0" applyFont="0" applyFill="0" applyBorder="0" applyAlignment="0" applyProtection="0"/>
    <xf numFmtId="0" fontId="390" fillId="0" borderId="0"/>
    <xf numFmtId="0" fontId="390" fillId="0" borderId="0"/>
    <xf numFmtId="183" fontId="353" fillId="0" borderId="0" applyFont="0" applyFill="0" applyBorder="0" applyAlignment="0" applyProtection="0"/>
    <xf numFmtId="0" fontId="390" fillId="0" borderId="0"/>
    <xf numFmtId="0" fontId="390" fillId="0" borderId="0"/>
    <xf numFmtId="164" fontId="390" fillId="0" borderId="0" applyFont="0" applyFill="0" applyBorder="0" applyAlignment="0" applyProtection="0"/>
    <xf numFmtId="185" fontId="353" fillId="0" borderId="0" applyFont="0" applyFill="0" applyBorder="0" applyAlignment="0" applyProtection="0"/>
    <xf numFmtId="0" fontId="390" fillId="0" borderId="0"/>
    <xf numFmtId="185" fontId="353" fillId="0" borderId="0" applyFont="0" applyFill="0" applyBorder="0" applyAlignment="0" applyProtection="0"/>
    <xf numFmtId="0" fontId="1" fillId="0" borderId="0"/>
    <xf numFmtId="164" fontId="390" fillId="0" borderId="0" applyFont="0" applyFill="0" applyBorder="0" applyAlignment="0" applyProtection="0"/>
    <xf numFmtId="0" fontId="1" fillId="0" borderId="0"/>
    <xf numFmtId="164" fontId="390" fillId="0" borderId="0" applyFont="0" applyFill="0" applyBorder="0" applyAlignment="0" applyProtection="0"/>
    <xf numFmtId="0" fontId="1" fillId="0" borderId="0"/>
    <xf numFmtId="0" fontId="1" fillId="0" borderId="0"/>
    <xf numFmtId="164" fontId="390" fillId="0" borderId="0" applyFont="0" applyFill="0" applyBorder="0" applyAlignment="0" applyProtection="0"/>
    <xf numFmtId="0" fontId="1" fillId="0" borderId="0"/>
    <xf numFmtId="0" fontId="1" fillId="0" borderId="0"/>
    <xf numFmtId="164" fontId="390" fillId="0" borderId="0" applyFont="0" applyFill="0" applyBorder="0" applyAlignment="0" applyProtection="0"/>
    <xf numFmtId="0" fontId="1" fillId="0" borderId="0"/>
    <xf numFmtId="0" fontId="1" fillId="0" borderId="0"/>
    <xf numFmtId="164" fontId="390" fillId="0" borderId="0" applyFont="0" applyFill="0" applyBorder="0" applyAlignment="0" applyProtection="0"/>
    <xf numFmtId="0" fontId="1" fillId="0" borderId="0"/>
    <xf numFmtId="164" fontId="390" fillId="0" borderId="0" applyFont="0" applyFill="0" applyBorder="0" applyAlignment="0" applyProtection="0"/>
    <xf numFmtId="164" fontId="390" fillId="0" borderId="0" applyFont="0" applyFill="0" applyBorder="0" applyAlignment="0" applyProtection="0"/>
    <xf numFmtId="183" fontId="353" fillId="0" borderId="0" applyFont="0" applyFill="0" applyBorder="0" applyAlignment="0" applyProtection="0"/>
    <xf numFmtId="0" fontId="390" fillId="0" borderId="0"/>
    <xf numFmtId="183" fontId="353" fillId="0" borderId="0" applyFont="0" applyFill="0" applyBorder="0" applyAlignment="0" applyProtection="0"/>
    <xf numFmtId="0" fontId="390" fillId="0" borderId="0"/>
    <xf numFmtId="183" fontId="353" fillId="0" borderId="0" applyFont="0" applyFill="0" applyBorder="0" applyAlignment="0" applyProtection="0"/>
    <xf numFmtId="183" fontId="353" fillId="0" borderId="0" applyFont="0" applyFill="0" applyBorder="0" applyAlignment="0" applyProtection="0"/>
    <xf numFmtId="0" fontId="372" fillId="0" borderId="0" applyNumberFormat="0" applyFill="0" applyBorder="0" applyAlignment="0" applyProtection="0"/>
    <xf numFmtId="183" fontId="353" fillId="0" borderId="0" applyFont="0" applyFill="0" applyBorder="0" applyAlignment="0" applyProtection="0"/>
    <xf numFmtId="164" fontId="390" fillId="0" borderId="0" applyFont="0" applyFill="0" applyBorder="0" applyAlignment="0" applyProtection="0"/>
    <xf numFmtId="1" fontId="390" fillId="0" borderId="0"/>
    <xf numFmtId="164" fontId="390" fillId="0" borderId="0" applyFont="0" applyFill="0" applyBorder="0" applyAlignment="0" applyProtection="0"/>
    <xf numFmtId="164" fontId="390" fillId="0" borderId="0" applyFont="0" applyFill="0" applyBorder="0" applyAlignment="0" applyProtection="0"/>
    <xf numFmtId="1" fontId="390" fillId="0" borderId="0"/>
    <xf numFmtId="164" fontId="390" fillId="0" borderId="0" applyFont="0" applyFill="0" applyBorder="0" applyAlignment="0" applyProtection="0"/>
    <xf numFmtId="1" fontId="390" fillId="0" borderId="0"/>
    <xf numFmtId="164" fontId="390" fillId="0" borderId="0" applyFont="0" applyFill="0" applyBorder="0" applyAlignment="0" applyProtection="0"/>
    <xf numFmtId="1" fontId="390" fillId="0" borderId="0"/>
    <xf numFmtId="164" fontId="390" fillId="0" borderId="0" applyFont="0" applyFill="0" applyBorder="0" applyAlignment="0" applyProtection="0"/>
    <xf numFmtId="1" fontId="390" fillId="0" borderId="0"/>
    <xf numFmtId="164" fontId="390" fillId="0" borderId="0" applyFont="0" applyFill="0" applyBorder="0" applyAlignment="0" applyProtection="0"/>
    <xf numFmtId="0" fontId="380" fillId="36" borderId="105" applyNumberFormat="0" applyAlignment="0" applyProtection="0"/>
    <xf numFmtId="164" fontId="390" fillId="0" borderId="0" applyFont="0" applyFill="0" applyBorder="0" applyAlignment="0" applyProtection="0"/>
    <xf numFmtId="164" fontId="390" fillId="0" borderId="0" applyFont="0" applyFill="0" applyBorder="0" applyAlignment="0" applyProtection="0"/>
    <xf numFmtId="0" fontId="390" fillId="0" borderId="0"/>
    <xf numFmtId="164" fontId="390" fillId="0" borderId="0" applyFont="0" applyFill="0" applyBorder="0" applyAlignment="0" applyProtection="0"/>
    <xf numFmtId="0" fontId="1" fillId="0" borderId="0"/>
    <xf numFmtId="164" fontId="390" fillId="0" borderId="0" applyFont="0" applyFill="0" applyBorder="0" applyAlignment="0" applyProtection="0"/>
    <xf numFmtId="0" fontId="1" fillId="0" borderId="0"/>
    <xf numFmtId="164" fontId="390" fillId="0" borderId="0" applyFont="0" applyFill="0" applyBorder="0" applyAlignment="0" applyProtection="0"/>
    <xf numFmtId="164" fontId="390" fillId="0" borderId="0" applyFont="0" applyFill="0" applyBorder="0" applyAlignment="0" applyProtection="0"/>
    <xf numFmtId="0" fontId="390" fillId="0" borderId="0"/>
    <xf numFmtId="0" fontId="1" fillId="0" borderId="0"/>
    <xf numFmtId="164" fontId="390" fillId="0" borderId="0" applyFont="0" applyFill="0" applyBorder="0" applyAlignment="0" applyProtection="0"/>
    <xf numFmtId="0" fontId="1" fillId="0" borderId="0"/>
    <xf numFmtId="164" fontId="390" fillId="0" borderId="0" applyFont="0" applyFill="0" applyBorder="0" applyAlignment="0" applyProtection="0"/>
    <xf numFmtId="0" fontId="1" fillId="0" borderId="0"/>
    <xf numFmtId="0" fontId="1" fillId="0" borderId="0"/>
    <xf numFmtId="164" fontId="390" fillId="0" borderId="0" applyFont="0" applyFill="0" applyBorder="0" applyAlignment="0" applyProtection="0"/>
    <xf numFmtId="0" fontId="1" fillId="0" borderId="0"/>
    <xf numFmtId="0" fontId="1" fillId="0" borderId="0"/>
    <xf numFmtId="164" fontId="390" fillId="0" borderId="0" applyFont="0" applyFill="0" applyBorder="0" applyAlignment="0" applyProtection="0"/>
    <xf numFmtId="0" fontId="1" fillId="0" borderId="0"/>
    <xf numFmtId="164" fontId="390" fillId="0" borderId="0" applyFont="0" applyFill="0" applyBorder="0" applyAlignment="0" applyProtection="0"/>
    <xf numFmtId="0" fontId="1" fillId="0" borderId="0"/>
    <xf numFmtId="164" fontId="390" fillId="0" borderId="0" applyFont="0" applyFill="0" applyBorder="0" applyAlignment="0" applyProtection="0"/>
    <xf numFmtId="0" fontId="1" fillId="0" borderId="0"/>
    <xf numFmtId="0" fontId="1" fillId="0" borderId="0"/>
    <xf numFmtId="164" fontId="390" fillId="0" borderId="0" applyFont="0" applyFill="0" applyBorder="0" applyAlignment="0" applyProtection="0"/>
    <xf numFmtId="0" fontId="1" fillId="0" borderId="0"/>
    <xf numFmtId="164" fontId="390" fillId="0" borderId="0" applyFont="0" applyFill="0" applyBorder="0" applyAlignment="0" applyProtection="0"/>
    <xf numFmtId="164" fontId="390" fillId="0" borderId="0" applyFont="0" applyFill="0" applyBorder="0" applyAlignment="0" applyProtection="0"/>
    <xf numFmtId="0" fontId="1" fillId="0" borderId="0"/>
    <xf numFmtId="0" fontId="390" fillId="0" borderId="0"/>
    <xf numFmtId="0" fontId="390" fillId="0" borderId="0"/>
    <xf numFmtId="164" fontId="390" fillId="0" borderId="0" applyFont="0" applyFill="0" applyBorder="0" applyAlignment="0" applyProtection="0"/>
    <xf numFmtId="0" fontId="390" fillId="0" borderId="0"/>
    <xf numFmtId="0" fontId="390" fillId="0" borderId="0"/>
    <xf numFmtId="164" fontId="390" fillId="0" borderId="0" applyFont="0" applyFill="0" applyBorder="0" applyAlignment="0" applyProtection="0"/>
    <xf numFmtId="0" fontId="390" fillId="0" borderId="0"/>
    <xf numFmtId="0" fontId="390" fillId="0" borderId="0"/>
    <xf numFmtId="0" fontId="1" fillId="0" borderId="0"/>
    <xf numFmtId="164" fontId="390" fillId="0" borderId="0" applyFont="0" applyFill="0" applyBorder="0" applyAlignment="0" applyProtection="0"/>
    <xf numFmtId="0" fontId="390" fillId="0" borderId="0"/>
    <xf numFmtId="0" fontId="390" fillId="0" borderId="0"/>
    <xf numFmtId="0" fontId="1" fillId="0" borderId="0"/>
    <xf numFmtId="164" fontId="390" fillId="0" borderId="0" applyFont="0" applyFill="0" applyBorder="0" applyAlignment="0" applyProtection="0"/>
    <xf numFmtId="0" fontId="390" fillId="0" borderId="0"/>
    <xf numFmtId="0" fontId="390" fillId="0" borderId="0"/>
    <xf numFmtId="164" fontId="390" fillId="0" borderId="0" applyFont="0" applyFill="0" applyBorder="0" applyAlignment="0" applyProtection="0"/>
    <xf numFmtId="0" fontId="390" fillId="0" borderId="0"/>
    <xf numFmtId="164" fontId="390" fillId="0" borderId="0" applyFont="0" applyFill="0" applyBorder="0" applyAlignment="0" applyProtection="0"/>
    <xf numFmtId="0" fontId="1" fillId="0" borderId="0"/>
    <xf numFmtId="0" fontId="390" fillId="0" borderId="0"/>
    <xf numFmtId="0" fontId="390" fillId="0" borderId="0"/>
    <xf numFmtId="164" fontId="390" fillId="0" borderId="0" applyFont="0" applyFill="0" applyBorder="0" applyAlignment="0" applyProtection="0"/>
    <xf numFmtId="0" fontId="390" fillId="0" borderId="0"/>
    <xf numFmtId="0" fontId="390" fillId="0" borderId="0"/>
    <xf numFmtId="164" fontId="390" fillId="0" borderId="0" applyFont="0" applyFill="0" applyBorder="0" applyAlignment="0" applyProtection="0"/>
    <xf numFmtId="0" fontId="390" fillId="0" borderId="0"/>
    <xf numFmtId="0" fontId="390" fillId="0" borderId="0"/>
    <xf numFmtId="164" fontId="390" fillId="0" borderId="0" applyFont="0" applyFill="0" applyBorder="0" applyAlignment="0" applyProtection="0"/>
    <xf numFmtId="0" fontId="390" fillId="0" borderId="0"/>
    <xf numFmtId="0" fontId="1" fillId="0" borderId="0"/>
    <xf numFmtId="1" fontId="390" fillId="0" borderId="0"/>
    <xf numFmtId="0" fontId="390" fillId="0" borderId="0"/>
    <xf numFmtId="164" fontId="390" fillId="0" borderId="0" applyFont="0" applyFill="0" applyBorder="0" applyAlignment="0" applyProtection="0"/>
    <xf numFmtId="0" fontId="390" fillId="0" borderId="0"/>
    <xf numFmtId="1" fontId="390" fillId="0" borderId="0"/>
    <xf numFmtId="0" fontId="390" fillId="0" borderId="0"/>
    <xf numFmtId="164" fontId="390" fillId="0" borderId="0" applyFont="0" applyFill="0" applyBorder="0" applyAlignment="0" applyProtection="0"/>
    <xf numFmtId="0" fontId="390" fillId="0" borderId="0"/>
    <xf numFmtId="2" fontId="390" fillId="0" borderId="0" applyFont="0" applyFill="0" applyBorder="0" applyAlignment="0" applyProtection="0"/>
    <xf numFmtId="164" fontId="390" fillId="0" borderId="0" applyFont="0" applyFill="0" applyBorder="0" applyAlignment="0" applyProtection="0"/>
    <xf numFmtId="0" fontId="390" fillId="0" borderId="0"/>
    <xf numFmtId="0" fontId="390" fillId="0" borderId="0"/>
    <xf numFmtId="2" fontId="390" fillId="0" borderId="0" applyFont="0" applyFill="0" applyBorder="0" applyAlignment="0" applyProtection="0"/>
    <xf numFmtId="164" fontId="390" fillId="0" borderId="0" applyFont="0" applyFill="0" applyBorder="0" applyAlignment="0" applyProtection="0"/>
    <xf numFmtId="0" fontId="390" fillId="0" borderId="0"/>
    <xf numFmtId="0" fontId="390" fillId="0" borderId="0"/>
    <xf numFmtId="2" fontId="390" fillId="0" borderId="0" applyFont="0" applyFill="0" applyBorder="0" applyAlignment="0" applyProtection="0"/>
    <xf numFmtId="164" fontId="390" fillId="0" borderId="0" applyFont="0" applyFill="0" applyBorder="0" applyAlignment="0" applyProtection="0"/>
    <xf numFmtId="0" fontId="390" fillId="0" borderId="0"/>
    <xf numFmtId="164" fontId="390" fillId="0" borderId="0" applyFont="0" applyFill="0" applyBorder="0" applyAlignment="0" applyProtection="0"/>
    <xf numFmtId="0" fontId="390" fillId="0" borderId="0"/>
    <xf numFmtId="164" fontId="390" fillId="0" borderId="0" applyFont="0" applyFill="0" applyBorder="0" applyAlignment="0" applyProtection="0"/>
    <xf numFmtId="0" fontId="390" fillId="0" borderId="0"/>
    <xf numFmtId="164" fontId="390" fillId="0" borderId="0" applyFont="0" applyFill="0" applyBorder="0" applyAlignment="0" applyProtection="0"/>
    <xf numFmtId="0" fontId="390" fillId="0" borderId="0"/>
    <xf numFmtId="164" fontId="390" fillId="0" borderId="0" applyFont="0" applyFill="0" applyBorder="0" applyAlignment="0" applyProtection="0"/>
    <xf numFmtId="0" fontId="1" fillId="0" borderId="0"/>
    <xf numFmtId="10" fontId="350" fillId="37" borderId="1" applyNumberFormat="0" applyBorder="0" applyAlignment="0" applyProtection="0"/>
    <xf numFmtId="0" fontId="1" fillId="0" borderId="0"/>
    <xf numFmtId="44" fontId="390" fillId="0" borderId="0" applyFont="0" applyFill="0" applyBorder="0" applyAlignment="0" applyProtection="0"/>
    <xf numFmtId="0" fontId="390" fillId="0" borderId="0"/>
    <xf numFmtId="164" fontId="390" fillId="0" borderId="0" applyFont="0" applyFill="0" applyBorder="0" applyAlignment="0" applyProtection="0"/>
    <xf numFmtId="0" fontId="1" fillId="0" borderId="0"/>
    <xf numFmtId="44" fontId="363" fillId="0" borderId="0" applyFont="0" applyFill="0" applyBorder="0" applyAlignment="0" applyProtection="0"/>
    <xf numFmtId="0" fontId="390" fillId="0" borderId="0"/>
    <xf numFmtId="164" fontId="390" fillId="0" borderId="0" applyFont="0" applyFill="0" applyBorder="0" applyAlignment="0" applyProtection="0"/>
    <xf numFmtId="0" fontId="390" fillId="0" borderId="0"/>
    <xf numFmtId="164" fontId="390" fillId="0" borderId="0" applyFont="0" applyFill="0" applyBorder="0" applyAlignment="0" applyProtection="0"/>
    <xf numFmtId="0" fontId="390" fillId="0" borderId="0"/>
    <xf numFmtId="0" fontId="390" fillId="0" borderId="0"/>
    <xf numFmtId="164" fontId="390" fillId="0" borderId="0" applyFont="0" applyFill="0" applyBorder="0" applyAlignment="0" applyProtection="0"/>
    <xf numFmtId="0" fontId="390" fillId="0" borderId="0"/>
    <xf numFmtId="164" fontId="390" fillId="0" borderId="0" applyFont="0" applyFill="0" applyBorder="0" applyAlignment="0" applyProtection="0"/>
    <xf numFmtId="164" fontId="390" fillId="0" borderId="0" applyFont="0" applyFill="0" applyBorder="0" applyAlignment="0" applyProtection="0"/>
    <xf numFmtId="1" fontId="390" fillId="0" borderId="0"/>
    <xf numFmtId="0" fontId="390" fillId="0" borderId="0"/>
    <xf numFmtId="164" fontId="390" fillId="0" borderId="0" applyFont="0" applyFill="0" applyBorder="0" applyAlignment="0" applyProtection="0"/>
    <xf numFmtId="0" fontId="390" fillId="0" borderId="0"/>
    <xf numFmtId="1" fontId="390" fillId="0" borderId="0"/>
    <xf numFmtId="0" fontId="390" fillId="0" borderId="0"/>
    <xf numFmtId="164" fontId="390" fillId="0" borderId="0" applyFont="0" applyFill="0" applyBorder="0" applyAlignment="0" applyProtection="0"/>
    <xf numFmtId="0" fontId="390" fillId="0" borderId="0"/>
    <xf numFmtId="1" fontId="390" fillId="0" borderId="0"/>
    <xf numFmtId="0" fontId="390" fillId="0" borderId="0"/>
    <xf numFmtId="164" fontId="390" fillId="0" borderId="0" applyFont="0" applyFill="0" applyBorder="0" applyAlignment="0" applyProtection="0"/>
    <xf numFmtId="0" fontId="390" fillId="0" borderId="0"/>
    <xf numFmtId="0" fontId="386" fillId="39" borderId="0" applyNumberFormat="0" applyBorder="0" applyAlignment="0" applyProtection="0"/>
    <xf numFmtId="164" fontId="390" fillId="0" borderId="0" applyFont="0" applyFill="0" applyBorder="0" applyAlignment="0" applyProtection="0"/>
    <xf numFmtId="0" fontId="390" fillId="0" borderId="0"/>
    <xf numFmtId="164" fontId="390" fillId="0" borderId="0" applyFont="0" applyFill="0" applyBorder="0" applyAlignment="0" applyProtection="0"/>
    <xf numFmtId="0" fontId="390" fillId="0" borderId="0"/>
    <xf numFmtId="164" fontId="390" fillId="0" borderId="0" applyFont="0" applyFill="0" applyBorder="0" applyAlignment="0" applyProtection="0"/>
    <xf numFmtId="0" fontId="390" fillId="0" borderId="0"/>
    <xf numFmtId="164" fontId="390" fillId="0" borderId="0" applyFont="0" applyFill="0" applyBorder="0" applyAlignment="0" applyProtection="0"/>
    <xf numFmtId="0" fontId="390" fillId="0" borderId="0"/>
    <xf numFmtId="164" fontId="390" fillId="0" borderId="0" applyFont="0" applyFill="0" applyBorder="0" applyAlignment="0" applyProtection="0"/>
    <xf numFmtId="164" fontId="390" fillId="0" borderId="0" applyFont="0" applyFill="0" applyBorder="0" applyAlignment="0" applyProtection="0"/>
    <xf numFmtId="0" fontId="390" fillId="0" borderId="0"/>
    <xf numFmtId="164" fontId="390" fillId="0" borderId="0" applyFont="0" applyFill="0" applyBorder="0" applyAlignment="0" applyProtection="0"/>
    <xf numFmtId="0" fontId="390" fillId="0" borderId="0"/>
    <xf numFmtId="164" fontId="390" fillId="0" borderId="0" applyFont="0" applyFill="0" applyBorder="0" applyAlignment="0" applyProtection="0"/>
    <xf numFmtId="0" fontId="1" fillId="0" borderId="0"/>
    <xf numFmtId="164" fontId="390" fillId="0" borderId="0" applyFont="0" applyFill="0" applyBorder="0" applyAlignment="0" applyProtection="0"/>
    <xf numFmtId="0" fontId="1" fillId="0" borderId="0"/>
    <xf numFmtId="164" fontId="390" fillId="0" borderId="0" applyFont="0" applyFill="0" applyBorder="0" applyAlignment="0" applyProtection="0"/>
    <xf numFmtId="164" fontId="390" fillId="0" borderId="0" applyFont="0" applyFill="0" applyBorder="0" applyAlignment="0" applyProtection="0"/>
    <xf numFmtId="0" fontId="390" fillId="0" borderId="0"/>
    <xf numFmtId="164" fontId="390" fillId="0" borderId="0" applyFont="0" applyFill="0" applyBorder="0" applyAlignment="0" applyProtection="0"/>
    <xf numFmtId="0" fontId="390" fillId="0" borderId="0"/>
    <xf numFmtId="0" fontId="1" fillId="0" borderId="0"/>
    <xf numFmtId="164" fontId="390" fillId="0" borderId="0" applyFont="0" applyFill="0" applyBorder="0" applyAlignment="0" applyProtection="0"/>
    <xf numFmtId="0" fontId="1" fillId="0" borderId="0"/>
    <xf numFmtId="164" fontId="390" fillId="0" borderId="0" applyFont="0" applyFill="0" applyBorder="0" applyAlignment="0" applyProtection="0"/>
    <xf numFmtId="0" fontId="380" fillId="36" borderId="105" applyNumberFormat="0" applyAlignment="0" applyProtection="0"/>
    <xf numFmtId="0" fontId="1" fillId="0" borderId="0"/>
    <xf numFmtId="164" fontId="390" fillId="0" borderId="0" applyFont="0" applyFill="0" applyBorder="0" applyAlignment="0" applyProtection="0"/>
    <xf numFmtId="164" fontId="390" fillId="0" borderId="0" applyFont="0" applyFill="0" applyBorder="0" applyAlignment="0" applyProtection="0"/>
    <xf numFmtId="0" fontId="1" fillId="0" borderId="0"/>
    <xf numFmtId="0" fontId="390" fillId="0" borderId="0"/>
    <xf numFmtId="164" fontId="390" fillId="0" borderId="0" applyFont="0" applyFill="0" applyBorder="0" applyAlignment="0" applyProtection="0"/>
    <xf numFmtId="0" fontId="1" fillId="0" borderId="0"/>
    <xf numFmtId="0" fontId="390" fillId="0" borderId="0"/>
    <xf numFmtId="0" fontId="1" fillId="0" borderId="0"/>
    <xf numFmtId="0" fontId="390" fillId="0" borderId="0"/>
    <xf numFmtId="164" fontId="390" fillId="0" borderId="0" applyFont="0" applyFill="0" applyBorder="0" applyAlignment="0" applyProtection="0"/>
    <xf numFmtId="0" fontId="1" fillId="0" borderId="0"/>
    <xf numFmtId="0" fontId="390" fillId="0" borderId="0"/>
    <xf numFmtId="164" fontId="390" fillId="0" borderId="0" applyFont="0" applyFill="0" applyBorder="0" applyAlignment="0" applyProtection="0"/>
    <xf numFmtId="0" fontId="1" fillId="0" borderId="0"/>
    <xf numFmtId="0" fontId="390" fillId="0" borderId="0"/>
    <xf numFmtId="0" fontId="1" fillId="0" borderId="0"/>
    <xf numFmtId="164" fontId="390" fillId="0" borderId="0" applyFont="0" applyFill="0" applyBorder="0" applyAlignment="0" applyProtection="0"/>
    <xf numFmtId="0" fontId="390" fillId="0" borderId="0"/>
    <xf numFmtId="0" fontId="1" fillId="0" borderId="0"/>
    <xf numFmtId="164" fontId="390" fillId="0" borderId="0" applyFont="0" applyFill="0" applyBorder="0" applyAlignment="0" applyProtection="0"/>
    <xf numFmtId="0" fontId="390" fillId="0" borderId="0"/>
    <xf numFmtId="164" fontId="390" fillId="0" borderId="0" applyFont="0" applyFill="0" applyBorder="0" applyAlignment="0" applyProtection="0"/>
    <xf numFmtId="0" fontId="390" fillId="0" borderId="0"/>
    <xf numFmtId="164" fontId="363" fillId="0" borderId="0" applyFont="0" applyFill="0" applyBorder="0" applyAlignment="0" applyProtection="0"/>
    <xf numFmtId="0" fontId="390" fillId="0" borderId="0"/>
    <xf numFmtId="164" fontId="390" fillId="0" borderId="0" applyFont="0" applyFill="0" applyBorder="0" applyAlignment="0" applyProtection="0"/>
    <xf numFmtId="0" fontId="390" fillId="0" borderId="0"/>
    <xf numFmtId="164" fontId="1" fillId="0" borderId="0" applyFont="0" applyFill="0" applyBorder="0" applyAlignment="0" applyProtection="0"/>
    <xf numFmtId="0" fontId="390" fillId="0" borderId="0"/>
    <xf numFmtId="164" fontId="390" fillId="0" borderId="0" applyFont="0" applyFill="0" applyBorder="0" applyAlignment="0" applyProtection="0"/>
    <xf numFmtId="0" fontId="390" fillId="0" borderId="0"/>
    <xf numFmtId="164" fontId="363" fillId="0" borderId="0" applyFont="0" applyFill="0" applyBorder="0" applyAlignment="0" applyProtection="0"/>
    <xf numFmtId="0" fontId="1" fillId="0" borderId="0"/>
    <xf numFmtId="0" fontId="390" fillId="0" borderId="0"/>
    <xf numFmtId="164" fontId="390" fillId="0" borderId="0" applyFont="0" applyFill="0" applyBorder="0" applyAlignment="0" applyProtection="0"/>
    <xf numFmtId="164" fontId="390" fillId="0" borderId="0" applyFont="0" applyFill="0" applyBorder="0" applyAlignment="0" applyProtection="0"/>
    <xf numFmtId="0" fontId="390" fillId="0" borderId="0"/>
    <xf numFmtId="0" fontId="1" fillId="0" borderId="0"/>
    <xf numFmtId="0" fontId="390" fillId="0" borderId="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0" fontId="1" fillId="0" borderId="0"/>
    <xf numFmtId="184" fontId="353" fillId="0" borderId="0" applyFont="0" applyFill="0" applyBorder="0" applyAlignment="0" applyProtection="0"/>
    <xf numFmtId="0" fontId="390" fillId="0" borderId="0"/>
    <xf numFmtId="164" fontId="390" fillId="0" borderId="0" applyFont="0" applyFill="0" applyBorder="0" applyAlignment="0" applyProtection="0"/>
    <xf numFmtId="0" fontId="1" fillId="0" borderId="0"/>
    <xf numFmtId="164" fontId="363" fillId="0" borderId="0" applyFont="0" applyFill="0" applyBorder="0" applyAlignment="0" applyProtection="0"/>
    <xf numFmtId="0" fontId="390" fillId="0" borderId="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0" fontId="1" fillId="0" borderId="0"/>
    <xf numFmtId="0" fontId="1" fillId="0" borderId="0"/>
    <xf numFmtId="0" fontId="390" fillId="0" borderId="0"/>
    <xf numFmtId="164" fontId="390" fillId="0" borderId="0" applyFont="0" applyFill="0" applyBorder="0" applyAlignment="0" applyProtection="0"/>
    <xf numFmtId="164" fontId="390" fillId="0" borderId="0" applyFont="0" applyFill="0" applyBorder="0" applyAlignment="0" applyProtection="0"/>
    <xf numFmtId="0" fontId="382" fillId="0" borderId="0" applyNumberFormat="0" applyAlignment="0">
      <alignment horizontal="left"/>
    </xf>
    <xf numFmtId="164" fontId="390" fillId="0" borderId="0" applyFont="0" applyFill="0" applyBorder="0" applyAlignment="0" applyProtection="0"/>
    <xf numFmtId="164" fontId="390" fillId="0" borderId="0" applyFont="0" applyFill="0" applyBorder="0" applyAlignment="0" applyProtection="0"/>
    <xf numFmtId="0" fontId="382" fillId="0" borderId="0" applyNumberFormat="0" applyAlignment="0">
      <alignment horizontal="left"/>
    </xf>
    <xf numFmtId="0" fontId="353" fillId="0" borderId="0"/>
    <xf numFmtId="0" fontId="1" fillId="0" borderId="0"/>
    <xf numFmtId="164" fontId="363" fillId="0" borderId="0" applyFont="0" applyFill="0" applyBorder="0" applyAlignment="0" applyProtection="0"/>
    <xf numFmtId="0" fontId="390" fillId="0" borderId="0"/>
    <xf numFmtId="164" fontId="390" fillId="0" borderId="0" applyFont="0" applyFill="0" applyBorder="0" applyAlignment="0" applyProtection="0"/>
    <xf numFmtId="0" fontId="390" fillId="0" borderId="0"/>
    <xf numFmtId="0" fontId="1" fillId="0" borderId="0"/>
    <xf numFmtId="164" fontId="363" fillId="0" borderId="0" applyFont="0" applyFill="0" applyBorder="0" applyAlignment="0" applyProtection="0"/>
    <xf numFmtId="0" fontId="390" fillId="0" borderId="0"/>
    <xf numFmtId="0" fontId="390" fillId="0" borderId="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0" fontId="1" fillId="0" borderId="0"/>
    <xf numFmtId="0" fontId="390" fillId="0" borderId="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0" fontId="390" fillId="0" borderId="0"/>
    <xf numFmtId="0" fontId="1" fillId="0" borderId="0"/>
    <xf numFmtId="164" fontId="390" fillId="0" borderId="0" applyFont="0" applyFill="0" applyBorder="0" applyAlignment="0" applyProtection="0"/>
    <xf numFmtId="0" fontId="390" fillId="0" borderId="0"/>
    <xf numFmtId="0" fontId="1" fillId="0" borderId="0"/>
    <xf numFmtId="1" fontId="390" fillId="0" borderId="0"/>
    <xf numFmtId="0" fontId="390" fillId="0" borderId="0"/>
    <xf numFmtId="164" fontId="390" fillId="0" borderId="0" applyFont="0" applyFill="0" applyBorder="0" applyAlignment="0" applyProtection="0"/>
    <xf numFmtId="0" fontId="390" fillId="0" borderId="0"/>
    <xf numFmtId="164" fontId="390" fillId="0" borderId="0" applyFont="0" applyFill="0" applyBorder="0" applyAlignment="0" applyProtection="0"/>
    <xf numFmtId="0" fontId="390" fillId="0" borderId="0"/>
    <xf numFmtId="164" fontId="390" fillId="0" borderId="0" applyFont="0" applyFill="0" applyBorder="0" applyAlignment="0" applyProtection="0"/>
    <xf numFmtId="0" fontId="1" fillId="0" borderId="0"/>
    <xf numFmtId="0" fontId="390" fillId="0" borderId="0"/>
    <xf numFmtId="164" fontId="390" fillId="0" borderId="0" applyFont="0" applyFill="0" applyBorder="0" applyAlignment="0" applyProtection="0"/>
    <xf numFmtId="0" fontId="390" fillId="0" borderId="0"/>
    <xf numFmtId="164" fontId="390" fillId="0" borderId="0" applyFont="0" applyFill="0" applyBorder="0" applyAlignment="0" applyProtection="0"/>
    <xf numFmtId="0" fontId="390" fillId="0" borderId="0"/>
    <xf numFmtId="184" fontId="353" fillId="0" borderId="0" applyFont="0" applyFill="0" applyBorder="0" applyAlignment="0" applyProtection="0"/>
    <xf numFmtId="0" fontId="390" fillId="0" borderId="0"/>
    <xf numFmtId="164" fontId="1" fillId="0" borderId="0" applyFont="0" applyFill="0" applyBorder="0" applyAlignment="0" applyProtection="0"/>
    <xf numFmtId="0" fontId="1" fillId="0" borderId="0"/>
    <xf numFmtId="0" fontId="390" fillId="0" borderId="0"/>
    <xf numFmtId="164" fontId="1" fillId="0" borderId="0" applyFont="0" applyFill="0" applyBorder="0" applyAlignment="0" applyProtection="0"/>
    <xf numFmtId="0" fontId="390" fillId="0" borderId="0"/>
    <xf numFmtId="0" fontId="1" fillId="0" borderId="0"/>
    <xf numFmtId="184" fontId="353" fillId="0" borderId="0" applyFont="0" applyFill="0" applyBorder="0" applyAlignment="0" applyProtection="0"/>
    <xf numFmtId="0" fontId="382" fillId="0" borderId="0" applyNumberFormat="0" applyAlignment="0">
      <alignment horizontal="left"/>
    </xf>
    <xf numFmtId="0" fontId="390" fillId="0" borderId="0"/>
    <xf numFmtId="0" fontId="1" fillId="0" borderId="0"/>
    <xf numFmtId="0" fontId="382" fillId="0" borderId="0" applyNumberFormat="0" applyAlignment="0">
      <alignment horizontal="left"/>
    </xf>
    <xf numFmtId="0" fontId="372" fillId="0" borderId="0" applyNumberFormat="0" applyFill="0" applyBorder="0" applyAlignment="0" applyProtection="0"/>
    <xf numFmtId="44" fontId="390" fillId="0" borderId="0" applyFont="0" applyFill="0" applyBorder="0" applyAlignment="0" applyProtection="0"/>
    <xf numFmtId="44" fontId="390" fillId="0" borderId="0" applyFont="0" applyFill="0" applyBorder="0" applyAlignment="0" applyProtection="0"/>
    <xf numFmtId="0" fontId="363" fillId="0" borderId="0"/>
    <xf numFmtId="0" fontId="390" fillId="0" borderId="0"/>
    <xf numFmtId="44" fontId="390" fillId="0" borderId="0" applyFont="0" applyFill="0" applyBorder="0" applyAlignment="0" applyProtection="0"/>
    <xf numFmtId="0" fontId="363" fillId="0" borderId="0"/>
    <xf numFmtId="0" fontId="390" fillId="0" borderId="0"/>
    <xf numFmtId="44" fontId="390" fillId="0" borderId="0" applyFont="0" applyFill="0" applyBorder="0" applyAlignment="0" applyProtection="0"/>
    <xf numFmtId="0" fontId="390" fillId="0" borderId="0"/>
    <xf numFmtId="44" fontId="390" fillId="0" borderId="0" applyFont="0" applyFill="0" applyBorder="0" applyAlignment="0" applyProtection="0"/>
    <xf numFmtId="0" fontId="385" fillId="0" borderId="0" applyNumberFormat="0" applyAlignment="0">
      <alignment horizontal="left"/>
    </xf>
    <xf numFmtId="0" fontId="390" fillId="0" borderId="0"/>
    <xf numFmtId="44" fontId="390" fillId="0" borderId="0" applyFont="0" applyFill="0" applyBorder="0" applyAlignment="0" applyProtection="0"/>
    <xf numFmtId="44" fontId="390" fillId="0" borderId="0" applyFont="0" applyFill="0" applyBorder="0" applyAlignment="0" applyProtection="0"/>
    <xf numFmtId="44" fontId="390" fillId="0" borderId="0" applyFont="0" applyFill="0" applyBorder="0" applyAlignment="0" applyProtection="0"/>
    <xf numFmtId="44" fontId="390" fillId="0" borderId="0" applyFont="0" applyFill="0" applyBorder="0" applyAlignment="0" applyProtection="0"/>
    <xf numFmtId="0" fontId="1" fillId="0" borderId="0"/>
    <xf numFmtId="44" fontId="390" fillId="0" borderId="0" applyFont="0" applyFill="0" applyBorder="0" applyAlignment="0" applyProtection="0"/>
    <xf numFmtId="44" fontId="390" fillId="0" borderId="0" applyFont="0" applyFill="0" applyBorder="0" applyAlignment="0" applyProtection="0"/>
    <xf numFmtId="0" fontId="390" fillId="0" borderId="0"/>
    <xf numFmtId="0" fontId="348" fillId="0" borderId="14" applyNumberFormat="0" applyAlignment="0" applyProtection="0">
      <alignment horizontal="left" vertical="center"/>
    </xf>
    <xf numFmtId="44" fontId="390" fillId="0" borderId="0" applyFont="0" applyFill="0" applyBorder="0" applyAlignment="0" applyProtection="0"/>
    <xf numFmtId="0" fontId="390" fillId="0" borderId="0"/>
    <xf numFmtId="0" fontId="348" fillId="0" borderId="10">
      <alignment horizontal="left" vertical="center"/>
    </xf>
    <xf numFmtId="44" fontId="390" fillId="0" borderId="0" applyFont="0" applyFill="0" applyBorder="0" applyAlignment="0" applyProtection="0"/>
    <xf numFmtId="0" fontId="390" fillId="0" borderId="0"/>
    <xf numFmtId="10" fontId="350" fillId="37" borderId="1" applyNumberFormat="0" applyBorder="0" applyAlignment="0" applyProtection="0"/>
    <xf numFmtId="44" fontId="390" fillId="0" borderId="0" applyFont="0" applyFill="0" applyBorder="0" applyAlignment="0" applyProtection="0"/>
    <xf numFmtId="0" fontId="390" fillId="0" borderId="0"/>
    <xf numFmtId="44" fontId="390" fillId="0" borderId="0" applyFont="0" applyFill="0" applyBorder="0" applyAlignment="0" applyProtection="0"/>
    <xf numFmtId="0" fontId="390" fillId="0" borderId="0"/>
    <xf numFmtId="0" fontId="390" fillId="0" borderId="0"/>
    <xf numFmtId="44" fontId="390" fillId="0" borderId="0" applyFont="0" applyFill="0" applyBorder="0" applyAlignment="0" applyProtection="0"/>
    <xf numFmtId="0" fontId="390" fillId="0" borderId="0"/>
    <xf numFmtId="44" fontId="390" fillId="0" borderId="0" applyFont="0" applyFill="0" applyBorder="0" applyAlignment="0" applyProtection="0"/>
    <xf numFmtId="0" fontId="390" fillId="0" borderId="0"/>
    <xf numFmtId="0" fontId="390" fillId="0" borderId="0"/>
    <xf numFmtId="44" fontId="390" fillId="0" borderId="0" applyFont="0" applyFill="0" applyBorder="0" applyAlignment="0" applyProtection="0"/>
    <xf numFmtId="0" fontId="390" fillId="0" borderId="0"/>
    <xf numFmtId="0" fontId="390" fillId="0" borderId="0"/>
    <xf numFmtId="0" fontId="1" fillId="0" borderId="0"/>
    <xf numFmtId="44" fontId="390" fillId="0" borderId="0" applyFont="0" applyFill="0" applyBorder="0" applyAlignment="0" applyProtection="0"/>
    <xf numFmtId="0" fontId="359" fillId="58" borderId="0" applyNumberFormat="0" applyBorder="0" applyAlignment="0" applyProtection="0"/>
    <xf numFmtId="0" fontId="390" fillId="0" borderId="0"/>
    <xf numFmtId="0" fontId="359" fillId="58" borderId="0" applyNumberFormat="0" applyBorder="0" applyAlignment="0" applyProtection="0"/>
    <xf numFmtId="0" fontId="390" fillId="0" borderId="0"/>
    <xf numFmtId="0" fontId="359" fillId="51" borderId="0" applyNumberFormat="0" applyBorder="0" applyAlignment="0" applyProtection="0"/>
    <xf numFmtId="0" fontId="390" fillId="0" borderId="0"/>
    <xf numFmtId="9" fontId="390" fillId="0" borderId="0" applyFont="0" applyFill="0" applyBorder="0" applyAlignment="0" applyProtection="0"/>
    <xf numFmtId="0" fontId="353" fillId="0" borderId="0"/>
    <xf numFmtId="0" fontId="390" fillId="0" borderId="9">
      <alignment horizontal="center"/>
    </xf>
    <xf numFmtId="0" fontId="359" fillId="51" borderId="0" applyNumberFormat="0" applyBorder="0" applyAlignment="0" applyProtection="0"/>
    <xf numFmtId="0" fontId="390" fillId="0" borderId="0"/>
    <xf numFmtId="0" fontId="390" fillId="0" borderId="0"/>
    <xf numFmtId="0" fontId="390" fillId="0" borderId="0"/>
    <xf numFmtId="9" fontId="390" fillId="0" borderId="0" applyFont="0" applyFill="0" applyBorder="0" applyAlignment="0" applyProtection="0"/>
    <xf numFmtId="0" fontId="353" fillId="0" borderId="0"/>
    <xf numFmtId="0" fontId="390" fillId="0" borderId="9">
      <alignment horizontal="center"/>
    </xf>
    <xf numFmtId="0" fontId="359" fillId="51" borderId="0" applyNumberFormat="0" applyBorder="0" applyAlignment="0" applyProtection="0"/>
    <xf numFmtId="0" fontId="390" fillId="0" borderId="0"/>
    <xf numFmtId="0" fontId="390" fillId="0" borderId="0"/>
    <xf numFmtId="0" fontId="359" fillId="44" borderId="0" applyNumberFormat="0" applyBorder="0" applyAlignment="0" applyProtection="0"/>
    <xf numFmtId="0" fontId="359" fillId="44" borderId="0" applyNumberFormat="0" applyBorder="0" applyAlignment="0" applyProtection="0"/>
    <xf numFmtId="0" fontId="390" fillId="0" borderId="0"/>
    <xf numFmtId="0" fontId="390" fillId="0" borderId="0"/>
    <xf numFmtId="171" fontId="352" fillId="0" borderId="25">
      <alignment horizontal="right"/>
    </xf>
    <xf numFmtId="0" fontId="390" fillId="0" borderId="0"/>
    <xf numFmtId="0" fontId="390" fillId="0" borderId="0"/>
    <xf numFmtId="0" fontId="359" fillId="44" borderId="0" applyNumberFormat="0" applyBorder="0" applyAlignment="0" applyProtection="0"/>
    <xf numFmtId="0" fontId="390" fillId="0" borderId="0"/>
    <xf numFmtId="0" fontId="390" fillId="0" borderId="0"/>
    <xf numFmtId="9" fontId="390" fillId="0" borderId="0" applyFont="0" applyFill="0" applyBorder="0" applyAlignment="0" applyProtection="0"/>
    <xf numFmtId="0" fontId="390" fillId="0" borderId="0"/>
    <xf numFmtId="0" fontId="390" fillId="0" borderId="0"/>
    <xf numFmtId="0" fontId="385" fillId="0" borderId="0" applyNumberFormat="0" applyAlignment="0">
      <alignment horizontal="left"/>
    </xf>
    <xf numFmtId="0" fontId="385" fillId="0" borderId="0" applyNumberFormat="0" applyAlignment="0">
      <alignment horizontal="left"/>
    </xf>
    <xf numFmtId="0" fontId="390" fillId="0" borderId="0"/>
    <xf numFmtId="0" fontId="372" fillId="0" borderId="0" applyNumberFormat="0" applyFill="0" applyBorder="0" applyAlignment="0" applyProtection="0"/>
    <xf numFmtId="167" fontId="390" fillId="0" borderId="0" applyFont="0" applyFill="0" applyBorder="0" applyAlignment="0" applyProtection="0"/>
    <xf numFmtId="0" fontId="390" fillId="0" borderId="0"/>
    <xf numFmtId="167" fontId="390" fillId="0" borderId="0" applyFont="0" applyFill="0" applyBorder="0" applyAlignment="0" applyProtection="0"/>
    <xf numFmtId="0" fontId="1" fillId="0" borderId="0"/>
    <xf numFmtId="0" fontId="390" fillId="0" borderId="0"/>
    <xf numFmtId="167" fontId="390" fillId="0" borderId="0" applyFont="0" applyFill="0" applyBorder="0" applyAlignment="0" applyProtection="0"/>
    <xf numFmtId="0" fontId="390" fillId="0" borderId="0"/>
    <xf numFmtId="167" fontId="390" fillId="0" borderId="0" applyFont="0" applyFill="0" applyBorder="0" applyAlignment="0" applyProtection="0"/>
    <xf numFmtId="0" fontId="371" fillId="0" borderId="1">
      <alignment horizontal="center"/>
    </xf>
    <xf numFmtId="0" fontId="390" fillId="0" borderId="0"/>
    <xf numFmtId="167" fontId="390" fillId="0" borderId="0" applyFont="0" applyFill="0" applyBorder="0" applyAlignment="0" applyProtection="0"/>
    <xf numFmtId="0" fontId="371" fillId="0" borderId="1">
      <alignment horizontal="center"/>
    </xf>
    <xf numFmtId="0" fontId="390" fillId="0" borderId="0"/>
    <xf numFmtId="167" fontId="390" fillId="0" borderId="0" applyFont="0" applyFill="0" applyBorder="0" applyAlignment="0" applyProtection="0"/>
    <xf numFmtId="0" fontId="1" fillId="0" borderId="0"/>
    <xf numFmtId="0" fontId="363" fillId="0" borderId="0"/>
    <xf numFmtId="0" fontId="390" fillId="0" borderId="0"/>
    <xf numFmtId="0" fontId="390" fillId="0" borderId="0"/>
    <xf numFmtId="0" fontId="1" fillId="0" borderId="0"/>
    <xf numFmtId="0" fontId="363" fillId="0" borderId="0"/>
    <xf numFmtId="0" fontId="390" fillId="0" borderId="0"/>
    <xf numFmtId="1" fontId="390" fillId="0" borderId="0"/>
    <xf numFmtId="0" fontId="375" fillId="0" borderId="0" applyNumberFormat="0" applyFill="0" applyBorder="0" applyAlignment="0" applyProtection="0"/>
    <xf numFmtId="0" fontId="390" fillId="0" borderId="0"/>
    <xf numFmtId="0" fontId="375" fillId="0" borderId="0" applyNumberFormat="0" applyFill="0" applyBorder="0" applyAlignment="0" applyProtection="0"/>
    <xf numFmtId="0" fontId="390" fillId="0" borderId="0"/>
    <xf numFmtId="1" fontId="390" fillId="0" borderId="0"/>
    <xf numFmtId="0" fontId="375" fillId="0" borderId="0" applyNumberFormat="0" applyFill="0" applyBorder="0" applyAlignment="0" applyProtection="0"/>
    <xf numFmtId="0" fontId="390" fillId="0" borderId="0"/>
    <xf numFmtId="0" fontId="1" fillId="0" borderId="0"/>
    <xf numFmtId="1" fontId="390" fillId="0" borderId="0"/>
    <xf numFmtId="0" fontId="390" fillId="0" borderId="0"/>
    <xf numFmtId="0" fontId="1" fillId="0" borderId="0"/>
    <xf numFmtId="1" fontId="390" fillId="0" borderId="0"/>
    <xf numFmtId="0" fontId="390" fillId="0" borderId="0"/>
    <xf numFmtId="1" fontId="390" fillId="0" borderId="0"/>
    <xf numFmtId="0" fontId="390" fillId="0" borderId="0"/>
    <xf numFmtId="1" fontId="390" fillId="0" borderId="0"/>
    <xf numFmtId="0" fontId="390" fillId="0" borderId="0"/>
    <xf numFmtId="1" fontId="390" fillId="0" borderId="0"/>
    <xf numFmtId="0" fontId="390" fillId="0" borderId="0"/>
    <xf numFmtId="0" fontId="390" fillId="0" borderId="0"/>
    <xf numFmtId="1" fontId="390" fillId="0" borderId="0"/>
    <xf numFmtId="1" fontId="390" fillId="0" borderId="0"/>
    <xf numFmtId="1" fontId="390" fillId="0" borderId="0"/>
    <xf numFmtId="1" fontId="390" fillId="0" borderId="0"/>
    <xf numFmtId="0" fontId="390" fillId="0" borderId="0"/>
    <xf numFmtId="1" fontId="390" fillId="0" borderId="0"/>
    <xf numFmtId="0" fontId="390" fillId="0" borderId="0"/>
    <xf numFmtId="1" fontId="390" fillId="0" borderId="0"/>
    <xf numFmtId="0" fontId="390" fillId="0" borderId="0"/>
    <xf numFmtId="1" fontId="390" fillId="0" borderId="0"/>
    <xf numFmtId="0" fontId="390" fillId="0" borderId="0"/>
    <xf numFmtId="1" fontId="390" fillId="0" borderId="0"/>
    <xf numFmtId="0" fontId="390" fillId="0" borderId="0"/>
    <xf numFmtId="1" fontId="390" fillId="0" borderId="0"/>
    <xf numFmtId="0" fontId="390" fillId="0" borderId="0"/>
    <xf numFmtId="1" fontId="390" fillId="0" borderId="0"/>
    <xf numFmtId="0" fontId="390" fillId="0" borderId="0"/>
    <xf numFmtId="1" fontId="390" fillId="0" borderId="0"/>
    <xf numFmtId="0" fontId="1" fillId="0" borderId="0"/>
    <xf numFmtId="1" fontId="390" fillId="0" borderId="0"/>
    <xf numFmtId="1" fontId="390" fillId="0" borderId="0"/>
    <xf numFmtId="1" fontId="390" fillId="0" borderId="0"/>
    <xf numFmtId="1" fontId="390" fillId="0" borderId="0"/>
    <xf numFmtId="1" fontId="390" fillId="0" borderId="0"/>
    <xf numFmtId="1" fontId="390" fillId="0" borderId="0"/>
    <xf numFmtId="10" fontId="390" fillId="0" borderId="0" applyFont="0" applyFill="0" applyBorder="0" applyAlignment="0" applyProtection="0"/>
    <xf numFmtId="1" fontId="390" fillId="0" borderId="0"/>
    <xf numFmtId="10" fontId="390" fillId="0" borderId="0" applyFont="0" applyFill="0" applyBorder="0" applyAlignment="0" applyProtection="0"/>
    <xf numFmtId="1" fontId="390" fillId="0" borderId="0"/>
    <xf numFmtId="0" fontId="390" fillId="0" borderId="0"/>
    <xf numFmtId="38" fontId="350" fillId="36" borderId="0" applyNumberFormat="0" applyBorder="0" applyAlignment="0" applyProtection="0"/>
    <xf numFmtId="10" fontId="390" fillId="0" borderId="0" applyFont="0" applyFill="0" applyBorder="0" applyAlignment="0" applyProtection="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0" fontId="1" fillId="0" borderId="0"/>
    <xf numFmtId="1" fontId="390" fillId="0" borderId="0"/>
    <xf numFmtId="0" fontId="390" fillId="0" borderId="0"/>
    <xf numFmtId="1" fontId="390" fillId="0" borderId="0"/>
    <xf numFmtId="0" fontId="390" fillId="0" borderId="0"/>
    <xf numFmtId="1" fontId="390" fillId="0" borderId="0"/>
    <xf numFmtId="0" fontId="390" fillId="0" borderId="0"/>
    <xf numFmtId="1" fontId="390" fillId="0" borderId="0"/>
    <xf numFmtId="0" fontId="390" fillId="0" borderId="0"/>
    <xf numFmtId="1" fontId="390" fillId="0" borderId="0"/>
    <xf numFmtId="0" fontId="390" fillId="0" borderId="0"/>
    <xf numFmtId="1" fontId="390" fillId="0" borderId="0"/>
    <xf numFmtId="0" fontId="390" fillId="0" borderId="0"/>
    <xf numFmtId="1" fontId="390" fillId="0" borderId="0"/>
    <xf numFmtId="0" fontId="390" fillId="0" borderId="0"/>
    <xf numFmtId="0" fontId="390" fillId="0" borderId="0"/>
    <xf numFmtId="0" fontId="386" fillId="39" borderId="0" applyNumberFormat="0" applyBorder="0" applyAlignment="0" applyProtection="0"/>
    <xf numFmtId="0" fontId="390" fillId="0" borderId="0"/>
    <xf numFmtId="0" fontId="386" fillId="39" borderId="0" applyNumberFormat="0" applyBorder="0" applyAlignment="0" applyProtection="0"/>
    <xf numFmtId="9" fontId="1" fillId="0" borderId="0" applyFont="0" applyFill="0" applyBorder="0" applyAlignment="0" applyProtection="0"/>
    <xf numFmtId="0" fontId="369" fillId="50" borderId="0" applyNumberFormat="0" applyBorder="0" applyAlignment="0" applyProtection="0"/>
    <xf numFmtId="0" fontId="390" fillId="0" borderId="0"/>
    <xf numFmtId="0" fontId="353" fillId="0" borderId="0"/>
    <xf numFmtId="0" fontId="1" fillId="0" borderId="0"/>
    <xf numFmtId="0" fontId="368" fillId="0" borderId="103" applyNumberFormat="0" applyFill="0" applyAlignment="0" applyProtection="0"/>
    <xf numFmtId="0" fontId="390" fillId="0" borderId="0"/>
    <xf numFmtId="0" fontId="368" fillId="0" borderId="103" applyNumberFormat="0" applyFill="0" applyAlignment="0" applyProtection="0"/>
    <xf numFmtId="0" fontId="390" fillId="0" borderId="0"/>
    <xf numFmtId="0" fontId="368" fillId="0" borderId="103" applyNumberFormat="0" applyFill="0" applyAlignment="0" applyProtection="0"/>
    <xf numFmtId="0" fontId="368" fillId="0" borderId="103" applyNumberFormat="0" applyFill="0" applyAlignment="0" applyProtection="0"/>
    <xf numFmtId="0" fontId="378" fillId="0" borderId="101" applyNumberFormat="0" applyFill="0" applyAlignment="0" applyProtection="0"/>
    <xf numFmtId="0" fontId="372" fillId="0" borderId="0" applyNumberFormat="0" applyFill="0" applyBorder="0" applyAlignment="0" applyProtection="0"/>
    <xf numFmtId="0" fontId="390" fillId="0" borderId="0"/>
    <xf numFmtId="9" fontId="390" fillId="0" borderId="0" applyFont="0" applyFill="0" applyBorder="0" applyAlignment="0" applyProtection="0"/>
    <xf numFmtId="0" fontId="387" fillId="0" borderId="0" applyNumberFormat="0" applyFill="0" applyBorder="0" applyAlignment="0" applyProtection="0">
      <alignment vertical="top"/>
      <protection locked="0"/>
    </xf>
    <xf numFmtId="0" fontId="390" fillId="0" borderId="0"/>
    <xf numFmtId="9" fontId="390" fillId="0" borderId="0" applyFont="0" applyFill="0" applyBorder="0" applyAlignment="0" applyProtection="0"/>
    <xf numFmtId="0" fontId="376" fillId="0" borderId="0" applyNumberFormat="0" applyFill="0" applyBorder="0" applyAlignment="0" applyProtection="0">
      <alignment vertical="top"/>
      <protection locked="0"/>
    </xf>
    <xf numFmtId="0" fontId="390" fillId="37" borderId="97" applyNumberFormat="0" applyFont="0" applyAlignment="0" applyProtection="0"/>
    <xf numFmtId="0" fontId="390" fillId="0" borderId="0"/>
    <xf numFmtId="0" fontId="390" fillId="0" borderId="0"/>
    <xf numFmtId="9" fontId="1" fillId="0" borderId="0" applyFont="0" applyFill="0" applyBorder="0" applyAlignment="0" applyProtection="0"/>
    <xf numFmtId="0" fontId="1" fillId="0" borderId="0"/>
    <xf numFmtId="0" fontId="366" fillId="0" borderId="104" applyNumberFormat="0" applyFill="0" applyAlignment="0" applyProtection="0"/>
    <xf numFmtId="0" fontId="1" fillId="0" borderId="0"/>
    <xf numFmtId="0" fontId="366" fillId="0" borderId="104" applyNumberFormat="0" applyFill="0" applyAlignment="0" applyProtection="0"/>
    <xf numFmtId="0" fontId="1" fillId="0" borderId="0"/>
    <xf numFmtId="0" fontId="366" fillId="0" borderId="104" applyNumberFormat="0" applyFill="0" applyAlignment="0" applyProtection="0"/>
    <xf numFmtId="0" fontId="1" fillId="0" borderId="0"/>
    <xf numFmtId="0" fontId="366" fillId="0" borderId="104" applyNumberFormat="0" applyFill="0" applyAlignment="0" applyProtection="0"/>
    <xf numFmtId="0" fontId="357" fillId="0" borderId="0" applyProtection="0">
      <alignment horizontal="center" vertical="center"/>
    </xf>
    <xf numFmtId="0" fontId="390" fillId="0" borderId="0"/>
    <xf numFmtId="0" fontId="357" fillId="0" borderId="0" applyProtection="0">
      <alignment horizontal="center" vertical="center"/>
    </xf>
    <xf numFmtId="0" fontId="390" fillId="0" borderId="0"/>
    <xf numFmtId="0" fontId="390" fillId="0" borderId="0"/>
    <xf numFmtId="0" fontId="357" fillId="0" borderId="0" applyProtection="0">
      <alignment horizontal="center" vertical="center"/>
    </xf>
    <xf numFmtId="0" fontId="390" fillId="0" borderId="0"/>
    <xf numFmtId="171" fontId="352" fillId="0" borderId="25">
      <alignment horizontal="right"/>
    </xf>
    <xf numFmtId="0" fontId="369" fillId="50" borderId="0" applyNumberFormat="0" applyBorder="0" applyAlignment="0" applyProtection="0"/>
    <xf numFmtId="0" fontId="377" fillId="0" borderId="0" applyNumberFormat="0" applyFill="0">
      <alignment horizontal="left" vertical="center"/>
    </xf>
    <xf numFmtId="37" fontId="364" fillId="0" borderId="0"/>
    <xf numFmtId="0" fontId="1" fillId="0" borderId="0"/>
    <xf numFmtId="0" fontId="390" fillId="0" borderId="0"/>
    <xf numFmtId="37" fontId="364" fillId="0" borderId="0"/>
    <xf numFmtId="0" fontId="390" fillId="0" borderId="0"/>
    <xf numFmtId="37" fontId="364" fillId="0" borderId="0"/>
    <xf numFmtId="0" fontId="390" fillId="0" borderId="0"/>
    <xf numFmtId="37" fontId="364"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390" fillId="0" borderId="0"/>
    <xf numFmtId="0" fontId="390" fillId="0" borderId="0"/>
    <xf numFmtId="0" fontId="390" fillId="0" borderId="0"/>
    <xf numFmtId="0" fontId="390" fillId="37" borderId="97" applyNumberFormat="0" applyFont="0" applyAlignment="0" applyProtection="0"/>
    <xf numFmtId="0" fontId="390" fillId="0" borderId="0"/>
    <xf numFmtId="0" fontId="390" fillId="0" borderId="0"/>
    <xf numFmtId="0" fontId="390" fillId="37" borderId="97" applyNumberFormat="0" applyFont="0" applyAlignment="0" applyProtection="0"/>
    <xf numFmtId="0" fontId="390" fillId="0" borderId="0"/>
    <xf numFmtId="0" fontId="390" fillId="0" borderId="0"/>
    <xf numFmtId="0" fontId="390" fillId="37" borderId="97" applyNumberFormat="0" applyFont="0" applyAlignment="0" applyProtection="0"/>
    <xf numFmtId="0" fontId="390" fillId="0" borderId="0"/>
    <xf numFmtId="0" fontId="390" fillId="0" borderId="0"/>
    <xf numFmtId="0" fontId="390" fillId="37" borderId="97" applyNumberFormat="0" applyFont="0" applyAlignment="0" applyProtection="0"/>
    <xf numFmtId="0" fontId="390" fillId="0" borderId="0"/>
    <xf numFmtId="0" fontId="390" fillId="0" borderId="0"/>
    <xf numFmtId="0" fontId="390" fillId="37" borderId="97" applyNumberFormat="0" applyFont="0" applyAlignment="0" applyProtection="0"/>
    <xf numFmtId="0" fontId="390" fillId="0" borderId="0"/>
    <xf numFmtId="0" fontId="390" fillId="0" borderId="0"/>
    <xf numFmtId="0" fontId="390" fillId="37" borderId="97" applyNumberFormat="0" applyFont="0" applyAlignment="0" applyProtection="0"/>
    <xf numFmtId="0" fontId="390" fillId="0" borderId="0"/>
    <xf numFmtId="0" fontId="390" fillId="0" borderId="0"/>
    <xf numFmtId="0" fontId="390" fillId="37" borderId="97" applyNumberFormat="0" applyFont="0" applyAlignment="0" applyProtection="0"/>
    <xf numFmtId="0" fontId="390" fillId="0" borderId="0"/>
    <xf numFmtId="0" fontId="390" fillId="37" borderId="97" applyNumberFormat="0" applyFont="0" applyAlignment="0" applyProtection="0"/>
    <xf numFmtId="0" fontId="390" fillId="0" borderId="0"/>
    <xf numFmtId="0" fontId="390" fillId="37" borderId="97" applyNumberFormat="0" applyFont="0" applyAlignment="0" applyProtection="0"/>
    <xf numFmtId="0" fontId="390" fillId="0" borderId="0"/>
    <xf numFmtId="0" fontId="390" fillId="0" borderId="0"/>
    <xf numFmtId="9" fontId="390" fillId="0" borderId="0" applyFont="0" applyFill="0" applyBorder="0" applyAlignment="0" applyProtection="0"/>
    <xf numFmtId="0" fontId="390" fillId="37" borderId="97" applyNumberFormat="0" applyFont="0" applyAlignment="0" applyProtection="0"/>
    <xf numFmtId="0" fontId="390" fillId="0" borderId="0"/>
    <xf numFmtId="9" fontId="390" fillId="0" borderId="0" applyFont="0" applyFill="0" applyBorder="0" applyAlignment="0" applyProtection="0"/>
    <xf numFmtId="0" fontId="390" fillId="37" borderId="97" applyNumberFormat="0" applyFont="0" applyAlignment="0" applyProtection="0"/>
    <xf numFmtId="0" fontId="390" fillId="0" borderId="0"/>
    <xf numFmtId="9" fontId="390" fillId="0" borderId="0" applyFont="0" applyFill="0" applyBorder="0" applyAlignment="0" applyProtection="0"/>
    <xf numFmtId="0" fontId="390" fillId="0" borderId="0"/>
    <xf numFmtId="0" fontId="390" fillId="0" borderId="0"/>
    <xf numFmtId="0" fontId="390" fillId="37" borderId="97" applyNumberFormat="0" applyFont="0" applyAlignment="0" applyProtection="0"/>
    <xf numFmtId="0" fontId="390" fillId="0" borderId="0"/>
    <xf numFmtId="0" fontId="390" fillId="0" borderId="0"/>
    <xf numFmtId="0" fontId="390" fillId="37" borderId="97" applyNumberFormat="0" applyFont="0" applyAlignment="0" applyProtection="0"/>
    <xf numFmtId="0" fontId="390" fillId="0" borderId="0"/>
    <xf numFmtId="0" fontId="390" fillId="37" borderId="97" applyNumberFormat="0" applyFont="0" applyAlignment="0" applyProtection="0"/>
    <xf numFmtId="0" fontId="390" fillId="0" borderId="0"/>
    <xf numFmtId="0" fontId="390" fillId="37" borderId="97" applyNumberFormat="0" applyFont="0" applyAlignment="0" applyProtection="0"/>
    <xf numFmtId="0" fontId="390" fillId="0" borderId="0"/>
    <xf numFmtId="0" fontId="390" fillId="0" borderId="0"/>
    <xf numFmtId="0" fontId="390" fillId="37" borderId="97" applyNumberFormat="0" applyFont="0" applyAlignment="0" applyProtection="0"/>
    <xf numFmtId="0" fontId="390" fillId="0" borderId="0"/>
    <xf numFmtId="0" fontId="390" fillId="0" borderId="0"/>
    <xf numFmtId="0" fontId="390" fillId="37" borderId="97" applyNumberFormat="0" applyFont="0" applyAlignment="0" applyProtection="0"/>
    <xf numFmtId="0" fontId="390" fillId="0" borderId="0"/>
    <xf numFmtId="0" fontId="390" fillId="0" borderId="0"/>
    <xf numFmtId="0" fontId="390" fillId="37" borderId="97" applyNumberFormat="0" applyFont="0" applyAlignment="0" applyProtection="0"/>
    <xf numFmtId="0" fontId="390" fillId="0" borderId="0"/>
    <xf numFmtId="0" fontId="390" fillId="0" borderId="0"/>
    <xf numFmtId="0" fontId="390" fillId="37" borderId="97" applyNumberFormat="0" applyFont="0" applyAlignment="0" applyProtection="0"/>
    <xf numFmtId="0" fontId="390" fillId="0" borderId="0"/>
    <xf numFmtId="0" fontId="359" fillId="0" borderId="102" applyNumberFormat="0" applyFill="0" applyAlignment="0" applyProtection="0"/>
    <xf numFmtId="0" fontId="390" fillId="37" borderId="97" applyNumberFormat="0" applyFont="0" applyAlignment="0" applyProtection="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53"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53" fillId="0" borderId="0"/>
    <xf numFmtId="0" fontId="390" fillId="0" borderId="0"/>
    <xf numFmtId="0" fontId="353" fillId="0" borderId="0"/>
    <xf numFmtId="0" fontId="390" fillId="0" borderId="0"/>
    <xf numFmtId="0" fontId="390" fillId="0" borderId="0"/>
    <xf numFmtId="0" fontId="390" fillId="0" borderId="0"/>
    <xf numFmtId="0" fontId="1" fillId="0" borderId="0"/>
    <xf numFmtId="0" fontId="390" fillId="0" borderId="0"/>
    <xf numFmtId="0" fontId="390" fillId="0" borderId="0"/>
    <xf numFmtId="0" fontId="390" fillId="0" borderId="0"/>
    <xf numFmtId="0" fontId="390" fillId="0" borderId="0"/>
    <xf numFmtId="9" fontId="1" fillId="0" borderId="0" applyFont="0" applyFill="0" applyBorder="0" applyAlignment="0" applyProtection="0"/>
    <xf numFmtId="0" fontId="390" fillId="0" borderId="0"/>
    <xf numFmtId="0" fontId="390" fillId="0" borderId="0"/>
    <xf numFmtId="9" fontId="1" fillId="0" borderId="0" applyFont="0" applyFill="0" applyBorder="0" applyAlignment="0" applyProtection="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37" borderId="97" applyNumberFormat="0" applyFont="0" applyAlignment="0" applyProtection="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1" fillId="0" borderId="0"/>
    <xf numFmtId="0" fontId="390" fillId="0" borderId="0"/>
    <xf numFmtId="0" fontId="1" fillId="0" borderId="0"/>
    <xf numFmtId="0" fontId="390" fillId="0" borderId="0"/>
    <xf numFmtId="0" fontId="390" fillId="0" borderId="0"/>
    <xf numFmtId="0" fontId="390" fillId="0" borderId="0"/>
    <xf numFmtId="0" fontId="1" fillId="0" borderId="0"/>
    <xf numFmtId="0" fontId="390" fillId="0" borderId="0"/>
    <xf numFmtId="0" fontId="1" fillId="0" borderId="0"/>
    <xf numFmtId="0" fontId="390" fillId="0" borderId="0"/>
    <xf numFmtId="40" fontId="355" fillId="0" borderId="0"/>
    <xf numFmtId="0" fontId="390" fillId="0" borderId="0"/>
    <xf numFmtId="0" fontId="390" fillId="0" borderId="0"/>
    <xf numFmtId="40" fontId="355"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63" fillId="0" borderId="0"/>
    <xf numFmtId="0" fontId="390" fillId="0" borderId="0"/>
    <xf numFmtId="0" fontId="390" fillId="0" borderId="0"/>
    <xf numFmtId="0" fontId="1" fillId="0" borderId="0"/>
    <xf numFmtId="0" fontId="390" fillId="0" borderId="0"/>
    <xf numFmtId="0" fontId="390" fillId="0" borderId="0"/>
    <xf numFmtId="0" fontId="1"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53" fillId="0" borderId="0"/>
    <xf numFmtId="0" fontId="390" fillId="0" borderId="0"/>
    <xf numFmtId="0" fontId="390" fillId="0" borderId="0"/>
    <xf numFmtId="0" fontId="353" fillId="0" borderId="0"/>
    <xf numFmtId="0" fontId="390" fillId="0" borderId="0"/>
    <xf numFmtId="0" fontId="390" fillId="0" borderId="0"/>
    <xf numFmtId="0" fontId="353"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53" fillId="0" borderId="0"/>
    <xf numFmtId="0" fontId="390" fillId="0" borderId="0"/>
    <xf numFmtId="0" fontId="390" fillId="0" borderId="0"/>
    <xf numFmtId="0" fontId="390" fillId="0" borderId="0"/>
    <xf numFmtId="0" fontId="353" fillId="0" borderId="0"/>
    <xf numFmtId="0" fontId="390" fillId="0" borderId="0"/>
    <xf numFmtId="0" fontId="390" fillId="0" borderId="0"/>
    <xf numFmtId="0" fontId="353" fillId="0" borderId="0"/>
    <xf numFmtId="0" fontId="390" fillId="0" borderId="0"/>
    <xf numFmtId="0" fontId="390" fillId="0" borderId="0"/>
    <xf numFmtId="0" fontId="353" fillId="0" borderId="0"/>
    <xf numFmtId="0" fontId="390" fillId="0" borderId="0"/>
    <xf numFmtId="0" fontId="390" fillId="0" borderId="0"/>
    <xf numFmtId="0" fontId="353" fillId="0" borderId="0"/>
    <xf numFmtId="0" fontId="390" fillId="0" borderId="0"/>
    <xf numFmtId="0" fontId="390" fillId="0" borderId="0"/>
    <xf numFmtId="0" fontId="390" fillId="0" borderId="0"/>
    <xf numFmtId="0" fontId="390" fillId="0" borderId="0"/>
    <xf numFmtId="9" fontId="1" fillId="0" borderId="0" applyFont="0" applyFill="0" applyBorder="0" applyAlignment="0" applyProtection="0"/>
    <xf numFmtId="0" fontId="390" fillId="0" borderId="0"/>
    <xf numFmtId="0" fontId="390" fillId="0" borderId="0"/>
    <xf numFmtId="0" fontId="390" fillId="0" borderId="0"/>
    <xf numFmtId="9" fontId="1" fillId="0" borderId="0" applyFont="0" applyFill="0" applyBorder="0" applyAlignment="0" applyProtection="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9" fontId="1" fillId="0" borderId="0" applyFont="0" applyFill="0" applyBorder="0" applyAlignment="0" applyProtection="0"/>
    <xf numFmtId="0" fontId="1" fillId="0" borderId="0"/>
    <xf numFmtId="0" fontId="390" fillId="0" borderId="0"/>
    <xf numFmtId="0" fontId="390" fillId="0" borderId="0"/>
    <xf numFmtId="9" fontId="1" fillId="0" borderId="0" applyFont="0" applyFill="0" applyBorder="0" applyAlignment="0" applyProtection="0"/>
    <xf numFmtId="0" fontId="1" fillId="0" borderId="0"/>
    <xf numFmtId="0" fontId="390" fillId="0" borderId="0"/>
    <xf numFmtId="0" fontId="390" fillId="0" borderId="0"/>
    <xf numFmtId="0" fontId="390" fillId="0" borderId="0"/>
    <xf numFmtId="0" fontId="390" fillId="0" borderId="0"/>
    <xf numFmtId="9" fontId="390" fillId="0" borderId="0" applyFont="0" applyFill="0" applyBorder="0" applyAlignment="0" applyProtection="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9">
      <alignment horizontal="center"/>
    </xf>
    <xf numFmtId="0" fontId="390" fillId="0" borderId="0"/>
    <xf numFmtId="0" fontId="390" fillId="0" borderId="0"/>
    <xf numFmtId="0" fontId="390" fillId="0" borderId="9">
      <alignment horizontal="center"/>
    </xf>
    <xf numFmtId="0" fontId="353" fillId="0" borderId="0"/>
    <xf numFmtId="9" fontId="390" fillId="0" borderId="0" applyFont="0" applyFill="0" applyBorder="0" applyAlignment="0" applyProtection="0"/>
    <xf numFmtId="0" fontId="390" fillId="0" borderId="0"/>
    <xf numFmtId="0" fontId="390" fillId="0" borderId="0"/>
    <xf numFmtId="0" fontId="390" fillId="0" borderId="9">
      <alignment horizontal="center"/>
    </xf>
    <xf numFmtId="0" fontId="353" fillId="0" borderId="0"/>
    <xf numFmtId="9" fontId="390" fillId="0" borderId="0" applyFont="0" applyFill="0" applyBorder="0" applyAlignment="0" applyProtection="0"/>
    <xf numFmtId="0" fontId="390" fillId="0" borderId="0"/>
    <xf numFmtId="0" fontId="390" fillId="0" borderId="0"/>
    <xf numFmtId="0" fontId="390" fillId="0" borderId="9">
      <alignment horizontal="center"/>
    </xf>
    <xf numFmtId="0" fontId="353" fillId="0" borderId="0"/>
    <xf numFmtId="0" fontId="1"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353" fillId="0" borderId="0"/>
    <xf numFmtId="9" fontId="390" fillId="0" borderId="0" applyFont="0" applyFill="0" applyBorder="0" applyAlignment="0" applyProtection="0"/>
    <xf numFmtId="0" fontId="353"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71" fillId="0" borderId="0">
      <alignment horizontal="center" vertical="center"/>
    </xf>
    <xf numFmtId="0" fontId="390" fillId="0" borderId="0"/>
    <xf numFmtId="0" fontId="371" fillId="0" borderId="0">
      <alignment horizontal="center" vertical="center"/>
    </xf>
    <xf numFmtId="0" fontId="390" fillId="0" borderId="0"/>
    <xf numFmtId="0" fontId="371" fillId="0" borderId="0">
      <alignment horizontal="center" vertical="center"/>
    </xf>
    <xf numFmtId="0" fontId="390" fillId="0" borderId="0"/>
    <xf numFmtId="0" fontId="371" fillId="0" borderId="0">
      <alignment horizontal="center" vertical="center"/>
    </xf>
    <xf numFmtId="0" fontId="390" fillId="0" borderId="0"/>
    <xf numFmtId="0" fontId="390" fillId="0" borderId="0"/>
    <xf numFmtId="0" fontId="390" fillId="0" borderId="0"/>
    <xf numFmtId="0" fontId="390" fillId="0" borderId="0"/>
    <xf numFmtId="0" fontId="390" fillId="0" borderId="0"/>
    <xf numFmtId="0" fontId="377" fillId="0" borderId="0" applyNumberFormat="0" applyFill="0">
      <alignment horizontal="left" vertical="center"/>
    </xf>
    <xf numFmtId="0" fontId="390" fillId="0" borderId="0"/>
    <xf numFmtId="0" fontId="377" fillId="0" borderId="0" applyNumberFormat="0" applyFill="0">
      <alignment horizontal="left" vertical="center"/>
    </xf>
    <xf numFmtId="0" fontId="390" fillId="0" borderId="0"/>
    <xf numFmtId="0" fontId="377" fillId="0" borderId="0" applyNumberFormat="0" applyFill="0">
      <alignment horizontal="left" vertical="center"/>
    </xf>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390" fillId="0" borderId="0"/>
    <xf numFmtId="9" fontId="1" fillId="0" borderId="0" applyFont="0" applyFill="0" applyBorder="0" applyAlignment="0" applyProtection="0"/>
    <xf numFmtId="0" fontId="390" fillId="0" borderId="0"/>
    <xf numFmtId="0" fontId="390" fillId="0" borderId="0"/>
    <xf numFmtId="9" fontId="1" fillId="0" borderId="0" applyFont="0" applyFill="0" applyBorder="0" applyAlignment="0" applyProtection="0"/>
    <xf numFmtId="0" fontId="390" fillId="0" borderId="0"/>
    <xf numFmtId="0" fontId="390" fillId="0" borderId="0"/>
    <xf numFmtId="0" fontId="390" fillId="0" borderId="0"/>
    <xf numFmtId="0" fontId="390" fillId="0" borderId="0"/>
    <xf numFmtId="0" fontId="390" fillId="37" borderId="97" applyNumberFormat="0" applyFont="0" applyAlignment="0" applyProtection="0"/>
    <xf numFmtId="0" fontId="390" fillId="0" borderId="0"/>
    <xf numFmtId="0" fontId="390" fillId="0" borderId="0"/>
    <xf numFmtId="0" fontId="390" fillId="37" borderId="97" applyNumberFormat="0" applyFont="0" applyAlignment="0" applyProtection="0"/>
    <xf numFmtId="0" fontId="390" fillId="0" borderId="0"/>
    <xf numFmtId="0" fontId="390" fillId="0" borderId="0"/>
    <xf numFmtId="0" fontId="390" fillId="0" borderId="0"/>
    <xf numFmtId="0" fontId="390" fillId="0" borderId="0"/>
    <xf numFmtId="0" fontId="390" fillId="37" borderId="97" applyNumberFormat="0" applyFont="0" applyAlignment="0" applyProtection="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84" fillId="0" borderId="0" applyNumberFormat="0" applyFill="0" applyBorder="0" applyAlignment="0" applyProtection="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89" fillId="0" borderId="1">
      <alignment horizontal="center" vertical="center" wrapText="1"/>
    </xf>
    <xf numFmtId="0" fontId="390" fillId="0" borderId="0"/>
    <xf numFmtId="0" fontId="390" fillId="0" borderId="0"/>
    <xf numFmtId="0" fontId="390" fillId="0" borderId="0"/>
    <xf numFmtId="0" fontId="390" fillId="0" borderId="0"/>
    <xf numFmtId="0" fontId="363" fillId="0" borderId="0"/>
    <xf numFmtId="0" fontId="390" fillId="0" borderId="0"/>
    <xf numFmtId="0" fontId="1" fillId="0" borderId="0"/>
    <xf numFmtId="0" fontId="1" fillId="0" borderId="0"/>
    <xf numFmtId="0" fontId="390" fillId="0" borderId="0"/>
    <xf numFmtId="0" fontId="1" fillId="0" borderId="0"/>
    <xf numFmtId="0" fontId="1" fillId="0" borderId="0"/>
    <xf numFmtId="0" fontId="1" fillId="0" borderId="0"/>
    <xf numFmtId="0" fontId="390" fillId="0" borderId="0"/>
    <xf numFmtId="0" fontId="1" fillId="0" borderId="0"/>
    <xf numFmtId="0" fontId="390" fillId="0" borderId="0"/>
    <xf numFmtId="0" fontId="390" fillId="0" borderId="0"/>
    <xf numFmtId="0" fontId="1" fillId="0" borderId="0"/>
    <xf numFmtId="0" fontId="363"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71" fillId="0" borderId="0">
      <alignment horizontal="center" vertical="center"/>
    </xf>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390" fillId="0" borderId="0"/>
    <xf numFmtId="0" fontId="1" fillId="0" borderId="0"/>
    <xf numFmtId="0" fontId="390" fillId="0" borderId="0"/>
    <xf numFmtId="0" fontId="1" fillId="0" borderId="0"/>
    <xf numFmtId="0" fontId="1" fillId="0" borderId="0"/>
    <xf numFmtId="0" fontId="373" fillId="0" borderId="0" applyNumberFormat="0" applyFill="0" applyBorder="0" applyAlignment="0" applyProtection="0"/>
    <xf numFmtId="0" fontId="1" fillId="0" borderId="0"/>
    <xf numFmtId="0" fontId="37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90" fillId="0" borderId="0"/>
    <xf numFmtId="0" fontId="390" fillId="0" borderId="0"/>
    <xf numFmtId="0" fontId="390" fillId="0" borderId="0"/>
    <xf numFmtId="0" fontId="390" fillId="0" borderId="0"/>
    <xf numFmtId="0" fontId="1" fillId="0" borderId="0"/>
    <xf numFmtId="0" fontId="390" fillId="0" borderId="0"/>
    <xf numFmtId="0" fontId="1" fillId="0" borderId="0"/>
    <xf numFmtId="0" fontId="390" fillId="0" borderId="0"/>
    <xf numFmtId="0" fontId="390" fillId="0" borderId="0"/>
    <xf numFmtId="0" fontId="390" fillId="0" borderId="0"/>
    <xf numFmtId="0" fontId="390" fillId="0" borderId="0"/>
    <xf numFmtId="0" fontId="1" fillId="0" borderId="0"/>
    <xf numFmtId="0" fontId="390" fillId="0" borderId="0"/>
    <xf numFmtId="0" fontId="1"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53" fillId="0" borderId="0"/>
    <xf numFmtId="0" fontId="390" fillId="0" borderId="0"/>
    <xf numFmtId="0" fontId="390" fillId="0" borderId="0"/>
    <xf numFmtId="0" fontId="390" fillId="0" borderId="0"/>
    <xf numFmtId="0" fontId="1"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37" borderId="97" applyNumberFormat="0" applyFont="0" applyAlignment="0" applyProtection="0"/>
    <xf numFmtId="0" fontId="390" fillId="0" borderId="0"/>
    <xf numFmtId="0" fontId="390" fillId="0" borderId="0"/>
    <xf numFmtId="0" fontId="390" fillId="37" borderId="97" applyNumberFormat="0" applyFont="0" applyAlignment="0" applyProtection="0"/>
    <xf numFmtId="0" fontId="390" fillId="0" borderId="0"/>
    <xf numFmtId="0" fontId="390" fillId="0" borderId="0"/>
    <xf numFmtId="0" fontId="1" fillId="0" borderId="0"/>
    <xf numFmtId="0" fontId="390" fillId="0" borderId="0"/>
    <xf numFmtId="0" fontId="1" fillId="0" borderId="0"/>
    <xf numFmtId="0" fontId="390" fillId="0" borderId="0"/>
    <xf numFmtId="0" fontId="390" fillId="0" borderId="0"/>
    <xf numFmtId="9" fontId="1" fillId="0" borderId="0" applyFont="0" applyFill="0" applyBorder="0" applyAlignment="0" applyProtection="0"/>
    <xf numFmtId="0" fontId="390" fillId="0" borderId="0"/>
    <xf numFmtId="0" fontId="1" fillId="0" borderId="0"/>
    <xf numFmtId="9" fontId="1" fillId="0" borderId="0" applyFont="0" applyFill="0" applyBorder="0" applyAlignment="0" applyProtection="0"/>
    <xf numFmtId="0" fontId="1" fillId="0" borderId="0"/>
    <xf numFmtId="0" fontId="353" fillId="0" borderId="0"/>
    <xf numFmtId="0" fontId="390" fillId="0" borderId="0"/>
    <xf numFmtId="0" fontId="1" fillId="0" borderId="0"/>
    <xf numFmtId="0" fontId="390" fillId="0" borderId="0"/>
    <xf numFmtId="0" fontId="390" fillId="0" borderId="0"/>
    <xf numFmtId="0" fontId="1" fillId="0" borderId="0"/>
    <xf numFmtId="0" fontId="390" fillId="0" borderId="0"/>
    <xf numFmtId="0" fontId="390" fillId="0" borderId="0"/>
    <xf numFmtId="0" fontId="1" fillId="0" borderId="0"/>
    <xf numFmtId="0" fontId="390" fillId="0" borderId="0"/>
    <xf numFmtId="0" fontId="390" fillId="0" borderId="0"/>
    <xf numFmtId="0" fontId="390" fillId="0" borderId="0"/>
    <xf numFmtId="0" fontId="390" fillId="0" borderId="0"/>
    <xf numFmtId="0" fontId="390" fillId="0" borderId="0"/>
    <xf numFmtId="0" fontId="388" fillId="0" borderId="0"/>
    <xf numFmtId="0" fontId="390" fillId="0" borderId="0"/>
    <xf numFmtId="0" fontId="390" fillId="0" borderId="0"/>
    <xf numFmtId="0" fontId="390" fillId="0" borderId="0"/>
    <xf numFmtId="0" fontId="353" fillId="0" borderId="0"/>
    <xf numFmtId="0" fontId="390" fillId="0" borderId="0"/>
    <xf numFmtId="0" fontId="390" fillId="0" borderId="0"/>
    <xf numFmtId="0" fontId="390" fillId="0" borderId="0"/>
    <xf numFmtId="0" fontId="353" fillId="0" borderId="0"/>
    <xf numFmtId="0" fontId="1" fillId="0" borderId="0"/>
    <xf numFmtId="0" fontId="390" fillId="0" borderId="0"/>
    <xf numFmtId="0" fontId="390" fillId="0" borderId="0"/>
    <xf numFmtId="0" fontId="390" fillId="0" borderId="0"/>
    <xf numFmtId="0" fontId="1" fillId="0" borderId="0"/>
    <xf numFmtId="0" fontId="353" fillId="0" borderId="0"/>
    <xf numFmtId="0" fontId="390" fillId="0" borderId="0"/>
    <xf numFmtId="0" fontId="1" fillId="0" borderId="0"/>
    <xf numFmtId="0" fontId="353" fillId="0" borderId="0"/>
    <xf numFmtId="0" fontId="390" fillId="0" borderId="0"/>
    <xf numFmtId="0" fontId="1" fillId="0" borderId="0"/>
    <xf numFmtId="0" fontId="390" fillId="0" borderId="0"/>
    <xf numFmtId="0" fontId="390" fillId="0" borderId="0"/>
    <xf numFmtId="0" fontId="390" fillId="0" borderId="0"/>
    <xf numFmtId="0" fontId="353" fillId="0" borderId="0"/>
    <xf numFmtId="0" fontId="390" fillId="0" borderId="0"/>
    <xf numFmtId="0" fontId="390" fillId="0" borderId="0"/>
    <xf numFmtId="0" fontId="353" fillId="0" borderId="0"/>
    <xf numFmtId="0" fontId="390" fillId="0" borderId="0"/>
    <xf numFmtId="0" fontId="390" fillId="0" borderId="0"/>
    <xf numFmtId="0" fontId="1" fillId="0" borderId="0"/>
    <xf numFmtId="0" fontId="390" fillId="0" borderId="0"/>
    <xf numFmtId="0" fontId="1" fillId="0" borderId="0"/>
    <xf numFmtId="0" fontId="390" fillId="0" borderId="0"/>
    <xf numFmtId="0" fontId="390" fillId="0" borderId="0"/>
    <xf numFmtId="0" fontId="1" fillId="0" borderId="0"/>
    <xf numFmtId="0" fontId="390" fillId="0" borderId="0"/>
    <xf numFmtId="0" fontId="390" fillId="0" borderId="0"/>
    <xf numFmtId="0" fontId="390" fillId="0" borderId="0"/>
    <xf numFmtId="0" fontId="353" fillId="0" borderId="0"/>
    <xf numFmtId="0" fontId="1" fillId="0" borderId="0"/>
    <xf numFmtId="0" fontId="353" fillId="0" borderId="0"/>
    <xf numFmtId="0" fontId="353" fillId="0" borderId="0"/>
    <xf numFmtId="0" fontId="390" fillId="0" borderId="0"/>
    <xf numFmtId="0" fontId="353"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390" fillId="0" borderId="9">
      <alignment horizontal="center"/>
    </xf>
    <xf numFmtId="0" fontId="390" fillId="0" borderId="0"/>
    <xf numFmtId="0" fontId="390" fillId="0" borderId="0"/>
    <xf numFmtId="0" fontId="1" fillId="0" borderId="0"/>
    <xf numFmtId="0" fontId="390" fillId="0" borderId="0"/>
    <xf numFmtId="0" fontId="390" fillId="0" borderId="0"/>
    <xf numFmtId="0" fontId="1" fillId="0" borderId="0"/>
    <xf numFmtId="0" fontId="390" fillId="0" borderId="0"/>
    <xf numFmtId="0" fontId="390" fillId="0" borderId="0"/>
    <xf numFmtId="0" fontId="1" fillId="0" borderId="0"/>
    <xf numFmtId="0" fontId="390" fillId="0" borderId="0"/>
    <xf numFmtId="0" fontId="390" fillId="0" borderId="0"/>
    <xf numFmtId="0" fontId="1" fillId="0" borderId="0"/>
    <xf numFmtId="0" fontId="390" fillId="0" borderId="0"/>
    <xf numFmtId="0" fontId="1" fillId="0" borderId="0"/>
    <xf numFmtId="0" fontId="390" fillId="0" borderId="0"/>
    <xf numFmtId="0" fontId="390" fillId="0" borderId="0"/>
    <xf numFmtId="0" fontId="390" fillId="0" borderId="0"/>
    <xf numFmtId="0" fontId="353" fillId="0" borderId="0"/>
    <xf numFmtId="0" fontId="390" fillId="0" borderId="0"/>
    <xf numFmtId="0" fontId="353" fillId="0" borderId="0"/>
    <xf numFmtId="0" fontId="353" fillId="0" borderId="0"/>
    <xf numFmtId="0" fontId="390" fillId="0" borderId="0"/>
    <xf numFmtId="0" fontId="390" fillId="0" borderId="0"/>
    <xf numFmtId="0" fontId="390" fillId="0" borderId="0"/>
    <xf numFmtId="0" fontId="1"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53" fillId="0" borderId="0"/>
    <xf numFmtId="0" fontId="390" fillId="0" borderId="0"/>
    <xf numFmtId="0" fontId="353" fillId="0" borderId="0"/>
    <xf numFmtId="0" fontId="390" fillId="0" borderId="0"/>
    <xf numFmtId="0" fontId="353" fillId="0" borderId="0"/>
    <xf numFmtId="0" fontId="353" fillId="0" borderId="0"/>
    <xf numFmtId="0" fontId="390" fillId="0" borderId="0"/>
    <xf numFmtId="0" fontId="353" fillId="0" borderId="0"/>
    <xf numFmtId="0" fontId="1" fillId="0" borderId="0"/>
    <xf numFmtId="0" fontId="390" fillId="0" borderId="0"/>
    <xf numFmtId="0" fontId="353" fillId="0" borderId="0"/>
    <xf numFmtId="0" fontId="1" fillId="0" borderId="0"/>
    <xf numFmtId="0" fontId="390" fillId="0" borderId="0"/>
    <xf numFmtId="0" fontId="390" fillId="0" borderId="0"/>
    <xf numFmtId="0" fontId="390" fillId="0" borderId="0"/>
    <xf numFmtId="0" fontId="390" fillId="0" borderId="0"/>
    <xf numFmtId="0" fontId="1"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390" fillId="0" borderId="0"/>
    <xf numFmtId="0" fontId="1"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390" fillId="0" borderId="0"/>
    <xf numFmtId="0" fontId="1"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54" fillId="0" borderId="0"/>
    <xf numFmtId="0" fontId="390" fillId="0" borderId="0"/>
    <xf numFmtId="0" fontId="390" fillId="0" borderId="0"/>
    <xf numFmtId="0" fontId="1" fillId="0" borderId="0"/>
    <xf numFmtId="0" fontId="390" fillId="0" borderId="0"/>
    <xf numFmtId="0" fontId="390" fillId="0" borderId="0"/>
    <xf numFmtId="0" fontId="390" fillId="0" borderId="0"/>
    <xf numFmtId="0" fontId="390" fillId="0" borderId="0"/>
    <xf numFmtId="0" fontId="353" fillId="0" borderId="0"/>
    <xf numFmtId="0" fontId="390" fillId="0" borderId="0"/>
    <xf numFmtId="0" fontId="353" fillId="0" borderId="0"/>
    <xf numFmtId="0" fontId="390" fillId="0" borderId="0"/>
    <xf numFmtId="0" fontId="353" fillId="0" borderId="0"/>
    <xf numFmtId="0" fontId="390" fillId="0" borderId="0"/>
    <xf numFmtId="0" fontId="1" fillId="0" borderId="0"/>
    <xf numFmtId="0" fontId="390" fillId="0" borderId="0"/>
    <xf numFmtId="0" fontId="390" fillId="0" borderId="0"/>
    <xf numFmtId="0" fontId="390" fillId="0" borderId="0"/>
    <xf numFmtId="0" fontId="363"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390" fillId="0" borderId="0"/>
    <xf numFmtId="0" fontId="390" fillId="0" borderId="0"/>
    <xf numFmtId="0" fontId="390" fillId="0" borderId="0"/>
    <xf numFmtId="0" fontId="390" fillId="0" borderId="0"/>
    <xf numFmtId="9" fontId="390" fillId="0" borderId="0" applyFont="0" applyFill="0" applyBorder="0" applyAlignment="0" applyProtection="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53" fillId="0" borderId="0"/>
    <xf numFmtId="0" fontId="390" fillId="0" borderId="0"/>
    <xf numFmtId="0" fontId="1" fillId="0" borderId="0"/>
    <xf numFmtId="0" fontId="353" fillId="0" borderId="0"/>
    <xf numFmtId="0" fontId="390" fillId="0" borderId="0"/>
    <xf numFmtId="0" fontId="390" fillId="0" borderId="0"/>
    <xf numFmtId="0" fontId="390" fillId="0" borderId="0"/>
    <xf numFmtId="0" fontId="390" fillId="0" borderId="0"/>
    <xf numFmtId="0" fontId="390" fillId="0" borderId="0"/>
    <xf numFmtId="0" fontId="353" fillId="0" borderId="0"/>
    <xf numFmtId="0" fontId="353" fillId="0" borderId="0"/>
    <xf numFmtId="0" fontId="390" fillId="0" borderId="0"/>
    <xf numFmtId="0" fontId="353" fillId="0" borderId="0"/>
    <xf numFmtId="0" fontId="1" fillId="0" borderId="0"/>
    <xf numFmtId="0" fontId="1" fillId="0" borderId="0"/>
    <xf numFmtId="0" fontId="1" fillId="0" borderId="0"/>
    <xf numFmtId="0" fontId="390" fillId="0" borderId="0"/>
    <xf numFmtId="0" fontId="390" fillId="0" borderId="0"/>
    <xf numFmtId="0" fontId="390" fillId="0" borderId="0"/>
    <xf numFmtId="0" fontId="353" fillId="0" borderId="0"/>
    <xf numFmtId="0" fontId="390" fillId="0" borderId="0"/>
    <xf numFmtId="0" fontId="390" fillId="0" borderId="0"/>
    <xf numFmtId="0" fontId="390" fillId="0" borderId="0"/>
    <xf numFmtId="0" fontId="353"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37" borderId="97" applyNumberFormat="0" applyFont="0" applyAlignment="0" applyProtection="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390" fillId="0" borderId="0"/>
    <xf numFmtId="0" fontId="390" fillId="0" borderId="0"/>
    <xf numFmtId="0" fontId="390" fillId="0" borderId="0"/>
    <xf numFmtId="0" fontId="1"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390" fillId="0" borderId="0"/>
    <xf numFmtId="0" fontId="1" fillId="0" borderId="0"/>
    <xf numFmtId="0" fontId="390" fillId="0" borderId="0"/>
    <xf numFmtId="0" fontId="390" fillId="0" borderId="0"/>
    <xf numFmtId="0" fontId="1"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390" fillId="0" borderId="0"/>
    <xf numFmtId="0" fontId="390" fillId="0" borderId="0"/>
    <xf numFmtId="0" fontId="390" fillId="0" borderId="0"/>
    <xf numFmtId="0" fontId="1" fillId="0" borderId="0"/>
    <xf numFmtId="0" fontId="390" fillId="0" borderId="0"/>
    <xf numFmtId="0" fontId="1" fillId="0" borderId="0"/>
    <xf numFmtId="0" fontId="390" fillId="0" borderId="0"/>
    <xf numFmtId="0" fontId="1" fillId="0" borderId="0"/>
    <xf numFmtId="0" fontId="390" fillId="0" borderId="0"/>
    <xf numFmtId="0" fontId="1"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1" fillId="0" borderId="0"/>
    <xf numFmtId="9" fontId="390" fillId="0" borderId="0" applyFont="0" applyFill="0" applyBorder="0" applyAlignment="0" applyProtection="0"/>
    <xf numFmtId="0" fontId="1" fillId="0" borderId="0"/>
    <xf numFmtId="0" fontId="1" fillId="0" borderId="0"/>
    <xf numFmtId="0" fontId="1" fillId="0" borderId="0"/>
    <xf numFmtId="9" fontId="390" fillId="0" borderId="0" applyFont="0" applyFill="0" applyBorder="0" applyAlignment="0" applyProtection="0"/>
    <xf numFmtId="0" fontId="1" fillId="0" borderId="0"/>
    <xf numFmtId="0" fontId="1" fillId="0" borderId="0"/>
    <xf numFmtId="9" fontId="390"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90" fillId="0" borderId="0"/>
    <xf numFmtId="0" fontId="1" fillId="0" borderId="0"/>
    <xf numFmtId="0" fontId="390" fillId="0" borderId="0"/>
    <xf numFmtId="0" fontId="1" fillId="0" borderId="0"/>
    <xf numFmtId="0" fontId="1" fillId="0" borderId="0"/>
    <xf numFmtId="0" fontId="390" fillId="0" borderId="0"/>
    <xf numFmtId="0" fontId="1" fillId="0" borderId="0"/>
    <xf numFmtId="0" fontId="39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90" fillId="0" borderId="0"/>
    <xf numFmtId="9" fontId="390" fillId="0" borderId="0" applyFill="0" applyBorder="0" applyAlignment="0" applyProtection="0"/>
    <xf numFmtId="0" fontId="1" fillId="0" borderId="0"/>
    <xf numFmtId="0" fontId="390"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90" fillId="37" borderId="97" applyNumberFormat="0" applyFont="0" applyAlignment="0" applyProtection="0"/>
    <xf numFmtId="0" fontId="1" fillId="0" borderId="0"/>
    <xf numFmtId="0" fontId="390" fillId="0" borderId="0"/>
    <xf numFmtId="0" fontId="390" fillId="37" borderId="97" applyNumberFormat="0" applyFont="0" applyAlignment="0" applyProtection="0"/>
    <xf numFmtId="0" fontId="1" fillId="0" borderId="0"/>
    <xf numFmtId="0" fontId="1" fillId="0" borderId="0"/>
    <xf numFmtId="0" fontId="39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90" fillId="0" borderId="0"/>
    <xf numFmtId="0" fontId="390" fillId="0" borderId="0"/>
    <xf numFmtId="0" fontId="1" fillId="0" borderId="0"/>
    <xf numFmtId="0" fontId="1" fillId="0" borderId="0"/>
    <xf numFmtId="0" fontId="1" fillId="0" borderId="0"/>
    <xf numFmtId="0" fontId="1" fillId="0" borderId="0"/>
    <xf numFmtId="0" fontId="1" fillId="0" borderId="0"/>
    <xf numFmtId="0" fontId="1" fillId="0" borderId="0"/>
    <xf numFmtId="0" fontId="390" fillId="0" borderId="0"/>
    <xf numFmtId="0" fontId="39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90" fillId="0" borderId="0"/>
    <xf numFmtId="0" fontId="363" fillId="0" borderId="0"/>
    <xf numFmtId="0" fontId="1" fillId="0" borderId="0"/>
    <xf numFmtId="0" fontId="1" fillId="0" borderId="0"/>
    <xf numFmtId="0" fontId="1" fillId="0" borderId="0"/>
    <xf numFmtId="0" fontId="1" fillId="0" borderId="0"/>
    <xf numFmtId="0" fontId="390" fillId="0" borderId="0"/>
    <xf numFmtId="0" fontId="390" fillId="37" borderId="97"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6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90" fillId="0" borderId="0"/>
    <xf numFmtId="0" fontId="390" fillId="0" borderId="0"/>
    <xf numFmtId="0" fontId="1" fillId="0" borderId="0"/>
    <xf numFmtId="0" fontId="390" fillId="0" borderId="0"/>
    <xf numFmtId="0" fontId="380" fillId="36" borderId="105" applyNumberFormat="0" applyAlignment="0" applyProtection="0"/>
    <xf numFmtId="0" fontId="390" fillId="0" borderId="0"/>
    <xf numFmtId="0" fontId="380" fillId="36" borderId="105" applyNumberFormat="0" applyAlignment="0" applyProtection="0"/>
    <xf numFmtId="0" fontId="390" fillId="0" borderId="0"/>
    <xf numFmtId="0" fontId="390" fillId="0" borderId="0"/>
    <xf numFmtId="0" fontId="390" fillId="0" borderId="0"/>
    <xf numFmtId="0" fontId="371" fillId="0" borderId="1">
      <alignment horizontal="center"/>
    </xf>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390" fillId="0" borderId="0"/>
    <xf numFmtId="0" fontId="390" fillId="0" borderId="0"/>
    <xf numFmtId="0" fontId="1" fillId="0" borderId="0"/>
    <xf numFmtId="0" fontId="1" fillId="0" borderId="0"/>
    <xf numFmtId="0" fontId="1" fillId="0" borderId="0"/>
    <xf numFmtId="0" fontId="1" fillId="0" borderId="0"/>
    <xf numFmtId="9" fontId="390" fillId="0" borderId="0" applyFont="0" applyFill="0" applyBorder="0" applyAlignment="0" applyProtection="0"/>
    <xf numFmtId="0" fontId="1" fillId="0" borderId="0"/>
    <xf numFmtId="9" fontId="363" fillId="0" borderId="0" applyFont="0" applyFill="0" applyBorder="0" applyAlignment="0" applyProtection="0"/>
    <xf numFmtId="0" fontId="1" fillId="0" borderId="0"/>
    <xf numFmtId="9" fontId="353" fillId="0" borderId="0" applyFont="0" applyFill="0" applyBorder="0" applyAlignment="0" applyProtection="0"/>
    <xf numFmtId="0" fontId="1" fillId="0" borderId="0"/>
    <xf numFmtId="9" fontId="390" fillId="0" borderId="0" applyFont="0" applyFill="0" applyBorder="0" applyAlignment="0" applyProtection="0"/>
    <xf numFmtId="0" fontId="1" fillId="0" borderId="0"/>
    <xf numFmtId="9" fontId="1" fillId="0" borderId="0" applyFont="0" applyFill="0" applyBorder="0" applyAlignment="0" applyProtection="0"/>
    <xf numFmtId="0" fontId="390" fillId="0" borderId="0"/>
    <xf numFmtId="0" fontId="390" fillId="0" borderId="0"/>
    <xf numFmtId="0" fontId="353" fillId="0" borderId="0"/>
    <xf numFmtId="0" fontId="390" fillId="0" borderId="0"/>
    <xf numFmtId="0" fontId="353" fillId="0" borderId="0"/>
    <xf numFmtId="0" fontId="353" fillId="0" borderId="0"/>
    <xf numFmtId="0" fontId="358" fillId="0" borderId="0" applyNumberFormat="0" applyFill="0" applyBorder="0" applyAlignment="0" applyProtection="0"/>
    <xf numFmtId="0" fontId="353" fillId="0" borderId="0"/>
    <xf numFmtId="0" fontId="1" fillId="0" borderId="0"/>
    <xf numFmtId="0" fontId="353" fillId="0" borderId="0"/>
    <xf numFmtId="0" fontId="1" fillId="0" borderId="0"/>
    <xf numFmtId="0" fontId="363"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84" fillId="0" borderId="0" applyNumberFormat="0" applyFill="0" applyBorder="0" applyAlignment="0" applyProtection="0"/>
    <xf numFmtId="0" fontId="390" fillId="0" borderId="0"/>
    <xf numFmtId="0" fontId="390" fillId="0" borderId="0"/>
    <xf numFmtId="0" fontId="390" fillId="0" borderId="0"/>
    <xf numFmtId="0" fontId="390" fillId="0" borderId="0"/>
    <xf numFmtId="0" fontId="1" fillId="0" borderId="0"/>
    <xf numFmtId="0" fontId="390" fillId="0" borderId="0"/>
    <xf numFmtId="0" fontId="1" fillId="0" borderId="0"/>
    <xf numFmtId="0" fontId="1" fillId="0" borderId="0"/>
    <xf numFmtId="0" fontId="1" fillId="0" borderId="0"/>
    <xf numFmtId="0" fontId="1" fillId="0" borderId="0"/>
    <xf numFmtId="0" fontId="1" fillId="0" borderId="0"/>
    <xf numFmtId="0" fontId="390" fillId="0" borderId="0"/>
    <xf numFmtId="0" fontId="1" fillId="0" borderId="0"/>
    <xf numFmtId="0" fontId="390" fillId="0" borderId="0"/>
    <xf numFmtId="0" fontId="1" fillId="0" borderId="0"/>
    <xf numFmtId="0" fontId="390" fillId="0" borderId="0"/>
    <xf numFmtId="0" fontId="1" fillId="0" borderId="0"/>
    <xf numFmtId="0" fontId="390" fillId="0" borderId="0"/>
    <xf numFmtId="0" fontId="1"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84" fillId="0" borderId="0" applyNumberFormat="0" applyFill="0" applyBorder="0" applyAlignment="0" applyProtection="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9" fontId="390"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39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90" fillId="0" borderId="0"/>
    <xf numFmtId="0" fontId="1" fillId="0" borderId="0"/>
    <xf numFmtId="0" fontId="39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90" fillId="37" borderId="97" applyNumberFormat="0" applyFont="0" applyAlignment="0" applyProtection="0"/>
    <xf numFmtId="0" fontId="1" fillId="0" borderId="0"/>
    <xf numFmtId="0" fontId="390" fillId="37" borderId="97" applyNumberFormat="0" applyFont="0" applyAlignment="0" applyProtection="0"/>
    <xf numFmtId="0" fontId="1" fillId="0" borderId="0"/>
    <xf numFmtId="0" fontId="1" fillId="0" borderId="0"/>
    <xf numFmtId="0" fontId="390" fillId="37" borderId="97" applyNumberFormat="0" applyFont="0" applyAlignment="0" applyProtection="0"/>
    <xf numFmtId="0" fontId="1" fillId="0" borderId="0"/>
    <xf numFmtId="0" fontId="390" fillId="0" borderId="0"/>
    <xf numFmtId="0" fontId="1" fillId="0" borderId="0"/>
    <xf numFmtId="0" fontId="1" fillId="0" borderId="0"/>
    <xf numFmtId="0" fontId="390" fillId="37" borderId="97" applyNumberFormat="0" applyFont="0" applyAlignment="0" applyProtection="0"/>
    <xf numFmtId="0" fontId="1" fillId="0" borderId="0"/>
    <xf numFmtId="0" fontId="1" fillId="0" borderId="0"/>
    <xf numFmtId="0" fontId="1" fillId="0" borderId="0"/>
    <xf numFmtId="0" fontId="390" fillId="0" borderId="0"/>
    <xf numFmtId="0" fontId="1" fillId="0" borderId="0"/>
    <xf numFmtId="0" fontId="1" fillId="0" borderId="0"/>
    <xf numFmtId="0" fontId="1" fillId="0" borderId="0"/>
    <xf numFmtId="0" fontId="1" fillId="0" borderId="0"/>
    <xf numFmtId="0" fontId="1" fillId="0" borderId="0"/>
    <xf numFmtId="0" fontId="390" fillId="0" borderId="9">
      <alignment horizontal="center"/>
    </xf>
    <xf numFmtId="0" fontId="1" fillId="0" borderId="0"/>
    <xf numFmtId="0" fontId="1" fillId="0" borderId="0"/>
    <xf numFmtId="0" fontId="1" fillId="0" borderId="0"/>
    <xf numFmtId="0" fontId="1" fillId="0" borderId="0"/>
    <xf numFmtId="0" fontId="1" fillId="0" borderId="0"/>
    <xf numFmtId="0" fontId="1" fillId="0" borderId="0"/>
    <xf numFmtId="0" fontId="35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90" fillId="0" borderId="0"/>
    <xf numFmtId="0" fontId="390" fillId="0" borderId="0"/>
    <xf numFmtId="0" fontId="390" fillId="0" borderId="0"/>
    <xf numFmtId="0" fontId="390" fillId="0" borderId="0"/>
    <xf numFmtId="0" fontId="390" fillId="0" borderId="0"/>
    <xf numFmtId="0" fontId="390" fillId="0" borderId="9">
      <alignment horizontal="center"/>
    </xf>
    <xf numFmtId="0" fontId="390" fillId="0" borderId="0"/>
    <xf numFmtId="0" fontId="390" fillId="0" borderId="9">
      <alignment horizontal="center"/>
    </xf>
    <xf numFmtId="0" fontId="390" fillId="0" borderId="0"/>
    <xf numFmtId="0" fontId="390" fillId="0" borderId="0"/>
    <xf numFmtId="0" fontId="390" fillId="0" borderId="0"/>
    <xf numFmtId="9" fontId="1" fillId="0" borderId="0" applyFont="0" applyFill="0" applyBorder="0" applyAlignment="0" applyProtection="0"/>
    <xf numFmtId="0" fontId="390" fillId="0" borderId="0"/>
    <xf numFmtId="0" fontId="390" fillId="0" borderId="0"/>
    <xf numFmtId="0" fontId="390" fillId="0" borderId="0"/>
    <xf numFmtId="0" fontId="390" fillId="0" borderId="0"/>
    <xf numFmtId="9" fontId="390" fillId="0" borderId="0" applyFont="0" applyFill="0" applyBorder="0" applyAlignment="0" applyProtection="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9" fontId="1" fillId="0" borderId="0" applyFont="0" applyFill="0" applyBorder="0" applyAlignment="0" applyProtection="0"/>
    <xf numFmtId="0" fontId="390" fillId="0" borderId="0"/>
    <xf numFmtId="0" fontId="390" fillId="37" borderId="97" applyNumberFormat="0" applyFont="0" applyAlignment="0" applyProtection="0"/>
    <xf numFmtId="0" fontId="390" fillId="0" borderId="0"/>
    <xf numFmtId="0" fontId="390" fillId="0" borderId="9">
      <alignment horizontal="center"/>
    </xf>
    <xf numFmtId="0" fontId="390" fillId="0" borderId="0"/>
    <xf numFmtId="0" fontId="390" fillId="37" borderId="97" applyNumberFormat="0" applyFont="0" applyAlignment="0" applyProtection="0"/>
    <xf numFmtId="0" fontId="390" fillId="0" borderId="0"/>
    <xf numFmtId="0" fontId="390" fillId="37" borderId="97" applyNumberFormat="0" applyFont="0" applyAlignment="0" applyProtection="0"/>
    <xf numFmtId="0" fontId="390" fillId="0" borderId="0"/>
    <xf numFmtId="0" fontId="390" fillId="37" borderId="97" applyNumberFormat="0" applyFont="0" applyAlignment="0" applyProtection="0"/>
    <xf numFmtId="0" fontId="390" fillId="37" borderId="97" applyNumberFormat="0" applyFont="0" applyAlignment="0" applyProtection="0"/>
    <xf numFmtId="0" fontId="390" fillId="0" borderId="0"/>
    <xf numFmtId="0" fontId="390" fillId="37" borderId="97" applyNumberFormat="0" applyFont="0" applyAlignment="0" applyProtection="0"/>
    <xf numFmtId="0" fontId="390" fillId="37" borderId="97" applyNumberFormat="0" applyFont="0" applyAlignment="0" applyProtection="0"/>
    <xf numFmtId="0" fontId="390" fillId="0" borderId="0"/>
    <xf numFmtId="0" fontId="390" fillId="37" borderId="97" applyNumberFormat="0" applyFont="0" applyAlignment="0" applyProtection="0"/>
    <xf numFmtId="0" fontId="390" fillId="0" borderId="0"/>
    <xf numFmtId="0" fontId="390" fillId="37" borderId="97" applyNumberFormat="0" applyFont="0" applyAlignment="0" applyProtection="0"/>
    <xf numFmtId="0" fontId="390" fillId="0" borderId="0"/>
    <xf numFmtId="0" fontId="390" fillId="0" borderId="9">
      <alignment horizontal="center"/>
    </xf>
    <xf numFmtId="0" fontId="390" fillId="0" borderId="0"/>
    <xf numFmtId="0" fontId="390" fillId="0" borderId="0"/>
    <xf numFmtId="0" fontId="390" fillId="0" borderId="0"/>
    <xf numFmtId="0" fontId="390" fillId="0" borderId="0"/>
    <xf numFmtId="0" fontId="390" fillId="0" borderId="9">
      <alignment horizontal="center"/>
    </xf>
    <xf numFmtId="0" fontId="390" fillId="0" borderId="0"/>
    <xf numFmtId="0" fontId="390" fillId="0" borderId="0"/>
    <xf numFmtId="0" fontId="390" fillId="0" borderId="0"/>
    <xf numFmtId="0" fontId="390" fillId="0" borderId="0"/>
    <xf numFmtId="0" fontId="390" fillId="37" borderId="97" applyNumberFormat="0" applyFont="0" applyAlignment="0" applyProtection="0"/>
    <xf numFmtId="0" fontId="390" fillId="0" borderId="0"/>
    <xf numFmtId="9" fontId="1" fillId="0" borderId="0" applyFont="0" applyFill="0" applyBorder="0" applyAlignment="0" applyProtection="0"/>
    <xf numFmtId="0" fontId="390" fillId="0" borderId="9">
      <alignment horizontal="center"/>
    </xf>
    <xf numFmtId="0" fontId="390" fillId="0" borderId="0"/>
    <xf numFmtId="0" fontId="390" fillId="0" borderId="0"/>
    <xf numFmtId="0" fontId="390" fillId="0" borderId="0"/>
    <xf numFmtId="0" fontId="390" fillId="0" borderId="0"/>
    <xf numFmtId="0" fontId="390" fillId="37" borderId="97" applyNumberFormat="0" applyFont="0" applyAlignment="0" applyProtection="0"/>
    <xf numFmtId="0" fontId="390" fillId="0" borderId="0"/>
    <xf numFmtId="0" fontId="390" fillId="0" borderId="0"/>
    <xf numFmtId="0" fontId="390" fillId="37" borderId="97" applyNumberFormat="0" applyFont="0" applyAlignment="0" applyProtection="0"/>
    <xf numFmtId="0" fontId="390" fillId="0" borderId="0"/>
    <xf numFmtId="0" fontId="390" fillId="0" borderId="9">
      <alignment horizontal="center"/>
    </xf>
    <xf numFmtId="0" fontId="390" fillId="0" borderId="0"/>
    <xf numFmtId="0" fontId="390" fillId="0" borderId="0"/>
    <xf numFmtId="0" fontId="390" fillId="0" borderId="0"/>
    <xf numFmtId="9" fontId="390" fillId="0" borderId="0" applyFont="0" applyFill="0" applyBorder="0" applyAlignment="0" applyProtection="0"/>
    <xf numFmtId="0" fontId="390" fillId="0" borderId="0"/>
    <xf numFmtId="0" fontId="390" fillId="0" borderId="0"/>
    <xf numFmtId="0" fontId="390" fillId="0" borderId="9">
      <alignment horizontal="center"/>
    </xf>
    <xf numFmtId="0" fontId="390" fillId="0" borderId="0"/>
    <xf numFmtId="0" fontId="390" fillId="0" borderId="9">
      <alignment horizontal="center"/>
    </xf>
    <xf numFmtId="0" fontId="390" fillId="0" borderId="0"/>
    <xf numFmtId="0" fontId="390" fillId="0" borderId="9">
      <alignment horizontal="center"/>
    </xf>
    <xf numFmtId="0" fontId="390" fillId="0" borderId="0"/>
    <xf numFmtId="0" fontId="390" fillId="0" borderId="9">
      <alignment horizontal="center"/>
    </xf>
    <xf numFmtId="0" fontId="390" fillId="0" borderId="0"/>
    <xf numFmtId="9" fontId="1" fillId="0" borderId="0" applyFont="0" applyFill="0" applyBorder="0" applyAlignment="0" applyProtection="0"/>
    <xf numFmtId="0" fontId="390" fillId="0" borderId="9">
      <alignment horizontal="center"/>
    </xf>
    <xf numFmtId="0" fontId="390" fillId="0" borderId="0"/>
    <xf numFmtId="9" fontId="1" fillId="0" borderId="0" applyFont="0" applyFill="0" applyBorder="0" applyAlignment="0" applyProtection="0"/>
    <xf numFmtId="0" fontId="390" fillId="0" borderId="9">
      <alignment horizontal="center"/>
    </xf>
    <xf numFmtId="0" fontId="390" fillId="0" borderId="0"/>
    <xf numFmtId="9" fontId="390" fillId="0" borderId="0" applyFont="0" applyFill="0" applyBorder="0" applyAlignment="0" applyProtection="0"/>
    <xf numFmtId="0" fontId="390" fillId="0" borderId="0"/>
    <xf numFmtId="0" fontId="390" fillId="0" borderId="0"/>
    <xf numFmtId="0" fontId="390" fillId="0" borderId="9">
      <alignment horizontal="center"/>
    </xf>
    <xf numFmtId="0" fontId="390" fillId="0" borderId="0"/>
    <xf numFmtId="0" fontId="390" fillId="0" borderId="9">
      <alignment horizontal="center"/>
    </xf>
    <xf numFmtId="0" fontId="390" fillId="0" borderId="0"/>
    <xf numFmtId="0" fontId="390" fillId="0" borderId="9">
      <alignment horizontal="center"/>
    </xf>
    <xf numFmtId="0" fontId="390" fillId="0" borderId="0"/>
    <xf numFmtId="0" fontId="390" fillId="0" borderId="9">
      <alignment horizontal="center"/>
    </xf>
    <xf numFmtId="0" fontId="390" fillId="0" borderId="0"/>
    <xf numFmtId="9" fontId="1" fillId="0" borderId="0" applyFont="0" applyFill="0" applyBorder="0" applyAlignment="0" applyProtection="0"/>
    <xf numFmtId="0" fontId="390" fillId="0" borderId="9">
      <alignment horizontal="center"/>
    </xf>
    <xf numFmtId="0" fontId="390" fillId="0" borderId="0"/>
    <xf numFmtId="9" fontId="1" fillId="0" borderId="0" applyFont="0" applyFill="0" applyBorder="0" applyAlignment="0" applyProtection="0"/>
    <xf numFmtId="0" fontId="390" fillId="0" borderId="9">
      <alignment horizontal="center"/>
    </xf>
    <xf numFmtId="0" fontId="390" fillId="0" borderId="0"/>
    <xf numFmtId="0" fontId="1" fillId="0" borderId="0"/>
    <xf numFmtId="9" fontId="390" fillId="0" borderId="0" applyFont="0" applyFill="0" applyBorder="0" applyAlignment="0" applyProtection="0"/>
    <xf numFmtId="0" fontId="390" fillId="0" borderId="0"/>
    <xf numFmtId="0" fontId="390" fillId="0" borderId="0"/>
    <xf numFmtId="0" fontId="390" fillId="0" borderId="9">
      <alignment horizontal="center"/>
    </xf>
    <xf numFmtId="0" fontId="390" fillId="0" borderId="0"/>
    <xf numFmtId="0" fontId="371" fillId="0" borderId="1">
      <alignment horizontal="center"/>
    </xf>
    <xf numFmtId="0" fontId="390" fillId="0" borderId="9">
      <alignment horizontal="center"/>
    </xf>
    <xf numFmtId="0" fontId="390" fillId="0" borderId="0"/>
    <xf numFmtId="0" fontId="390" fillId="0" borderId="9">
      <alignment horizontal="center"/>
    </xf>
    <xf numFmtId="0" fontId="390" fillId="0" borderId="0"/>
    <xf numFmtId="0" fontId="390" fillId="0" borderId="9">
      <alignment horizontal="center"/>
    </xf>
    <xf numFmtId="0" fontId="390" fillId="0" borderId="0"/>
    <xf numFmtId="0" fontId="390" fillId="0" borderId="9">
      <alignment horizontal="center"/>
    </xf>
    <xf numFmtId="0" fontId="390" fillId="0" borderId="0"/>
    <xf numFmtId="0" fontId="390" fillId="0" borderId="9">
      <alignment horizontal="center"/>
    </xf>
    <xf numFmtId="0" fontId="390" fillId="0" borderId="0"/>
    <xf numFmtId="0" fontId="1" fillId="0" borderId="0"/>
    <xf numFmtId="9" fontId="390" fillId="0" borderId="0" applyFont="0" applyFill="0" applyBorder="0" applyAlignment="0" applyProtection="0"/>
    <xf numFmtId="0" fontId="390" fillId="0" borderId="0"/>
    <xf numFmtId="0" fontId="390" fillId="0" borderId="0"/>
    <xf numFmtId="0" fontId="390" fillId="0" borderId="9">
      <alignment horizontal="center"/>
    </xf>
    <xf numFmtId="0" fontId="390" fillId="0" borderId="0"/>
    <xf numFmtId="0" fontId="390" fillId="0" borderId="9">
      <alignment horizontal="center"/>
    </xf>
    <xf numFmtId="0" fontId="390" fillId="0" borderId="0"/>
    <xf numFmtId="0" fontId="390" fillId="0" borderId="9">
      <alignment horizontal="center"/>
    </xf>
    <xf numFmtId="0" fontId="390" fillId="0" borderId="0"/>
    <xf numFmtId="0" fontId="390" fillId="0" borderId="9">
      <alignment horizontal="center"/>
    </xf>
    <xf numFmtId="0" fontId="390" fillId="0" borderId="0"/>
    <xf numFmtId="9" fontId="1" fillId="0" borderId="0" applyFont="0" applyFill="0" applyBorder="0" applyAlignment="0" applyProtection="0"/>
    <xf numFmtId="0" fontId="390" fillId="0" borderId="9">
      <alignment horizontal="center"/>
    </xf>
    <xf numFmtId="0" fontId="390" fillId="0" borderId="0"/>
    <xf numFmtId="9" fontId="1" fillId="0" borderId="0" applyFont="0" applyFill="0" applyBorder="0" applyAlignment="0" applyProtection="0"/>
    <xf numFmtId="0" fontId="390" fillId="0" borderId="9">
      <alignment horizontal="center"/>
    </xf>
    <xf numFmtId="0" fontId="390" fillId="0" borderId="0"/>
    <xf numFmtId="9" fontId="390" fillId="0" borderId="0" applyFont="0" applyFill="0" applyBorder="0" applyAlignment="0" applyProtection="0"/>
    <xf numFmtId="0" fontId="390" fillId="0" borderId="0"/>
    <xf numFmtId="0" fontId="390" fillId="0" borderId="0"/>
    <xf numFmtId="0" fontId="390" fillId="0" borderId="0"/>
    <xf numFmtId="0" fontId="390" fillId="0" borderId="0"/>
    <xf numFmtId="0" fontId="390" fillId="0" borderId="9">
      <alignment horizontal="center"/>
    </xf>
    <xf numFmtId="0" fontId="390" fillId="0" borderId="0"/>
    <xf numFmtId="0" fontId="390" fillId="0" borderId="0"/>
    <xf numFmtId="0" fontId="390" fillId="0" borderId="9">
      <alignment horizontal="center"/>
    </xf>
    <xf numFmtId="0" fontId="390" fillId="0" borderId="0"/>
    <xf numFmtId="0" fontId="390" fillId="0" borderId="0"/>
    <xf numFmtId="0" fontId="390" fillId="0" borderId="9">
      <alignment horizontal="center"/>
    </xf>
    <xf numFmtId="0" fontId="390" fillId="0" borderId="0"/>
    <xf numFmtId="0" fontId="390" fillId="0" borderId="0"/>
    <xf numFmtId="0" fontId="390" fillId="0" borderId="9">
      <alignment horizontal="center"/>
    </xf>
    <xf numFmtId="0" fontId="390" fillId="0" borderId="0"/>
    <xf numFmtId="0" fontId="390" fillId="0" borderId="0"/>
    <xf numFmtId="0" fontId="390" fillId="0" borderId="9">
      <alignment horizontal="center"/>
    </xf>
    <xf numFmtId="0" fontId="390" fillId="0" borderId="0"/>
    <xf numFmtId="0" fontId="390" fillId="0" borderId="9">
      <alignment horizontal="center"/>
    </xf>
    <xf numFmtId="0" fontId="390" fillId="0" borderId="0"/>
    <xf numFmtId="9" fontId="390" fillId="0" borderId="0" applyFont="0" applyFill="0" applyBorder="0" applyAlignment="0" applyProtection="0"/>
    <xf numFmtId="0" fontId="390" fillId="0" borderId="0"/>
    <xf numFmtId="0" fontId="390" fillId="0" borderId="0"/>
    <xf numFmtId="0" fontId="390" fillId="0" borderId="9">
      <alignment horizontal="center"/>
    </xf>
    <xf numFmtId="0" fontId="390" fillId="0" borderId="0"/>
    <xf numFmtId="0" fontId="390" fillId="0" borderId="9">
      <alignment horizontal="center"/>
    </xf>
    <xf numFmtId="0" fontId="390" fillId="0" borderId="0"/>
    <xf numFmtId="0" fontId="390" fillId="0" borderId="9">
      <alignment horizontal="center"/>
    </xf>
    <xf numFmtId="0" fontId="390" fillId="0" borderId="0"/>
    <xf numFmtId="0" fontId="390" fillId="0" borderId="9">
      <alignment horizontal="center"/>
    </xf>
    <xf numFmtId="0" fontId="390" fillId="0" borderId="0"/>
    <xf numFmtId="0" fontId="390" fillId="0" borderId="9">
      <alignment horizontal="center"/>
    </xf>
    <xf numFmtId="0" fontId="390" fillId="0" borderId="0"/>
    <xf numFmtId="0" fontId="390" fillId="0" borderId="9">
      <alignment horizontal="center"/>
    </xf>
    <xf numFmtId="0" fontId="390" fillId="0" borderId="0"/>
    <xf numFmtId="0" fontId="390" fillId="0" borderId="0"/>
    <xf numFmtId="0" fontId="390" fillId="0" borderId="0"/>
    <xf numFmtId="0" fontId="390" fillId="0" borderId="9">
      <alignment horizontal="center"/>
    </xf>
    <xf numFmtId="0" fontId="390" fillId="0" borderId="0"/>
    <xf numFmtId="0" fontId="390" fillId="0" borderId="9">
      <alignment horizontal="center"/>
    </xf>
    <xf numFmtId="0" fontId="390" fillId="0" borderId="0"/>
    <xf numFmtId="0" fontId="390" fillId="0" borderId="9">
      <alignment horizontal="center"/>
    </xf>
    <xf numFmtId="0" fontId="390" fillId="0" borderId="0"/>
    <xf numFmtId="0" fontId="390" fillId="0" borderId="9">
      <alignment horizontal="center"/>
    </xf>
    <xf numFmtId="0" fontId="390" fillId="0" borderId="0"/>
    <xf numFmtId="0" fontId="390" fillId="0" borderId="9">
      <alignment horizontal="center"/>
    </xf>
    <xf numFmtId="0" fontId="390" fillId="0" borderId="0"/>
    <xf numFmtId="0" fontId="390" fillId="0" borderId="9">
      <alignment horizontal="center"/>
    </xf>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9" fontId="1" fillId="0" borderId="0" applyFont="0" applyFill="0" applyBorder="0" applyAlignment="0" applyProtection="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390" fillId="0" borderId="0"/>
    <xf numFmtId="0" fontId="390" fillId="0" borderId="0"/>
    <xf numFmtId="0" fontId="390" fillId="0" borderId="0"/>
    <xf numFmtId="0" fontId="1" fillId="0" borderId="0"/>
    <xf numFmtId="0" fontId="390" fillId="0" borderId="0"/>
    <xf numFmtId="0" fontId="390" fillId="0" borderId="0"/>
    <xf numFmtId="0" fontId="1"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1" fillId="0" borderId="0"/>
    <xf numFmtId="0" fontId="1" fillId="0" borderId="0"/>
    <xf numFmtId="0" fontId="1" fillId="0" borderId="0"/>
    <xf numFmtId="9" fontId="390" fillId="0" borderId="0" applyFont="0" applyFill="0" applyBorder="0" applyAlignment="0" applyProtection="0"/>
    <xf numFmtId="0" fontId="1" fillId="0" borderId="0"/>
    <xf numFmtId="9" fontId="390" fillId="0" borderId="0" applyFont="0" applyFill="0" applyBorder="0" applyAlignment="0" applyProtection="0"/>
    <xf numFmtId="0" fontId="1" fillId="0" borderId="0"/>
    <xf numFmtId="9" fontId="390" fillId="0" borderId="0" applyFont="0" applyFill="0" applyBorder="0" applyAlignment="0" applyProtection="0"/>
    <xf numFmtId="0" fontId="1" fillId="0" borderId="0"/>
    <xf numFmtId="9" fontId="390" fillId="0" borderId="0" applyFont="0" applyFill="0" applyBorder="0" applyAlignment="0" applyProtection="0"/>
    <xf numFmtId="0" fontId="1" fillId="0" borderId="0"/>
    <xf numFmtId="9" fontId="390" fillId="0" borderId="0" applyFont="0" applyFill="0" applyBorder="0" applyAlignment="0" applyProtection="0"/>
    <xf numFmtId="0" fontId="1" fillId="0" borderId="0"/>
    <xf numFmtId="9" fontId="390" fillId="0" borderId="0" applyFont="0" applyFill="0" applyBorder="0" applyAlignment="0" applyProtection="0"/>
    <xf numFmtId="0" fontId="1" fillId="0" borderId="0"/>
    <xf numFmtId="9" fontId="390" fillId="0" borderId="0" applyFont="0" applyFill="0" applyBorder="0" applyAlignment="0" applyProtection="0"/>
    <xf numFmtId="0" fontId="1" fillId="0" borderId="0"/>
    <xf numFmtId="9" fontId="390" fillId="0" borderId="0" applyFont="0" applyFill="0" applyBorder="0" applyAlignment="0" applyProtection="0"/>
    <xf numFmtId="0" fontId="1" fillId="0" borderId="0"/>
    <xf numFmtId="0" fontId="1" fillId="0" borderId="0"/>
    <xf numFmtId="0" fontId="39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82" fontId="390" fillId="0" borderId="0" applyFont="0" applyFill="0" applyBorder="0" applyAlignment="0" applyProtection="0"/>
    <xf numFmtId="0" fontId="1" fillId="0" borderId="0"/>
    <xf numFmtId="182" fontId="390"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363" fillId="0" borderId="0" applyFont="0" applyFill="0" applyBorder="0" applyAlignment="0" applyProtection="0"/>
    <xf numFmtId="0" fontId="1" fillId="0" borderId="0"/>
    <xf numFmtId="9" fontId="363" fillId="0" borderId="0" applyFont="0" applyFill="0" applyBorder="0" applyAlignment="0" applyProtection="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9" fontId="390" fillId="0" borderId="0" applyFont="0" applyFill="0" applyBorder="0" applyAlignment="0" applyProtection="0"/>
    <xf numFmtId="0" fontId="1" fillId="0" borderId="0"/>
    <xf numFmtId="0" fontId="1" fillId="0" borderId="0"/>
    <xf numFmtId="9" fontId="390"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1" fillId="0" borderId="0"/>
    <xf numFmtId="0" fontId="1" fillId="0" borderId="0"/>
    <xf numFmtId="0" fontId="390" fillId="0" borderId="0"/>
    <xf numFmtId="0" fontId="390" fillId="0" borderId="0"/>
    <xf numFmtId="0" fontId="1" fillId="0" borderId="0"/>
    <xf numFmtId="0" fontId="390" fillId="0" borderId="0"/>
    <xf numFmtId="0" fontId="390" fillId="0" borderId="0"/>
    <xf numFmtId="9" fontId="390" fillId="0" borderId="0" applyFont="0" applyFill="0" applyBorder="0" applyAlignment="0" applyProtection="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58" fillId="0" borderId="0" applyNumberFormat="0" applyFill="0" applyBorder="0" applyAlignment="0" applyProtection="0"/>
    <xf numFmtId="0" fontId="390" fillId="0" borderId="0"/>
    <xf numFmtId="0" fontId="358" fillId="0" borderId="0" applyNumberFormat="0" applyFill="0" applyBorder="0" applyAlignment="0" applyProtection="0"/>
    <xf numFmtId="0" fontId="390" fillId="0" borderId="0"/>
    <xf numFmtId="0" fontId="390" fillId="0" borderId="0"/>
    <xf numFmtId="0" fontId="353" fillId="0" borderId="0"/>
    <xf numFmtId="0" fontId="390" fillId="0" borderId="0"/>
    <xf numFmtId="0" fontId="390" fillId="0" borderId="0"/>
    <xf numFmtId="0" fontId="390" fillId="0" borderId="0"/>
    <xf numFmtId="0" fontId="390" fillId="0" borderId="0"/>
    <xf numFmtId="0" fontId="359" fillId="0" borderId="102" applyNumberFormat="0" applyFill="0" applyAlignment="0" applyProtection="0"/>
    <xf numFmtId="0" fontId="390" fillId="0" borderId="0"/>
    <xf numFmtId="0" fontId="359" fillId="0" borderId="102" applyNumberFormat="0" applyFill="0" applyAlignment="0" applyProtection="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53" fillId="0" borderId="0"/>
    <xf numFmtId="0" fontId="353" fillId="0" borderId="0"/>
    <xf numFmtId="0" fontId="353" fillId="0" borderId="0"/>
    <xf numFmtId="9" fontId="390" fillId="0" borderId="0" applyFont="0" applyFill="0" applyBorder="0" applyAlignment="0" applyProtection="0"/>
    <xf numFmtId="0" fontId="353" fillId="0" borderId="0"/>
    <xf numFmtId="9" fontId="390" fillId="0" borderId="0" applyFont="0" applyFill="0" applyBorder="0" applyAlignment="0" applyProtection="0"/>
    <xf numFmtId="0" fontId="353" fillId="0" borderId="0"/>
    <xf numFmtId="9" fontId="390" fillId="0" borderId="0" applyFont="0" applyFill="0" applyBorder="0" applyAlignment="0" applyProtection="0"/>
    <xf numFmtId="0" fontId="353" fillId="0" borderId="0"/>
    <xf numFmtId="9" fontId="390" fillId="0" borderId="0" applyFont="0" applyFill="0" applyBorder="0" applyAlignment="0" applyProtection="0"/>
    <xf numFmtId="0" fontId="390" fillId="0" borderId="0"/>
    <xf numFmtId="0" fontId="390" fillId="0" borderId="0"/>
    <xf numFmtId="0" fontId="390" fillId="0" borderId="0"/>
    <xf numFmtId="0" fontId="351"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9" fontId="390" fillId="0" borderId="0" applyFont="0" applyFill="0" applyBorder="0" applyAlignment="0" applyProtection="0"/>
    <xf numFmtId="0" fontId="390" fillId="0" borderId="0"/>
    <xf numFmtId="9" fontId="390" fillId="0" borderId="0" applyFont="0" applyFill="0" applyBorder="0" applyAlignment="0" applyProtection="0"/>
    <xf numFmtId="0" fontId="390" fillId="0" borderId="0"/>
    <xf numFmtId="9" fontId="390" fillId="0" borderId="0" applyFont="0" applyFill="0" applyBorder="0" applyAlignment="0" applyProtection="0"/>
    <xf numFmtId="0" fontId="390" fillId="0" borderId="0"/>
    <xf numFmtId="9" fontId="390" fillId="0" borderId="0" applyFont="0" applyFill="0" applyBorder="0" applyAlignment="0" applyProtection="0"/>
    <xf numFmtId="0" fontId="390" fillId="0" borderId="0"/>
    <xf numFmtId="9" fontId="390" fillId="0" borderId="0" applyFont="0" applyFill="0" applyBorder="0" applyAlignment="0" applyProtection="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89" fillId="0" borderId="1">
      <alignment horizontal="center" vertical="center" wrapText="1"/>
    </xf>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89" fillId="0" borderId="1">
      <alignment horizontal="center" vertical="center" wrapText="1"/>
    </xf>
    <xf numFmtId="0" fontId="390" fillId="0" borderId="0"/>
    <xf numFmtId="9" fontId="1" fillId="0" borderId="0" applyFont="0" applyFill="0" applyBorder="0" applyAlignment="0" applyProtection="0"/>
    <xf numFmtId="0" fontId="390" fillId="0" borderId="0"/>
    <xf numFmtId="9" fontId="1" fillId="0" borderId="0" applyFont="0" applyFill="0" applyBorder="0" applyAlignment="0" applyProtection="0"/>
    <xf numFmtId="0" fontId="390" fillId="0" borderId="0"/>
    <xf numFmtId="9" fontId="1" fillId="0" borderId="0" applyFont="0" applyFill="0" applyBorder="0" applyAlignment="0" applyProtection="0"/>
    <xf numFmtId="9" fontId="1" fillId="0" borderId="0" applyFont="0" applyFill="0" applyBorder="0" applyAlignment="0" applyProtection="0"/>
    <xf numFmtId="0" fontId="390" fillId="0" borderId="0"/>
    <xf numFmtId="9" fontId="1" fillId="0" borderId="0" applyFont="0" applyFill="0" applyBorder="0" applyAlignment="0" applyProtection="0"/>
    <xf numFmtId="9" fontId="1" fillId="0" borderId="0" applyFont="0" applyFill="0" applyBorder="0" applyAlignment="0" applyProtection="0"/>
    <xf numFmtId="0" fontId="390" fillId="0" borderId="0"/>
    <xf numFmtId="9" fontId="1" fillId="0" borderId="0" applyFont="0" applyFill="0" applyBorder="0" applyAlignment="0" applyProtection="0"/>
    <xf numFmtId="0" fontId="373" fillId="0" borderId="0" applyNumberForma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0" fontId="390" fillId="37" borderId="97" applyNumberFormat="0" applyFont="0" applyAlignment="0" applyProtection="0"/>
    <xf numFmtId="0" fontId="390" fillId="37" borderId="97" applyNumberFormat="0" applyFont="0" applyAlignment="0" applyProtection="0"/>
    <xf numFmtId="9" fontId="390" fillId="0" borderId="0" applyFont="0" applyFill="0" applyBorder="0" applyAlignment="0" applyProtection="0"/>
    <xf numFmtId="0" fontId="390" fillId="37" borderId="97" applyNumberFormat="0" applyFont="0" applyAlignment="0" applyProtection="0"/>
    <xf numFmtId="9" fontId="390" fillId="0" borderId="0" applyFont="0" applyFill="0" applyBorder="0" applyAlignment="0" applyProtection="0"/>
    <xf numFmtId="0" fontId="390" fillId="37" borderId="97" applyNumberFormat="0" applyFont="0" applyAlignment="0" applyProtection="0"/>
    <xf numFmtId="9" fontId="390" fillId="0" borderId="0" applyFont="0" applyFill="0" applyBorder="0" applyAlignment="0" applyProtection="0"/>
    <xf numFmtId="0" fontId="390" fillId="37" borderId="97" applyNumberFormat="0" applyFont="0" applyAlignment="0" applyProtection="0"/>
    <xf numFmtId="0" fontId="390" fillId="37" borderId="97" applyNumberFormat="0" applyFont="0" applyAlignment="0" applyProtection="0"/>
    <xf numFmtId="0" fontId="390" fillId="37" borderId="97" applyNumberFormat="0" applyFont="0" applyAlignment="0" applyProtection="0"/>
    <xf numFmtId="0" fontId="390" fillId="37" borderId="97" applyNumberFormat="0" applyFont="0" applyAlignment="0" applyProtection="0"/>
    <xf numFmtId="0" fontId="390" fillId="37" borderId="97" applyNumberFormat="0" applyFont="0" applyAlignment="0" applyProtection="0"/>
    <xf numFmtId="0" fontId="390" fillId="37" borderId="97" applyNumberFormat="0" applyFont="0" applyAlignment="0" applyProtection="0"/>
    <xf numFmtId="0" fontId="390" fillId="37" borderId="97" applyNumberFormat="0" applyFont="0" applyAlignment="0" applyProtection="0"/>
    <xf numFmtId="0" fontId="390" fillId="37" borderId="97" applyNumberFormat="0" applyFont="0" applyAlignment="0" applyProtection="0"/>
    <xf numFmtId="0" fontId="390" fillId="37" borderId="97" applyNumberFormat="0" applyFont="0" applyAlignment="0" applyProtection="0"/>
    <xf numFmtId="0" fontId="390" fillId="37" borderId="97" applyNumberFormat="0" applyFont="0" applyAlignment="0" applyProtection="0"/>
    <xf numFmtId="0" fontId="390" fillId="37" borderId="97" applyNumberFormat="0" applyFont="0" applyAlignment="0" applyProtection="0"/>
    <xf numFmtId="0" fontId="390" fillId="37" borderId="97" applyNumberFormat="0" applyFont="0" applyAlignment="0" applyProtection="0"/>
    <xf numFmtId="0" fontId="390" fillId="37" borderId="97" applyNumberFormat="0" applyFont="0" applyAlignment="0" applyProtection="0"/>
    <xf numFmtId="0" fontId="390" fillId="37" borderId="97" applyNumberFormat="0" applyFont="0" applyAlignment="0" applyProtection="0"/>
    <xf numFmtId="0" fontId="390" fillId="37" borderId="97" applyNumberFormat="0" applyFont="0" applyAlignment="0" applyProtection="0"/>
    <xf numFmtId="0" fontId="390" fillId="37" borderId="97" applyNumberFormat="0" applyFont="0" applyAlignment="0" applyProtection="0"/>
    <xf numFmtId="0" fontId="390" fillId="37" borderId="97" applyNumberFormat="0" applyFont="0" applyAlignment="0" applyProtection="0"/>
    <xf numFmtId="0" fontId="390" fillId="37" borderId="97" applyNumberFormat="0" applyFont="0" applyAlignment="0" applyProtection="0"/>
    <xf numFmtId="0" fontId="390" fillId="37" borderId="97" applyNumberFormat="0" applyFont="0" applyAlignment="0" applyProtection="0"/>
    <xf numFmtId="0" fontId="390" fillId="37" borderId="97" applyNumberFormat="0" applyFont="0" applyAlignment="0" applyProtection="0"/>
    <xf numFmtId="0" fontId="390" fillId="37" borderId="97" applyNumberFormat="0" applyFont="0" applyAlignment="0" applyProtection="0"/>
    <xf numFmtId="10" fontId="390" fillId="0" borderId="0" applyFont="0" applyFill="0" applyBorder="0" applyAlignment="0" applyProtection="0"/>
    <xf numFmtId="10" fontId="390" fillId="0" borderId="0" applyFont="0" applyFill="0" applyBorder="0" applyAlignment="0" applyProtection="0"/>
    <xf numFmtId="10" fontId="390" fillId="0" borderId="0" applyFont="0" applyFill="0" applyBorder="0" applyAlignment="0" applyProtection="0"/>
    <xf numFmtId="10" fontId="390" fillId="0" borderId="0" applyFont="0" applyFill="0" applyBorder="0" applyAlignment="0" applyProtection="0"/>
    <xf numFmtId="10"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53"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63" fillId="0" borderId="0" applyFont="0" applyFill="0" applyBorder="0" applyAlignment="0" applyProtection="0"/>
    <xf numFmtId="9" fontId="363"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39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363" fillId="0" borderId="0" applyFont="0" applyFill="0" applyBorder="0" applyAlignment="0" applyProtection="0"/>
    <xf numFmtId="9" fontId="363" fillId="0" borderId="0" applyFont="0" applyFill="0" applyBorder="0" applyAlignment="0" applyProtection="0"/>
    <xf numFmtId="9" fontId="363" fillId="0" borderId="0" applyFont="0" applyFill="0" applyBorder="0" applyAlignment="0" applyProtection="0"/>
    <xf numFmtId="9" fontId="363"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53" fillId="0" borderId="0" applyFont="0" applyFill="0" applyBorder="0" applyAlignment="0" applyProtection="0"/>
    <xf numFmtId="9" fontId="353"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0" fontId="371" fillId="0" borderId="1">
      <alignment horizontal="center"/>
    </xf>
    <xf numFmtId="0" fontId="371" fillId="0" borderId="1">
      <alignment horizontal="center"/>
    </xf>
    <xf numFmtId="0" fontId="371" fillId="0" borderId="0">
      <alignment horizontal="center" vertical="center"/>
    </xf>
    <xf numFmtId="49" fontId="390" fillId="0" borderId="0"/>
    <xf numFmtId="182" fontId="390" fillId="0" borderId="0" applyFont="0" applyFill="0" applyBorder="0" applyAlignment="0" applyProtection="0"/>
    <xf numFmtId="182" fontId="390" fillId="0" borderId="0" applyFont="0" applyFill="0" applyBorder="0" applyAlignment="0" applyProtection="0"/>
    <xf numFmtId="182" fontId="390" fillId="0" borderId="0" applyFont="0" applyFill="0" applyBorder="0" applyAlignment="0" applyProtection="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73" fillId="0" borderId="0" applyNumberFormat="0" applyFill="0" applyBorder="0" applyAlignment="0" applyProtection="0"/>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0"/>
    <xf numFmtId="0" fontId="353" fillId="0" borderId="0"/>
    <xf numFmtId="0" fontId="390" fillId="0" borderId="0"/>
    <xf numFmtId="0" fontId="363" fillId="59" borderId="0" applyNumberFormat="0" applyBorder="0" applyAlignment="0" applyProtection="0"/>
    <xf numFmtId="0" fontId="363" fillId="59" borderId="0" applyNumberFormat="0" applyBorder="0" applyAlignment="0" applyProtection="0"/>
    <xf numFmtId="0" fontId="363" fillId="59" borderId="0" applyNumberFormat="0" applyBorder="0" applyAlignment="0" applyProtection="0"/>
    <xf numFmtId="0" fontId="363" fillId="60" borderId="0" applyNumberFormat="0" applyBorder="0" applyAlignment="0" applyProtection="0"/>
    <xf numFmtId="0" fontId="363" fillId="60" borderId="0" applyNumberFormat="0" applyBorder="0" applyAlignment="0" applyProtection="0"/>
    <xf numFmtId="0" fontId="363" fillId="60" borderId="0" applyNumberFormat="0" applyBorder="0" applyAlignment="0" applyProtection="0"/>
    <xf numFmtId="0" fontId="363" fillId="61" borderId="0" applyNumberFormat="0" applyBorder="0" applyAlignment="0" applyProtection="0"/>
    <xf numFmtId="0" fontId="363" fillId="61" borderId="0" applyNumberFormat="0" applyBorder="0" applyAlignment="0" applyProtection="0"/>
    <xf numFmtId="0" fontId="363" fillId="61" borderId="0" applyNumberFormat="0" applyBorder="0" applyAlignment="0" applyProtection="0"/>
    <xf numFmtId="0" fontId="363" fillId="62" borderId="0" applyNumberFormat="0" applyBorder="0" applyAlignment="0" applyProtection="0"/>
    <xf numFmtId="0" fontId="363" fillId="62" borderId="0" applyNumberFormat="0" applyBorder="0" applyAlignment="0" applyProtection="0"/>
    <xf numFmtId="0" fontId="363" fillId="62" borderId="0" applyNumberFormat="0" applyBorder="0" applyAlignment="0" applyProtection="0"/>
    <xf numFmtId="0" fontId="363" fillId="63" borderId="0" applyNumberFormat="0" applyBorder="0" applyAlignment="0" applyProtection="0"/>
    <xf numFmtId="0" fontId="363" fillId="63" borderId="0" applyNumberFormat="0" applyBorder="0" applyAlignment="0" applyProtection="0"/>
    <xf numFmtId="0" fontId="363" fillId="63" borderId="0" applyNumberFormat="0" applyBorder="0" applyAlignment="0" applyProtection="0"/>
    <xf numFmtId="0" fontId="363" fillId="64" borderId="0" applyNumberFormat="0" applyBorder="0" applyAlignment="0" applyProtection="0"/>
    <xf numFmtId="0" fontId="363" fillId="64" borderId="0" applyNumberFormat="0" applyBorder="0" applyAlignment="0" applyProtection="0"/>
    <xf numFmtId="0" fontId="363" fillId="64" borderId="0" applyNumberFormat="0" applyBorder="0" applyAlignment="0" applyProtection="0"/>
    <xf numFmtId="0" fontId="363" fillId="65" borderId="0" applyNumberFormat="0" applyBorder="0" applyAlignment="0" applyProtection="0"/>
    <xf numFmtId="0" fontId="363" fillId="65" borderId="0" applyNumberFormat="0" applyBorder="0" applyAlignment="0" applyProtection="0"/>
    <xf numFmtId="0" fontId="363" fillId="65" borderId="0" applyNumberFormat="0" applyBorder="0" applyAlignment="0" applyProtection="0"/>
    <xf numFmtId="0" fontId="363" fillId="66" borderId="0" applyNumberFormat="0" applyBorder="0" applyAlignment="0" applyProtection="0"/>
    <xf numFmtId="0" fontId="363" fillId="66" borderId="0" applyNumberFormat="0" applyBorder="0" applyAlignment="0" applyProtection="0"/>
    <xf numFmtId="0" fontId="363" fillId="66" borderId="0" applyNumberFormat="0" applyBorder="0" applyAlignment="0" applyProtection="0"/>
    <xf numFmtId="0" fontId="363" fillId="67" borderId="0" applyNumberFormat="0" applyBorder="0" applyAlignment="0" applyProtection="0"/>
    <xf numFmtId="0" fontId="363" fillId="67" borderId="0" applyNumberFormat="0" applyBorder="0" applyAlignment="0" applyProtection="0"/>
    <xf numFmtId="0" fontId="363" fillId="67" borderId="0" applyNumberFormat="0" applyBorder="0" applyAlignment="0" applyProtection="0"/>
    <xf numFmtId="0" fontId="363" fillId="62" borderId="0" applyNumberFormat="0" applyBorder="0" applyAlignment="0" applyProtection="0"/>
    <xf numFmtId="0" fontId="363" fillId="62" borderId="0" applyNumberFormat="0" applyBorder="0" applyAlignment="0" applyProtection="0"/>
    <xf numFmtId="0" fontId="363" fillId="62" borderId="0" applyNumberFormat="0" applyBorder="0" applyAlignment="0" applyProtection="0"/>
    <xf numFmtId="0" fontId="363" fillId="65" borderId="0" applyNumberFormat="0" applyBorder="0" applyAlignment="0" applyProtection="0"/>
    <xf numFmtId="0" fontId="363" fillId="65" borderId="0" applyNumberFormat="0" applyBorder="0" applyAlignment="0" applyProtection="0"/>
    <xf numFmtId="0" fontId="363" fillId="65" borderId="0" applyNumberFormat="0" applyBorder="0" applyAlignment="0" applyProtection="0"/>
    <xf numFmtId="0" fontId="363" fillId="68" borderId="0" applyNumberFormat="0" applyBorder="0" applyAlignment="0" applyProtection="0"/>
    <xf numFmtId="0" fontId="363" fillId="68" borderId="0" applyNumberFormat="0" applyBorder="0" applyAlignment="0" applyProtection="0"/>
    <xf numFmtId="0" fontId="363" fillId="68" borderId="0" applyNumberFormat="0" applyBorder="0" applyAlignment="0" applyProtection="0"/>
    <xf numFmtId="0" fontId="367" fillId="69" borderId="0" applyNumberFormat="0" applyBorder="0" applyAlignment="0" applyProtection="0"/>
    <xf numFmtId="0" fontId="367" fillId="69" borderId="0" applyNumberFormat="0" applyBorder="0" applyAlignment="0" applyProtection="0"/>
    <xf numFmtId="0" fontId="367" fillId="66" borderId="0" applyNumberFormat="0" applyBorder="0" applyAlignment="0" applyProtection="0"/>
    <xf numFmtId="0" fontId="367" fillId="66" borderId="0" applyNumberFormat="0" applyBorder="0" applyAlignment="0" applyProtection="0"/>
    <xf numFmtId="0" fontId="367" fillId="67" borderId="0" applyNumberFormat="0" applyBorder="0" applyAlignment="0" applyProtection="0"/>
    <xf numFmtId="0" fontId="367" fillId="67" borderId="0" applyNumberFormat="0" applyBorder="0" applyAlignment="0" applyProtection="0"/>
    <xf numFmtId="0" fontId="367" fillId="70" borderId="0" applyNumberFormat="0" applyBorder="0" applyAlignment="0" applyProtection="0"/>
    <xf numFmtId="0" fontId="367" fillId="70" borderId="0" applyNumberFormat="0" applyBorder="0" applyAlignment="0" applyProtection="0"/>
    <xf numFmtId="0" fontId="367" fillId="71" borderId="0" applyNumberFormat="0" applyBorder="0" applyAlignment="0" applyProtection="0"/>
    <xf numFmtId="0" fontId="367" fillId="71" borderId="0" applyNumberFormat="0" applyBorder="0" applyAlignment="0" applyProtection="0"/>
    <xf numFmtId="0" fontId="367" fillId="72" borderId="0" applyNumberFormat="0" applyBorder="0" applyAlignment="0" applyProtection="0"/>
    <xf numFmtId="0" fontId="367" fillId="72" borderId="0" applyNumberFormat="0" applyBorder="0" applyAlignment="0" applyProtection="0"/>
    <xf numFmtId="0" fontId="367" fillId="73" borderId="0" applyNumberFormat="0" applyBorder="0" applyAlignment="0" applyProtection="0"/>
    <xf numFmtId="0" fontId="367" fillId="73" borderId="0" applyNumberFormat="0" applyBorder="0" applyAlignment="0" applyProtection="0"/>
    <xf numFmtId="0" fontId="367" fillId="73" borderId="0" applyNumberFormat="0" applyBorder="0" applyAlignment="0" applyProtection="0"/>
    <xf numFmtId="0" fontId="367" fillId="73" borderId="0" applyNumberFormat="0" applyBorder="0" applyAlignment="0" applyProtection="0"/>
    <xf numFmtId="0" fontId="367" fillId="73" borderId="0" applyNumberFormat="0" applyBorder="0" applyAlignment="0" applyProtection="0"/>
    <xf numFmtId="0" fontId="367" fillId="73" borderId="0" applyNumberFormat="0" applyBorder="0" applyAlignment="0" applyProtection="0"/>
    <xf numFmtId="0" fontId="367" fillId="73" borderId="0" applyNumberFormat="0" applyBorder="0" applyAlignment="0" applyProtection="0"/>
    <xf numFmtId="0" fontId="367" fillId="73" borderId="0" applyNumberFormat="0" applyBorder="0" applyAlignment="0" applyProtection="0"/>
    <xf numFmtId="0" fontId="367" fillId="73" borderId="0" applyNumberFormat="0" applyBorder="0" applyAlignment="0" applyProtection="0"/>
    <xf numFmtId="0" fontId="367" fillId="73" borderId="0" applyNumberFormat="0" applyBorder="0" applyAlignment="0" applyProtection="0"/>
    <xf numFmtId="0" fontId="367" fillId="73" borderId="0" applyNumberFormat="0" applyBorder="0" applyAlignment="0" applyProtection="0"/>
    <xf numFmtId="0" fontId="367" fillId="73" borderId="0" applyNumberFormat="0" applyBorder="0" applyAlignment="0" applyProtection="0"/>
    <xf numFmtId="0" fontId="367" fillId="73" borderId="0" applyNumberFormat="0" applyBorder="0" applyAlignment="0" applyProtection="0"/>
    <xf numFmtId="0" fontId="367" fillId="73" borderId="0" applyNumberFormat="0" applyBorder="0" applyAlignment="0" applyProtection="0"/>
    <xf numFmtId="0" fontId="367" fillId="74" borderId="0" applyNumberFormat="0" applyBorder="0" applyAlignment="0" applyProtection="0"/>
    <xf numFmtId="0" fontId="367" fillId="74" borderId="0" applyNumberFormat="0" applyBorder="0" applyAlignment="0" applyProtection="0"/>
    <xf numFmtId="0" fontId="367" fillId="74" borderId="0" applyNumberFormat="0" applyBorder="0" applyAlignment="0" applyProtection="0"/>
    <xf numFmtId="0" fontId="367" fillId="74" borderId="0" applyNumberFormat="0" applyBorder="0" applyAlignment="0" applyProtection="0"/>
    <xf numFmtId="0" fontId="367" fillId="74" borderId="0" applyNumberFormat="0" applyBorder="0" applyAlignment="0" applyProtection="0"/>
    <xf numFmtId="0" fontId="367" fillId="74" borderId="0" applyNumberFormat="0" applyBorder="0" applyAlignment="0" applyProtection="0"/>
    <xf numFmtId="0" fontId="367" fillId="74" borderId="0" applyNumberFormat="0" applyBorder="0" applyAlignment="0" applyProtection="0"/>
    <xf numFmtId="0" fontId="367" fillId="74" borderId="0" applyNumberFormat="0" applyBorder="0" applyAlignment="0" applyProtection="0"/>
    <xf numFmtId="0" fontId="367" fillId="74" borderId="0" applyNumberFormat="0" applyBorder="0" applyAlignment="0" applyProtection="0"/>
    <xf numFmtId="0" fontId="367" fillId="74" borderId="0" applyNumberFormat="0" applyBorder="0" applyAlignment="0" applyProtection="0"/>
    <xf numFmtId="0" fontId="367" fillId="74" borderId="0" applyNumberFormat="0" applyBorder="0" applyAlignment="0" applyProtection="0"/>
    <xf numFmtId="0" fontId="367" fillId="74" borderId="0" applyNumberFormat="0" applyBorder="0" applyAlignment="0" applyProtection="0"/>
    <xf numFmtId="0" fontId="367" fillId="74" borderId="0" applyNumberFormat="0" applyBorder="0" applyAlignment="0" applyProtection="0"/>
    <xf numFmtId="0" fontId="367" fillId="74" borderId="0" applyNumberFormat="0" applyBorder="0" applyAlignment="0" applyProtection="0"/>
    <xf numFmtId="0" fontId="367" fillId="75" borderId="0" applyNumberFormat="0" applyBorder="0" applyAlignment="0" applyProtection="0"/>
    <xf numFmtId="0" fontId="367" fillId="75" borderId="0" applyNumberFormat="0" applyBorder="0" applyAlignment="0" applyProtection="0"/>
    <xf numFmtId="0" fontId="367" fillId="75" borderId="0" applyNumberFormat="0" applyBorder="0" applyAlignment="0" applyProtection="0"/>
    <xf numFmtId="0" fontId="367" fillId="75" borderId="0" applyNumberFormat="0" applyBorder="0" applyAlignment="0" applyProtection="0"/>
    <xf numFmtId="0" fontId="367" fillId="75" borderId="0" applyNumberFormat="0" applyBorder="0" applyAlignment="0" applyProtection="0"/>
    <xf numFmtId="0" fontId="367" fillId="75" borderId="0" applyNumberFormat="0" applyBorder="0" applyAlignment="0" applyProtection="0"/>
    <xf numFmtId="0" fontId="367" fillId="75" borderId="0" applyNumberFormat="0" applyBorder="0" applyAlignment="0" applyProtection="0"/>
    <xf numFmtId="0" fontId="367" fillId="75" borderId="0" applyNumberFormat="0" applyBorder="0" applyAlignment="0" applyProtection="0"/>
    <xf numFmtId="0" fontId="367" fillId="75" borderId="0" applyNumberFormat="0" applyBorder="0" applyAlignment="0" applyProtection="0"/>
    <xf numFmtId="0" fontId="367" fillId="75" borderId="0" applyNumberFormat="0" applyBorder="0" applyAlignment="0" applyProtection="0"/>
    <xf numFmtId="0" fontId="367" fillId="75" borderId="0" applyNumberFormat="0" applyBorder="0" applyAlignment="0" applyProtection="0"/>
    <xf numFmtId="0" fontId="367" fillId="75" borderId="0" applyNumberFormat="0" applyBorder="0" applyAlignment="0" applyProtection="0"/>
    <xf numFmtId="0" fontId="367" fillId="75" borderId="0" applyNumberFormat="0" applyBorder="0" applyAlignment="0" applyProtection="0"/>
    <xf numFmtId="0" fontId="367" fillId="75" borderId="0" applyNumberFormat="0" applyBorder="0" applyAlignment="0" applyProtection="0"/>
    <xf numFmtId="0" fontId="367" fillId="70" borderId="0" applyNumberFormat="0" applyBorder="0" applyAlignment="0" applyProtection="0"/>
    <xf numFmtId="0" fontId="367" fillId="70" borderId="0" applyNumberFormat="0" applyBorder="0" applyAlignment="0" applyProtection="0"/>
    <xf numFmtId="0" fontId="367" fillId="70" borderId="0" applyNumberFormat="0" applyBorder="0" applyAlignment="0" applyProtection="0"/>
    <xf numFmtId="0" fontId="367" fillId="70" borderId="0" applyNumberFormat="0" applyBorder="0" applyAlignment="0" applyProtection="0"/>
    <xf numFmtId="0" fontId="367" fillId="70" borderId="0" applyNumberFormat="0" applyBorder="0" applyAlignment="0" applyProtection="0"/>
    <xf numFmtId="0" fontId="367" fillId="70" borderId="0" applyNumberFormat="0" applyBorder="0" applyAlignment="0" applyProtection="0"/>
    <xf numFmtId="0" fontId="367" fillId="70" borderId="0" applyNumberFormat="0" applyBorder="0" applyAlignment="0" applyProtection="0"/>
    <xf numFmtId="0" fontId="367" fillId="70" borderId="0" applyNumberFormat="0" applyBorder="0" applyAlignment="0" applyProtection="0"/>
    <xf numFmtId="0" fontId="367" fillId="70" borderId="0" applyNumberFormat="0" applyBorder="0" applyAlignment="0" applyProtection="0"/>
    <xf numFmtId="0" fontId="367" fillId="70" borderId="0" applyNumberFormat="0" applyBorder="0" applyAlignment="0" applyProtection="0"/>
    <xf numFmtId="0" fontId="367" fillId="70" borderId="0" applyNumberFormat="0" applyBorder="0" applyAlignment="0" applyProtection="0"/>
    <xf numFmtId="0" fontId="367" fillId="70" borderId="0" applyNumberFormat="0" applyBorder="0" applyAlignment="0" applyProtection="0"/>
    <xf numFmtId="0" fontId="367" fillId="70" borderId="0" applyNumberFormat="0" applyBorder="0" applyAlignment="0" applyProtection="0"/>
    <xf numFmtId="0" fontId="367" fillId="70" borderId="0" applyNumberFormat="0" applyBorder="0" applyAlignment="0" applyProtection="0"/>
    <xf numFmtId="0" fontId="367" fillId="71" borderId="0" applyNumberFormat="0" applyBorder="0" applyAlignment="0" applyProtection="0"/>
    <xf numFmtId="0" fontId="367" fillId="71" borderId="0" applyNumberFormat="0" applyBorder="0" applyAlignment="0" applyProtection="0"/>
    <xf numFmtId="0" fontId="367" fillId="71" borderId="0" applyNumberFormat="0" applyBorder="0" applyAlignment="0" applyProtection="0"/>
    <xf numFmtId="0" fontId="367" fillId="71" borderId="0" applyNumberFormat="0" applyBorder="0" applyAlignment="0" applyProtection="0"/>
    <xf numFmtId="0" fontId="367" fillId="71" borderId="0" applyNumberFormat="0" applyBorder="0" applyAlignment="0" applyProtection="0"/>
    <xf numFmtId="0" fontId="367" fillId="71" borderId="0" applyNumberFormat="0" applyBorder="0" applyAlignment="0" applyProtection="0"/>
    <xf numFmtId="0" fontId="367" fillId="71" borderId="0" applyNumberFormat="0" applyBorder="0" applyAlignment="0" applyProtection="0"/>
    <xf numFmtId="0" fontId="367" fillId="71" borderId="0" applyNumberFormat="0" applyBorder="0" applyAlignment="0" applyProtection="0"/>
    <xf numFmtId="0" fontId="367" fillId="71" borderId="0" applyNumberFormat="0" applyBorder="0" applyAlignment="0" applyProtection="0"/>
    <xf numFmtId="0" fontId="367" fillId="71" borderId="0" applyNumberFormat="0" applyBorder="0" applyAlignment="0" applyProtection="0"/>
    <xf numFmtId="0" fontId="367" fillId="71" borderId="0" applyNumberFormat="0" applyBorder="0" applyAlignment="0" applyProtection="0"/>
    <xf numFmtId="0" fontId="367" fillId="71" borderId="0" applyNumberFormat="0" applyBorder="0" applyAlignment="0" applyProtection="0"/>
    <xf numFmtId="0" fontId="367" fillId="71" borderId="0" applyNumberFormat="0" applyBorder="0" applyAlignment="0" applyProtection="0"/>
    <xf numFmtId="0" fontId="367" fillId="71" borderId="0" applyNumberFormat="0" applyBorder="0" applyAlignment="0" applyProtection="0"/>
    <xf numFmtId="0" fontId="367" fillId="76" borderId="0" applyNumberFormat="0" applyBorder="0" applyAlignment="0" applyProtection="0"/>
    <xf numFmtId="0" fontId="367" fillId="76" borderId="0" applyNumberFormat="0" applyBorder="0" applyAlignment="0" applyProtection="0"/>
    <xf numFmtId="0" fontId="367" fillId="76" borderId="0" applyNumberFormat="0" applyBorder="0" applyAlignment="0" applyProtection="0"/>
    <xf numFmtId="0" fontId="367" fillId="76" borderId="0" applyNumberFormat="0" applyBorder="0" applyAlignment="0" applyProtection="0"/>
    <xf numFmtId="0" fontId="367" fillId="76" borderId="0" applyNumberFormat="0" applyBorder="0" applyAlignment="0" applyProtection="0"/>
    <xf numFmtId="0" fontId="367" fillId="76" borderId="0" applyNumberFormat="0" applyBorder="0" applyAlignment="0" applyProtection="0"/>
    <xf numFmtId="0" fontId="367" fillId="76" borderId="0" applyNumberFormat="0" applyBorder="0" applyAlignment="0" applyProtection="0"/>
    <xf numFmtId="0" fontId="367" fillId="76" borderId="0" applyNumberFormat="0" applyBorder="0" applyAlignment="0" applyProtection="0"/>
    <xf numFmtId="0" fontId="367" fillId="76" borderId="0" applyNumberFormat="0" applyBorder="0" applyAlignment="0" applyProtection="0"/>
    <xf numFmtId="0" fontId="367" fillId="76" borderId="0" applyNumberFormat="0" applyBorder="0" applyAlignment="0" applyProtection="0"/>
    <xf numFmtId="0" fontId="367" fillId="76" borderId="0" applyNumberFormat="0" applyBorder="0" applyAlignment="0" applyProtection="0"/>
    <xf numFmtId="0" fontId="367" fillId="76" borderId="0" applyNumberFormat="0" applyBorder="0" applyAlignment="0" applyProtection="0"/>
    <xf numFmtId="0" fontId="367" fillId="76" borderId="0" applyNumberFormat="0" applyBorder="0" applyAlignment="0" applyProtection="0"/>
    <xf numFmtId="0" fontId="367" fillId="76" borderId="0" applyNumberFormat="0" applyBorder="0" applyAlignment="0" applyProtection="0"/>
    <xf numFmtId="0" fontId="370" fillId="60" borderId="0" applyNumberFormat="0" applyBorder="0" applyAlignment="0" applyProtection="0"/>
    <xf numFmtId="0" fontId="370" fillId="60" borderId="0" applyNumberFormat="0" applyBorder="0" applyAlignment="0" applyProtection="0"/>
    <xf numFmtId="0" fontId="365" fillId="77" borderId="99" applyNumberFormat="0" applyAlignment="0" applyProtection="0"/>
    <xf numFmtId="0" fontId="365" fillId="77" borderId="99" applyNumberFormat="0" applyAlignment="0" applyProtection="0"/>
    <xf numFmtId="0" fontId="379" fillId="78" borderId="100" applyNumberFormat="0" applyAlignment="0" applyProtection="0"/>
    <xf numFmtId="0" fontId="379" fillId="78" borderId="100" applyNumberFormat="0" applyAlignment="0" applyProtection="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190" fontId="353" fillId="0" borderId="0" applyFont="0" applyFill="0" applyBorder="0" applyAlignment="0" applyProtection="0"/>
    <xf numFmtId="190" fontId="353" fillId="0" borderId="0" applyFont="0" applyFill="0" applyBorder="0" applyAlignment="0" applyProtection="0"/>
    <xf numFmtId="190" fontId="353" fillId="0" borderId="0" applyFont="0" applyFill="0" applyBorder="0" applyAlignment="0" applyProtection="0"/>
    <xf numFmtId="190" fontId="353" fillId="0" borderId="0" applyFont="0" applyFill="0" applyBorder="0" applyAlignment="0" applyProtection="0"/>
    <xf numFmtId="190" fontId="353" fillId="0" borderId="0" applyFont="0" applyFill="0" applyBorder="0" applyAlignment="0" applyProtection="0"/>
    <xf numFmtId="190" fontId="353" fillId="0" borderId="0" applyFont="0" applyFill="0" applyBorder="0" applyAlignment="0" applyProtection="0"/>
    <xf numFmtId="190" fontId="353" fillId="0" borderId="0" applyFont="0" applyFill="0" applyBorder="0" applyAlignment="0" applyProtection="0"/>
    <xf numFmtId="190" fontId="353" fillId="0" borderId="0" applyFont="0" applyFill="0" applyBorder="0" applyAlignment="0" applyProtection="0"/>
    <xf numFmtId="190" fontId="353"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83" fontId="353" fillId="0" borderId="0" applyFont="0" applyFill="0" applyBorder="0" applyAlignment="0" applyProtection="0"/>
    <xf numFmtId="183" fontId="353" fillId="0" borderId="0" applyFont="0" applyFill="0" applyBorder="0" applyAlignment="0" applyProtection="0"/>
    <xf numFmtId="185" fontId="353"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90" fontId="353" fillId="0" borderId="0" applyFont="0" applyFill="0" applyBorder="0" applyAlignment="0" applyProtection="0"/>
    <xf numFmtId="183" fontId="353"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390"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90" fontId="353" fillId="0" borderId="0" applyFont="0" applyFill="0" applyBorder="0" applyAlignment="0" applyProtection="0"/>
    <xf numFmtId="190" fontId="353" fillId="0" borderId="0" applyFont="0" applyFill="0" applyBorder="0" applyAlignment="0" applyProtection="0"/>
    <xf numFmtId="44" fontId="390" fillId="0" borderId="0" applyFont="0" applyFill="0" applyBorder="0" applyAlignment="0" applyProtection="0"/>
    <xf numFmtId="44" fontId="390" fillId="0" borderId="0" applyFont="0" applyFill="0" applyBorder="0" applyAlignment="0" applyProtection="0"/>
    <xf numFmtId="44" fontId="390" fillId="0" borderId="0" applyFont="0" applyFill="0" applyBorder="0" applyAlignment="0" applyProtection="0"/>
    <xf numFmtId="44" fontId="390" fillId="0" borderId="0" applyFont="0" applyFill="0" applyBorder="0" applyAlignment="0" applyProtection="0"/>
    <xf numFmtId="44" fontId="390" fillId="0" borderId="0" applyFont="0" applyFill="0" applyBorder="0" applyAlignment="0" applyProtection="0"/>
    <xf numFmtId="44" fontId="390" fillId="0" borderId="0" applyFont="0" applyFill="0" applyBorder="0" applyAlignment="0" applyProtection="0"/>
    <xf numFmtId="44" fontId="390" fillId="0" borderId="0" applyFont="0" applyFill="0" applyBorder="0" applyAlignment="0" applyProtection="0"/>
    <xf numFmtId="44" fontId="390" fillId="0" borderId="0" applyFont="0" applyFill="0" applyBorder="0" applyAlignment="0" applyProtection="0"/>
    <xf numFmtId="44" fontId="390" fillId="0" borderId="0" applyFont="0" applyFill="0" applyBorder="0" applyAlignment="0" applyProtection="0"/>
    <xf numFmtId="44" fontId="390" fillId="0" borderId="0" applyFont="0" applyFill="0" applyBorder="0" applyAlignment="0" applyProtection="0"/>
    <xf numFmtId="44" fontId="390" fillId="0" borderId="0" applyFont="0" applyFill="0" applyBorder="0" applyAlignment="0" applyProtection="0"/>
    <xf numFmtId="44" fontId="390" fillId="0" borderId="0" applyFont="0" applyFill="0" applyBorder="0" applyAlignment="0" applyProtection="0"/>
    <xf numFmtId="44" fontId="390" fillId="0" borderId="0" applyFont="0" applyFill="0" applyBorder="0" applyAlignment="0" applyProtection="0"/>
    <xf numFmtId="44" fontId="390" fillId="0" borderId="0" applyFont="0" applyFill="0" applyBorder="0" applyAlignment="0" applyProtection="0"/>
    <xf numFmtId="44" fontId="390" fillId="0" borderId="0" applyFont="0" applyFill="0" applyBorder="0" applyAlignment="0" applyProtection="0"/>
    <xf numFmtId="44" fontId="390" fillId="0" borderId="0" applyFont="0" applyFill="0" applyBorder="0" applyAlignment="0" applyProtection="0"/>
    <xf numFmtId="44" fontId="390" fillId="0" borderId="0" applyFont="0" applyFill="0" applyBorder="0" applyAlignment="0" applyProtection="0"/>
    <xf numFmtId="44" fontId="390" fillId="0" borderId="0" applyFont="0" applyFill="0" applyBorder="0" applyAlignment="0" applyProtection="0"/>
    <xf numFmtId="44" fontId="390" fillId="0" borderId="0" applyFont="0" applyFill="0" applyBorder="0" applyAlignment="0" applyProtection="0"/>
    <xf numFmtId="44" fontId="390" fillId="0" borderId="0" applyFont="0" applyFill="0" applyBorder="0" applyAlignment="0" applyProtection="0"/>
    <xf numFmtId="44" fontId="390" fillId="0" borderId="0" applyFont="0" applyFill="0" applyBorder="0" applyAlignment="0" applyProtection="0"/>
    <xf numFmtId="44" fontId="390" fillId="0" borderId="0" applyFont="0" applyFill="0" applyBorder="0" applyAlignment="0" applyProtection="0"/>
    <xf numFmtId="44" fontId="390" fillId="0" borderId="0" applyFont="0" applyFill="0" applyBorder="0" applyAlignment="0" applyProtection="0"/>
    <xf numFmtId="44" fontId="390" fillId="0" borderId="0" applyFont="0" applyFill="0" applyBorder="0" applyAlignment="0" applyProtection="0"/>
    <xf numFmtId="44" fontId="390" fillId="0" borderId="0" applyFont="0" applyFill="0" applyBorder="0" applyAlignment="0" applyProtection="0"/>
    <xf numFmtId="44" fontId="390" fillId="0" borderId="0" applyFont="0" applyFill="0" applyBorder="0" applyAlignment="0" applyProtection="0"/>
    <xf numFmtId="44" fontId="390" fillId="0" borderId="0" applyFont="0" applyFill="0" applyBorder="0" applyAlignment="0" applyProtection="0"/>
    <xf numFmtId="44" fontId="390" fillId="0" borderId="0" applyFont="0" applyFill="0" applyBorder="0" applyAlignment="0" applyProtection="0"/>
    <xf numFmtId="44" fontId="390" fillId="0" borderId="0" applyFont="0" applyFill="0" applyBorder="0" applyAlignment="0" applyProtection="0"/>
    <xf numFmtId="44" fontId="390" fillId="0" borderId="0" applyFont="0" applyFill="0" applyBorder="0" applyAlignment="0" applyProtection="0"/>
    <xf numFmtId="44" fontId="390" fillId="0" borderId="0" applyFont="0" applyFill="0" applyBorder="0" applyAlignment="0" applyProtection="0"/>
    <xf numFmtId="44" fontId="390" fillId="0" borderId="0" applyFont="0" applyFill="0" applyBorder="0" applyAlignment="0" applyProtection="0"/>
    <xf numFmtId="44" fontId="390" fillId="0" borderId="0" applyFont="0" applyFill="0" applyBorder="0" applyAlignment="0" applyProtection="0"/>
    <xf numFmtId="44" fontId="390" fillId="0" borderId="0" applyFont="0" applyFill="0" applyBorder="0" applyAlignment="0" applyProtection="0"/>
    <xf numFmtId="44" fontId="390" fillId="0" borderId="0" applyFont="0" applyFill="0" applyBorder="0" applyAlignment="0" applyProtection="0"/>
    <xf numFmtId="44" fontId="390" fillId="0" borderId="0" applyFont="0" applyFill="0" applyBorder="0" applyAlignment="0" applyProtection="0"/>
    <xf numFmtId="167" fontId="390" fillId="0" borderId="0" applyFont="0" applyFill="0" applyBorder="0" applyAlignment="0" applyProtection="0"/>
    <xf numFmtId="167" fontId="390" fillId="0" borderId="0" applyFont="0" applyFill="0" applyBorder="0" applyAlignment="0" applyProtection="0"/>
    <xf numFmtId="167" fontId="390" fillId="0" borderId="0" applyFont="0" applyFill="0" applyBorder="0" applyAlignment="0" applyProtection="0"/>
    <xf numFmtId="167" fontId="390" fillId="0" borderId="0" applyFont="0" applyFill="0" applyBorder="0" applyAlignment="0" applyProtection="0"/>
    <xf numFmtId="167" fontId="390" fillId="0" borderId="0" applyFont="0" applyFill="0" applyBorder="0" applyAlignment="0" applyProtection="0"/>
    <xf numFmtId="167" fontId="390" fillId="0" borderId="0" applyFont="0" applyFill="0" applyBorder="0" applyAlignment="0" applyProtection="0"/>
    <xf numFmtId="167" fontId="390" fillId="0" borderId="0" applyFont="0" applyFill="0" applyBorder="0" applyAlignment="0" applyProtection="0"/>
    <xf numFmtId="167" fontId="390" fillId="0" borderId="0" applyFont="0" applyFill="0" applyBorder="0" applyAlignment="0" applyProtection="0"/>
    <xf numFmtId="167" fontId="390" fillId="0" borderId="0" applyFont="0" applyFill="0" applyBorder="0" applyAlignment="0" applyProtection="0"/>
    <xf numFmtId="0" fontId="363" fillId="0" borderId="0"/>
    <xf numFmtId="0" fontId="375" fillId="0" borderId="0" applyNumberFormat="0" applyFill="0" applyBorder="0" applyAlignment="0" applyProtection="0"/>
    <xf numFmtId="0" fontId="375" fillId="0" borderId="0" applyNumberFormat="0" applyFill="0" applyBorder="0" applyAlignment="0" applyProtection="0"/>
    <xf numFmtId="2" fontId="390" fillId="0" borderId="0" applyFont="0" applyFill="0" applyBorder="0" applyAlignment="0" applyProtection="0"/>
    <xf numFmtId="2" fontId="390" fillId="0" borderId="0" applyFont="0" applyFill="0" applyBorder="0" applyAlignment="0" applyProtection="0"/>
    <xf numFmtId="2" fontId="390" fillId="0" borderId="0" applyFont="0" applyFill="0" applyBorder="0" applyAlignment="0" applyProtection="0"/>
    <xf numFmtId="2" fontId="390" fillId="0" borderId="0" applyFont="0" applyFill="0" applyBorder="0" applyAlignment="0" applyProtection="0"/>
    <xf numFmtId="2" fontId="390" fillId="0" borderId="0" applyFont="0" applyFill="0" applyBorder="0" applyAlignment="0" applyProtection="0"/>
    <xf numFmtId="2" fontId="390" fillId="0" borderId="0" applyFont="0" applyFill="0" applyBorder="0" applyAlignment="0" applyProtection="0"/>
    <xf numFmtId="2" fontId="390" fillId="0" borderId="0" applyFont="0" applyFill="0" applyBorder="0" applyAlignment="0" applyProtection="0"/>
    <xf numFmtId="2" fontId="390" fillId="0" borderId="0" applyFont="0" applyFill="0" applyBorder="0" applyAlignment="0" applyProtection="0"/>
    <xf numFmtId="2" fontId="390" fillId="0" borderId="0" applyFont="0" applyFill="0" applyBorder="0" applyAlignment="0" applyProtection="0"/>
    <xf numFmtId="2" fontId="390" fillId="0" borderId="0" applyFont="0" applyFill="0" applyBorder="0" applyAlignment="0" applyProtection="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1" fontId="390" fillId="0" borderId="0"/>
    <xf numFmtId="0" fontId="386" fillId="61" borderId="0" applyNumberFormat="0" applyBorder="0" applyAlignment="0" applyProtection="0"/>
    <xf numFmtId="0" fontId="386" fillId="61" borderId="0" applyNumberFormat="0" applyBorder="0" applyAlignment="0" applyProtection="0"/>
    <xf numFmtId="0" fontId="368" fillId="0" borderId="103" applyNumberFormat="0" applyFill="0" applyAlignment="0" applyProtection="0"/>
    <xf numFmtId="0" fontId="368" fillId="0" borderId="103" applyNumberFormat="0" applyFill="0" applyAlignment="0" applyProtection="0"/>
    <xf numFmtId="0" fontId="378" fillId="0" borderId="101" applyNumberFormat="0" applyFill="0" applyAlignment="0" applyProtection="0"/>
    <xf numFmtId="0" fontId="378" fillId="0" borderId="101" applyNumberFormat="0" applyFill="0" applyAlignment="0" applyProtection="0"/>
    <xf numFmtId="0" fontId="372" fillId="0" borderId="98" applyNumberFormat="0" applyFill="0" applyAlignment="0" applyProtection="0"/>
    <xf numFmtId="0" fontId="372" fillId="0" borderId="98" applyNumberFormat="0" applyFill="0" applyAlignment="0" applyProtection="0"/>
    <xf numFmtId="0" fontId="372" fillId="0" borderId="0" applyNumberFormat="0" applyFill="0" applyBorder="0" applyAlignment="0" applyProtection="0"/>
    <xf numFmtId="0" fontId="372" fillId="0" borderId="0" applyNumberFormat="0" applyFill="0" applyBorder="0" applyAlignment="0" applyProtection="0"/>
    <xf numFmtId="0" fontId="383" fillId="64" borderId="99" applyNumberFormat="0" applyAlignment="0" applyProtection="0"/>
    <xf numFmtId="0" fontId="383" fillId="64" borderId="99" applyNumberFormat="0" applyAlignment="0" applyProtection="0"/>
    <xf numFmtId="0" fontId="383" fillId="64" borderId="99" applyNumberFormat="0" applyAlignment="0" applyProtection="0"/>
    <xf numFmtId="0" fontId="383" fillId="64" borderId="99" applyNumberFormat="0" applyAlignment="0" applyProtection="0"/>
    <xf numFmtId="0" fontId="383" fillId="64" borderId="99" applyNumberFormat="0" applyAlignment="0" applyProtection="0"/>
    <xf numFmtId="0" fontId="383" fillId="64" borderId="99" applyNumberFormat="0" applyAlignment="0" applyProtection="0"/>
    <xf numFmtId="0" fontId="383" fillId="64" borderId="99" applyNumberFormat="0" applyAlignment="0" applyProtection="0"/>
    <xf numFmtId="0" fontId="383" fillId="64" borderId="99" applyNumberFormat="0" applyAlignment="0" applyProtection="0"/>
    <xf numFmtId="0" fontId="383" fillId="64" borderId="99" applyNumberFormat="0" applyAlignment="0" applyProtection="0"/>
    <xf numFmtId="0" fontId="383" fillId="64" borderId="99" applyNumberFormat="0" applyAlignment="0" applyProtection="0"/>
    <xf numFmtId="0" fontId="383" fillId="64" borderId="99" applyNumberFormat="0" applyAlignment="0" applyProtection="0"/>
    <xf numFmtId="0" fontId="383" fillId="64" borderId="99" applyNumberFormat="0" applyAlignment="0" applyProtection="0"/>
    <xf numFmtId="0" fontId="383" fillId="64" borderId="99" applyNumberFormat="0" applyAlignment="0" applyProtection="0"/>
    <xf numFmtId="0" fontId="383" fillId="64" borderId="99" applyNumberFormat="0" applyAlignment="0" applyProtection="0"/>
    <xf numFmtId="0" fontId="383" fillId="64" borderId="99" applyNumberFormat="0" applyAlignment="0" applyProtection="0"/>
    <xf numFmtId="0" fontId="383" fillId="64" borderId="99" applyNumberFormat="0" applyAlignment="0" applyProtection="0"/>
    <xf numFmtId="0" fontId="366" fillId="0" borderId="104" applyNumberFormat="0" applyFill="0" applyAlignment="0" applyProtection="0"/>
    <xf numFmtId="0" fontId="366" fillId="0" borderId="104" applyNumberFormat="0" applyFill="0" applyAlignment="0" applyProtection="0"/>
    <xf numFmtId="0" fontId="395" fillId="0" borderId="106">
      <alignment horizontal="center" vertical="center" wrapText="1"/>
    </xf>
    <xf numFmtId="0" fontId="369" fillId="79" borderId="0" applyNumberFormat="0" applyBorder="0" applyAlignment="0" applyProtection="0"/>
    <xf numFmtId="0" fontId="369" fillId="79" borderId="0" applyNumberFormat="0" applyBorder="0" applyAlignment="0" applyProtection="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53" fillId="0" borderId="0"/>
    <xf numFmtId="0" fontId="353"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90" fillId="0" borderId="0"/>
    <xf numFmtId="0" fontId="363"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63" fillId="0" borderId="0"/>
    <xf numFmtId="0" fontId="396" fillId="0" borderId="0"/>
    <xf numFmtId="0" fontId="353" fillId="0" borderId="0"/>
    <xf numFmtId="0" fontId="353" fillId="0" borderId="0"/>
    <xf numFmtId="0" fontId="353" fillId="0" borderId="0"/>
    <xf numFmtId="0" fontId="353" fillId="0" borderId="0"/>
    <xf numFmtId="0" fontId="353" fillId="0" borderId="0"/>
    <xf numFmtId="0" fontId="353" fillId="0" borderId="0"/>
    <xf numFmtId="0" fontId="353" fillId="0" borderId="0"/>
    <xf numFmtId="0" fontId="353" fillId="0" borderId="0"/>
    <xf numFmtId="0" fontId="353" fillId="0" borderId="0"/>
    <xf numFmtId="0" fontId="353" fillId="0" borderId="0"/>
    <xf numFmtId="0" fontId="353" fillId="0" borderId="0"/>
    <xf numFmtId="0" fontId="353" fillId="0" borderId="0"/>
    <xf numFmtId="0" fontId="353" fillId="0" borderId="0"/>
    <xf numFmtId="0" fontId="353" fillId="0" borderId="0"/>
    <xf numFmtId="0" fontId="353" fillId="0" borderId="0"/>
    <xf numFmtId="0" fontId="353" fillId="0" borderId="0"/>
    <xf numFmtId="0" fontId="353" fillId="0" borderId="0"/>
    <xf numFmtId="0" fontId="35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53" fillId="0" borderId="0"/>
    <xf numFmtId="0" fontId="390" fillId="0" borderId="0"/>
    <xf numFmtId="0" fontId="353" fillId="0" borderId="0"/>
    <xf numFmtId="0" fontId="353" fillId="0" borderId="0"/>
    <xf numFmtId="0" fontId="390" fillId="0" borderId="0"/>
    <xf numFmtId="0" fontId="353" fillId="0" borderId="0"/>
    <xf numFmtId="0" fontId="353"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53" fillId="0" borderId="0"/>
    <xf numFmtId="0" fontId="353" fillId="0" borderId="0"/>
    <xf numFmtId="0" fontId="353" fillId="0" borderId="0"/>
    <xf numFmtId="0" fontId="353" fillId="0" borderId="0"/>
    <xf numFmtId="0" fontId="353"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53" fillId="0" borderId="0"/>
    <xf numFmtId="0" fontId="353" fillId="0" borderId="0"/>
    <xf numFmtId="0" fontId="353"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53" fillId="0" borderId="0"/>
    <xf numFmtId="0" fontId="353" fillId="0" borderId="0"/>
    <xf numFmtId="0" fontId="353" fillId="0" borderId="0"/>
    <xf numFmtId="0" fontId="353"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54" fillId="0" borderId="0"/>
    <xf numFmtId="0" fontId="390" fillId="0" borderId="0"/>
    <xf numFmtId="0" fontId="353"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54"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53" fillId="0" borderId="0"/>
    <xf numFmtId="0" fontId="353" fillId="0" borderId="0"/>
    <xf numFmtId="0" fontId="390" fillId="0" borderId="0"/>
    <xf numFmtId="0" fontId="353"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90" fillId="0" borderId="0"/>
    <xf numFmtId="0" fontId="35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53" fillId="0" borderId="0"/>
    <xf numFmtId="0" fontId="353" fillId="0" borderId="0"/>
    <xf numFmtId="0" fontId="353" fillId="0" borderId="0"/>
    <xf numFmtId="0" fontId="353" fillId="0" borderId="0"/>
    <xf numFmtId="0" fontId="353" fillId="0" borderId="0"/>
    <xf numFmtId="0" fontId="35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53" fillId="0" borderId="0"/>
    <xf numFmtId="0" fontId="353" fillId="0" borderId="0"/>
    <xf numFmtId="0" fontId="353" fillId="0" borderId="0"/>
    <xf numFmtId="0" fontId="1" fillId="0" borderId="0"/>
    <xf numFmtId="0" fontId="1" fillId="0" borderId="0"/>
    <xf numFmtId="0" fontId="353" fillId="0" borderId="0"/>
    <xf numFmtId="0" fontId="353" fillId="0" borderId="0"/>
    <xf numFmtId="0" fontId="390" fillId="0" borderId="0"/>
    <xf numFmtId="0" fontId="390" fillId="0" borderId="0"/>
    <xf numFmtId="0" fontId="397" fillId="0" borderId="0"/>
    <xf numFmtId="0" fontId="39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53"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53" fillId="0" borderId="0"/>
    <xf numFmtId="0" fontId="353" fillId="0" borderId="0"/>
    <xf numFmtId="0" fontId="353" fillId="0" borderId="0"/>
    <xf numFmtId="0" fontId="390" fillId="0" borderId="0"/>
    <xf numFmtId="0" fontId="363" fillId="0" borderId="0"/>
    <xf numFmtId="0" fontId="39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5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90" fillId="0" borderId="0"/>
    <xf numFmtId="0" fontId="353"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1" fillId="0" borderId="0"/>
    <xf numFmtId="0" fontId="1" fillId="0" borderId="0"/>
    <xf numFmtId="0" fontId="1" fillId="0" borderId="0"/>
    <xf numFmtId="0" fontId="1"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1" fillId="0" borderId="0"/>
    <xf numFmtId="0" fontId="1" fillId="0" borderId="0"/>
    <xf numFmtId="0" fontId="1" fillId="0" borderId="0"/>
    <xf numFmtId="0" fontId="1"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1" fillId="0" borderId="0"/>
    <xf numFmtId="0" fontId="1" fillId="0" borderId="0"/>
    <xf numFmtId="0" fontId="1" fillId="0" borderId="0"/>
    <xf numFmtId="0" fontId="1"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1" fillId="0" borderId="0"/>
    <xf numFmtId="0" fontId="1" fillId="0" borderId="0"/>
    <xf numFmtId="0" fontId="1" fillId="0" borderId="0"/>
    <xf numFmtId="0" fontId="1"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53" fillId="0" borderId="0"/>
    <xf numFmtId="0" fontId="353" fillId="0" borderId="0"/>
    <xf numFmtId="0" fontId="39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53" fillId="0" borderId="0"/>
    <xf numFmtId="0" fontId="353" fillId="0" borderId="0"/>
    <xf numFmtId="0" fontId="353" fillId="0" borderId="0"/>
    <xf numFmtId="0" fontId="35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5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53" fillId="0" borderId="0"/>
    <xf numFmtId="0" fontId="353"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90" fillId="0" borderId="0"/>
    <xf numFmtId="0" fontId="39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63"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53" fillId="0" borderId="0"/>
    <xf numFmtId="0" fontId="35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90" fillId="0" borderId="0"/>
    <xf numFmtId="0" fontId="1" fillId="0" borderId="0"/>
    <xf numFmtId="0" fontId="1" fillId="0" borderId="0"/>
    <xf numFmtId="0" fontId="353"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6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63" fillId="0" borderId="0"/>
    <xf numFmtId="0" fontId="1"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39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90" fillId="0" borderId="0"/>
    <xf numFmtId="0" fontId="353"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53"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53" fillId="0" borderId="0"/>
    <xf numFmtId="0" fontId="353" fillId="0" borderId="0"/>
    <xf numFmtId="0" fontId="1" fillId="0" borderId="0"/>
    <xf numFmtId="0" fontId="1" fillId="0" borderId="0"/>
    <xf numFmtId="0" fontId="1" fillId="0" borderId="0"/>
    <xf numFmtId="0" fontId="1" fillId="0" borderId="0"/>
    <xf numFmtId="0" fontId="1" fillId="0" borderId="0"/>
    <xf numFmtId="0" fontId="399" fillId="0" borderId="0"/>
    <xf numFmtId="0" fontId="353" fillId="0" borderId="0"/>
    <xf numFmtId="0" fontId="1" fillId="0" borderId="0"/>
    <xf numFmtId="0" fontId="353" fillId="0" borderId="0"/>
    <xf numFmtId="0" fontId="390" fillId="0" borderId="0"/>
    <xf numFmtId="0" fontId="1" fillId="0" borderId="0"/>
    <xf numFmtId="0" fontId="353" fillId="0" borderId="0"/>
    <xf numFmtId="0" fontId="1" fillId="0" borderId="0"/>
    <xf numFmtId="0" fontId="353" fillId="0" borderId="0"/>
    <xf numFmtId="0" fontId="390" fillId="0" borderId="0"/>
    <xf numFmtId="0" fontId="353" fillId="0" borderId="0"/>
    <xf numFmtId="0" fontId="353" fillId="0" borderId="0"/>
    <xf numFmtId="0" fontId="353" fillId="0" borderId="0"/>
    <xf numFmtId="0" fontId="353" fillId="0" borderId="0"/>
    <xf numFmtId="0" fontId="353" fillId="0" borderId="0"/>
    <xf numFmtId="0" fontId="388" fillId="0" borderId="0"/>
    <xf numFmtId="0" fontId="390" fillId="0" borderId="0"/>
    <xf numFmtId="0" fontId="353"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90" fillId="0" borderId="0"/>
    <xf numFmtId="0" fontId="390" fillId="0" borderId="0"/>
    <xf numFmtId="0" fontId="39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90" fillId="80" borderId="97" applyNumberFormat="0" applyFont="0" applyAlignment="0" applyProtection="0"/>
    <xf numFmtId="0" fontId="380" fillId="77" borderId="105" applyNumberFormat="0" applyAlignment="0" applyProtection="0"/>
    <xf numFmtId="0" fontId="380" fillId="77" borderId="105" applyNumberFormat="0" applyAlignment="0" applyProtection="0"/>
    <xf numFmtId="10" fontId="390" fillId="0" borderId="0" applyFont="0" applyFill="0" applyBorder="0" applyAlignment="0" applyProtection="0"/>
    <xf numFmtId="10" fontId="390" fillId="0" borderId="0" applyFont="0" applyFill="0" applyBorder="0" applyAlignment="0" applyProtection="0"/>
    <xf numFmtId="10" fontId="390" fillId="0" borderId="0" applyFont="0" applyFill="0" applyBorder="0" applyAlignment="0" applyProtection="0"/>
    <xf numFmtId="10" fontId="390" fillId="0" borderId="0" applyFont="0" applyFill="0" applyBorder="0" applyAlignment="0" applyProtection="0"/>
    <xf numFmtId="10" fontId="390" fillId="0" borderId="0" applyFont="0" applyFill="0" applyBorder="0" applyAlignment="0" applyProtection="0"/>
    <xf numFmtId="10" fontId="390" fillId="0" borderId="0" applyFont="0" applyFill="0" applyBorder="0" applyAlignment="0" applyProtection="0"/>
    <xf numFmtId="10" fontId="390" fillId="0" borderId="0" applyFont="0" applyFill="0" applyBorder="0" applyAlignment="0" applyProtection="0"/>
    <xf numFmtId="10" fontId="390" fillId="0" borderId="0" applyFont="0" applyFill="0" applyBorder="0" applyAlignment="0" applyProtection="0"/>
    <xf numFmtId="10" fontId="390" fillId="0" borderId="0" applyFont="0" applyFill="0" applyBorder="0" applyAlignment="0" applyProtection="0"/>
    <xf numFmtId="10" fontId="390" fillId="0" borderId="0" applyFont="0" applyFill="0" applyBorder="0" applyAlignment="0" applyProtection="0"/>
    <xf numFmtId="9" fontId="353"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53" fillId="0" borderId="0" applyFont="0" applyFill="0" applyBorder="0" applyAlignment="0" applyProtection="0"/>
    <xf numFmtId="9" fontId="353" fillId="0" borderId="0" applyFont="0" applyFill="0" applyBorder="0" applyAlignment="0" applyProtection="0"/>
    <xf numFmtId="9" fontId="353" fillId="0" borderId="0" applyFont="0" applyFill="0" applyBorder="0" applyAlignment="0" applyProtection="0"/>
    <xf numFmtId="9" fontId="353" fillId="0" borderId="0" applyFont="0" applyFill="0" applyBorder="0" applyAlignment="0" applyProtection="0"/>
    <xf numFmtId="9" fontId="353" fillId="0" borderId="0" applyFont="0" applyFill="0" applyBorder="0" applyAlignment="0" applyProtection="0"/>
    <xf numFmtId="9" fontId="353"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63"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53"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390" fillId="0" borderId="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39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363"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53"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53" fillId="0" borderId="0" applyFont="0" applyFill="0" applyBorder="0" applyAlignment="0" applyProtection="0"/>
    <xf numFmtId="9" fontId="390" fillId="0" borderId="0" applyFont="0" applyFill="0" applyBorder="0" applyAlignment="0" applyProtection="0"/>
    <xf numFmtId="9" fontId="353"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90" fillId="0" borderId="0" applyFont="0" applyFill="0" applyBorder="0" applyAlignment="0" applyProtection="0"/>
    <xf numFmtId="9" fontId="353" fillId="0" borderId="0" applyFont="0" applyFill="0" applyBorder="0" applyAlignment="0" applyProtection="0"/>
    <xf numFmtId="9" fontId="353" fillId="0" borderId="0" applyFont="0" applyFill="0" applyBorder="0" applyAlignment="0" applyProtection="0"/>
    <xf numFmtId="0" fontId="400" fillId="0" borderId="0"/>
    <xf numFmtId="182" fontId="390" fillId="0" borderId="0" applyFont="0" applyFill="0" applyBorder="0" applyAlignment="0" applyProtection="0"/>
    <xf numFmtId="182" fontId="390" fillId="0" borderId="0" applyFont="0" applyFill="0" applyBorder="0" applyAlignment="0" applyProtection="0"/>
    <xf numFmtId="182" fontId="390" fillId="0" borderId="0" applyFont="0" applyFill="0" applyBorder="0" applyAlignment="0" applyProtection="0"/>
    <xf numFmtId="182" fontId="390" fillId="0" borderId="0" applyFont="0" applyFill="0" applyBorder="0" applyAlignment="0" applyProtection="0"/>
    <xf numFmtId="182" fontId="390" fillId="0" borderId="0" applyFont="0" applyFill="0" applyBorder="0" applyAlignment="0" applyProtection="0"/>
    <xf numFmtId="182" fontId="390" fillId="0" borderId="0" applyFont="0" applyFill="0" applyBorder="0" applyAlignment="0" applyProtection="0"/>
    <xf numFmtId="182" fontId="390" fillId="0" borderId="0" applyFont="0" applyFill="0" applyBorder="0" applyAlignment="0" applyProtection="0"/>
    <xf numFmtId="182" fontId="390" fillId="0" borderId="0" applyFont="0" applyFill="0" applyBorder="0" applyAlignment="0" applyProtection="0"/>
    <xf numFmtId="182" fontId="390" fillId="0" borderId="0" applyFont="0" applyFill="0" applyBorder="0" applyAlignment="0" applyProtection="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390" fillId="0" borderId="0"/>
    <xf numFmtId="0" fontId="401" fillId="0" borderId="0" applyNumberFormat="0" applyFill="0" applyBorder="0" applyAlignment="0" applyProtection="0"/>
    <xf numFmtId="0" fontId="401" fillId="0" borderId="0" applyNumberFormat="0" applyFill="0" applyBorder="0" applyAlignment="0" applyProtection="0"/>
    <xf numFmtId="0" fontId="359" fillId="0" borderId="102" applyNumberFormat="0" applyFill="0" applyAlignment="0" applyProtection="0"/>
    <xf numFmtId="0" fontId="359" fillId="0" borderId="102" applyNumberFormat="0" applyFill="0" applyAlignment="0" applyProtection="0"/>
    <xf numFmtId="2" fontId="390" fillId="0" borderId="0">
      <alignment horizontal="center" vertical="center"/>
    </xf>
    <xf numFmtId="176" fontId="349" fillId="0" borderId="106">
      <alignment horizontal="center" vertical="center"/>
    </xf>
    <xf numFmtId="176" fontId="349" fillId="0" borderId="106">
      <alignment horizontal="center" vertical="center"/>
    </xf>
    <xf numFmtId="176" fontId="349" fillId="0" borderId="106">
      <alignment horizontal="center" vertical="center"/>
    </xf>
    <xf numFmtId="176" fontId="349" fillId="0" borderId="106">
      <alignment horizontal="center" vertical="center"/>
    </xf>
    <xf numFmtId="176" fontId="349" fillId="0" borderId="106">
      <alignment horizontal="center" vertic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90" fillId="0" borderId="9">
      <alignment horizontal="center"/>
    </xf>
    <xf numFmtId="0" fontId="358" fillId="0" borderId="0" applyNumberFormat="0" applyFill="0" applyBorder="0" applyAlignment="0" applyProtection="0"/>
    <xf numFmtId="0" fontId="358" fillId="0" borderId="0" applyNumberFormat="0" applyFill="0" applyBorder="0" applyAlignment="0" applyProtection="0"/>
    <xf numFmtId="0" fontId="390" fillId="0" borderId="0"/>
    <xf numFmtId="9" fontId="390" fillId="0" borderId="0" applyFont="0" applyFill="0" applyBorder="0" applyAlignment="0" applyProtection="0"/>
    <xf numFmtId="0" fontId="1" fillId="0" borderId="0"/>
  </cellStyleXfs>
  <cellXfs count="4031">
    <xf numFmtId="0" fontId="0" fillId="0" borderId="0" xfId="0"/>
    <xf numFmtId="0" fontId="2" fillId="0" borderId="0" xfId="3473"/>
    <xf numFmtId="0" fontId="3" fillId="2" borderId="1" xfId="2438" applyFont="1" applyFill="1" applyBorder="1" applyAlignment="1">
      <alignment horizontal="center" vertical="center" wrapText="1"/>
    </xf>
    <xf numFmtId="0" fontId="4" fillId="0" borderId="0" xfId="2438"/>
    <xf numFmtId="180" fontId="3" fillId="2" borderId="1" xfId="2438" applyNumberFormat="1" applyFont="1" applyFill="1" applyBorder="1" applyAlignment="1">
      <alignment horizontal="center" vertical="center" wrapText="1"/>
    </xf>
    <xf numFmtId="0" fontId="5" fillId="0" borderId="2" xfId="2438" applyFont="1" applyBorder="1" applyAlignment="1">
      <alignment wrapText="1"/>
    </xf>
    <xf numFmtId="2" fontId="6" fillId="2" borderId="2" xfId="2438" applyNumberFormat="1" applyFont="1" applyFill="1" applyBorder="1"/>
    <xf numFmtId="1" fontId="7" fillId="0" borderId="3" xfId="2438" applyNumberFormat="1" applyFont="1" applyBorder="1" applyAlignment="1">
      <alignment horizontal="center" wrapText="1"/>
    </xf>
    <xf numFmtId="10" fontId="4" fillId="0" borderId="2" xfId="2438" applyNumberFormat="1" applyBorder="1" applyAlignment="1">
      <alignment horizontal="center" wrapText="1"/>
    </xf>
    <xf numFmtId="0" fontId="4" fillId="0" borderId="0" xfId="2438" applyAlignment="1">
      <alignment wrapText="1"/>
    </xf>
    <xf numFmtId="0" fontId="5" fillId="0" borderId="0" xfId="2438" applyFont="1" applyAlignment="1">
      <alignment wrapText="1"/>
    </xf>
    <xf numFmtId="2" fontId="5" fillId="0" borderId="0" xfId="2438" applyNumberFormat="1" applyFont="1" applyAlignment="1">
      <alignment horizontal="center" wrapText="1"/>
    </xf>
    <xf numFmtId="3" fontId="7" fillId="0" borderId="0" xfId="2438" applyNumberFormat="1" applyFont="1" applyAlignment="1">
      <alignment horizontal="center" wrapText="1"/>
    </xf>
    <xf numFmtId="4" fontId="4" fillId="0" borderId="1" xfId="2438" applyNumberFormat="1" applyBorder="1" applyAlignment="1">
      <alignment horizontal="center" wrapText="1"/>
    </xf>
    <xf numFmtId="10" fontId="5" fillId="0" borderId="0" xfId="2438" applyNumberFormat="1" applyFont="1" applyAlignment="1">
      <alignment vertical="center" wrapText="1"/>
    </xf>
    <xf numFmtId="10" fontId="8" fillId="0" borderId="0" xfId="2438" applyNumberFormat="1" applyFont="1" applyAlignment="1">
      <alignment horizontal="center" vertical="center" wrapText="1"/>
    </xf>
    <xf numFmtId="4" fontId="8" fillId="0" borderId="0" xfId="2438" applyNumberFormat="1" applyFont="1" applyAlignment="1">
      <alignment wrapText="1"/>
    </xf>
    <xf numFmtId="4" fontId="9" fillId="0" borderId="1" xfId="2438" applyNumberFormat="1" applyFont="1" applyBorder="1" applyAlignment="1">
      <alignment horizontal="center" vertical="center" wrapText="1"/>
    </xf>
    <xf numFmtId="4" fontId="7" fillId="0" borderId="1" xfId="2438" applyNumberFormat="1" applyFont="1" applyBorder="1" applyAlignment="1">
      <alignment horizontal="center" vertical="center" wrapText="1"/>
    </xf>
    <xf numFmtId="4" fontId="4" fillId="0" borderId="1" xfId="2438" applyNumberFormat="1" applyBorder="1" applyAlignment="1">
      <alignment wrapText="1"/>
    </xf>
    <xf numFmtId="0" fontId="5" fillId="0" borderId="1" xfId="2438" applyFont="1" applyBorder="1" applyAlignment="1">
      <alignment vertical="center" wrapText="1"/>
    </xf>
    <xf numFmtId="1" fontId="10" fillId="0" borderId="1" xfId="2438" applyNumberFormat="1" applyFont="1" applyBorder="1" applyAlignment="1">
      <alignment horizontal="center" vertical="center" wrapText="1"/>
    </xf>
    <xf numFmtId="4" fontId="5" fillId="3" borderId="4" xfId="2438" applyNumberFormat="1" applyFont="1" applyFill="1" applyBorder="1" applyAlignment="1">
      <alignment vertical="center" wrapText="1"/>
    </xf>
    <xf numFmtId="0" fontId="4" fillId="0" borderId="1" xfId="2438" applyBorder="1" applyAlignment="1">
      <alignment wrapText="1"/>
    </xf>
    <xf numFmtId="0" fontId="11" fillId="0" borderId="1" xfId="2438" applyFont="1" applyBorder="1" applyAlignment="1">
      <alignment vertical="center" wrapText="1"/>
    </xf>
    <xf numFmtId="1" fontId="7" fillId="0" borderId="1" xfId="2438" applyNumberFormat="1" applyFont="1" applyBorder="1" applyAlignment="1">
      <alignment horizontal="center" vertical="center" wrapText="1"/>
    </xf>
    <xf numFmtId="0" fontId="5" fillId="0" borderId="5" xfId="2438" applyFont="1" applyBorder="1" applyAlignment="1">
      <alignment horizontal="center" vertical="center" wrapText="1"/>
    </xf>
    <xf numFmtId="196" fontId="7" fillId="0" borderId="1" xfId="2438" applyNumberFormat="1" applyFont="1" applyBorder="1" applyAlignment="1">
      <alignment horizontal="center" vertical="center" wrapText="1"/>
    </xf>
    <xf numFmtId="2" fontId="7" fillId="0" borderId="1" xfId="2438" applyNumberFormat="1" applyFont="1" applyBorder="1" applyAlignment="1">
      <alignment horizontal="center" vertical="center" wrapText="1"/>
    </xf>
    <xf numFmtId="0" fontId="4" fillId="0" borderId="1" xfId="2438" applyBorder="1" applyAlignment="1">
      <alignment vertical="center" wrapText="1"/>
    </xf>
    <xf numFmtId="0" fontId="5" fillId="0" borderId="1" xfId="2438" applyFont="1" applyBorder="1" applyAlignment="1">
      <alignment horizontal="center" vertical="center" wrapText="1"/>
    </xf>
    <xf numFmtId="0" fontId="4" fillId="0" borderId="2" xfId="2438" applyBorder="1" applyAlignment="1">
      <alignment wrapText="1"/>
    </xf>
    <xf numFmtId="2" fontId="5" fillId="0" borderId="1" xfId="2438" applyNumberFormat="1" applyFont="1" applyBorder="1" applyAlignment="1">
      <alignment horizontal="right" vertical="center" wrapText="1"/>
    </xf>
    <xf numFmtId="0" fontId="5" fillId="0" borderId="1" xfId="2438" applyFont="1" applyBorder="1" applyAlignment="1">
      <alignment wrapText="1"/>
    </xf>
    <xf numFmtId="2" fontId="12" fillId="2" borderId="1" xfId="3758" applyNumberFormat="1" applyFont="1" applyFill="1" applyBorder="1" applyAlignment="1">
      <alignment horizontal="center"/>
    </xf>
    <xf numFmtId="2" fontId="7" fillId="0" borderId="1" xfId="2438" applyNumberFormat="1" applyFont="1" applyBorder="1" applyAlignment="1">
      <alignment wrapText="1"/>
    </xf>
    <xf numFmtId="4" fontId="13" fillId="2" borderId="1" xfId="2438" applyNumberFormat="1" applyFont="1" applyFill="1" applyBorder="1" applyAlignment="1">
      <alignment horizontal="center" wrapText="1"/>
    </xf>
    <xf numFmtId="0" fontId="5" fillId="0" borderId="0" xfId="2438" applyFont="1"/>
    <xf numFmtId="2" fontId="4" fillId="0" borderId="0" xfId="2438" applyNumberFormat="1"/>
    <xf numFmtId="0" fontId="4" fillId="0" borderId="1" xfId="2438" applyBorder="1"/>
    <xf numFmtId="43" fontId="7" fillId="0" borderId="0" xfId="655" applyFont="1" applyAlignment="1">
      <alignment horizontal="center"/>
    </xf>
    <xf numFmtId="179" fontId="4" fillId="0" borderId="0" xfId="2438" applyNumberFormat="1"/>
    <xf numFmtId="2" fontId="4" fillId="0" borderId="0" xfId="2438" applyNumberFormat="1" applyAlignment="1">
      <alignment wrapText="1"/>
    </xf>
    <xf numFmtId="0" fontId="5" fillId="0" borderId="1" xfId="2438" applyFont="1" applyBorder="1" applyAlignment="1">
      <alignment horizontal="right"/>
    </xf>
    <xf numFmtId="43" fontId="4" fillId="0" borderId="0" xfId="2438" applyNumberFormat="1" applyAlignment="1">
      <alignment wrapText="1"/>
    </xf>
    <xf numFmtId="0" fontId="4" fillId="0" borderId="1" xfId="2438" applyBorder="1" applyAlignment="1">
      <alignment vertical="top" wrapText="1"/>
    </xf>
    <xf numFmtId="43" fontId="9" fillId="0" borderId="1" xfId="655" applyFont="1" applyBorder="1" applyAlignment="1">
      <alignment horizontal="center"/>
    </xf>
    <xf numFmtId="43" fontId="4" fillId="0" borderId="0" xfId="2438" applyNumberFormat="1"/>
    <xf numFmtId="0" fontId="9" fillId="0" borderId="1" xfId="2438" applyFont="1" applyBorder="1" applyAlignment="1">
      <alignment horizontal="center"/>
    </xf>
    <xf numFmtId="1" fontId="9" fillId="0" borderId="1" xfId="2438" applyNumberFormat="1" applyFont="1" applyBorder="1" applyAlignment="1">
      <alignment horizontal="center"/>
    </xf>
    <xf numFmtId="0" fontId="4" fillId="0" borderId="0" xfId="2438" applyAlignment="1">
      <alignment horizontal="right"/>
    </xf>
    <xf numFmtId="0" fontId="4" fillId="0" borderId="1" xfId="2438" applyBorder="1" applyAlignment="1">
      <alignment horizontal="center"/>
    </xf>
    <xf numFmtId="0" fontId="9" fillId="0" borderId="0" xfId="2438" applyFont="1" applyAlignment="1">
      <alignment horizontal="center"/>
    </xf>
    <xf numFmtId="43" fontId="5" fillId="0" borderId="1" xfId="2438" applyNumberFormat="1" applyFont="1" applyBorder="1"/>
    <xf numFmtId="0" fontId="0" fillId="0" borderId="0" xfId="3470" applyFont="1"/>
    <xf numFmtId="0" fontId="14" fillId="0" borderId="0" xfId="3470" applyFont="1"/>
    <xf numFmtId="0" fontId="0" fillId="0" borderId="1" xfId="3470" applyFont="1" applyBorder="1" applyAlignment="1">
      <alignment horizontal="center" wrapText="1"/>
    </xf>
    <xf numFmtId="0" fontId="0" fillId="0" borderId="1" xfId="3470" applyFont="1" applyBorder="1" applyAlignment="1">
      <alignment horizontal="center"/>
    </xf>
    <xf numFmtId="0" fontId="5" fillId="0" borderId="0" xfId="3470" applyFont="1"/>
    <xf numFmtId="2" fontId="0" fillId="0" borderId="1" xfId="3470" applyNumberFormat="1" applyFont="1" applyBorder="1" applyAlignment="1">
      <alignment horizontal="center"/>
    </xf>
    <xf numFmtId="0" fontId="0" fillId="0" borderId="0" xfId="3470" applyFont="1" applyAlignment="1">
      <alignment vertical="center"/>
    </xf>
    <xf numFmtId="0" fontId="11" fillId="0" borderId="0" xfId="3470" applyFont="1" applyAlignment="1">
      <alignment vertical="top"/>
    </xf>
    <xf numFmtId="169" fontId="0" fillId="0" borderId="1" xfId="3470" applyNumberFormat="1" applyFont="1" applyBorder="1" applyAlignment="1">
      <alignment horizontal="center"/>
    </xf>
    <xf numFmtId="184" fontId="0" fillId="0" borderId="1" xfId="3470" applyNumberFormat="1" applyFont="1" applyBorder="1" applyAlignment="1">
      <alignment horizontal="center"/>
    </xf>
    <xf numFmtId="1" fontId="9" fillId="0" borderId="1" xfId="3470" applyNumberFormat="1" applyFont="1" applyBorder="1" applyAlignment="1">
      <alignment horizontal="center"/>
    </xf>
    <xf numFmtId="2" fontId="9" fillId="0" borderId="1" xfId="3470" applyNumberFormat="1" applyFont="1" applyBorder="1" applyAlignment="1">
      <alignment horizontal="center"/>
    </xf>
    <xf numFmtId="2" fontId="15" fillId="0" borderId="1" xfId="3470" applyNumberFormat="1" applyFont="1" applyBorder="1" applyAlignment="1">
      <alignment horizontal="center"/>
    </xf>
    <xf numFmtId="0" fontId="0" fillId="0" borderId="1" xfId="3470" applyFont="1" applyBorder="1" applyAlignment="1">
      <alignment vertical="center"/>
    </xf>
    <xf numFmtId="0" fontId="0" fillId="0" borderId="1" xfId="3470" applyFont="1" applyBorder="1"/>
    <xf numFmtId="0" fontId="11" fillId="0" borderId="1" xfId="3470" applyFont="1" applyBorder="1" applyAlignment="1">
      <alignment vertical="top"/>
    </xf>
    <xf numFmtId="0" fontId="16" fillId="0" borderId="1" xfId="3747" applyFont="1" applyAlignment="1">
      <alignment horizontal="center" vertical="top" wrapText="1" shrinkToFit="1"/>
    </xf>
    <xf numFmtId="0" fontId="11" fillId="0" borderId="1" xfId="3470" applyFont="1" applyBorder="1" applyAlignment="1">
      <alignment horizontal="center" vertical="top" wrapText="1"/>
    </xf>
    <xf numFmtId="0" fontId="0" fillId="0" borderId="1" xfId="3747" applyFont="1" applyAlignment="1">
      <alignment horizontal="center" vertical="top" wrapText="1" shrinkToFit="1"/>
    </xf>
    <xf numFmtId="0" fontId="17" fillId="0" borderId="1" xfId="3747" applyFont="1" applyAlignment="1">
      <alignment vertical="top" wrapText="1" shrinkToFit="1"/>
    </xf>
    <xf numFmtId="0" fontId="18" fillId="0" borderId="1" xfId="3747" applyFont="1" applyAlignment="1">
      <alignment vertical="top" wrapText="1" shrinkToFit="1"/>
    </xf>
    <xf numFmtId="2" fontId="19" fillId="0" borderId="1" xfId="3747" applyNumberFormat="1" applyFont="1" applyAlignment="1">
      <alignment vertical="top" wrapText="1" shrinkToFit="1"/>
    </xf>
    <xf numFmtId="2" fontId="0" fillId="0" borderId="1" xfId="3747" applyNumberFormat="1" applyFont="1" applyAlignment="1">
      <alignment vertical="top" wrapText="1" shrinkToFit="1"/>
    </xf>
    <xf numFmtId="2" fontId="15" fillId="0" borderId="1" xfId="3747" applyNumberFormat="1" applyFont="1" applyAlignment="1">
      <alignment vertical="top" wrapText="1" shrinkToFit="1"/>
    </xf>
    <xf numFmtId="2" fontId="0" fillId="0" borderId="1" xfId="3747" applyNumberFormat="1" applyFont="1" applyAlignment="1">
      <alignment horizontal="center" vertical="top" wrapText="1" shrinkToFit="1"/>
    </xf>
    <xf numFmtId="2" fontId="20" fillId="0" borderId="1" xfId="3748" applyNumberFormat="1" applyFont="1" applyAlignment="1">
      <alignment vertical="top" wrapText="1" shrinkToFit="1"/>
    </xf>
    <xf numFmtId="2" fontId="21" fillId="0" borderId="1" xfId="3747" applyNumberFormat="1" applyFont="1" applyAlignment="1">
      <alignment vertical="top"/>
    </xf>
    <xf numFmtId="2" fontId="21" fillId="0" borderId="1" xfId="3747" applyNumberFormat="1" applyFont="1" applyAlignment="1">
      <alignment vertical="top" wrapText="1" shrinkToFit="1"/>
    </xf>
    <xf numFmtId="0" fontId="22" fillId="0" borderId="0" xfId="3470" applyFont="1"/>
    <xf numFmtId="0" fontId="0" fillId="0" borderId="0" xfId="3470" applyFont="1" applyAlignment="1">
      <alignment horizontal="center" wrapText="1"/>
    </xf>
    <xf numFmtId="0" fontId="0" fillId="3" borderId="0" xfId="3470" applyFont="1" applyFill="1" applyAlignment="1">
      <alignment horizontal="center"/>
    </xf>
    <xf numFmtId="181" fontId="0" fillId="0" borderId="0" xfId="3470" applyNumberFormat="1" applyFont="1"/>
    <xf numFmtId="2" fontId="23" fillId="0" borderId="1" xfId="3747" applyNumberFormat="1" applyFont="1" applyAlignment="1">
      <alignment horizontal="center" vertical="top" wrapText="1" shrinkToFit="1"/>
    </xf>
    <xf numFmtId="2" fontId="5" fillId="0" borderId="1" xfId="3747" applyNumberFormat="1" applyFont="1" applyAlignment="1">
      <alignment vertical="top" wrapText="1" shrinkToFit="1"/>
    </xf>
    <xf numFmtId="0" fontId="5" fillId="0" borderId="0" xfId="0" applyFont="1" applyAlignment="1">
      <alignment horizontal="center"/>
    </xf>
    <xf numFmtId="0" fontId="4" fillId="0" borderId="0" xfId="0" applyFont="1"/>
    <xf numFmtId="0" fontId="0" fillId="0" borderId="0" xfId="0" applyAlignment="1">
      <alignment horizontal="center"/>
    </xf>
    <xf numFmtId="0" fontId="0" fillId="0" borderId="0" xfId="0" applyAlignment="1">
      <alignment wrapText="1"/>
    </xf>
    <xf numFmtId="2" fontId="0" fillId="0" borderId="0" xfId="0" applyNumberFormat="1" applyAlignment="1">
      <alignment horizontal="center"/>
    </xf>
    <xf numFmtId="0" fontId="3" fillId="0" borderId="1" xfId="0" applyFont="1" applyBorder="1" applyAlignment="1">
      <alignment horizontal="center"/>
    </xf>
    <xf numFmtId="0" fontId="24" fillId="0" borderId="0" xfId="0" applyFont="1" applyAlignment="1">
      <alignment horizontal="center"/>
    </xf>
    <xf numFmtId="0" fontId="24" fillId="0" borderId="1" xfId="0" applyFont="1" applyBorder="1" applyAlignment="1">
      <alignment horizontal="center"/>
    </xf>
    <xf numFmtId="0" fontId="24" fillId="0" borderId="1" xfId="0" applyFont="1" applyBorder="1" applyAlignment="1">
      <alignment horizontal="center" wrapText="1"/>
    </xf>
    <xf numFmtId="0" fontId="25" fillId="0" borderId="2" xfId="0" applyFont="1" applyBorder="1" applyAlignment="1">
      <alignment horizontal="center" wrapText="1"/>
    </xf>
    <xf numFmtId="0" fontId="25" fillId="0" borderId="0" xfId="0" applyFont="1" applyAlignment="1">
      <alignment horizontal="center" wrapText="1"/>
    </xf>
    <xf numFmtId="2" fontId="3" fillId="0" borderId="2" xfId="0" applyNumberFormat="1" applyFont="1" applyBorder="1" applyAlignment="1">
      <alignment horizontal="center" wrapText="1"/>
    </xf>
    <xf numFmtId="2" fontId="24" fillId="0" borderId="1" xfId="0" applyNumberFormat="1" applyFont="1" applyBorder="1"/>
    <xf numFmtId="0" fontId="3" fillId="3" borderId="1" xfId="0" applyFont="1" applyFill="1" applyBorder="1" applyAlignment="1">
      <alignment horizontal="center" vertical="center" wrapText="1"/>
    </xf>
    <xf numFmtId="0" fontId="3" fillId="0" borderId="1" xfId="0" applyFont="1" applyBorder="1" applyAlignment="1">
      <alignment wrapText="1"/>
    </xf>
    <xf numFmtId="2" fontId="24" fillId="3" borderId="1" xfId="0" applyNumberFormat="1" applyFont="1" applyFill="1" applyBorder="1" applyAlignment="1">
      <alignment horizontal="center"/>
    </xf>
    <xf numFmtId="2" fontId="24" fillId="0" borderId="4" xfId="0" applyNumberFormat="1" applyFont="1" applyBorder="1"/>
    <xf numFmtId="0" fontId="24" fillId="0" borderId="4" xfId="0" applyFont="1" applyBorder="1" applyAlignment="1">
      <alignment horizontal="center"/>
    </xf>
    <xf numFmtId="0" fontId="24" fillId="0" borderId="1" xfId="0" applyFont="1" applyBorder="1" applyAlignment="1">
      <alignment wrapText="1"/>
    </xf>
    <xf numFmtId="2" fontId="26" fillId="0" borderId="1" xfId="0" applyNumberFormat="1" applyFont="1" applyBorder="1" applyAlignment="1">
      <alignment horizontal="center" wrapText="1"/>
    </xf>
    <xf numFmtId="2" fontId="24" fillId="0" borderId="1" xfId="0" applyNumberFormat="1" applyFont="1" applyBorder="1" applyAlignment="1">
      <alignment horizontal="center" wrapText="1"/>
    </xf>
    <xf numFmtId="2" fontId="27" fillId="0" borderId="1" xfId="0" applyNumberFormat="1" applyFont="1" applyBorder="1" applyAlignment="1">
      <alignment horizontal="center" wrapText="1"/>
    </xf>
    <xf numFmtId="0" fontId="28" fillId="0" borderId="1" xfId="0" applyFont="1" applyBorder="1" applyAlignment="1">
      <alignment horizontal="left" wrapText="1"/>
    </xf>
    <xf numFmtId="2" fontId="26" fillId="3" borderId="1" xfId="0" applyNumberFormat="1" applyFont="1" applyFill="1" applyBorder="1" applyAlignment="1">
      <alignment horizontal="center" wrapText="1"/>
    </xf>
    <xf numFmtId="0" fontId="26" fillId="0" borderId="1" xfId="0" applyFont="1" applyBorder="1" applyAlignment="1">
      <alignment horizontal="center"/>
    </xf>
    <xf numFmtId="2" fontId="26" fillId="0" borderId="1" xfId="0" applyNumberFormat="1" applyFont="1" applyBorder="1" applyAlignment="1">
      <alignment horizontal="center"/>
    </xf>
    <xf numFmtId="2" fontId="24" fillId="0" borderId="1" xfId="0" applyNumberFormat="1" applyFont="1" applyBorder="1" applyAlignment="1">
      <alignment horizontal="center"/>
    </xf>
    <xf numFmtId="2" fontId="27" fillId="0" borderId="1" xfId="0" applyNumberFormat="1" applyFont="1" applyBorder="1" applyAlignment="1">
      <alignment horizontal="center"/>
    </xf>
    <xf numFmtId="0" fontId="24" fillId="0" borderId="1" xfId="0" applyFont="1" applyBorder="1" applyAlignment="1">
      <alignment horizontal="left" wrapText="1"/>
    </xf>
    <xf numFmtId="0" fontId="10" fillId="0" borderId="1" xfId="0" applyFont="1" applyBorder="1" applyAlignment="1">
      <alignment horizontal="center"/>
    </xf>
    <xf numFmtId="2" fontId="10" fillId="0" borderId="1" xfId="0" applyNumberFormat="1" applyFont="1" applyBorder="1" applyAlignment="1">
      <alignment horizontal="center"/>
    </xf>
    <xf numFmtId="0" fontId="7" fillId="0" borderId="1" xfId="0" applyFont="1" applyBorder="1" applyAlignment="1">
      <alignment horizontal="center"/>
    </xf>
    <xf numFmtId="0" fontId="29" fillId="0" borderId="0" xfId="0" applyFont="1"/>
    <xf numFmtId="0" fontId="5" fillId="3" borderId="1" xfId="0" applyFont="1" applyFill="1" applyBorder="1" applyAlignment="1">
      <alignment horizontal="center"/>
    </xf>
    <xf numFmtId="2" fontId="30" fillId="0" borderId="1" xfId="0" applyNumberFormat="1" applyFont="1" applyBorder="1" applyAlignment="1">
      <alignment horizontal="center" wrapText="1"/>
    </xf>
    <xf numFmtId="0" fontId="24" fillId="0" borderId="1" xfId="0" applyFont="1" applyBorder="1"/>
    <xf numFmtId="0" fontId="0" fillId="0" borderId="1" xfId="0" applyBorder="1" applyAlignment="1">
      <alignment horizontal="center"/>
    </xf>
    <xf numFmtId="0" fontId="4" fillId="0" borderId="1" xfId="0" applyFont="1" applyBorder="1"/>
    <xf numFmtId="169" fontId="10" fillId="0" borderId="1" xfId="0" applyNumberFormat="1" applyFont="1" applyBorder="1" applyAlignment="1">
      <alignment horizontal="center"/>
    </xf>
    <xf numFmtId="0" fontId="4" fillId="3" borderId="1" xfId="0" applyFont="1" applyFill="1" applyBorder="1"/>
    <xf numFmtId="0" fontId="0" fillId="0" borderId="1" xfId="0" applyBorder="1"/>
    <xf numFmtId="0" fontId="5" fillId="0" borderId="1" xfId="0" applyFont="1" applyBorder="1" applyAlignment="1">
      <alignment horizontal="center" vertical="center"/>
    </xf>
    <xf numFmtId="169" fontId="3" fillId="3" borderId="1" xfId="0" applyNumberFormat="1" applyFont="1" applyFill="1" applyBorder="1" applyAlignment="1">
      <alignment horizontal="center" vertical="center"/>
    </xf>
    <xf numFmtId="169" fontId="10" fillId="3" borderId="1" xfId="0" applyNumberFormat="1" applyFont="1" applyFill="1" applyBorder="1" applyAlignment="1">
      <alignment horizontal="center"/>
    </xf>
    <xf numFmtId="0" fontId="5" fillId="0" borderId="0" xfId="0" applyFont="1"/>
    <xf numFmtId="0" fontId="5" fillId="0" borderId="0" xfId="0" applyFont="1" applyAlignment="1">
      <alignment wrapText="1"/>
    </xf>
    <xf numFmtId="0" fontId="5" fillId="0" borderId="1" xfId="0" applyFont="1" applyBorder="1" applyAlignment="1">
      <alignment vertical="center"/>
    </xf>
    <xf numFmtId="197" fontId="5" fillId="0" borderId="1" xfId="0" applyNumberFormat="1" applyFont="1" applyBorder="1" applyAlignment="1">
      <alignment vertical="center" wrapText="1"/>
    </xf>
    <xf numFmtId="0" fontId="5" fillId="0" borderId="1" xfId="0" applyFont="1" applyBorder="1" applyAlignment="1">
      <alignment vertical="center" wrapText="1"/>
    </xf>
    <xf numFmtId="0" fontId="24" fillId="0" borderId="0" xfId="0" applyFont="1"/>
    <xf numFmtId="2" fontId="24" fillId="0" borderId="0" xfId="0" applyNumberFormat="1" applyFont="1" applyAlignment="1">
      <alignment horizontal="center" wrapText="1"/>
    </xf>
    <xf numFmtId="2" fontId="0" fillId="0" borderId="0" xfId="0" applyNumberFormat="1"/>
    <xf numFmtId="0" fontId="30" fillId="0" borderId="1" xfId="0" applyFont="1" applyBorder="1" applyAlignment="1">
      <alignment horizontal="center"/>
    </xf>
    <xf numFmtId="171" fontId="0" fillId="0" borderId="0" xfId="0" applyNumberFormat="1"/>
    <xf numFmtId="2" fontId="30" fillId="0" borderId="1" xfId="0" applyNumberFormat="1" applyFont="1" applyBorder="1" applyAlignment="1">
      <alignment horizontal="center"/>
    </xf>
    <xf numFmtId="2" fontId="24" fillId="4" borderId="1" xfId="0" applyNumberFormat="1" applyFont="1" applyFill="1" applyBorder="1" applyAlignment="1">
      <alignment horizontal="center"/>
    </xf>
    <xf numFmtId="1" fontId="0" fillId="0" borderId="0" xfId="0" applyNumberFormat="1"/>
    <xf numFmtId="0" fontId="18" fillId="0" borderId="0" xfId="0" applyFont="1"/>
    <xf numFmtId="0" fontId="23" fillId="0" borderId="1" xfId="0" applyFont="1" applyBorder="1" applyAlignment="1">
      <alignment horizontal="left" wrapText="1"/>
    </xf>
    <xf numFmtId="0" fontId="4" fillId="0" borderId="1" xfId="0" applyFont="1" applyBorder="1" applyAlignment="1">
      <alignment horizontal="left" wrapText="1"/>
    </xf>
    <xf numFmtId="2" fontId="31" fillId="0" borderId="1" xfId="0" applyNumberFormat="1" applyFont="1" applyBorder="1" applyAlignment="1">
      <alignment horizontal="center"/>
    </xf>
    <xf numFmtId="0" fontId="32" fillId="0" borderId="1" xfId="0" applyFont="1" applyBorder="1" applyAlignment="1">
      <alignment horizontal="left" vertical="center" wrapText="1"/>
    </xf>
    <xf numFmtId="2" fontId="3" fillId="0" borderId="1" xfId="0" applyNumberFormat="1" applyFont="1" applyBorder="1" applyAlignment="1">
      <alignment horizontal="center"/>
    </xf>
    <xf numFmtId="2" fontId="33" fillId="0" borderId="1" xfId="0" applyNumberFormat="1" applyFont="1" applyBorder="1" applyAlignment="1">
      <alignment horizontal="center"/>
    </xf>
    <xf numFmtId="2" fontId="34" fillId="3" borderId="1" xfId="0" applyNumberFormat="1" applyFont="1" applyFill="1" applyBorder="1" applyAlignment="1">
      <alignment horizontal="center"/>
    </xf>
    <xf numFmtId="0" fontId="27" fillId="0" borderId="1" xfId="0" applyFont="1" applyBorder="1" applyAlignment="1">
      <alignment horizontal="center"/>
    </xf>
    <xf numFmtId="171" fontId="27" fillId="0" borderId="1" xfId="0" applyNumberFormat="1" applyFont="1" applyBorder="1" applyAlignment="1">
      <alignment horizontal="center"/>
    </xf>
    <xf numFmtId="2" fontId="24" fillId="5" borderId="1" xfId="0" applyNumberFormat="1" applyFont="1" applyFill="1" applyBorder="1" applyAlignment="1">
      <alignment horizontal="center"/>
    </xf>
    <xf numFmtId="0" fontId="35" fillId="0" borderId="1" xfId="3757" applyFont="1" applyBorder="1" applyAlignment="1">
      <alignment horizontal="justify" wrapText="1"/>
    </xf>
    <xf numFmtId="0" fontId="24" fillId="0" borderId="0" xfId="0" applyFont="1" applyAlignment="1">
      <alignment wrapText="1"/>
    </xf>
    <xf numFmtId="2" fontId="24" fillId="5" borderId="0" xfId="0" applyNumberFormat="1" applyFont="1" applyFill="1" applyAlignment="1">
      <alignment horizontal="center"/>
    </xf>
    <xf numFmtId="2" fontId="26" fillId="5" borderId="0" xfId="0" applyNumberFormat="1" applyFont="1" applyFill="1" applyAlignment="1">
      <alignment horizontal="center"/>
    </xf>
    <xf numFmtId="0" fontId="36" fillId="0" borderId="0" xfId="0" applyFont="1" applyAlignment="1">
      <alignment vertical="center"/>
    </xf>
    <xf numFmtId="2" fontId="36" fillId="0" borderId="0" xfId="0" applyNumberFormat="1" applyFont="1" applyAlignment="1">
      <alignment vertical="center"/>
    </xf>
    <xf numFmtId="0" fontId="4" fillId="0" borderId="0" xfId="0" applyFont="1" applyAlignment="1">
      <alignment horizontal="right"/>
    </xf>
    <xf numFmtId="2" fontId="37" fillId="0" borderId="0" xfId="0" applyNumberFormat="1" applyFont="1"/>
    <xf numFmtId="2" fontId="37" fillId="0" borderId="6" xfId="0" applyNumberFormat="1" applyFont="1" applyBorder="1"/>
    <xf numFmtId="2" fontId="30" fillId="0" borderId="0" xfId="0" applyNumberFormat="1" applyFont="1"/>
    <xf numFmtId="0" fontId="38" fillId="0" borderId="0" xfId="0" applyFont="1"/>
    <xf numFmtId="2" fontId="24" fillId="3" borderId="1" xfId="0" applyNumberFormat="1" applyFont="1" applyFill="1" applyBorder="1" applyAlignment="1">
      <alignment horizontal="center" wrapText="1"/>
    </xf>
    <xf numFmtId="2" fontId="5" fillId="0" borderId="1" xfId="0" applyNumberFormat="1" applyFont="1" applyBorder="1" applyAlignment="1">
      <alignment horizontal="center"/>
    </xf>
    <xf numFmtId="0" fontId="30" fillId="0" borderId="0" xfId="0" applyFont="1" applyAlignment="1">
      <alignment horizontal="center"/>
    </xf>
    <xf numFmtId="2" fontId="24" fillId="0" borderId="1" xfId="0" applyNumberFormat="1" applyFont="1" applyBorder="1" applyAlignment="1" applyProtection="1">
      <alignment horizontal="right" vertical="center" wrapText="1"/>
      <protection locked="0"/>
    </xf>
    <xf numFmtId="2" fontId="26" fillId="0" borderId="0" xfId="0" applyNumberFormat="1" applyFont="1" applyAlignment="1">
      <alignment horizontal="center"/>
    </xf>
    <xf numFmtId="2" fontId="24" fillId="0" borderId="0" xfId="0" applyNumberFormat="1" applyFont="1" applyAlignment="1">
      <alignment horizontal="center"/>
    </xf>
    <xf numFmtId="0" fontId="39" fillId="0" borderId="0" xfId="3757" applyFont="1" applyAlignment="1">
      <alignment horizontal="center" vertical="center" wrapText="1"/>
    </xf>
    <xf numFmtId="198" fontId="39" fillId="0" borderId="0" xfId="3757" applyNumberFormat="1" applyFont="1" applyAlignment="1">
      <alignment horizontal="center" vertical="center" wrapText="1"/>
    </xf>
    <xf numFmtId="0" fontId="39" fillId="6" borderId="0" xfId="3757" applyFont="1" applyFill="1"/>
    <xf numFmtId="0" fontId="39" fillId="0" borderId="0" xfId="3757" applyFont="1" applyAlignment="1">
      <alignment horizontal="center" vertical="center"/>
    </xf>
    <xf numFmtId="0" fontId="39" fillId="4" borderId="0" xfId="3757" applyFont="1" applyFill="1"/>
    <xf numFmtId="0" fontId="39" fillId="0" borderId="0" xfId="3757" applyFont="1" applyAlignment="1">
      <alignment vertical="center"/>
    </xf>
    <xf numFmtId="0" fontId="39" fillId="0" borderId="0" xfId="3757" applyFont="1" applyAlignment="1">
      <alignment horizontal="center" vertical="top" wrapText="1"/>
    </xf>
    <xf numFmtId="198" fontId="40" fillId="0" borderId="0" xfId="3757" applyNumberFormat="1" applyFont="1" applyAlignment="1">
      <alignment horizontal="center" vertical="top" wrapText="1"/>
    </xf>
    <xf numFmtId="0" fontId="40" fillId="0" borderId="0" xfId="3757" applyFont="1" applyAlignment="1">
      <alignment horizontal="center" vertical="top" wrapText="1"/>
    </xf>
    <xf numFmtId="0" fontId="39" fillId="0" borderId="0" xfId="3757" applyFont="1" applyAlignment="1">
      <alignment horizontal="justify" vertical="top" wrapText="1"/>
    </xf>
    <xf numFmtId="0" fontId="39" fillId="0" borderId="0" xfId="3757" applyFont="1" applyAlignment="1">
      <alignment vertical="top" wrapText="1"/>
    </xf>
    <xf numFmtId="185" fontId="39" fillId="0" borderId="0" xfId="3757" applyNumberFormat="1" applyFont="1" applyAlignment="1">
      <alignment vertical="top" wrapText="1"/>
    </xf>
    <xf numFmtId="0" fontId="39" fillId="0" borderId="0" xfId="3757" applyFont="1"/>
    <xf numFmtId="0" fontId="39" fillId="0" borderId="1" xfId="3757" applyFont="1" applyBorder="1" applyAlignment="1">
      <alignment horizontal="center" vertical="center" wrapText="1"/>
    </xf>
    <xf numFmtId="198" fontId="39" fillId="0" borderId="1" xfId="3757" applyNumberFormat="1" applyFont="1" applyBorder="1" applyAlignment="1">
      <alignment horizontal="center" vertical="center" wrapText="1"/>
    </xf>
    <xf numFmtId="185" fontId="39" fillId="0" borderId="1" xfId="3757" applyNumberFormat="1" applyFont="1" applyBorder="1" applyAlignment="1">
      <alignment horizontal="center" vertical="center" wrapText="1"/>
    </xf>
    <xf numFmtId="198" fontId="39" fillId="0" borderId="7" xfId="3757" applyNumberFormat="1" applyFont="1" applyBorder="1" applyAlignment="1">
      <alignment horizontal="center" vertical="top" wrapText="1"/>
    </xf>
    <xf numFmtId="0" fontId="39" fillId="0" borderId="7" xfId="3757" applyFont="1" applyBorder="1" applyAlignment="1">
      <alignment horizontal="center" vertical="center"/>
    </xf>
    <xf numFmtId="0" fontId="40" fillId="0" borderId="7" xfId="3757" applyFont="1" applyBorder="1" applyAlignment="1">
      <alignment horizontal="center" vertical="center" wrapText="1"/>
    </xf>
    <xf numFmtId="198" fontId="39" fillId="0" borderId="8" xfId="3757" applyNumberFormat="1" applyFont="1" applyBorder="1" applyAlignment="1">
      <alignment horizontal="center" vertical="top" wrapText="1"/>
    </xf>
    <xf numFmtId="198" fontId="39" fillId="0" borderId="8" xfId="3757" applyNumberFormat="1" applyFont="1" applyBorder="1" applyAlignment="1">
      <alignment horizontal="center" vertical="center" wrapText="1"/>
    </xf>
    <xf numFmtId="199" fontId="41" fillId="0" borderId="8" xfId="3757" applyNumberFormat="1" applyFont="1" applyBorder="1" applyAlignment="1">
      <alignment horizontal="center" vertical="center" wrapText="1"/>
    </xf>
    <xf numFmtId="0" fontId="40" fillId="0" borderId="8" xfId="3757" applyFont="1" applyBorder="1" applyAlignment="1">
      <alignment horizontal="center" vertical="center" wrapText="1"/>
    </xf>
    <xf numFmtId="0" fontId="39" fillId="0" borderId="8" xfId="3757" applyFont="1" applyBorder="1" applyAlignment="1">
      <alignment horizontal="center" vertical="top" wrapText="1"/>
    </xf>
    <xf numFmtId="198" fontId="41" fillId="0" borderId="8" xfId="3757" applyNumberFormat="1" applyFont="1" applyBorder="1" applyAlignment="1">
      <alignment horizontal="center" vertical="center" wrapText="1"/>
    </xf>
    <xf numFmtId="10" fontId="41" fillId="0" borderId="8" xfId="3757" applyNumberFormat="1" applyFont="1" applyBorder="1" applyAlignment="1">
      <alignment horizontal="center" vertical="center" wrapText="1"/>
    </xf>
    <xf numFmtId="185" fontId="42" fillId="0" borderId="8" xfId="3757" applyNumberFormat="1" applyFont="1" applyBorder="1" applyAlignment="1">
      <alignment vertical="top" wrapText="1"/>
    </xf>
    <xf numFmtId="0" fontId="40" fillId="0" borderId="8" xfId="2100" applyFont="1" applyBorder="1" applyAlignment="1">
      <alignment horizontal="center" vertical="top" wrapText="1"/>
    </xf>
    <xf numFmtId="198" fontId="40" fillId="0" borderId="8" xfId="2100" applyNumberFormat="1" applyFont="1" applyBorder="1" applyAlignment="1">
      <alignment horizontal="center" vertical="top" wrapText="1"/>
    </xf>
    <xf numFmtId="0" fontId="39" fillId="0" borderId="8" xfId="2100" applyFont="1" applyBorder="1" applyAlignment="1">
      <alignment horizontal="justify" vertical="top" wrapText="1"/>
    </xf>
    <xf numFmtId="185" fontId="39" fillId="0" borderId="8" xfId="2100" applyNumberFormat="1" applyFont="1" applyBorder="1" applyAlignment="1">
      <alignment horizontal="center" vertical="top" wrapText="1"/>
    </xf>
    <xf numFmtId="0" fontId="39" fillId="0" borderId="8" xfId="2100" applyFont="1" applyBorder="1" applyAlignment="1">
      <alignment horizontal="center" vertical="top" wrapText="1"/>
    </xf>
    <xf numFmtId="0" fontId="40" fillId="0" borderId="8" xfId="2100" applyFont="1" applyBorder="1" applyAlignment="1">
      <alignment vertical="top" wrapText="1"/>
    </xf>
    <xf numFmtId="0" fontId="40" fillId="0" borderId="8" xfId="2100" applyFont="1" applyBorder="1" applyAlignment="1">
      <alignment horizontal="justify" vertical="top" wrapText="1"/>
    </xf>
    <xf numFmtId="4" fontId="39" fillId="0" borderId="8" xfId="2100" applyNumberFormat="1" applyFont="1" applyBorder="1" applyAlignment="1">
      <alignment horizontal="center" vertical="top" wrapText="1"/>
    </xf>
    <xf numFmtId="2" fontId="39" fillId="0" borderId="8" xfId="3757" applyNumberFormat="1" applyFont="1" applyBorder="1" applyAlignment="1">
      <alignment horizontal="right" vertical="top" wrapText="1"/>
    </xf>
    <xf numFmtId="185" fontId="43" fillId="0" borderId="8" xfId="2100" applyNumberFormat="1" applyFont="1" applyBorder="1" applyAlignment="1">
      <alignment horizontal="center" vertical="top" wrapText="1"/>
    </xf>
    <xf numFmtId="185" fontId="40" fillId="0" borderId="8" xfId="2100" applyNumberFormat="1" applyFont="1" applyBorder="1" applyAlignment="1">
      <alignment horizontal="center" vertical="top" wrapText="1"/>
    </xf>
    <xf numFmtId="2" fontId="43" fillId="0" borderId="8" xfId="879" applyNumberFormat="1" applyFont="1" applyBorder="1" applyAlignment="1">
      <alignment horizontal="center" vertical="center" wrapText="1"/>
    </xf>
    <xf numFmtId="2" fontId="43" fillId="0" borderId="8" xfId="2100" applyNumberFormat="1" applyFont="1" applyBorder="1" applyAlignment="1">
      <alignment horizontal="center" vertical="center" wrapText="1"/>
    </xf>
    <xf numFmtId="198" fontId="39" fillId="0" borderId="8" xfId="2100" applyNumberFormat="1" applyFont="1" applyBorder="1" applyAlignment="1">
      <alignment horizontal="justify" vertical="top" wrapText="1"/>
    </xf>
    <xf numFmtId="10" fontId="39" fillId="0" borderId="8" xfId="2100" applyNumberFormat="1" applyFont="1" applyBorder="1" applyAlignment="1">
      <alignment horizontal="center" vertical="top" wrapText="1"/>
    </xf>
    <xf numFmtId="2" fontId="39" fillId="0" borderId="8" xfId="2100" applyNumberFormat="1" applyFont="1" applyBorder="1" applyAlignment="1">
      <alignment horizontal="center" vertical="center" wrapText="1"/>
    </xf>
    <xf numFmtId="0" fontId="40" fillId="0" borderId="8" xfId="2100" applyFont="1" applyBorder="1" applyAlignment="1">
      <alignment vertical="top"/>
    </xf>
    <xf numFmtId="199" fontId="43" fillId="0" borderId="8" xfId="2100" applyNumberFormat="1" applyFont="1" applyBorder="1" applyAlignment="1">
      <alignment horizontal="center" vertical="top" wrapText="1"/>
    </xf>
    <xf numFmtId="0" fontId="40" fillId="0" borderId="8" xfId="3757" applyFont="1" applyBorder="1" applyAlignment="1">
      <alignment horizontal="center" vertical="top" wrapText="1"/>
    </xf>
    <xf numFmtId="198" fontId="40" fillId="0" borderId="8" xfId="3757" applyNumberFormat="1" applyFont="1" applyBorder="1" applyAlignment="1">
      <alignment horizontal="center" vertical="top"/>
    </xf>
    <xf numFmtId="0" fontId="39" fillId="0" borderId="8" xfId="3757" applyFont="1" applyBorder="1"/>
    <xf numFmtId="0" fontId="39" fillId="0" borderId="8" xfId="3757" applyFont="1" applyBorder="1" applyAlignment="1">
      <alignment horizontal="justify" vertical="top" wrapText="1"/>
    </xf>
    <xf numFmtId="0" fontId="40" fillId="0" borderId="8" xfId="3757" applyFont="1" applyBorder="1" applyAlignment="1">
      <alignment vertical="top"/>
    </xf>
    <xf numFmtId="0" fontId="39" fillId="0" borderId="8" xfId="3757" applyFont="1" applyBorder="1" applyAlignment="1">
      <alignment horizontal="center" vertical="center"/>
    </xf>
    <xf numFmtId="185" fontId="39" fillId="0" borderId="8" xfId="3757" applyNumberFormat="1" applyFont="1" applyBorder="1" applyAlignment="1">
      <alignment horizontal="center" vertical="top" wrapText="1"/>
    </xf>
    <xf numFmtId="10" fontId="39" fillId="0" borderId="8" xfId="3757" applyNumberFormat="1" applyFont="1" applyBorder="1"/>
    <xf numFmtId="0" fontId="40" fillId="0" borderId="8" xfId="3757" applyFont="1" applyBorder="1" applyAlignment="1">
      <alignment horizontal="justify" vertical="top" wrapText="1"/>
    </xf>
    <xf numFmtId="0" fontId="40" fillId="0" borderId="8" xfId="3757" applyFont="1" applyBorder="1" applyAlignment="1">
      <alignment horizontal="center" vertical="top"/>
    </xf>
    <xf numFmtId="185" fontId="40" fillId="0" borderId="8" xfId="3757" applyNumberFormat="1" applyFont="1" applyBorder="1" applyAlignment="1">
      <alignment horizontal="justify" vertical="top" wrapText="1"/>
    </xf>
    <xf numFmtId="4" fontId="39" fillId="0" borderId="8" xfId="3757" applyNumberFormat="1" applyFont="1" applyBorder="1" applyAlignment="1">
      <alignment horizontal="center" vertical="top" wrapText="1"/>
    </xf>
    <xf numFmtId="2" fontId="39" fillId="0" borderId="8" xfId="3757" applyNumberFormat="1" applyFont="1" applyBorder="1"/>
    <xf numFmtId="198" fontId="39" fillId="0" borderId="8" xfId="3757" applyNumberFormat="1" applyFont="1" applyBorder="1" applyAlignment="1">
      <alignment horizontal="justify" vertical="top" wrapText="1"/>
    </xf>
    <xf numFmtId="10" fontId="39" fillId="0" borderId="8" xfId="3757" applyNumberFormat="1" applyFont="1" applyBorder="1" applyAlignment="1">
      <alignment horizontal="center" vertical="top" wrapText="1"/>
    </xf>
    <xf numFmtId="0" fontId="39" fillId="0" borderId="8" xfId="3757" applyFont="1" applyBorder="1" applyAlignment="1">
      <alignment vertical="top" wrapText="1"/>
    </xf>
    <xf numFmtId="2" fontId="39" fillId="0" borderId="8" xfId="3757" applyNumberFormat="1" applyFont="1" applyBorder="1" applyAlignment="1">
      <alignment horizontal="right" vertical="center"/>
    </xf>
    <xf numFmtId="0" fontId="39" fillId="0" borderId="8" xfId="3757" applyFont="1" applyBorder="1" applyAlignment="1">
      <alignment horizontal="right" vertical="top" wrapText="1"/>
    </xf>
    <xf numFmtId="2" fontId="40" fillId="0" borderId="8" xfId="3757" applyNumberFormat="1" applyFont="1" applyBorder="1"/>
    <xf numFmtId="0" fontId="39" fillId="0" borderId="2" xfId="3757" applyFont="1" applyBorder="1" applyAlignment="1">
      <alignment horizontal="center" vertical="top" wrapText="1"/>
    </xf>
    <xf numFmtId="0" fontId="40" fillId="0" borderId="2" xfId="3757" applyFont="1" applyBorder="1" applyAlignment="1">
      <alignment vertical="top"/>
    </xf>
    <xf numFmtId="0" fontId="39" fillId="0" borderId="2" xfId="3757" applyFont="1" applyBorder="1" applyAlignment="1">
      <alignment horizontal="center" vertical="center"/>
    </xf>
    <xf numFmtId="0" fontId="39" fillId="0" borderId="2" xfId="3757" applyFont="1" applyBorder="1"/>
    <xf numFmtId="2" fontId="40" fillId="0" borderId="2" xfId="3757" applyNumberFormat="1" applyFont="1" applyBorder="1"/>
    <xf numFmtId="198" fontId="40" fillId="0" borderId="8" xfId="3757" applyNumberFormat="1" applyFont="1" applyBorder="1" applyAlignment="1">
      <alignment horizontal="center" vertical="top" wrapText="1"/>
    </xf>
    <xf numFmtId="0" fontId="40" fillId="0" borderId="8" xfId="2192" applyFont="1" applyBorder="1" applyAlignment="1">
      <alignment horizontal="center" vertical="center" wrapText="1"/>
    </xf>
    <xf numFmtId="200" fontId="39" fillId="0" borderId="8" xfId="2100" applyNumberFormat="1" applyFont="1" applyBorder="1" applyAlignment="1">
      <alignment horizontal="center" vertical="top" wrapText="1"/>
    </xf>
    <xf numFmtId="0" fontId="40" fillId="6" borderId="8" xfId="2100" applyFont="1" applyFill="1" applyBorder="1" applyAlignment="1">
      <alignment horizontal="justify" vertical="top" wrapText="1"/>
    </xf>
    <xf numFmtId="185" fontId="39" fillId="0" borderId="8" xfId="2100" applyNumberFormat="1" applyFont="1" applyBorder="1" applyAlignment="1">
      <alignment horizontal="right" vertical="top" wrapText="1"/>
    </xf>
    <xf numFmtId="2" fontId="39" fillId="0" borderId="8" xfId="879" applyNumberFormat="1" applyFont="1" applyBorder="1" applyAlignment="1">
      <alignment horizontal="center" vertical="center" wrapText="1"/>
    </xf>
    <xf numFmtId="185" fontId="40" fillId="0" borderId="8" xfId="2100" applyNumberFormat="1" applyFont="1" applyBorder="1" applyAlignment="1">
      <alignment horizontal="right" vertical="top" wrapText="1"/>
    </xf>
    <xf numFmtId="10" fontId="40" fillId="0" borderId="8" xfId="2100" applyNumberFormat="1" applyFont="1" applyBorder="1" applyAlignment="1">
      <alignment horizontal="center" vertical="top" wrapText="1"/>
    </xf>
    <xf numFmtId="0" fontId="39" fillId="0" borderId="8" xfId="2100" applyFont="1" applyBorder="1" applyAlignment="1">
      <alignment vertical="top"/>
    </xf>
    <xf numFmtId="199" fontId="44" fillId="0" borderId="8" xfId="2100" applyNumberFormat="1" applyFont="1" applyBorder="1" applyAlignment="1">
      <alignment horizontal="center" vertical="center" wrapText="1"/>
    </xf>
    <xf numFmtId="10" fontId="40" fillId="0" borderId="8" xfId="2100" applyNumberFormat="1" applyFont="1" applyBorder="1" applyAlignment="1">
      <alignment horizontal="center" vertical="center" wrapText="1"/>
    </xf>
    <xf numFmtId="185" fontId="39" fillId="0" borderId="8" xfId="2100" applyNumberFormat="1" applyFont="1" applyBorder="1" applyAlignment="1">
      <alignment horizontal="center" vertical="center" wrapText="1"/>
    </xf>
    <xf numFmtId="185" fontId="40" fillId="0" borderId="8" xfId="2100" applyNumberFormat="1" applyFont="1" applyBorder="1" applyAlignment="1">
      <alignment horizontal="right" vertical="center" wrapText="1"/>
    </xf>
    <xf numFmtId="0" fontId="39" fillId="6" borderId="8" xfId="3757" applyFont="1" applyFill="1" applyBorder="1" applyAlignment="1">
      <alignment horizontal="center" vertical="top" wrapText="1"/>
    </xf>
    <xf numFmtId="198" fontId="40" fillId="6" borderId="8" xfId="3757" applyNumberFormat="1" applyFont="1" applyFill="1" applyBorder="1" applyAlignment="1">
      <alignment horizontal="center" vertical="top" wrapText="1"/>
    </xf>
    <xf numFmtId="198" fontId="39" fillId="6" borderId="8" xfId="3757" applyNumberFormat="1" applyFont="1" applyFill="1" applyBorder="1" applyAlignment="1">
      <alignment horizontal="center" vertical="center" wrapText="1"/>
    </xf>
    <xf numFmtId="0" fontId="44" fillId="6" borderId="8" xfId="2100" applyFont="1" applyFill="1" applyBorder="1" applyAlignment="1">
      <alignment horizontal="justify" vertical="top" wrapText="1"/>
    </xf>
    <xf numFmtId="0" fontId="43" fillId="6" borderId="8" xfId="2100" applyFont="1" applyFill="1" applyBorder="1" applyAlignment="1">
      <alignment horizontal="center" vertical="top" wrapText="1"/>
    </xf>
    <xf numFmtId="200" fontId="43" fillId="6" borderId="8" xfId="2100" applyNumberFormat="1" applyFont="1" applyFill="1" applyBorder="1" applyAlignment="1">
      <alignment horizontal="center" vertical="top" wrapText="1"/>
    </xf>
    <xf numFmtId="185" fontId="43" fillId="6" borderId="8" xfId="2100" applyNumberFormat="1" applyFont="1" applyFill="1" applyBorder="1" applyAlignment="1">
      <alignment horizontal="center" vertical="top" wrapText="1"/>
    </xf>
    <xf numFmtId="185" fontId="40" fillId="6" borderId="8" xfId="2100" applyNumberFormat="1" applyFont="1" applyFill="1" applyBorder="1" applyAlignment="1">
      <alignment horizontal="right" vertical="top" wrapText="1"/>
    </xf>
    <xf numFmtId="0" fontId="40" fillId="0" borderId="0" xfId="3757" applyFont="1" applyAlignment="1">
      <alignment vertical="center" wrapText="1"/>
    </xf>
    <xf numFmtId="0" fontId="40" fillId="0" borderId="0" xfId="3757" applyFont="1" applyAlignment="1">
      <alignment horizontal="center" vertical="center" wrapText="1"/>
    </xf>
    <xf numFmtId="2" fontId="39" fillId="0" borderId="0" xfId="2192" applyNumberFormat="1" applyFont="1" applyAlignment="1">
      <alignment vertical="top" wrapText="1"/>
    </xf>
    <xf numFmtId="0" fontId="39" fillId="0" borderId="0" xfId="2192" applyFont="1" applyAlignment="1">
      <alignment vertical="top" wrapText="1"/>
    </xf>
    <xf numFmtId="0" fontId="39" fillId="0" borderId="0" xfId="2192" applyFont="1"/>
    <xf numFmtId="2" fontId="39" fillId="0" borderId="8" xfId="3757" applyNumberFormat="1" applyFont="1" applyBorder="1" applyAlignment="1">
      <alignment vertical="top" wrapText="1"/>
    </xf>
    <xf numFmtId="2" fontId="39" fillId="0" borderId="8" xfId="3757" applyNumberFormat="1" applyFont="1" applyBorder="1" applyAlignment="1">
      <alignment horizontal="center" vertical="top" wrapText="1"/>
    </xf>
    <xf numFmtId="185" fontId="39" fillId="0" borderId="8" xfId="3757" applyNumberFormat="1" applyFont="1" applyBorder="1" applyAlignment="1">
      <alignment vertical="top" wrapText="1"/>
    </xf>
    <xf numFmtId="2" fontId="39" fillId="0" borderId="8" xfId="879" applyNumberFormat="1" applyFont="1" applyBorder="1" applyAlignment="1">
      <alignment vertical="center" wrapText="1"/>
    </xf>
    <xf numFmtId="2" fontId="39" fillId="0" borderId="8" xfId="2100" applyNumberFormat="1" applyFont="1" applyBorder="1" applyAlignment="1">
      <alignment vertical="center" wrapText="1"/>
    </xf>
    <xf numFmtId="0" fontId="40" fillId="6" borderId="8" xfId="3757" applyFont="1" applyFill="1" applyBorder="1" applyAlignment="1">
      <alignment horizontal="justify" vertical="top" wrapText="1"/>
    </xf>
    <xf numFmtId="0" fontId="39" fillId="0" borderId="8" xfId="3757" applyFont="1" applyBorder="1" applyAlignment="1">
      <alignment horizontal="right"/>
    </xf>
    <xf numFmtId="49" fontId="40" fillId="0" borderId="8" xfId="3757" applyNumberFormat="1" applyFont="1" applyBorder="1" applyAlignment="1">
      <alignment horizontal="center" vertical="top"/>
    </xf>
    <xf numFmtId="0" fontId="40" fillId="0" borderId="8" xfId="3757" applyFont="1" applyBorder="1" applyAlignment="1">
      <alignment horizontal="justify" vertical="top"/>
    </xf>
    <xf numFmtId="185" fontId="40" fillId="0" borderId="8" xfId="3757" applyNumberFormat="1" applyFont="1" applyBorder="1" applyAlignment="1">
      <alignment horizontal="center" vertical="top" wrapText="1"/>
    </xf>
    <xf numFmtId="10" fontId="44" fillId="0" borderId="8" xfId="3757" applyNumberFormat="1" applyFont="1" applyBorder="1" applyAlignment="1">
      <alignment horizontal="center" vertical="center" wrapText="1"/>
    </xf>
    <xf numFmtId="10" fontId="40" fillId="0" borderId="8" xfId="3757" applyNumberFormat="1" applyFont="1" applyBorder="1" applyAlignment="1">
      <alignment horizontal="center" vertical="center" wrapText="1"/>
    </xf>
    <xf numFmtId="185" fontId="39" fillId="0" borderId="8" xfId="3757" applyNumberFormat="1" applyFont="1" applyBorder="1" applyAlignment="1">
      <alignment horizontal="center" vertical="center" wrapText="1"/>
    </xf>
    <xf numFmtId="185" fontId="40" fillId="0" borderId="8" xfId="3757" applyNumberFormat="1" applyFont="1" applyBorder="1" applyAlignment="1">
      <alignment horizontal="center" vertical="center" wrapText="1"/>
    </xf>
    <xf numFmtId="0" fontId="40" fillId="6" borderId="8" xfId="3757" applyFont="1" applyFill="1" applyBorder="1" applyAlignment="1">
      <alignment horizontal="center" vertical="top" wrapText="1"/>
    </xf>
    <xf numFmtId="185" fontId="40" fillId="6" borderId="8" xfId="3757" applyNumberFormat="1" applyFont="1" applyFill="1" applyBorder="1" applyAlignment="1">
      <alignment horizontal="center" vertical="top" wrapText="1"/>
    </xf>
    <xf numFmtId="198" fontId="40" fillId="0" borderId="2" xfId="3757" applyNumberFormat="1" applyFont="1" applyBorder="1" applyAlignment="1">
      <alignment horizontal="center" vertical="top" wrapText="1"/>
    </xf>
    <xf numFmtId="0" fontId="40" fillId="0" borderId="2" xfId="3757" applyFont="1" applyBorder="1" applyAlignment="1">
      <alignment horizontal="center" vertical="top" wrapText="1"/>
    </xf>
    <xf numFmtId="0" fontId="40" fillId="0" borderId="2" xfId="3757" applyFont="1" applyBorder="1" applyAlignment="1">
      <alignment horizontal="justify" vertical="top" wrapText="1"/>
    </xf>
    <xf numFmtId="185" fontId="40" fillId="0" borderId="2" xfId="3757" applyNumberFormat="1" applyFont="1" applyBorder="1" applyAlignment="1">
      <alignment horizontal="center" vertical="top" wrapText="1"/>
    </xf>
    <xf numFmtId="2" fontId="39" fillId="0" borderId="8" xfId="3757" applyNumberFormat="1" applyFont="1" applyBorder="1" applyAlignment="1">
      <alignment horizontal="justify" vertical="top" wrapText="1"/>
    </xf>
    <xf numFmtId="184" fontId="39" fillId="0" borderId="8" xfId="3757" applyNumberFormat="1" applyFont="1" applyBorder="1" applyAlignment="1">
      <alignment horizontal="center" vertical="top" wrapText="1"/>
    </xf>
    <xf numFmtId="185" fontId="45" fillId="0" borderId="8" xfId="3757" applyNumberFormat="1" applyFont="1" applyBorder="1" applyAlignment="1">
      <alignment horizontal="center" vertical="top" wrapText="1"/>
    </xf>
    <xf numFmtId="0" fontId="39" fillId="6" borderId="0" xfId="3757" applyFont="1" applyFill="1" applyAlignment="1">
      <alignment horizontal="left"/>
    </xf>
    <xf numFmtId="185" fontId="41" fillId="0" borderId="8" xfId="3757" applyNumberFormat="1" applyFont="1" applyBorder="1" applyAlignment="1">
      <alignment horizontal="center" vertical="top" wrapText="1"/>
    </xf>
    <xf numFmtId="173" fontId="39" fillId="0" borderId="8" xfId="3757" applyNumberFormat="1" applyFont="1" applyBorder="1" applyAlignment="1">
      <alignment horizontal="center" vertical="top" wrapText="1"/>
    </xf>
    <xf numFmtId="0" fontId="44" fillId="0" borderId="8" xfId="3757" applyFont="1" applyBorder="1" applyAlignment="1">
      <alignment horizontal="justify" vertical="top" wrapText="1"/>
    </xf>
    <xf numFmtId="2" fontId="43" fillId="0" borderId="8" xfId="3757" applyNumberFormat="1" applyFont="1" applyBorder="1" applyAlignment="1">
      <alignment horizontal="center" vertical="top" wrapText="1"/>
    </xf>
    <xf numFmtId="0" fontId="40" fillId="0" borderId="8" xfId="3757" applyFont="1" applyBorder="1" applyAlignment="1">
      <alignment horizontal="left" vertical="top"/>
    </xf>
    <xf numFmtId="199" fontId="40" fillId="0" borderId="8" xfId="3757" applyNumberFormat="1" applyFont="1" applyBorder="1" applyAlignment="1">
      <alignment horizontal="right" vertical="top" wrapText="1"/>
    </xf>
    <xf numFmtId="10" fontId="40" fillId="0" borderId="8" xfId="3757" applyNumberFormat="1" applyFont="1" applyBorder="1" applyAlignment="1">
      <alignment horizontal="right" vertical="top" wrapText="1"/>
    </xf>
    <xf numFmtId="185" fontId="39" fillId="0" borderId="8" xfId="3757" applyNumberFormat="1" applyFont="1" applyBorder="1" applyAlignment="1">
      <alignment horizontal="right" vertical="top" wrapText="1"/>
    </xf>
    <xf numFmtId="185" fontId="40" fillId="0" borderId="8" xfId="3757" applyNumberFormat="1" applyFont="1" applyBorder="1" applyAlignment="1">
      <alignment horizontal="right" vertical="top" wrapText="1"/>
    </xf>
    <xf numFmtId="0" fontId="39" fillId="6" borderId="2" xfId="3757" applyFont="1" applyFill="1" applyBorder="1" applyAlignment="1">
      <alignment horizontal="center" vertical="top" wrapText="1"/>
    </xf>
    <xf numFmtId="198" fontId="40" fillId="6" borderId="2" xfId="3757" applyNumberFormat="1" applyFont="1" applyFill="1" applyBorder="1" applyAlignment="1">
      <alignment horizontal="center" vertical="top" wrapText="1"/>
    </xf>
    <xf numFmtId="0" fontId="40" fillId="6" borderId="2" xfId="3757" applyFont="1" applyFill="1" applyBorder="1" applyAlignment="1">
      <alignment horizontal="center" vertical="top" wrapText="1"/>
    </xf>
    <xf numFmtId="0" fontId="40" fillId="6" borderId="2" xfId="3757" applyFont="1" applyFill="1" applyBorder="1" applyAlignment="1">
      <alignment horizontal="justify" vertical="top" wrapText="1"/>
    </xf>
    <xf numFmtId="185" fontId="40" fillId="6" borderId="2" xfId="3757" applyNumberFormat="1" applyFont="1" applyFill="1" applyBorder="1" applyAlignment="1">
      <alignment horizontal="center" vertical="top" wrapText="1"/>
    </xf>
    <xf numFmtId="2" fontId="40" fillId="0" borderId="8" xfId="3757" applyNumberFormat="1" applyFont="1" applyBorder="1" applyAlignment="1">
      <alignment horizontal="justify" vertical="top" wrapText="1"/>
    </xf>
    <xf numFmtId="2" fontId="39" fillId="0" borderId="2" xfId="3757" applyNumberFormat="1" applyFont="1" applyBorder="1" applyAlignment="1">
      <alignment horizontal="justify" vertical="top" wrapText="1"/>
    </xf>
    <xf numFmtId="2" fontId="39" fillId="0" borderId="2" xfId="3757" applyNumberFormat="1" applyFont="1" applyBorder="1" applyAlignment="1">
      <alignment horizontal="center" vertical="top" wrapText="1"/>
    </xf>
    <xf numFmtId="2" fontId="39" fillId="0" borderId="2" xfId="3757" applyNumberFormat="1" applyFont="1" applyBorder="1" applyAlignment="1">
      <alignment horizontal="right" vertical="top" wrapText="1"/>
    </xf>
    <xf numFmtId="10" fontId="40" fillId="0" borderId="8" xfId="3757" applyNumberFormat="1" applyFont="1" applyBorder="1" applyAlignment="1">
      <alignment horizontal="center" vertical="top" wrapText="1"/>
    </xf>
    <xf numFmtId="0" fontId="39" fillId="6" borderId="8" xfId="3757" applyFont="1" applyFill="1" applyBorder="1"/>
    <xf numFmtId="2" fontId="40" fillId="6" borderId="8" xfId="3757" applyNumberFormat="1" applyFont="1" applyFill="1" applyBorder="1" applyAlignment="1">
      <alignment horizontal="center" vertical="top" wrapText="1"/>
    </xf>
    <xf numFmtId="0" fontId="39" fillId="0" borderId="2" xfId="3757" applyFont="1" applyBorder="1" applyAlignment="1">
      <alignment horizontal="justify" vertical="top" wrapText="1"/>
    </xf>
    <xf numFmtId="185" fontId="39" fillId="0" borderId="2" xfId="3757" applyNumberFormat="1" applyFont="1" applyBorder="1" applyAlignment="1">
      <alignment horizontal="center" vertical="top" wrapText="1"/>
    </xf>
    <xf numFmtId="0" fontId="43" fillId="6" borderId="8" xfId="3757" applyFont="1" applyFill="1" applyBorder="1" applyAlignment="1">
      <alignment horizontal="center" vertical="top" wrapText="1"/>
    </xf>
    <xf numFmtId="4" fontId="39" fillId="0" borderId="2" xfId="3757" applyNumberFormat="1" applyFont="1" applyBorder="1" applyAlignment="1">
      <alignment horizontal="center" vertical="top" wrapText="1"/>
    </xf>
    <xf numFmtId="0" fontId="40" fillId="6" borderId="8" xfId="3757" applyFont="1" applyFill="1" applyBorder="1" applyAlignment="1">
      <alignment horizontal="left" vertical="top" wrapText="1"/>
    </xf>
    <xf numFmtId="0" fontId="39" fillId="4" borderId="8" xfId="3757" applyFont="1" applyFill="1" applyBorder="1" applyAlignment="1">
      <alignment horizontal="center" vertical="top" wrapText="1"/>
    </xf>
    <xf numFmtId="198" fontId="40" fillId="4" borderId="8" xfId="3757" applyNumberFormat="1" applyFont="1" applyFill="1" applyBorder="1" applyAlignment="1">
      <alignment horizontal="center" vertical="top" wrapText="1"/>
    </xf>
    <xf numFmtId="0" fontId="40" fillId="4" borderId="8" xfId="3757" applyFont="1" applyFill="1" applyBorder="1" applyAlignment="1">
      <alignment horizontal="center" vertical="top" wrapText="1"/>
    </xf>
    <xf numFmtId="0" fontId="40" fillId="4" borderId="8" xfId="3757" applyFont="1" applyFill="1" applyBorder="1" applyAlignment="1">
      <alignment horizontal="justify" vertical="top" wrapText="1"/>
    </xf>
    <xf numFmtId="185" fontId="40" fillId="4" borderId="8" xfId="3757" applyNumberFormat="1" applyFont="1" applyFill="1" applyBorder="1" applyAlignment="1">
      <alignment horizontal="center" vertical="top" wrapText="1"/>
    </xf>
    <xf numFmtId="185" fontId="40" fillId="0" borderId="0" xfId="3757" applyNumberFormat="1" applyFont="1" applyAlignment="1">
      <alignment horizontal="center" vertical="top" wrapText="1"/>
    </xf>
    <xf numFmtId="0" fontId="39" fillId="4" borderId="0" xfId="2192" applyFont="1" applyFill="1"/>
    <xf numFmtId="185" fontId="43" fillId="6" borderId="8" xfId="34" applyNumberFormat="1" applyFont="1" applyFill="1" applyBorder="1" applyAlignment="1">
      <alignment horizontal="center" vertical="top" wrapText="1"/>
    </xf>
    <xf numFmtId="0" fontId="39" fillId="6" borderId="2" xfId="3757" applyFont="1" applyFill="1" applyBorder="1" applyAlignment="1">
      <alignment horizontal="center" vertical="center" wrapText="1"/>
    </xf>
    <xf numFmtId="198" fontId="40" fillId="6" borderId="2" xfId="3757" applyNumberFormat="1" applyFont="1" applyFill="1" applyBorder="1" applyAlignment="1">
      <alignment horizontal="center" vertical="center" wrapText="1"/>
    </xf>
    <xf numFmtId="0" fontId="40" fillId="6" borderId="2" xfId="3757" applyFont="1" applyFill="1" applyBorder="1" applyAlignment="1">
      <alignment horizontal="center" vertical="center" wrapText="1"/>
    </xf>
    <xf numFmtId="2" fontId="39" fillId="6" borderId="2" xfId="3757" applyNumberFormat="1" applyFont="1" applyFill="1" applyBorder="1" applyAlignment="1">
      <alignment horizontal="justify" vertical="center" wrapText="1"/>
    </xf>
    <xf numFmtId="185" fontId="40" fillId="6" borderId="2" xfId="3757" applyNumberFormat="1" applyFont="1" applyFill="1" applyBorder="1" applyAlignment="1">
      <alignment horizontal="right" vertical="center" wrapText="1"/>
    </xf>
    <xf numFmtId="0" fontId="46" fillId="0" borderId="0" xfId="2192" applyFont="1" applyAlignment="1">
      <alignment horizontal="center"/>
    </xf>
    <xf numFmtId="0" fontId="39" fillId="0" borderId="0" xfId="2192" applyFont="1" applyAlignment="1">
      <alignment horizontal="center" vertical="center" wrapText="1"/>
    </xf>
    <xf numFmtId="0" fontId="40" fillId="0" borderId="0" xfId="2192" applyFont="1" applyAlignment="1">
      <alignment horizontal="center" vertical="top"/>
    </xf>
    <xf numFmtId="0" fontId="39" fillId="0" borderId="0" xfId="2192" applyFont="1" applyAlignment="1">
      <alignment vertical="center" wrapText="1"/>
    </xf>
    <xf numFmtId="0" fontId="46" fillId="0" borderId="0" xfId="2192" applyFont="1" applyAlignment="1">
      <alignment horizontal="center" vertical="center"/>
    </xf>
    <xf numFmtId="0" fontId="39" fillId="0" borderId="0" xfId="2192" applyFont="1" applyAlignment="1">
      <alignment horizontal="left" vertical="center" wrapText="1"/>
    </xf>
    <xf numFmtId="198" fontId="47" fillId="0" borderId="0" xfId="3757" applyNumberFormat="1" applyFont="1" applyAlignment="1">
      <alignment horizontal="center" vertical="center" wrapText="1"/>
    </xf>
    <xf numFmtId="0" fontId="39" fillId="0" borderId="0" xfId="3757" applyFont="1" applyAlignment="1">
      <alignment horizontal="left" vertical="center" wrapText="1"/>
    </xf>
    <xf numFmtId="185" fontId="39" fillId="0" borderId="0" xfId="3757" applyNumberFormat="1" applyFont="1" applyAlignment="1">
      <alignment vertical="center" wrapText="1"/>
    </xf>
    <xf numFmtId="0" fontId="39" fillId="0" borderId="0" xfId="3757" applyFont="1" applyAlignment="1">
      <alignment horizontal="justify" vertical="center" wrapText="1"/>
    </xf>
    <xf numFmtId="0" fontId="39" fillId="0" borderId="0" xfId="3757" applyFont="1" applyAlignment="1">
      <alignment vertical="center" wrapText="1"/>
    </xf>
    <xf numFmtId="198" fontId="40" fillId="0" borderId="0" xfId="3757" applyNumberFormat="1" applyFont="1" applyAlignment="1">
      <alignment horizontal="center" vertical="center" wrapText="1"/>
    </xf>
    <xf numFmtId="0" fontId="39" fillId="0" borderId="0" xfId="2192" applyFont="1" applyAlignment="1">
      <alignment vertical="center"/>
    </xf>
    <xf numFmtId="0" fontId="48" fillId="0" borderId="0" xfId="598" applyFont="1" applyAlignment="1">
      <alignment vertical="top"/>
    </xf>
    <xf numFmtId="0" fontId="48" fillId="0" borderId="0" xfId="598" applyFont="1" applyAlignment="1">
      <alignment vertical="center"/>
    </xf>
    <xf numFmtId="0" fontId="49" fillId="0" borderId="0" xfId="598" applyFont="1" applyAlignment="1">
      <alignment vertical="top"/>
    </xf>
    <xf numFmtId="0" fontId="50" fillId="0" borderId="0" xfId="598" applyFont="1" applyAlignment="1">
      <alignment vertical="top"/>
    </xf>
    <xf numFmtId="0" fontId="48" fillId="3" borderId="0" xfId="598" applyFont="1" applyFill="1" applyAlignment="1">
      <alignment vertical="top"/>
    </xf>
    <xf numFmtId="0" fontId="51" fillId="0" borderId="0" xfId="598" applyFont="1" applyAlignment="1">
      <alignment vertical="top"/>
    </xf>
    <xf numFmtId="0" fontId="48" fillId="0" borderId="0" xfId="598" applyFont="1" applyAlignment="1">
      <alignment vertical="top" wrapText="1"/>
    </xf>
    <xf numFmtId="0" fontId="48" fillId="0" borderId="0" xfId="598" applyFont="1" applyAlignment="1">
      <alignment horizontal="center" vertical="top"/>
    </xf>
    <xf numFmtId="0" fontId="50" fillId="0" borderId="0" xfId="598" applyFont="1" applyAlignment="1">
      <alignment vertical="top" wrapText="1"/>
    </xf>
    <xf numFmtId="0" fontId="48" fillId="0" borderId="0" xfId="598" applyFont="1" applyAlignment="1">
      <alignment horizontal="justify" vertical="top" wrapText="1"/>
    </xf>
    <xf numFmtId="0" fontId="54" fillId="0" borderId="0" xfId="598" applyFont="1" applyAlignment="1">
      <alignment horizontal="center" vertical="top"/>
    </xf>
    <xf numFmtId="0" fontId="48" fillId="0" borderId="0" xfId="598" applyFont="1" applyAlignment="1">
      <alignment horizontal="center" vertical="top" wrapText="1"/>
    </xf>
    <xf numFmtId="0" fontId="50" fillId="0" borderId="0" xfId="598" applyFont="1" applyAlignment="1">
      <alignment horizontal="left" vertical="top"/>
    </xf>
    <xf numFmtId="0" fontId="58" fillId="0" borderId="1" xfId="3472" applyFont="1" applyBorder="1" applyAlignment="1">
      <alignment horizontal="left" vertical="top"/>
    </xf>
    <xf numFmtId="0" fontId="58" fillId="0" borderId="1" xfId="3472" applyFont="1" applyBorder="1" applyAlignment="1">
      <alignment vertical="top"/>
    </xf>
    <xf numFmtId="0" fontId="48" fillId="0" borderId="1" xfId="598" applyFont="1" applyBorder="1" applyAlignment="1">
      <alignment vertical="top" wrapText="1"/>
    </xf>
    <xf numFmtId="2" fontId="49" fillId="0" borderId="1" xfId="598" applyNumberFormat="1" applyFont="1" applyBorder="1" applyAlignment="1">
      <alignment vertical="top" wrapText="1"/>
    </xf>
    <xf numFmtId="0" fontId="48" fillId="0" borderId="1" xfId="598" applyFont="1" applyBorder="1" applyAlignment="1">
      <alignment vertical="top"/>
    </xf>
    <xf numFmtId="0" fontId="48" fillId="0" borderId="0" xfId="598" applyFont="1" applyAlignment="1">
      <alignment horizontal="center" vertical="center"/>
    </xf>
    <xf numFmtId="0" fontId="48" fillId="0" borderId="0" xfId="598" applyFont="1" applyAlignment="1">
      <alignment horizontal="justify" vertical="center" wrapText="1"/>
    </xf>
    <xf numFmtId="0" fontId="48" fillId="0" borderId="1" xfId="3472" applyFont="1" applyBorder="1" applyAlignment="1">
      <alignment horizontal="center" vertical="top" wrapText="1"/>
    </xf>
    <xf numFmtId="0" fontId="48" fillId="0" borderId="1" xfId="3472" applyFont="1" applyBorder="1" applyAlignment="1">
      <alignment horizontal="center" vertical="center" wrapText="1"/>
    </xf>
    <xf numFmtId="0" fontId="61" fillId="0" borderId="1" xfId="3472" applyFont="1" applyBorder="1" applyAlignment="1">
      <alignment horizontal="center" vertical="center" wrapText="1"/>
    </xf>
    <xf numFmtId="0" fontId="49" fillId="0" borderId="1" xfId="3472" applyFont="1" applyBorder="1" applyAlignment="1">
      <alignment horizontal="center" vertical="top" wrapText="1"/>
    </xf>
    <xf numFmtId="0" fontId="61" fillId="0" borderId="1" xfId="3472" applyFont="1" applyBorder="1" applyAlignment="1">
      <alignment horizontal="center" vertical="top" wrapText="1"/>
    </xf>
    <xf numFmtId="0" fontId="63" fillId="0" borderId="0" xfId="598" applyFont="1" applyAlignment="1">
      <alignment horizontal="center" vertical="top"/>
    </xf>
    <xf numFmtId="0" fontId="65" fillId="0" borderId="1" xfId="3472" applyFont="1" applyBorder="1" applyAlignment="1">
      <alignment vertical="center"/>
    </xf>
    <xf numFmtId="0" fontId="65" fillId="0" borderId="1" xfId="3472" applyFont="1" applyBorder="1" applyAlignment="1">
      <alignment vertical="center" wrapText="1"/>
    </xf>
    <xf numFmtId="0" fontId="48" fillId="0" borderId="4" xfId="3472" applyFont="1" applyBorder="1" applyAlignment="1">
      <alignment vertical="top"/>
    </xf>
    <xf numFmtId="0" fontId="65" fillId="0" borderId="1" xfId="3472" applyFont="1" applyBorder="1" applyAlignment="1">
      <alignment horizontal="left" vertical="top" wrapText="1"/>
    </xf>
    <xf numFmtId="0" fontId="48" fillId="0" borderId="9" xfId="598" applyFont="1" applyBorder="1" applyAlignment="1">
      <alignment horizontal="center" vertical="top"/>
    </xf>
    <xf numFmtId="0" fontId="67" fillId="0" borderId="4" xfId="3472" applyFont="1" applyBorder="1" applyAlignment="1">
      <alignment horizontal="left" vertical="top" wrapText="1"/>
    </xf>
    <xf numFmtId="0" fontId="65" fillId="0" borderId="4" xfId="3472" applyFont="1" applyBorder="1" applyAlignment="1">
      <alignment horizontal="left" vertical="top" wrapText="1"/>
    </xf>
    <xf numFmtId="0" fontId="68" fillId="0" borderId="1" xfId="598" applyFont="1" applyBorder="1" applyAlignment="1">
      <alignment horizontal="center" vertical="top"/>
    </xf>
    <xf numFmtId="0" fontId="50" fillId="0" borderId="1" xfId="598" applyFont="1" applyBorder="1" applyAlignment="1">
      <alignment vertical="top"/>
    </xf>
    <xf numFmtId="0" fontId="59" fillId="0" borderId="1" xfId="598" applyFont="1" applyBorder="1" applyAlignment="1">
      <alignment vertical="top"/>
    </xf>
    <xf numFmtId="14" fontId="68" fillId="0" borderId="7" xfId="598" applyNumberFormat="1" applyFont="1" applyBorder="1" applyAlignment="1">
      <alignment vertical="top"/>
    </xf>
    <xf numFmtId="0" fontId="48" fillId="0" borderId="1" xfId="598" applyFont="1" applyBorder="1" applyAlignment="1">
      <alignment horizontal="center" vertical="top" wrapText="1"/>
    </xf>
    <xf numFmtId="0" fontId="69" fillId="0" borderId="13" xfId="982" applyFont="1" applyBorder="1" applyAlignment="1">
      <alignment horizontal="left" vertical="top"/>
    </xf>
    <xf numFmtId="0" fontId="48" fillId="0" borderId="13" xfId="598" applyFont="1" applyBorder="1" applyAlignment="1">
      <alignment vertical="top"/>
    </xf>
    <xf numFmtId="0" fontId="48" fillId="0" borderId="14" xfId="598" applyFont="1" applyBorder="1" applyAlignment="1">
      <alignment vertical="top"/>
    </xf>
    <xf numFmtId="193" fontId="60" fillId="0" borderId="15" xfId="598" applyNumberFormat="1" applyFont="1" applyBorder="1" applyAlignment="1">
      <alignment horizontal="center" vertical="top"/>
    </xf>
    <xf numFmtId="0" fontId="70" fillId="0" borderId="2" xfId="598" applyFont="1" applyBorder="1" applyAlignment="1">
      <alignment horizontal="center" vertical="top"/>
    </xf>
    <xf numFmtId="0" fontId="60" fillId="0" borderId="2" xfId="598" applyFont="1" applyBorder="1" applyAlignment="1">
      <alignment vertical="top"/>
    </xf>
    <xf numFmtId="0" fontId="48" fillId="0" borderId="2" xfId="598" applyFont="1" applyBorder="1" applyAlignment="1">
      <alignment vertical="top"/>
    </xf>
    <xf numFmtId="0" fontId="71" fillId="0" borderId="5" xfId="598" applyFont="1" applyBorder="1" applyAlignment="1">
      <alignment horizontal="center" vertical="top"/>
    </xf>
    <xf numFmtId="0" fontId="72" fillId="0" borderId="1" xfId="598" applyFont="1" applyBorder="1" applyAlignment="1">
      <alignment horizontal="center" vertical="top" wrapText="1"/>
    </xf>
    <xf numFmtId="1" fontId="60" fillId="0" borderId="1" xfId="598" applyNumberFormat="1" applyFont="1" applyBorder="1" applyAlignment="1">
      <alignment horizontal="center" vertical="top" wrapText="1"/>
    </xf>
    <xf numFmtId="14" fontId="70" fillId="0" borderId="1" xfId="598" applyNumberFormat="1" applyFont="1" applyBorder="1" applyAlignment="1">
      <alignment horizontal="center" vertical="top" wrapText="1"/>
    </xf>
    <xf numFmtId="0" fontId="57" fillId="0" borderId="3" xfId="3472" applyFont="1" applyBorder="1" applyAlignment="1">
      <alignment horizontal="right" vertical="top" wrapText="1"/>
    </xf>
    <xf numFmtId="0" fontId="70" fillId="0" borderId="16" xfId="598" applyFont="1" applyBorder="1" applyAlignment="1">
      <alignment vertical="top"/>
    </xf>
    <xf numFmtId="0" fontId="57" fillId="0" borderId="13" xfId="3472" applyFont="1" applyBorder="1" applyAlignment="1">
      <alignment vertical="top" wrapText="1"/>
    </xf>
    <xf numFmtId="0" fontId="60" fillId="0" borderId="1" xfId="598" applyFont="1" applyBorder="1" applyAlignment="1">
      <alignment horizontal="center" vertical="top" wrapText="1"/>
    </xf>
    <xf numFmtId="0" fontId="50" fillId="0" borderId="4" xfId="598" applyFont="1" applyBorder="1" applyAlignment="1">
      <alignment horizontal="right" vertical="top"/>
    </xf>
    <xf numFmtId="0" fontId="75" fillId="0" borderId="0" xfId="598" applyFont="1" applyAlignment="1">
      <alignment horizontal="right" vertical="top"/>
    </xf>
    <xf numFmtId="1" fontId="76" fillId="0" borderId="18" xfId="598" applyNumberFormat="1" applyFont="1" applyBorder="1" applyAlignment="1">
      <alignment horizontal="left" vertical="top"/>
    </xf>
    <xf numFmtId="2" fontId="60" fillId="0" borderId="5" xfId="598" applyNumberFormat="1" applyFont="1" applyBorder="1" applyAlignment="1">
      <alignment horizontal="center" vertical="top"/>
    </xf>
    <xf numFmtId="0" fontId="77" fillId="0" borderId="0" xfId="598" applyFont="1" applyAlignment="1">
      <alignment vertical="top"/>
    </xf>
    <xf numFmtId="0" fontId="78" fillId="0" borderId="1" xfId="598" applyFont="1" applyBorder="1" applyAlignment="1">
      <alignment vertical="top" wrapText="1"/>
    </xf>
    <xf numFmtId="0" fontId="70" fillId="0" borderId="10" xfId="598" applyFont="1" applyBorder="1" applyAlignment="1">
      <alignment horizontal="center" vertical="top"/>
    </xf>
    <xf numFmtId="0" fontId="79" fillId="0" borderId="20" xfId="598" applyFont="1" applyBorder="1" applyAlignment="1">
      <alignment horizontal="center" vertical="top"/>
    </xf>
    <xf numFmtId="0" fontId="58" fillId="0" borderId="0" xfId="3472" applyFont="1" applyAlignment="1">
      <alignment vertical="top"/>
    </xf>
    <xf numFmtId="0" fontId="79" fillId="0" borderId="1" xfId="598" applyFont="1" applyBorder="1" applyAlignment="1">
      <alignment horizontal="center" vertical="top"/>
    </xf>
    <xf numFmtId="0" fontId="55" fillId="0" borderId="1" xfId="598" applyFont="1" applyBorder="1" applyAlignment="1">
      <alignment vertical="top"/>
    </xf>
    <xf numFmtId="0" fontId="58" fillId="0" borderId="0" xfId="3472" applyFont="1" applyAlignment="1">
      <alignment vertical="center"/>
    </xf>
    <xf numFmtId="0" fontId="80" fillId="0" borderId="1" xfId="3472" applyFont="1" applyBorder="1" applyAlignment="1">
      <alignment horizontal="center" vertical="top" wrapText="1"/>
    </xf>
    <xf numFmtId="0" fontId="48" fillId="0" borderId="1" xfId="3472" applyFont="1" applyBorder="1" applyAlignment="1">
      <alignment vertical="top" wrapText="1"/>
    </xf>
    <xf numFmtId="0" fontId="49" fillId="0" borderId="1" xfId="3472" applyFont="1" applyBorder="1" applyAlignment="1">
      <alignment horizontal="center" vertical="center" wrapText="1"/>
    </xf>
    <xf numFmtId="0" fontId="48" fillId="0" borderId="1" xfId="598" applyFont="1" applyBorder="1" applyAlignment="1">
      <alignment horizontal="center" vertical="center" wrapText="1"/>
    </xf>
    <xf numFmtId="0" fontId="70" fillId="0" borderId="1" xfId="598" applyFont="1" applyBorder="1" applyAlignment="1">
      <alignment horizontal="center" vertical="center"/>
    </xf>
    <xf numFmtId="0" fontId="59" fillId="0" borderId="0" xfId="598" applyFont="1" applyAlignment="1">
      <alignment vertical="center"/>
    </xf>
    <xf numFmtId="0" fontId="81" fillId="0" borderId="1" xfId="3472" applyFont="1" applyBorder="1" applyAlignment="1">
      <alignment horizontal="center" vertical="top" wrapText="1"/>
    </xf>
    <xf numFmtId="0" fontId="49" fillId="0" borderId="1" xfId="598" applyFont="1" applyBorder="1" applyAlignment="1">
      <alignment horizontal="center" vertical="top" wrapText="1"/>
    </xf>
    <xf numFmtId="0" fontId="70" fillId="0" borderId="1" xfId="598" applyFont="1" applyBorder="1" applyAlignment="1">
      <alignment horizontal="center" vertical="top"/>
    </xf>
    <xf numFmtId="0" fontId="60" fillId="0" borderId="1" xfId="598" applyFont="1" applyBorder="1" applyAlignment="1">
      <alignment horizontal="center" vertical="top"/>
    </xf>
    <xf numFmtId="0" fontId="50" fillId="0" borderId="1" xfId="598" applyFont="1" applyBorder="1" applyAlignment="1">
      <alignment vertical="top" wrapText="1"/>
    </xf>
    <xf numFmtId="0" fontId="70" fillId="0" borderId="1" xfId="598" applyFont="1" applyBorder="1" applyAlignment="1">
      <alignment vertical="top"/>
    </xf>
    <xf numFmtId="0" fontId="82" fillId="0" borderId="1" xfId="598" applyFont="1" applyBorder="1" applyAlignment="1">
      <alignment horizontal="center" vertical="top" wrapText="1"/>
    </xf>
    <xf numFmtId="0" fontId="82" fillId="0" borderId="1" xfId="598" applyFont="1" applyBorder="1" applyAlignment="1">
      <alignment horizontal="center" vertical="top"/>
    </xf>
    <xf numFmtId="0" fontId="65" fillId="0" borderId="1" xfId="3472" applyFont="1" applyBorder="1" applyAlignment="1">
      <alignment horizontal="center" vertical="top" wrapText="1"/>
    </xf>
    <xf numFmtId="0" fontId="48" fillId="0" borderId="7" xfId="598" applyFont="1" applyBorder="1" applyAlignment="1">
      <alignment vertical="top"/>
    </xf>
    <xf numFmtId="14" fontId="70" fillId="0" borderId="2" xfId="598" applyNumberFormat="1" applyFont="1" applyBorder="1" applyAlignment="1">
      <alignment vertical="top"/>
    </xf>
    <xf numFmtId="0" fontId="48" fillId="0" borderId="26" xfId="598" applyFont="1" applyBorder="1" applyAlignment="1">
      <alignment vertical="top"/>
    </xf>
    <xf numFmtId="0" fontId="81" fillId="0" borderId="1" xfId="598" applyFont="1" applyBorder="1" applyAlignment="1">
      <alignment vertical="top" wrapText="1"/>
    </xf>
    <xf numFmtId="0" fontId="80" fillId="0" borderId="1" xfId="598" applyFont="1" applyBorder="1" applyAlignment="1">
      <alignment vertical="top" wrapText="1"/>
    </xf>
    <xf numFmtId="0" fontId="83" fillId="0" borderId="27" xfId="598" applyFont="1" applyBorder="1" applyAlignment="1">
      <alignment vertical="top"/>
    </xf>
    <xf numFmtId="0" fontId="48" fillId="0" borderId="28" xfId="598" applyFont="1" applyBorder="1" applyAlignment="1">
      <alignment vertical="top"/>
    </xf>
    <xf numFmtId="0" fontId="83" fillId="0" borderId="29" xfId="598" applyFont="1" applyBorder="1" applyAlignment="1">
      <alignment vertical="top"/>
    </xf>
    <xf numFmtId="0" fontId="75" fillId="0" borderId="0" xfId="598" applyFont="1" applyAlignment="1">
      <alignment vertical="top"/>
    </xf>
    <xf numFmtId="0" fontId="48" fillId="3" borderId="0" xfId="598" applyFont="1" applyFill="1" applyAlignment="1">
      <alignment horizontal="center" vertical="top"/>
    </xf>
    <xf numFmtId="0" fontId="50" fillId="0" borderId="1" xfId="2516" applyFont="1" applyBorder="1" applyAlignment="1">
      <alignment horizontal="center" vertical="top"/>
    </xf>
    <xf numFmtId="0" fontId="48" fillId="0" borderId="1" xfId="2516" applyFont="1" applyBorder="1" applyAlignment="1">
      <alignment horizontal="center" vertical="top" wrapText="1"/>
    </xf>
    <xf numFmtId="0" fontId="48" fillId="0" borderId="0" xfId="598" applyFont="1" applyAlignment="1">
      <alignment horizontal="left" vertical="top" wrapText="1"/>
    </xf>
    <xf numFmtId="0" fontId="78" fillId="0" borderId="0" xfId="3472" applyFont="1" applyAlignment="1">
      <alignment horizontal="right" vertical="top" wrapText="1"/>
    </xf>
    <xf numFmtId="0" fontId="78" fillId="0" borderId="0" xfId="3472" applyFont="1" applyAlignment="1">
      <alignment horizontal="right" vertical="top"/>
    </xf>
    <xf numFmtId="0" fontId="87" fillId="0" borderId="0" xfId="3472" applyFont="1" applyAlignment="1">
      <alignment horizontal="left" vertical="top" wrapText="1"/>
    </xf>
    <xf numFmtId="0" fontId="58" fillId="0" borderId="0" xfId="3472" applyFont="1" applyAlignment="1">
      <alignment horizontal="justify" vertical="top" wrapText="1"/>
    </xf>
    <xf numFmtId="0" fontId="58" fillId="0" borderId="0" xfId="3472" applyFont="1" applyAlignment="1">
      <alignment horizontal="right" vertical="top"/>
    </xf>
    <xf numFmtId="0" fontId="65" fillId="3" borderId="1" xfId="3472" applyFont="1" applyFill="1" applyBorder="1" applyAlignment="1">
      <alignment horizontal="center" vertical="top" wrapText="1"/>
    </xf>
    <xf numFmtId="0" fontId="48" fillId="3" borderId="0" xfId="598" applyFont="1" applyFill="1" applyAlignment="1">
      <alignment vertical="top" wrapText="1"/>
    </xf>
    <xf numFmtId="0" fontId="88" fillId="0" borderId="0" xfId="3472" applyFont="1" applyAlignment="1">
      <alignment vertical="top"/>
    </xf>
    <xf numFmtId="0" fontId="67" fillId="0" borderId="1" xfId="3472" applyFont="1" applyBorder="1" applyAlignment="1">
      <alignment horizontal="center" vertical="top" wrapText="1"/>
    </xf>
    <xf numFmtId="0" fontId="48" fillId="0" borderId="0" xfId="2516" applyFont="1" applyAlignment="1">
      <alignment vertical="top"/>
    </xf>
    <xf numFmtId="0" fontId="48" fillId="0" borderId="1" xfId="598" applyFont="1" applyBorder="1" applyAlignment="1">
      <alignment horizontal="center" vertical="top"/>
    </xf>
    <xf numFmtId="1" fontId="89" fillId="0" borderId="1" xfId="1587" applyNumberFormat="1" applyFont="1" applyBorder="1" applyAlignment="1">
      <alignment horizontal="center" vertical="top" wrapText="1"/>
    </xf>
    <xf numFmtId="2" fontId="90" fillId="0" borderId="1" xfId="3472" applyNumberFormat="1" applyFont="1" applyBorder="1" applyAlignment="1">
      <alignment horizontal="center" vertical="top" wrapText="1"/>
    </xf>
    <xf numFmtId="0" fontId="49" fillId="0" borderId="1" xfId="598" applyFont="1" applyBorder="1" applyAlignment="1">
      <alignment horizontal="center" vertical="top"/>
    </xf>
    <xf numFmtId="1" fontId="90" fillId="0" borderId="1" xfId="1587" applyNumberFormat="1" applyFont="1" applyBorder="1" applyAlignment="1">
      <alignment horizontal="center" vertical="top" wrapText="1"/>
    </xf>
    <xf numFmtId="0" fontId="91" fillId="0" borderId="1" xfId="3472" applyFont="1" applyBorder="1" applyAlignment="1">
      <alignment horizontal="justify" vertical="top" wrapText="1"/>
    </xf>
    <xf numFmtId="2" fontId="91" fillId="0" borderId="1" xfId="3472" applyNumberFormat="1" applyFont="1" applyBorder="1" applyAlignment="1">
      <alignment horizontal="center" vertical="top" wrapText="1"/>
    </xf>
    <xf numFmtId="1" fontId="92" fillId="0" borderId="1" xfId="1587" applyNumberFormat="1" applyFont="1" applyBorder="1" applyAlignment="1">
      <alignment horizontal="center" vertical="top" wrapText="1"/>
    </xf>
    <xf numFmtId="2" fontId="92" fillId="0" borderId="1" xfId="3472" applyNumberFormat="1" applyFont="1" applyBorder="1" applyAlignment="1">
      <alignment horizontal="center" vertical="top" wrapText="1"/>
    </xf>
    <xf numFmtId="0" fontId="51" fillId="0" borderId="0" xfId="598" applyFont="1" applyAlignment="1">
      <alignment vertical="top" wrapText="1"/>
    </xf>
    <xf numFmtId="0" fontId="93" fillId="0" borderId="0" xfId="3472" applyFont="1" applyAlignment="1">
      <alignment horizontal="center" vertical="top"/>
    </xf>
    <xf numFmtId="0" fontId="58" fillId="0" borderId="0" xfId="3472" applyFont="1" applyAlignment="1">
      <alignment horizontal="center" vertical="top"/>
    </xf>
    <xf numFmtId="0" fontId="85" fillId="0" borderId="0" xfId="598" applyFont="1" applyAlignment="1">
      <alignment vertical="top"/>
    </xf>
    <xf numFmtId="0" fontId="85" fillId="0" borderId="0" xfId="3472" applyFont="1" applyAlignment="1">
      <alignment vertical="top"/>
    </xf>
    <xf numFmtId="0" fontId="93" fillId="0" borderId="0" xfId="3472" applyFont="1" applyAlignment="1">
      <alignment vertical="top"/>
    </xf>
    <xf numFmtId="0" fontId="93" fillId="0" borderId="0" xfId="598" applyFont="1" applyAlignment="1">
      <alignment horizontal="center" vertical="top"/>
    </xf>
    <xf numFmtId="0" fontId="85" fillId="0" borderId="0" xfId="598" applyFont="1" applyAlignment="1">
      <alignment horizontal="center" vertical="top"/>
    </xf>
    <xf numFmtId="0" fontId="93" fillId="0" borderId="0" xfId="598" applyFont="1" applyAlignment="1">
      <alignment vertical="top"/>
    </xf>
    <xf numFmtId="0" fontId="60" fillId="0" borderId="0" xfId="598" applyFont="1" applyAlignment="1">
      <alignment horizontal="left" vertical="top"/>
    </xf>
    <xf numFmtId="0" fontId="95" fillId="0" borderId="0" xfId="0" applyFont="1"/>
    <xf numFmtId="0" fontId="36" fillId="0" borderId="0" xfId="0" applyFont="1"/>
    <xf numFmtId="0" fontId="36" fillId="0" borderId="0" xfId="0" applyFont="1" applyAlignment="1">
      <alignment horizontal="center"/>
    </xf>
    <xf numFmtId="0" fontId="95" fillId="0" borderId="1" xfId="0" applyFont="1" applyBorder="1" applyAlignment="1">
      <alignment horizontal="center" vertical="center"/>
    </xf>
    <xf numFmtId="2" fontId="95" fillId="0" borderId="1" xfId="0" applyNumberFormat="1" applyFont="1" applyBorder="1" applyAlignment="1">
      <alignment horizontal="center" vertical="center"/>
    </xf>
    <xf numFmtId="0" fontId="95" fillId="0" borderId="1" xfId="0" applyFont="1" applyBorder="1" applyAlignment="1">
      <alignment horizontal="center" vertical="center" wrapText="1"/>
    </xf>
    <xf numFmtId="0" fontId="36" fillId="0" borderId="0" xfId="0" applyFont="1" applyAlignment="1" applyProtection="1">
      <alignment horizontal="center" vertical="top" wrapText="1"/>
      <protection hidden="1"/>
    </xf>
    <xf numFmtId="0" fontId="36" fillId="0" borderId="0" xfId="0" applyFont="1" applyAlignment="1" applyProtection="1">
      <alignment horizontal="left" vertical="top" wrapText="1"/>
      <protection hidden="1"/>
    </xf>
    <xf numFmtId="0" fontId="36" fillId="0" borderId="0" xfId="0" applyFont="1" applyAlignment="1">
      <alignment horizontal="left"/>
    </xf>
    <xf numFmtId="171" fontId="36" fillId="0" borderId="0" xfId="0" applyNumberFormat="1" applyFont="1" applyAlignment="1">
      <alignment horizontal="center"/>
    </xf>
    <xf numFmtId="0" fontId="36" fillId="0" borderId="0" xfId="0" applyFont="1" applyAlignment="1">
      <alignment horizontal="center" vertical="top"/>
    </xf>
    <xf numFmtId="0" fontId="95" fillId="0" borderId="0" xfId="0" applyFont="1" applyAlignment="1">
      <alignment horizontal="justify" wrapText="1"/>
    </xf>
    <xf numFmtId="0" fontId="95" fillId="0" borderId="0" xfId="0" applyFont="1" applyAlignment="1">
      <alignment horizontal="center" wrapText="1"/>
    </xf>
    <xf numFmtId="1" fontId="96" fillId="0" borderId="0" xfId="0" applyNumberFormat="1" applyFont="1" applyAlignment="1">
      <alignment horizontal="center" wrapText="1"/>
    </xf>
    <xf numFmtId="171" fontId="96" fillId="0" borderId="0" xfId="0" applyNumberFormat="1" applyFont="1" applyAlignment="1">
      <alignment horizontal="center" wrapText="1"/>
    </xf>
    <xf numFmtId="0" fontId="36" fillId="0" borderId="0" xfId="0" applyFont="1" applyAlignment="1">
      <alignment horizontal="right"/>
    </xf>
    <xf numFmtId="0" fontId="97" fillId="0" borderId="0" xfId="0" applyFont="1" applyAlignment="1">
      <alignment vertical="top"/>
    </xf>
    <xf numFmtId="0" fontId="97" fillId="0" borderId="0" xfId="0" applyFont="1"/>
    <xf numFmtId="0" fontId="97" fillId="0" borderId="0" xfId="0" applyFont="1" applyAlignment="1">
      <alignment vertical="center"/>
    </xf>
    <xf numFmtId="0" fontId="97" fillId="4" borderId="0" xfId="0" applyFont="1" applyFill="1" applyAlignment="1">
      <alignment vertical="center"/>
    </xf>
    <xf numFmtId="0" fontId="97" fillId="0" borderId="0" xfId="0" applyFont="1" applyAlignment="1">
      <alignment horizontal="center" vertical="center"/>
    </xf>
    <xf numFmtId="171" fontId="97" fillId="0" borderId="0" xfId="0" applyNumberFormat="1" applyFont="1" applyAlignment="1">
      <alignment vertical="center"/>
    </xf>
    <xf numFmtId="0" fontId="97" fillId="0" borderId="1" xfId="0" applyFont="1" applyBorder="1" applyAlignment="1">
      <alignment horizontal="center" vertical="center"/>
    </xf>
    <xf numFmtId="2" fontId="98" fillId="0" borderId="1" xfId="0" applyNumberFormat="1" applyFont="1" applyBorder="1" applyAlignment="1">
      <alignment horizontal="center" vertical="center" wrapText="1"/>
    </xf>
    <xf numFmtId="0" fontId="97" fillId="0" borderId="1" xfId="0" applyFont="1" applyBorder="1" applyAlignment="1">
      <alignment horizontal="center" vertical="top"/>
    </xf>
    <xf numFmtId="2" fontId="98" fillId="0" borderId="1" xfId="0" applyNumberFormat="1" applyFont="1" applyBorder="1" applyAlignment="1">
      <alignment horizontal="center" vertical="top"/>
    </xf>
    <xf numFmtId="2" fontId="97" fillId="0" borderId="1" xfId="0" applyNumberFormat="1" applyFont="1" applyBorder="1" applyAlignment="1">
      <alignment vertical="top"/>
    </xf>
    <xf numFmtId="0" fontId="98" fillId="0" borderId="1" xfId="0" applyFont="1" applyBorder="1" applyAlignment="1">
      <alignment horizontal="center" vertical="center" wrapText="1"/>
    </xf>
    <xf numFmtId="0" fontId="98" fillId="0" borderId="1" xfId="0" applyFont="1" applyBorder="1" applyAlignment="1">
      <alignment horizontal="center" vertical="center"/>
    </xf>
    <xf numFmtId="0" fontId="99" fillId="0" borderId="1" xfId="0" applyFont="1" applyBorder="1" applyAlignment="1">
      <alignment horizontal="center" vertical="center"/>
    </xf>
    <xf numFmtId="0" fontId="99" fillId="0" borderId="1" xfId="0" applyFont="1" applyBorder="1" applyAlignment="1">
      <alignment horizontal="left" vertical="center"/>
    </xf>
    <xf numFmtId="1" fontId="97" fillId="0" borderId="1" xfId="0" applyNumberFormat="1" applyFont="1" applyBorder="1" applyAlignment="1">
      <alignment horizontal="center" vertical="top"/>
    </xf>
    <xf numFmtId="0" fontId="97" fillId="0" borderId="1" xfId="0" applyFont="1" applyBorder="1" applyAlignment="1">
      <alignment vertical="center"/>
    </xf>
    <xf numFmtId="2" fontId="97" fillId="0" borderId="1" xfId="0" applyNumberFormat="1" applyFont="1" applyBorder="1" applyAlignment="1">
      <alignment vertical="center"/>
    </xf>
    <xf numFmtId="0" fontId="98" fillId="0" borderId="1" xfId="0" applyFont="1" applyBorder="1" applyAlignment="1">
      <alignment vertical="center"/>
    </xf>
    <xf numFmtId="2" fontId="98" fillId="0" borderId="1" xfId="0" applyNumberFormat="1" applyFont="1" applyBorder="1" applyAlignment="1">
      <alignment vertical="center"/>
    </xf>
    <xf numFmtId="2" fontId="97" fillId="0" borderId="1" xfId="0" applyNumberFormat="1" applyFont="1" applyBorder="1" applyAlignment="1">
      <alignment horizontal="center" vertical="center"/>
    </xf>
    <xf numFmtId="0" fontId="97" fillId="0" borderId="1" xfId="0" applyFont="1" applyBorder="1" applyAlignment="1">
      <alignment horizontal="left" vertical="center"/>
    </xf>
    <xf numFmtId="9" fontId="97" fillId="0" borderId="1" xfId="0" applyNumberFormat="1" applyFont="1" applyBorder="1" applyAlignment="1">
      <alignment horizontal="center" vertical="center"/>
    </xf>
    <xf numFmtId="2" fontId="97" fillId="0" borderId="1" xfId="0" applyNumberFormat="1" applyFont="1" applyBorder="1" applyAlignment="1">
      <alignment horizontal="left" vertical="center"/>
    </xf>
    <xf numFmtId="2" fontId="97" fillId="0" borderId="1" xfId="0" applyNumberFormat="1" applyFont="1" applyBorder="1" applyAlignment="1">
      <alignment horizontal="center" vertical="center" wrapText="1"/>
    </xf>
    <xf numFmtId="184" fontId="97" fillId="0" borderId="1" xfId="0" applyNumberFormat="1" applyFont="1" applyBorder="1" applyAlignment="1">
      <alignment horizontal="center" vertical="center"/>
    </xf>
    <xf numFmtId="0" fontId="98" fillId="0" borderId="1" xfId="0" applyFont="1" applyBorder="1" applyAlignment="1">
      <alignment horizontal="left" vertical="center"/>
    </xf>
    <xf numFmtId="199" fontId="97" fillId="0" borderId="1" xfId="0" applyNumberFormat="1" applyFont="1" applyBorder="1" applyAlignment="1">
      <alignment horizontal="center" vertical="center"/>
    </xf>
    <xf numFmtId="10" fontId="98" fillId="0" borderId="1" xfId="0" applyNumberFormat="1" applyFont="1" applyBorder="1" applyAlignment="1">
      <alignment horizontal="center" vertical="center"/>
    </xf>
    <xf numFmtId="0" fontId="97" fillId="0" borderId="1" xfId="0" applyFont="1" applyBorder="1" applyAlignment="1">
      <alignment horizontal="left" vertical="top"/>
    </xf>
    <xf numFmtId="0" fontId="98" fillId="0" borderId="1" xfId="0" applyFont="1" applyBorder="1" applyAlignment="1">
      <alignment horizontal="left" vertical="top"/>
    </xf>
    <xf numFmtId="171" fontId="98" fillId="0" borderId="1" xfId="0" applyNumberFormat="1" applyFont="1" applyBorder="1" applyAlignment="1">
      <alignment horizontal="center" vertical="center" wrapText="1"/>
    </xf>
    <xf numFmtId="2" fontId="97" fillId="0" borderId="1" xfId="0" applyNumberFormat="1" applyFont="1" applyBorder="1" applyAlignment="1">
      <alignment horizontal="right" vertical="center"/>
    </xf>
    <xf numFmtId="2" fontId="98" fillId="0" borderId="1" xfId="0" applyNumberFormat="1" applyFont="1" applyBorder="1" applyAlignment="1">
      <alignment horizontal="right" vertical="center"/>
    </xf>
    <xf numFmtId="2" fontId="99" fillId="0" borderId="1" xfId="0" applyNumberFormat="1" applyFont="1" applyBorder="1" applyAlignment="1">
      <alignment horizontal="right" vertical="center"/>
    </xf>
    <xf numFmtId="1" fontId="97" fillId="0" borderId="1" xfId="0" applyNumberFormat="1" applyFont="1" applyBorder="1" applyAlignment="1">
      <alignment horizontal="center" vertical="top" wrapText="1"/>
    </xf>
    <xf numFmtId="1" fontId="98" fillId="0" borderId="1" xfId="0" applyNumberFormat="1" applyFont="1" applyBorder="1" applyAlignment="1">
      <alignment vertical="center"/>
    </xf>
    <xf numFmtId="2" fontId="99" fillId="0" borderId="1" xfId="0" applyNumberFormat="1" applyFont="1" applyBorder="1" applyAlignment="1">
      <alignment vertical="center"/>
    </xf>
    <xf numFmtId="0" fontId="97" fillId="0" borderId="1" xfId="0" applyFont="1" applyBorder="1" applyAlignment="1">
      <alignment horizontal="left"/>
    </xf>
    <xf numFmtId="0" fontId="97" fillId="0" borderId="1" xfId="0" applyFont="1" applyBorder="1" applyAlignment="1" applyProtection="1">
      <alignment horizontal="center"/>
      <protection hidden="1"/>
    </xf>
    <xf numFmtId="2" fontId="97" fillId="0" borderId="1" xfId="0" applyNumberFormat="1" applyFont="1" applyBorder="1" applyAlignment="1" applyProtection="1">
      <alignment horizontal="center"/>
      <protection hidden="1"/>
    </xf>
    <xf numFmtId="0" fontId="98" fillId="0" borderId="1" xfId="0" applyFont="1" applyBorder="1" applyAlignment="1" applyProtection="1">
      <alignment horizontal="center"/>
      <protection hidden="1"/>
    </xf>
    <xf numFmtId="0" fontId="98" fillId="0" borderId="1" xfId="0" applyFont="1" applyBorder="1" applyAlignment="1" applyProtection="1">
      <alignment horizontal="left" vertical="center"/>
      <protection hidden="1"/>
    </xf>
    <xf numFmtId="0" fontId="97" fillId="0" borderId="1" xfId="0" applyFont="1" applyBorder="1" applyAlignment="1" applyProtection="1">
      <alignment horizontal="left"/>
      <protection hidden="1"/>
    </xf>
    <xf numFmtId="2" fontId="97" fillId="0" borderId="1" xfId="0" applyNumberFormat="1" applyFont="1" applyBorder="1" applyAlignment="1" applyProtection="1">
      <alignment horizontal="center" vertical="top"/>
      <protection hidden="1"/>
    </xf>
    <xf numFmtId="2" fontId="97" fillId="0" borderId="1" xfId="0" applyNumberFormat="1" applyFont="1" applyBorder="1" applyAlignment="1" applyProtection="1">
      <alignment horizontal="left"/>
      <protection hidden="1"/>
    </xf>
    <xf numFmtId="0" fontId="97" fillId="0" borderId="1" xfId="0" applyFont="1" applyBorder="1" applyAlignment="1" applyProtection="1">
      <alignment horizontal="left" vertical="center"/>
      <protection hidden="1"/>
    </xf>
    <xf numFmtId="0" fontId="98" fillId="0" borderId="1" xfId="0" applyFont="1" applyBorder="1" applyAlignment="1" applyProtection="1">
      <alignment horizontal="left"/>
      <protection hidden="1"/>
    </xf>
    <xf numFmtId="2" fontId="97" fillId="0" borderId="1" xfId="0" applyNumberFormat="1" applyFont="1" applyBorder="1" applyAlignment="1" applyProtection="1">
      <alignment horizontal="left" vertical="top"/>
      <protection hidden="1"/>
    </xf>
    <xf numFmtId="0" fontId="98" fillId="0" borderId="1" xfId="0" applyFont="1" applyBorder="1" applyAlignment="1" applyProtection="1">
      <alignment horizontal="left" vertical="center" wrapText="1"/>
      <protection hidden="1"/>
    </xf>
    <xf numFmtId="0" fontId="98" fillId="0" borderId="1" xfId="0" applyFont="1" applyBorder="1" applyAlignment="1" applyProtection="1">
      <alignment horizontal="center" vertical="center"/>
      <protection hidden="1"/>
    </xf>
    <xf numFmtId="0" fontId="98" fillId="3" borderId="1" xfId="0" applyFont="1" applyFill="1" applyBorder="1" applyAlignment="1">
      <alignment horizontal="left" vertical="center"/>
    </xf>
    <xf numFmtId="0" fontId="97" fillId="0" borderId="1" xfId="0" applyFont="1" applyBorder="1" applyAlignment="1" applyProtection="1">
      <alignment horizontal="right"/>
      <protection hidden="1"/>
    </xf>
    <xf numFmtId="2" fontId="97" fillId="0" borderId="1" xfId="0" applyNumberFormat="1" applyFont="1" applyBorder="1" applyAlignment="1" applyProtection="1">
      <alignment horizontal="right"/>
      <protection hidden="1"/>
    </xf>
    <xf numFmtId="2" fontId="98" fillId="0" borderId="1" xfId="0" applyNumberFormat="1" applyFont="1" applyBorder="1" applyAlignment="1" applyProtection="1">
      <alignment horizontal="center"/>
      <protection hidden="1"/>
    </xf>
    <xf numFmtId="2" fontId="98" fillId="0" borderId="1" xfId="0" applyNumberFormat="1" applyFont="1" applyBorder="1" applyAlignment="1" applyProtection="1">
      <alignment horizontal="right"/>
      <protection hidden="1"/>
    </xf>
    <xf numFmtId="2" fontId="98" fillId="0" borderId="1" xfId="0" applyNumberFormat="1" applyFont="1" applyBorder="1" applyAlignment="1" applyProtection="1">
      <alignment horizontal="center" vertical="top"/>
      <protection hidden="1"/>
    </xf>
    <xf numFmtId="2" fontId="98" fillId="0" borderId="1" xfId="0" applyNumberFormat="1" applyFont="1" applyBorder="1" applyAlignment="1" applyProtection="1">
      <alignment horizontal="right" vertical="top"/>
      <protection hidden="1"/>
    </xf>
    <xf numFmtId="0" fontId="97" fillId="0" borderId="1" xfId="0" applyFont="1" applyBorder="1" applyAlignment="1" applyProtection="1">
      <alignment horizontal="center" vertical="top"/>
      <protection hidden="1"/>
    </xf>
    <xf numFmtId="2" fontId="97" fillId="0" borderId="1" xfId="0" applyNumberFormat="1" applyFont="1" applyBorder="1" applyAlignment="1" applyProtection="1">
      <alignment horizontal="right" vertical="top"/>
      <protection hidden="1"/>
    </xf>
    <xf numFmtId="2" fontId="97" fillId="3" borderId="1" xfId="0" applyNumberFormat="1" applyFont="1" applyFill="1" applyBorder="1" applyAlignment="1">
      <alignment horizontal="right" vertical="center"/>
    </xf>
    <xf numFmtId="2" fontId="99" fillId="3" borderId="1" xfId="0" applyNumberFormat="1" applyFont="1" applyFill="1" applyBorder="1" applyAlignment="1">
      <alignment horizontal="right" vertical="center"/>
    </xf>
    <xf numFmtId="2" fontId="97" fillId="0" borderId="1" xfId="0" applyNumberFormat="1" applyFont="1" applyBorder="1" applyAlignment="1" applyProtection="1">
      <alignment horizontal="center" vertical="center"/>
      <protection hidden="1"/>
    </xf>
    <xf numFmtId="2" fontId="97" fillId="0" borderId="1" xfId="0" applyNumberFormat="1" applyFont="1" applyBorder="1" applyAlignment="1" applyProtection="1">
      <alignment horizontal="left" vertical="center"/>
      <protection hidden="1"/>
    </xf>
    <xf numFmtId="1" fontId="97" fillId="0" borderId="1" xfId="0" applyNumberFormat="1" applyFont="1" applyBorder="1" applyAlignment="1" applyProtection="1">
      <alignment horizontal="center" vertical="top" wrapText="1"/>
      <protection hidden="1"/>
    </xf>
    <xf numFmtId="0" fontId="97" fillId="0" borderId="1" xfId="0" applyFont="1" applyBorder="1" applyAlignment="1" applyProtection="1">
      <alignment horizontal="left" vertical="top"/>
      <protection hidden="1"/>
    </xf>
    <xf numFmtId="2" fontId="97" fillId="3" borderId="1" xfId="0" applyNumberFormat="1" applyFont="1" applyFill="1" applyBorder="1" applyAlignment="1">
      <alignment horizontal="center" vertical="center"/>
    </xf>
    <xf numFmtId="2" fontId="97" fillId="0" borderId="1" xfId="0" applyNumberFormat="1" applyFont="1" applyBorder="1" applyAlignment="1" applyProtection="1">
      <alignment horizontal="right" vertical="center"/>
      <protection hidden="1"/>
    </xf>
    <xf numFmtId="0" fontId="97" fillId="0" borderId="1" xfId="0" applyFont="1" applyBorder="1" applyAlignment="1" applyProtection="1">
      <alignment horizontal="center" vertical="center"/>
      <protection hidden="1"/>
    </xf>
    <xf numFmtId="2" fontId="98" fillId="0" borderId="1" xfId="0" applyNumberFormat="1" applyFont="1" applyBorder="1" applyAlignment="1">
      <alignment horizontal="center" vertical="center"/>
    </xf>
    <xf numFmtId="10" fontId="97" fillId="0" borderId="1" xfId="20" applyNumberFormat="1" applyFont="1" applyBorder="1" applyAlignment="1">
      <alignment horizontal="center" vertical="center"/>
    </xf>
    <xf numFmtId="9" fontId="97" fillId="0" borderId="1" xfId="0" applyNumberFormat="1" applyFont="1" applyBorder="1" applyAlignment="1">
      <alignment horizontal="left" vertical="center"/>
    </xf>
    <xf numFmtId="0" fontId="97" fillId="0" borderId="1" xfId="0" applyFont="1" applyBorder="1" applyAlignment="1">
      <alignment horizontal="right" vertical="center"/>
    </xf>
    <xf numFmtId="1" fontId="98" fillId="0" borderId="1" xfId="0" applyNumberFormat="1" applyFont="1" applyBorder="1" applyAlignment="1">
      <alignment horizontal="right" vertical="center"/>
    </xf>
    <xf numFmtId="2" fontId="99" fillId="0" borderId="1" xfId="0" applyNumberFormat="1" applyFont="1" applyBorder="1" applyAlignment="1">
      <alignment horizontal="center" vertical="center"/>
    </xf>
    <xf numFmtId="0" fontId="97" fillId="0" borderId="1" xfId="0" applyFont="1" applyBorder="1"/>
    <xf numFmtId="0" fontId="97" fillId="0" borderId="1" xfId="0" applyFont="1" applyBorder="1" applyAlignment="1">
      <alignment vertical="top"/>
    </xf>
    <xf numFmtId="184" fontId="97" fillId="0" borderId="1" xfId="0" applyNumberFormat="1" applyFont="1" applyBorder="1" applyAlignment="1" applyProtection="1">
      <alignment horizontal="center" vertical="top"/>
      <protection hidden="1"/>
    </xf>
    <xf numFmtId="2" fontId="97" fillId="3" borderId="1" xfId="0" applyNumberFormat="1" applyFont="1" applyFill="1" applyBorder="1" applyAlignment="1" applyProtection="1">
      <alignment horizontal="center" vertical="top"/>
      <protection hidden="1"/>
    </xf>
    <xf numFmtId="0" fontId="97" fillId="3" borderId="1" xfId="0" applyFont="1" applyFill="1" applyBorder="1" applyAlignment="1" applyProtection="1">
      <alignment horizontal="left" vertical="top"/>
      <protection hidden="1"/>
    </xf>
    <xf numFmtId="181" fontId="97" fillId="0" borderId="1" xfId="0" applyNumberFormat="1" applyFont="1" applyBorder="1" applyAlignment="1">
      <alignment horizontal="center" vertical="center"/>
    </xf>
    <xf numFmtId="4" fontId="97" fillId="0" borderId="1" xfId="0" applyNumberFormat="1" applyFont="1" applyBorder="1" applyAlignment="1" applyProtection="1">
      <alignment horizontal="center" vertical="top"/>
      <protection locked="0"/>
    </xf>
    <xf numFmtId="0" fontId="97" fillId="0" borderId="1" xfId="0" applyFont="1" applyBorder="1" applyAlignment="1" applyProtection="1">
      <alignment horizontal="left" vertical="top"/>
      <protection locked="0"/>
    </xf>
    <xf numFmtId="4" fontId="98" fillId="0" borderId="1" xfId="0" applyNumberFormat="1" applyFont="1" applyBorder="1" applyAlignment="1" applyProtection="1">
      <alignment horizontal="center" vertical="top"/>
      <protection locked="0"/>
    </xf>
    <xf numFmtId="0" fontId="98" fillId="0" borderId="1" xfId="0" applyFont="1" applyBorder="1" applyAlignment="1" applyProtection="1">
      <alignment horizontal="left" vertical="top"/>
      <protection locked="0"/>
    </xf>
    <xf numFmtId="202" fontId="97" fillId="0" borderId="1" xfId="0" applyNumberFormat="1" applyFont="1" applyBorder="1" applyAlignment="1" applyProtection="1">
      <alignment horizontal="center" vertical="top"/>
      <protection locked="0"/>
    </xf>
    <xf numFmtId="171" fontId="97" fillId="0" borderId="1" xfId="0" applyNumberFormat="1" applyFont="1" applyBorder="1" applyAlignment="1">
      <alignment vertical="center"/>
    </xf>
    <xf numFmtId="3" fontId="97" fillId="0" borderId="1" xfId="0" applyNumberFormat="1" applyFont="1" applyBorder="1" applyAlignment="1" applyProtection="1">
      <alignment horizontal="right" vertical="top"/>
      <protection locked="0"/>
    </xf>
    <xf numFmtId="4" fontId="97" fillId="0" borderId="1" xfId="0" applyNumberFormat="1" applyFont="1" applyBorder="1" applyAlignment="1" applyProtection="1">
      <alignment horizontal="right" vertical="top"/>
      <protection locked="0"/>
    </xf>
    <xf numFmtId="3" fontId="98" fillId="0" borderId="1" xfId="0" applyNumberFormat="1" applyFont="1" applyBorder="1" applyAlignment="1" applyProtection="1">
      <alignment horizontal="left" vertical="top"/>
      <protection locked="0"/>
    </xf>
    <xf numFmtId="173" fontId="97" fillId="0" borderId="1" xfId="948" applyNumberFormat="1" applyFont="1" applyBorder="1" applyAlignment="1" applyProtection="1">
      <alignment horizontal="center" vertical="top"/>
      <protection locked="0"/>
    </xf>
    <xf numFmtId="173" fontId="97" fillId="0" borderId="1" xfId="0" applyNumberFormat="1" applyFont="1" applyBorder="1" applyAlignment="1" applyProtection="1">
      <alignment horizontal="center" vertical="top"/>
      <protection locked="0"/>
    </xf>
    <xf numFmtId="9" fontId="97" fillId="0" borderId="1" xfId="0" applyNumberFormat="1" applyFont="1" applyBorder="1" applyAlignment="1" applyProtection="1">
      <alignment horizontal="center" vertical="top" wrapText="1"/>
      <protection locked="0"/>
    </xf>
    <xf numFmtId="4" fontId="97" fillId="0" borderId="1" xfId="0" applyNumberFormat="1" applyFont="1" applyBorder="1" applyAlignment="1" applyProtection="1">
      <alignment horizontal="center" vertical="top" wrapText="1"/>
      <protection locked="0"/>
    </xf>
    <xf numFmtId="0" fontId="97" fillId="0" borderId="1" xfId="0" applyFont="1" applyBorder="1" applyAlignment="1" applyProtection="1">
      <alignment horizontal="center" vertical="top"/>
      <protection locked="0"/>
    </xf>
    <xf numFmtId="199" fontId="97" fillId="0" borderId="1" xfId="0" applyNumberFormat="1" applyFont="1" applyBorder="1" applyAlignment="1">
      <alignment horizontal="center" vertical="top"/>
    </xf>
    <xf numFmtId="2" fontId="97" fillId="0" borderId="0" xfId="0" applyNumberFormat="1" applyFont="1" applyAlignment="1">
      <alignment vertical="center"/>
    </xf>
    <xf numFmtId="4" fontId="98" fillId="0" borderId="1" xfId="0" applyNumberFormat="1" applyFont="1" applyBorder="1" applyAlignment="1" applyProtection="1">
      <alignment horizontal="right" vertical="top"/>
      <protection locked="0"/>
    </xf>
    <xf numFmtId="3" fontId="97" fillId="0" borderId="1" xfId="0" applyNumberFormat="1" applyFont="1" applyBorder="1" applyAlignment="1" applyProtection="1">
      <alignment horizontal="center" vertical="top" wrapText="1"/>
      <protection locked="0"/>
    </xf>
    <xf numFmtId="0" fontId="97" fillId="0" borderId="1" xfId="0" applyFont="1" applyBorder="1" applyAlignment="1" applyProtection="1">
      <alignment horizontal="right" vertical="top"/>
      <protection locked="0"/>
    </xf>
    <xf numFmtId="0" fontId="101" fillId="0" borderId="0" xfId="0" applyFont="1" applyAlignment="1">
      <alignment vertical="top"/>
    </xf>
    <xf numFmtId="0" fontId="101" fillId="0" borderId="0" xfId="0" applyFont="1"/>
    <xf numFmtId="0" fontId="101" fillId="0" borderId="0" xfId="0" applyFont="1" applyAlignment="1">
      <alignment vertical="center"/>
    </xf>
    <xf numFmtId="0" fontId="102" fillId="0" borderId="0" xfId="0" applyFont="1" applyAlignment="1">
      <alignment horizontal="center" vertical="center"/>
    </xf>
    <xf numFmtId="0" fontId="101" fillId="0" borderId="0" xfId="0" applyFont="1" applyAlignment="1">
      <alignment horizontal="center" vertical="center"/>
    </xf>
    <xf numFmtId="171" fontId="101" fillId="0" borderId="0" xfId="0" applyNumberFormat="1" applyFont="1" applyAlignment="1">
      <alignment vertical="center"/>
    </xf>
    <xf numFmtId="0" fontId="101" fillId="0" borderId="1" xfId="0" applyFont="1" applyBorder="1" applyAlignment="1">
      <alignment horizontal="center" vertical="center"/>
    </xf>
    <xf numFmtId="0" fontId="101" fillId="0" borderId="1" xfId="0" applyFont="1" applyBorder="1" applyAlignment="1">
      <alignment horizontal="center" vertical="center" wrapText="1"/>
    </xf>
    <xf numFmtId="171" fontId="101" fillId="0" borderId="1" xfId="0" applyNumberFormat="1" applyFont="1" applyBorder="1" applyAlignment="1">
      <alignment horizontal="center" vertical="center" wrapText="1"/>
    </xf>
    <xf numFmtId="1" fontId="101" fillId="0" borderId="1" xfId="0" applyNumberFormat="1" applyFont="1" applyBorder="1" applyAlignment="1">
      <alignment horizontal="center" vertical="top"/>
    </xf>
    <xf numFmtId="0" fontId="102" fillId="0" borderId="1" xfId="0" applyFont="1" applyBorder="1" applyAlignment="1">
      <alignment horizontal="center" vertical="top"/>
    </xf>
    <xf numFmtId="0" fontId="102" fillId="0" borderId="1" xfId="0" applyFont="1" applyBorder="1" applyAlignment="1">
      <alignment horizontal="left" vertical="center" wrapText="1"/>
    </xf>
    <xf numFmtId="0" fontId="102" fillId="0" borderId="1" xfId="0" applyFont="1" applyBorder="1" applyAlignment="1">
      <alignment horizontal="left" vertical="center"/>
    </xf>
    <xf numFmtId="0" fontId="102" fillId="0" borderId="1" xfId="0" applyFont="1" applyBorder="1" applyAlignment="1">
      <alignment horizontal="center" vertical="center" wrapText="1"/>
    </xf>
    <xf numFmtId="0" fontId="102" fillId="0" borderId="1" xfId="0" applyFont="1" applyBorder="1" applyAlignment="1">
      <alignment horizontal="right" vertical="center" wrapText="1"/>
    </xf>
    <xf numFmtId="0" fontId="103" fillId="0" borderId="1" xfId="0" applyFont="1" applyBorder="1" applyAlignment="1">
      <alignment horizontal="left" vertical="center"/>
    </xf>
    <xf numFmtId="0" fontId="102" fillId="0" borderId="1" xfId="0" applyFont="1" applyBorder="1" applyAlignment="1">
      <alignment horizontal="center" vertical="center"/>
    </xf>
    <xf numFmtId="0" fontId="101" fillId="0" borderId="1" xfId="0" applyFont="1" applyBorder="1" applyAlignment="1">
      <alignment vertical="center"/>
    </xf>
    <xf numFmtId="2" fontId="101" fillId="0" borderId="1" xfId="0" applyNumberFormat="1" applyFont="1" applyBorder="1" applyAlignment="1">
      <alignment horizontal="center" vertical="center"/>
    </xf>
    <xf numFmtId="0" fontId="101" fillId="0" borderId="1" xfId="0" applyFont="1" applyBorder="1" applyAlignment="1">
      <alignment horizontal="left" vertical="center"/>
    </xf>
    <xf numFmtId="2" fontId="101" fillId="0" borderId="1" xfId="0" applyNumberFormat="1" applyFont="1" applyBorder="1" applyAlignment="1">
      <alignment horizontal="right" vertical="center"/>
    </xf>
    <xf numFmtId="9" fontId="101" fillId="0" borderId="1" xfId="0" applyNumberFormat="1" applyFont="1" applyBorder="1" applyAlignment="1">
      <alignment horizontal="center" vertical="center"/>
    </xf>
    <xf numFmtId="2" fontId="102" fillId="0" borderId="1" xfId="0" applyNumberFormat="1" applyFont="1" applyBorder="1" applyAlignment="1">
      <alignment horizontal="right" vertical="center"/>
    </xf>
    <xf numFmtId="2" fontId="101" fillId="0" borderId="1" xfId="0" applyNumberFormat="1" applyFont="1" applyBorder="1" applyAlignment="1">
      <alignment horizontal="center" vertical="center" wrapText="1"/>
    </xf>
    <xf numFmtId="0" fontId="101" fillId="0" borderId="1" xfId="0" applyFont="1" applyBorder="1" applyAlignment="1">
      <alignment horizontal="left" vertical="center" wrapText="1"/>
    </xf>
    <xf numFmtId="2" fontId="101" fillId="0" borderId="1" xfId="0" applyNumberFormat="1" applyFont="1" applyBorder="1" applyAlignment="1">
      <alignment horizontal="right" vertical="center" wrapText="1"/>
    </xf>
    <xf numFmtId="0" fontId="102" fillId="0" borderId="1" xfId="0" applyFont="1" applyBorder="1" applyAlignment="1" applyProtection="1">
      <alignment horizontal="left" vertical="center"/>
      <protection hidden="1"/>
    </xf>
    <xf numFmtId="0" fontId="101" fillId="0" borderId="1" xfId="0" applyFont="1" applyBorder="1" applyAlignment="1">
      <alignment horizontal="right" vertical="center"/>
    </xf>
    <xf numFmtId="0" fontId="102" fillId="0" borderId="1" xfId="0" applyFont="1" applyBorder="1" applyAlignment="1">
      <alignment vertical="top"/>
    </xf>
    <xf numFmtId="199" fontId="101" fillId="0" borderId="1" xfId="0" applyNumberFormat="1" applyFont="1" applyBorder="1" applyAlignment="1">
      <alignment horizontal="center" vertical="center"/>
    </xf>
    <xf numFmtId="2" fontId="101" fillId="0" borderId="1" xfId="0" applyNumberFormat="1" applyFont="1" applyBorder="1" applyAlignment="1">
      <alignment vertical="center"/>
    </xf>
    <xf numFmtId="10" fontId="102" fillId="0" borderId="1" xfId="0" applyNumberFormat="1" applyFont="1" applyBorder="1" applyAlignment="1">
      <alignment horizontal="center" vertical="center"/>
    </xf>
    <xf numFmtId="0" fontId="101" fillId="0" borderId="1" xfId="0" applyFont="1" applyBorder="1" applyAlignment="1">
      <alignment horizontal="left" vertical="top"/>
    </xf>
    <xf numFmtId="2" fontId="103" fillId="0" borderId="1" xfId="0" applyNumberFormat="1" applyFont="1" applyBorder="1" applyAlignment="1">
      <alignment horizontal="right" vertical="center"/>
    </xf>
    <xf numFmtId="1" fontId="102" fillId="0" borderId="1" xfId="0" applyNumberFormat="1" applyFont="1" applyBorder="1" applyAlignment="1">
      <alignment horizontal="right" vertical="center"/>
    </xf>
    <xf numFmtId="2" fontId="101" fillId="0" borderId="1" xfId="0" applyNumberFormat="1" applyFont="1" applyBorder="1" applyAlignment="1">
      <alignment horizontal="left" vertical="center"/>
    </xf>
    <xf numFmtId="2" fontId="101" fillId="3" borderId="1" xfId="0" applyNumberFormat="1" applyFont="1" applyFill="1" applyBorder="1" applyAlignment="1">
      <alignment horizontal="center" vertical="center"/>
    </xf>
    <xf numFmtId="2" fontId="101" fillId="0" borderId="1" xfId="0" applyNumberFormat="1" applyFont="1" applyBorder="1" applyAlignment="1">
      <alignment horizontal="right"/>
    </xf>
    <xf numFmtId="0" fontId="102" fillId="0" borderId="1" xfId="0" applyFont="1" applyBorder="1" applyAlignment="1">
      <alignment vertical="center"/>
    </xf>
    <xf numFmtId="2" fontId="102" fillId="0" borderId="1" xfId="0" applyNumberFormat="1" applyFont="1" applyBorder="1" applyAlignment="1">
      <alignment vertical="center"/>
    </xf>
    <xf numFmtId="0" fontId="104" fillId="0" borderId="1" xfId="0" applyFont="1" applyBorder="1" applyAlignment="1">
      <alignment horizontal="left" vertical="center" wrapText="1"/>
    </xf>
    <xf numFmtId="2" fontId="101" fillId="0" borderId="0" xfId="0" applyNumberFormat="1" applyFont="1" applyAlignment="1">
      <alignment vertical="center"/>
    </xf>
    <xf numFmtId="10" fontId="101" fillId="0" borderId="1" xfId="20" applyNumberFormat="1" applyFont="1" applyFill="1" applyBorder="1" applyAlignment="1">
      <alignment horizontal="center" vertical="center"/>
    </xf>
    <xf numFmtId="2" fontId="103" fillId="0" borderId="1" xfId="0" applyNumberFormat="1" applyFont="1" applyBorder="1" applyAlignment="1">
      <alignment vertical="center"/>
    </xf>
    <xf numFmtId="2" fontId="102" fillId="0" borderId="1" xfId="0" applyNumberFormat="1" applyFont="1" applyBorder="1" applyAlignment="1">
      <alignment horizontal="center" vertical="center"/>
    </xf>
    <xf numFmtId="1" fontId="102" fillId="0" borderId="1" xfId="0" applyNumberFormat="1" applyFont="1" applyBorder="1" applyAlignment="1">
      <alignment horizontal="center" vertical="top"/>
    </xf>
    <xf numFmtId="2" fontId="102" fillId="0" borderId="1" xfId="0" applyNumberFormat="1" applyFont="1" applyBorder="1" applyAlignment="1">
      <alignment horizontal="left" vertical="center" wrapText="1"/>
    </xf>
    <xf numFmtId="1" fontId="102" fillId="0" borderId="1" xfId="0" applyNumberFormat="1" applyFont="1" applyBorder="1" applyAlignment="1">
      <alignment horizontal="center" vertical="top" wrapText="1"/>
    </xf>
    <xf numFmtId="2" fontId="101" fillId="0" borderId="1" xfId="0" applyNumberFormat="1" applyFont="1" applyBorder="1" applyAlignment="1">
      <alignment vertical="center" shrinkToFit="1"/>
    </xf>
    <xf numFmtId="0" fontId="101" fillId="0" borderId="0" xfId="0" applyFont="1" applyAlignment="1" applyProtection="1">
      <alignment vertical="center" wrapText="1"/>
      <protection locked="0"/>
    </xf>
    <xf numFmtId="0" fontId="102" fillId="3" borderId="1" xfId="0" applyFont="1" applyFill="1" applyBorder="1" applyAlignment="1">
      <alignment horizontal="left" vertical="center"/>
    </xf>
    <xf numFmtId="0" fontId="102" fillId="0" borderId="1" xfId="0" applyFont="1" applyBorder="1" applyAlignment="1">
      <alignment horizontal="right" vertical="center"/>
    </xf>
    <xf numFmtId="9" fontId="101" fillId="0" borderId="1" xfId="0" applyNumberFormat="1" applyFont="1" applyBorder="1" applyAlignment="1">
      <alignment horizontal="right" vertical="center"/>
    </xf>
    <xf numFmtId="0" fontId="104" fillId="7" borderId="1" xfId="0" applyFont="1" applyFill="1" applyBorder="1" applyAlignment="1">
      <alignment horizontal="left" vertical="top" wrapText="1"/>
    </xf>
    <xf numFmtId="184" fontId="101" fillId="0" borderId="1" xfId="0" applyNumberFormat="1" applyFont="1" applyBorder="1" applyAlignment="1">
      <alignment horizontal="right" vertical="center"/>
    </xf>
    <xf numFmtId="2" fontId="101" fillId="3" borderId="1" xfId="0" applyNumberFormat="1" applyFont="1" applyFill="1" applyBorder="1" applyAlignment="1">
      <alignment horizontal="right" vertical="center"/>
    </xf>
    <xf numFmtId="199" fontId="101" fillId="0" borderId="1" xfId="0" applyNumberFormat="1" applyFont="1" applyBorder="1" applyAlignment="1">
      <alignment horizontal="right" vertical="center"/>
    </xf>
    <xf numFmtId="0" fontId="102" fillId="0" borderId="1" xfId="0" applyFont="1" applyBorder="1" applyAlignment="1">
      <alignment horizontal="left" vertical="top"/>
    </xf>
    <xf numFmtId="1" fontId="102" fillId="0" borderId="1" xfId="0" applyNumberFormat="1" applyFont="1" applyBorder="1" applyAlignment="1" applyProtection="1">
      <alignment horizontal="center" vertical="top" wrapText="1"/>
      <protection hidden="1"/>
    </xf>
    <xf numFmtId="0" fontId="102" fillId="0" borderId="1" xfId="0" applyFont="1" applyBorder="1" applyAlignment="1" applyProtection="1">
      <alignment horizontal="center" vertical="top"/>
      <protection hidden="1"/>
    </xf>
    <xf numFmtId="0" fontId="101" fillId="0" borderId="1" xfId="0" applyFont="1" applyBorder="1" applyAlignment="1" applyProtection="1">
      <alignment horizontal="center" vertical="center"/>
      <protection hidden="1"/>
    </xf>
    <xf numFmtId="0" fontId="101" fillId="0" borderId="1" xfId="0" applyFont="1" applyBorder="1" applyAlignment="1" applyProtection="1">
      <alignment horizontal="center"/>
      <protection hidden="1"/>
    </xf>
    <xf numFmtId="0" fontId="101" fillId="0" borderId="1" xfId="0" applyFont="1" applyBorder="1" applyAlignment="1" applyProtection="1">
      <alignment horizontal="right"/>
      <protection hidden="1"/>
    </xf>
    <xf numFmtId="2" fontId="102" fillId="0" borderId="1" xfId="0" applyNumberFormat="1" applyFont="1" applyBorder="1" applyAlignment="1" applyProtection="1">
      <alignment horizontal="left" vertical="center"/>
      <protection hidden="1"/>
    </xf>
    <xf numFmtId="2" fontId="101" fillId="0" borderId="1" xfId="0" applyNumberFormat="1" applyFont="1" applyBorder="1" applyAlignment="1" applyProtection="1">
      <alignment horizontal="center"/>
      <protection hidden="1"/>
    </xf>
    <xf numFmtId="0" fontId="102" fillId="0" borderId="1" xfId="0" applyFont="1" applyBorder="1" applyAlignment="1" applyProtection="1">
      <alignment horizontal="center"/>
      <protection hidden="1"/>
    </xf>
    <xf numFmtId="184" fontId="101" fillId="0" borderId="1" xfId="0" applyNumberFormat="1" applyFont="1" applyBorder="1" applyAlignment="1" applyProtection="1">
      <alignment horizontal="center" vertical="center"/>
      <protection hidden="1"/>
    </xf>
    <xf numFmtId="2" fontId="101" fillId="0" borderId="1" xfId="0" applyNumberFormat="1" applyFont="1" applyBorder="1" applyAlignment="1" applyProtection="1">
      <alignment horizontal="left" vertical="center"/>
      <protection hidden="1"/>
    </xf>
    <xf numFmtId="2" fontId="101" fillId="0" borderId="1" xfId="0" applyNumberFormat="1" applyFont="1" applyBorder="1" applyAlignment="1" applyProtection="1">
      <alignment horizontal="center" vertical="top"/>
      <protection hidden="1"/>
    </xf>
    <xf numFmtId="2" fontId="101" fillId="0" borderId="1" xfId="0" applyNumberFormat="1" applyFont="1" applyBorder="1" applyAlignment="1" applyProtection="1">
      <alignment horizontal="right"/>
      <protection hidden="1"/>
    </xf>
    <xf numFmtId="2" fontId="101" fillId="0" borderId="1" xfId="0" applyNumberFormat="1" applyFont="1" applyBorder="1" applyAlignment="1" applyProtection="1">
      <alignment horizontal="center" vertical="center"/>
      <protection hidden="1"/>
    </xf>
    <xf numFmtId="0" fontId="101" fillId="0" borderId="1" xfId="0" applyFont="1" applyBorder="1" applyAlignment="1" applyProtection="1">
      <alignment horizontal="left" vertical="center"/>
      <protection hidden="1"/>
    </xf>
    <xf numFmtId="2" fontId="102" fillId="0" borderId="1" xfId="0" applyNumberFormat="1" applyFont="1" applyBorder="1" applyAlignment="1" applyProtection="1">
      <alignment horizontal="center"/>
      <protection hidden="1"/>
    </xf>
    <xf numFmtId="2" fontId="102" fillId="0" borderId="1" xfId="0" applyNumberFormat="1" applyFont="1" applyBorder="1" applyAlignment="1" applyProtection="1">
      <alignment horizontal="right"/>
      <protection hidden="1"/>
    </xf>
    <xf numFmtId="0" fontId="101" fillId="0" borderId="1" xfId="0" applyFont="1" applyBorder="1" applyAlignment="1" applyProtection="1">
      <alignment horizontal="center" vertical="top"/>
      <protection hidden="1"/>
    </xf>
    <xf numFmtId="2" fontId="101" fillId="0" borderId="1" xfId="0" applyNumberFormat="1" applyFont="1" applyBorder="1" applyAlignment="1" applyProtection="1">
      <alignment horizontal="right" vertical="top"/>
      <protection hidden="1"/>
    </xf>
    <xf numFmtId="1" fontId="102" fillId="0" borderId="1" xfId="0" applyNumberFormat="1" applyFont="1" applyBorder="1" applyAlignment="1" applyProtection="1">
      <alignment horizontal="center" vertical="center" wrapText="1"/>
      <protection hidden="1"/>
    </xf>
    <xf numFmtId="0" fontId="102" fillId="0" borderId="1" xfId="0" applyFont="1" applyBorder="1" applyAlignment="1" applyProtection="1">
      <alignment horizontal="center" vertical="center"/>
      <protection hidden="1"/>
    </xf>
    <xf numFmtId="0" fontId="101" fillId="0" borderId="1" xfId="0" applyFont="1" applyBorder="1" applyAlignment="1" applyProtection="1">
      <alignment horizontal="right" vertical="center"/>
      <protection hidden="1"/>
    </xf>
    <xf numFmtId="2" fontId="101" fillId="0" borderId="1" xfId="0" applyNumberFormat="1" applyFont="1" applyBorder="1" applyAlignment="1" applyProtection="1">
      <alignment horizontal="right" vertical="center"/>
      <protection hidden="1"/>
    </xf>
    <xf numFmtId="2" fontId="102" fillId="0" borderId="1" xfId="0" applyNumberFormat="1" applyFont="1" applyBorder="1" applyAlignment="1" applyProtection="1">
      <alignment horizontal="center" vertical="center"/>
      <protection hidden="1"/>
    </xf>
    <xf numFmtId="2" fontId="102" fillId="0" borderId="1" xfId="0" applyNumberFormat="1" applyFont="1" applyBorder="1" applyAlignment="1" applyProtection="1">
      <alignment horizontal="right" vertical="center"/>
      <protection hidden="1"/>
    </xf>
    <xf numFmtId="0" fontId="101" fillId="0" borderId="1" xfId="0" applyFont="1" applyBorder="1" applyAlignment="1" applyProtection="1">
      <alignment horizontal="left" vertical="center" wrapText="1"/>
      <protection hidden="1"/>
    </xf>
    <xf numFmtId="171" fontId="101" fillId="0" borderId="1" xfId="0" applyNumberFormat="1" applyFont="1" applyBorder="1" applyAlignment="1">
      <alignment vertical="center"/>
    </xf>
    <xf numFmtId="0" fontId="102" fillId="0" borderId="1" xfId="0" applyFont="1" applyBorder="1" applyAlignment="1" applyProtection="1">
      <alignment horizontal="center" vertical="center" wrapText="1"/>
      <protection hidden="1"/>
    </xf>
    <xf numFmtId="171" fontId="101" fillId="0" borderId="1" xfId="0" applyNumberFormat="1" applyFont="1" applyBorder="1" applyAlignment="1">
      <alignment horizontal="right" vertical="center"/>
    </xf>
    <xf numFmtId="0" fontId="102" fillId="0" borderId="1" xfId="0" applyFont="1" applyBorder="1" applyAlignment="1" applyProtection="1">
      <alignment vertical="center"/>
      <protection hidden="1"/>
    </xf>
    <xf numFmtId="2" fontId="103" fillId="0" borderId="1" xfId="0" applyNumberFormat="1" applyFont="1" applyBorder="1" applyAlignment="1">
      <alignment horizontal="center" vertical="center"/>
    </xf>
    <xf numFmtId="0" fontId="102" fillId="0" borderId="0" xfId="0" applyFont="1" applyAlignment="1">
      <alignment vertical="center"/>
    </xf>
    <xf numFmtId="2" fontId="101" fillId="0" borderId="0" xfId="0" applyNumberFormat="1" applyFont="1" applyAlignment="1">
      <alignment horizontal="center" vertical="center"/>
    </xf>
    <xf numFmtId="2" fontId="102" fillId="0" borderId="0" xfId="0" applyNumberFormat="1" applyFont="1" applyAlignment="1">
      <alignment horizontal="center" vertical="center"/>
    </xf>
    <xf numFmtId="2" fontId="101" fillId="0" borderId="0" xfId="0" applyNumberFormat="1" applyFont="1" applyAlignment="1">
      <alignment horizontal="left" vertical="center"/>
    </xf>
    <xf numFmtId="0" fontId="101" fillId="0" borderId="0" xfId="0" applyFont="1" applyAlignment="1">
      <alignment horizontal="left" vertical="center"/>
    </xf>
    <xf numFmtId="0" fontId="105" fillId="0" borderId="0" xfId="0" applyFont="1" applyAlignment="1">
      <alignment horizontal="center" vertical="top"/>
    </xf>
    <xf numFmtId="0" fontId="105" fillId="0" borderId="0" xfId="0" applyFont="1"/>
    <xf numFmtId="0" fontId="106" fillId="0" borderId="0" xfId="0" applyFont="1"/>
    <xf numFmtId="0" fontId="105" fillId="0" borderId="0" xfId="0" applyFont="1" applyAlignment="1">
      <alignment vertical="center"/>
    </xf>
    <xf numFmtId="0" fontId="105" fillId="0" borderId="0" xfId="3756" applyFont="1"/>
    <xf numFmtId="0" fontId="107" fillId="0" borderId="0" xfId="0" applyFont="1" applyAlignment="1">
      <alignment vertical="center"/>
    </xf>
    <xf numFmtId="0" fontId="105" fillId="0" borderId="0" xfId="3756" applyFont="1" applyAlignment="1">
      <alignment vertical="center"/>
    </xf>
    <xf numFmtId="0" fontId="107" fillId="0" borderId="0" xfId="0" applyFont="1" applyAlignment="1">
      <alignment horizontal="center" vertical="center"/>
    </xf>
    <xf numFmtId="0" fontId="105" fillId="0" borderId="0" xfId="0" applyFont="1" applyAlignment="1">
      <alignment horizontal="center" vertical="center"/>
    </xf>
    <xf numFmtId="2" fontId="105" fillId="0" borderId="0" xfId="0" applyNumberFormat="1" applyFont="1" applyAlignment="1">
      <alignment vertical="center"/>
    </xf>
    <xf numFmtId="171" fontId="105" fillId="0" borderId="0" xfId="0" applyNumberFormat="1" applyFont="1" applyAlignment="1">
      <alignment vertical="center"/>
    </xf>
    <xf numFmtId="0" fontId="107" fillId="0" borderId="1" xfId="0" applyFont="1" applyBorder="1" applyAlignment="1">
      <alignment horizontal="center" vertical="center"/>
    </xf>
    <xf numFmtId="0" fontId="107" fillId="0" borderId="1" xfId="0" applyFont="1" applyBorder="1" applyAlignment="1">
      <alignment horizontal="center" vertical="center" wrapText="1"/>
    </xf>
    <xf numFmtId="2" fontId="107" fillId="0" borderId="1" xfId="0" applyNumberFormat="1" applyFont="1" applyBorder="1" applyAlignment="1">
      <alignment horizontal="center" vertical="center" wrapText="1"/>
    </xf>
    <xf numFmtId="171" fontId="107" fillId="0" borderId="1" xfId="0" applyNumberFormat="1" applyFont="1" applyBorder="1" applyAlignment="1">
      <alignment horizontal="center" vertical="center" wrapText="1"/>
    </xf>
    <xf numFmtId="0" fontId="107" fillId="0" borderId="1" xfId="0" applyFont="1" applyBorder="1" applyAlignment="1">
      <alignment horizontal="center" vertical="top"/>
    </xf>
    <xf numFmtId="0" fontId="105" fillId="0" borderId="1" xfId="0" applyFont="1" applyBorder="1" applyAlignment="1">
      <alignment horizontal="justify" vertical="top" wrapText="1"/>
    </xf>
    <xf numFmtId="0" fontId="105" fillId="0" borderId="1" xfId="0" applyFont="1" applyBorder="1" applyAlignment="1">
      <alignment horizontal="left"/>
    </xf>
    <xf numFmtId="0" fontId="105" fillId="0" borderId="1" xfId="0" applyFont="1" applyBorder="1" applyAlignment="1">
      <alignment horizontal="left" vertical="top" wrapText="1"/>
    </xf>
    <xf numFmtId="0" fontId="107" fillId="0" borderId="1" xfId="0" applyFont="1" applyBorder="1" applyAlignment="1">
      <alignment horizontal="left" vertical="center"/>
    </xf>
    <xf numFmtId="203" fontId="105" fillId="0" borderId="1" xfId="0" applyNumberFormat="1" applyFont="1" applyBorder="1" applyAlignment="1">
      <alignment horizontal="center" vertical="top"/>
    </xf>
    <xf numFmtId="2" fontId="105" fillId="0" borderId="1" xfId="0" applyNumberFormat="1" applyFont="1" applyBorder="1" applyAlignment="1">
      <alignment horizontal="left" vertical="center"/>
    </xf>
    <xf numFmtId="0" fontId="105" fillId="0" borderId="1" xfId="0" applyFont="1" applyBorder="1" applyAlignment="1">
      <alignment horizontal="left" vertical="center"/>
    </xf>
    <xf numFmtId="2" fontId="105" fillId="0" borderId="1" xfId="0" applyNumberFormat="1" applyFont="1" applyBorder="1" applyAlignment="1">
      <alignment horizontal="center" vertical="center"/>
    </xf>
    <xf numFmtId="0" fontId="105" fillId="0" borderId="1" xfId="0" applyFont="1" applyBorder="1" applyAlignment="1">
      <alignment horizontal="center" vertical="center"/>
    </xf>
    <xf numFmtId="2" fontId="105" fillId="0" borderId="1" xfId="0" applyNumberFormat="1" applyFont="1" applyBorder="1" applyAlignment="1">
      <alignment horizontal="right" vertical="center"/>
    </xf>
    <xf numFmtId="9" fontId="105" fillId="0" borderId="1" xfId="0" applyNumberFormat="1" applyFont="1" applyBorder="1" applyAlignment="1">
      <alignment horizontal="center" vertical="center"/>
    </xf>
    <xf numFmtId="0" fontId="105" fillId="0" borderId="1" xfId="0" applyFont="1" applyBorder="1" applyAlignment="1">
      <alignment vertical="center"/>
    </xf>
    <xf numFmtId="0" fontId="105" fillId="0" borderId="1" xfId="0" applyFont="1" applyBorder="1" applyAlignment="1">
      <alignment horizontal="right" vertical="center"/>
    </xf>
    <xf numFmtId="2" fontId="105" fillId="0" borderId="1" xfId="0" applyNumberFormat="1" applyFont="1" applyBorder="1" applyAlignment="1">
      <alignment horizontal="center" vertical="center" wrapText="1"/>
    </xf>
    <xf numFmtId="2" fontId="105" fillId="0" borderId="1" xfId="0" applyNumberFormat="1" applyFont="1" applyBorder="1" applyAlignment="1">
      <alignment horizontal="left" vertical="center" wrapText="1"/>
    </xf>
    <xf numFmtId="0" fontId="105" fillId="0" borderId="1" xfId="0" applyFont="1" applyBorder="1" applyAlignment="1">
      <alignment horizontal="left" vertical="center" wrapText="1"/>
    </xf>
    <xf numFmtId="2" fontId="105" fillId="0" borderId="1" xfId="0" applyNumberFormat="1" applyFont="1" applyBorder="1" applyAlignment="1">
      <alignment horizontal="right" vertical="center" wrapText="1"/>
    </xf>
    <xf numFmtId="2" fontId="107" fillId="0" borderId="1" xfId="0" applyNumberFormat="1" applyFont="1" applyBorder="1" applyAlignment="1">
      <alignment horizontal="left" vertical="center"/>
    </xf>
    <xf numFmtId="199" fontId="107" fillId="0" borderId="1" xfId="0" applyNumberFormat="1" applyFont="1" applyBorder="1" applyAlignment="1">
      <alignment horizontal="center" vertical="center"/>
    </xf>
    <xf numFmtId="0" fontId="105" fillId="0" borderId="1" xfId="0" applyFont="1" applyBorder="1" applyAlignment="1">
      <alignment horizontal="left" vertical="top"/>
    </xf>
    <xf numFmtId="2" fontId="105" fillId="0" borderId="1" xfId="0" applyNumberFormat="1" applyFont="1" applyBorder="1" applyAlignment="1">
      <alignment vertical="center"/>
    </xf>
    <xf numFmtId="2" fontId="105" fillId="0" borderId="1" xfId="0" applyNumberFormat="1" applyFont="1" applyBorder="1" applyAlignment="1">
      <alignment horizontal="right" vertical="top"/>
    </xf>
    <xf numFmtId="2" fontId="107" fillId="0" borderId="1" xfId="0" applyNumberFormat="1" applyFont="1" applyBorder="1" applyAlignment="1">
      <alignment horizontal="right" vertical="center"/>
    </xf>
    <xf numFmtId="1" fontId="107" fillId="0" borderId="1" xfId="0" applyNumberFormat="1" applyFont="1" applyBorder="1" applyAlignment="1">
      <alignment horizontal="right" vertical="center"/>
    </xf>
    <xf numFmtId="0" fontId="107" fillId="0" borderId="1" xfId="0" applyFont="1" applyBorder="1" applyAlignment="1" applyProtection="1">
      <alignment horizontal="center" vertical="top" wrapText="1"/>
      <protection hidden="1"/>
    </xf>
    <xf numFmtId="0" fontId="107" fillId="0" borderId="1" xfId="0" applyFont="1" applyBorder="1" applyAlignment="1" applyProtection="1">
      <alignment horizontal="center" vertical="top"/>
      <protection hidden="1"/>
    </xf>
    <xf numFmtId="0" fontId="105" fillId="0" borderId="1" xfId="0" applyFont="1" applyBorder="1" applyAlignment="1" applyProtection="1">
      <alignment horizontal="center"/>
      <protection hidden="1"/>
    </xf>
    <xf numFmtId="0" fontId="107" fillId="0" borderId="1" xfId="0" applyFont="1" applyBorder="1" applyAlignment="1" applyProtection="1">
      <alignment horizontal="left" vertical="center"/>
      <protection hidden="1"/>
    </xf>
    <xf numFmtId="2" fontId="105" fillId="0" borderId="1" xfId="0" applyNumberFormat="1" applyFont="1" applyBorder="1" applyAlignment="1" applyProtection="1">
      <alignment horizontal="center"/>
      <protection hidden="1"/>
    </xf>
    <xf numFmtId="0" fontId="105" fillId="0" borderId="1" xfId="0" applyFont="1" applyBorder="1" applyAlignment="1" applyProtection="1">
      <alignment horizontal="right"/>
      <protection hidden="1"/>
    </xf>
    <xf numFmtId="0" fontId="107" fillId="0" borderId="1" xfId="0" applyFont="1" applyBorder="1" applyAlignment="1" applyProtection="1">
      <alignment horizontal="left"/>
      <protection hidden="1"/>
    </xf>
    <xf numFmtId="0" fontId="107" fillId="0" borderId="1" xfId="0" applyFont="1" applyBorder="1" applyAlignment="1" applyProtection="1">
      <alignment vertical="center"/>
      <protection hidden="1"/>
    </xf>
    <xf numFmtId="2" fontId="107" fillId="0" borderId="1" xfId="0" applyNumberFormat="1" applyFont="1" applyBorder="1" applyAlignment="1" applyProtection="1">
      <alignment horizontal="left" vertical="center"/>
      <protection hidden="1"/>
    </xf>
    <xf numFmtId="0" fontId="107" fillId="0" borderId="1" xfId="0" applyFont="1" applyBorder="1" applyAlignment="1" applyProtection="1">
      <alignment horizontal="center"/>
      <protection hidden="1"/>
    </xf>
    <xf numFmtId="184" fontId="105" fillId="0" borderId="1" xfId="0" applyNumberFormat="1" applyFont="1" applyBorder="1" applyAlignment="1" applyProtection="1">
      <alignment horizontal="center"/>
      <protection hidden="1"/>
    </xf>
    <xf numFmtId="2" fontId="105" fillId="0" borderId="1" xfId="0" applyNumberFormat="1" applyFont="1" applyBorder="1" applyAlignment="1" applyProtection="1">
      <alignment horizontal="left" vertical="center"/>
      <protection hidden="1"/>
    </xf>
    <xf numFmtId="2" fontId="105" fillId="0" borderId="1" xfId="0" applyNumberFormat="1" applyFont="1" applyBorder="1" applyAlignment="1" applyProtection="1">
      <alignment horizontal="center" vertical="top"/>
      <protection hidden="1"/>
    </xf>
    <xf numFmtId="2" fontId="105" fillId="0" borderId="1" xfId="0" applyNumberFormat="1" applyFont="1" applyBorder="1" applyAlignment="1" applyProtection="1">
      <alignment horizontal="right"/>
      <protection hidden="1"/>
    </xf>
    <xf numFmtId="0" fontId="105" fillId="0" borderId="1" xfId="0" applyFont="1" applyBorder="1" applyAlignment="1" applyProtection="1">
      <alignment horizontal="left" vertical="center"/>
      <protection hidden="1"/>
    </xf>
    <xf numFmtId="2" fontId="107" fillId="0" borderId="1" xfId="0" applyNumberFormat="1" applyFont="1" applyBorder="1" applyAlignment="1" applyProtection="1">
      <alignment horizontal="center"/>
      <protection hidden="1"/>
    </xf>
    <xf numFmtId="2" fontId="107" fillId="0" borderId="1" xfId="0" applyNumberFormat="1" applyFont="1" applyBorder="1" applyAlignment="1" applyProtection="1">
      <alignment horizontal="right"/>
      <protection hidden="1"/>
    </xf>
    <xf numFmtId="199" fontId="105" fillId="0" borderId="1" xfId="0" applyNumberFormat="1" applyFont="1" applyBorder="1" applyAlignment="1">
      <alignment horizontal="center" vertical="center"/>
    </xf>
    <xf numFmtId="0" fontId="105" fillId="0" borderId="1" xfId="0" applyFont="1" applyBorder="1" applyAlignment="1" applyProtection="1">
      <alignment horizontal="center" vertical="top"/>
      <protection hidden="1"/>
    </xf>
    <xf numFmtId="2" fontId="105" fillId="0" borderId="1" xfId="0" applyNumberFormat="1" applyFont="1" applyBorder="1" applyAlignment="1" applyProtection="1">
      <alignment horizontal="right" vertical="top"/>
      <protection hidden="1"/>
    </xf>
    <xf numFmtId="0" fontId="108" fillId="0" borderId="1" xfId="0" applyFont="1" applyBorder="1" applyAlignment="1">
      <alignment horizontal="justify" vertical="top" wrapText="1"/>
    </xf>
    <xf numFmtId="2" fontId="105" fillId="0" borderId="1" xfId="0" applyNumberFormat="1" applyFont="1" applyBorder="1" applyAlignment="1">
      <alignment horizontal="justify" vertical="top" wrapText="1"/>
    </xf>
    <xf numFmtId="0" fontId="107" fillId="0" borderId="1" xfId="0" applyFont="1" applyBorder="1" applyAlignment="1">
      <alignment horizontal="left" vertical="center" wrapText="1"/>
    </xf>
    <xf numFmtId="0" fontId="107" fillId="0" borderId="1" xfId="0" applyFont="1" applyBorder="1" applyAlignment="1">
      <alignment horizontal="right" vertical="center"/>
    </xf>
    <xf numFmtId="0" fontId="107" fillId="0" borderId="1" xfId="0" applyFont="1" applyBorder="1" applyAlignment="1">
      <alignment vertical="center"/>
    </xf>
    <xf numFmtId="2" fontId="107" fillId="0" borderId="1" xfId="0" applyNumberFormat="1" applyFont="1" applyBorder="1" applyAlignment="1">
      <alignment vertical="center" shrinkToFit="1"/>
    </xf>
    <xf numFmtId="2" fontId="108" fillId="0" borderId="1" xfId="0" applyNumberFormat="1" applyFont="1" applyBorder="1" applyAlignment="1">
      <alignment horizontal="right" vertical="center"/>
    </xf>
    <xf numFmtId="2" fontId="105" fillId="0" borderId="1" xfId="0" applyNumberFormat="1" applyFont="1" applyBorder="1" applyAlignment="1">
      <alignment vertical="center" shrinkToFit="1"/>
    </xf>
    <xf numFmtId="0" fontId="107" fillId="0" borderId="1" xfId="0" applyFont="1" applyBorder="1" applyAlignment="1">
      <alignment horizontal="center" vertical="top" wrapText="1"/>
    </xf>
    <xf numFmtId="10" fontId="107" fillId="0" borderId="1" xfId="0" applyNumberFormat="1" applyFont="1" applyBorder="1" applyAlignment="1">
      <alignment horizontal="center" vertical="center"/>
    </xf>
    <xf numFmtId="0" fontId="105" fillId="8" borderId="1" xfId="0" applyFont="1" applyFill="1" applyBorder="1" applyAlignment="1">
      <alignment horizontal="left" vertical="center"/>
    </xf>
    <xf numFmtId="0" fontId="105" fillId="8" borderId="1" xfId="0" applyFont="1" applyFill="1" applyBorder="1" applyAlignment="1">
      <alignment vertical="center"/>
    </xf>
    <xf numFmtId="2" fontId="105" fillId="8" borderId="1" xfId="0" applyNumberFormat="1" applyFont="1" applyFill="1" applyBorder="1" applyAlignment="1">
      <alignment vertical="center"/>
    </xf>
    <xf numFmtId="171" fontId="105" fillId="8" borderId="1" xfId="0" applyNumberFormat="1" applyFont="1" applyFill="1" applyBorder="1" applyAlignment="1">
      <alignment vertical="center"/>
    </xf>
    <xf numFmtId="0" fontId="105" fillId="0" borderId="1" xfId="0" applyFont="1" applyBorder="1"/>
    <xf numFmtId="0" fontId="105" fillId="8" borderId="1" xfId="0" applyFont="1" applyFill="1" applyBorder="1"/>
    <xf numFmtId="0" fontId="105" fillId="8" borderId="1" xfId="0" applyFont="1" applyFill="1" applyBorder="1" applyAlignment="1">
      <alignment horizontal="left" vertical="center" wrapText="1"/>
    </xf>
    <xf numFmtId="0" fontId="107" fillId="0" borderId="1" xfId="0" applyFont="1" applyBorder="1"/>
    <xf numFmtId="0" fontId="107" fillId="8" borderId="1" xfId="0" applyFont="1" applyFill="1" applyBorder="1"/>
    <xf numFmtId="2" fontId="105" fillId="8" borderId="1" xfId="0" applyNumberFormat="1" applyFont="1" applyFill="1" applyBorder="1"/>
    <xf numFmtId="2" fontId="107" fillId="8" borderId="1" xfId="0" applyNumberFormat="1" applyFont="1" applyFill="1" applyBorder="1" applyAlignment="1">
      <alignment horizontal="right"/>
    </xf>
    <xf numFmtId="0" fontId="109" fillId="0" borderId="0" xfId="0" applyFont="1" applyAlignment="1">
      <alignment vertical="center"/>
    </xf>
    <xf numFmtId="0" fontId="107" fillId="4" borderId="1" xfId="0" applyFont="1" applyFill="1" applyBorder="1" applyAlignment="1">
      <alignment horizontal="center" vertical="top"/>
    </xf>
    <xf numFmtId="2" fontId="105" fillId="4" borderId="1" xfId="0" applyNumberFormat="1" applyFont="1" applyFill="1" applyBorder="1" applyAlignment="1">
      <alignment horizontal="center" vertical="center"/>
    </xf>
    <xf numFmtId="0" fontId="105" fillId="4" borderId="1" xfId="0" applyFont="1" applyFill="1" applyBorder="1" applyAlignment="1">
      <alignment vertical="center"/>
    </xf>
    <xf numFmtId="0" fontId="107" fillId="4" borderId="1" xfId="0" applyFont="1" applyFill="1" applyBorder="1" applyAlignment="1">
      <alignment horizontal="left" vertical="center"/>
    </xf>
    <xf numFmtId="2" fontId="105" fillId="4" borderId="1" xfId="0" applyNumberFormat="1" applyFont="1" applyFill="1" applyBorder="1" applyAlignment="1">
      <alignment horizontal="left" vertical="center"/>
    </xf>
    <xf numFmtId="0" fontId="105" fillId="4" borderId="1" xfId="0" applyFont="1" applyFill="1" applyBorder="1" applyAlignment="1">
      <alignment horizontal="left" vertical="center"/>
    </xf>
    <xf numFmtId="171" fontId="105" fillId="4" borderId="1" xfId="0" applyNumberFormat="1" applyFont="1" applyFill="1" applyBorder="1" applyAlignment="1">
      <alignment horizontal="right" vertical="center"/>
    </xf>
    <xf numFmtId="0" fontId="107" fillId="4" borderId="1" xfId="0" applyFont="1" applyFill="1" applyBorder="1" applyAlignment="1">
      <alignment horizontal="center" vertical="center"/>
    </xf>
    <xf numFmtId="2" fontId="107" fillId="4" borderId="1" xfId="0" applyNumberFormat="1" applyFont="1" applyFill="1" applyBorder="1" applyAlignment="1">
      <alignment horizontal="center" vertical="center" wrapText="1"/>
    </xf>
    <xf numFmtId="0" fontId="107" fillId="4" borderId="1" xfId="0" applyFont="1" applyFill="1" applyBorder="1" applyAlignment="1">
      <alignment horizontal="center" vertical="center" wrapText="1"/>
    </xf>
    <xf numFmtId="171" fontId="107" fillId="4" borderId="1" xfId="0" applyNumberFormat="1" applyFont="1" applyFill="1" applyBorder="1" applyAlignment="1">
      <alignment horizontal="right" vertical="center"/>
    </xf>
    <xf numFmtId="0" fontId="105" fillId="4" borderId="1" xfId="0" applyFont="1" applyFill="1" applyBorder="1" applyAlignment="1">
      <alignment horizontal="center" vertical="center"/>
    </xf>
    <xf numFmtId="2" fontId="105" fillId="4" borderId="1" xfId="0" applyNumberFormat="1" applyFont="1" applyFill="1" applyBorder="1" applyAlignment="1">
      <alignment horizontal="right" vertical="center"/>
    </xf>
    <xf numFmtId="9" fontId="105" fillId="4" borderId="1" xfId="0" applyNumberFormat="1" applyFont="1" applyFill="1" applyBorder="1" applyAlignment="1">
      <alignment horizontal="center" vertical="center"/>
    </xf>
    <xf numFmtId="2" fontId="107" fillId="4" borderId="1" xfId="0" applyNumberFormat="1" applyFont="1" applyFill="1" applyBorder="1" applyAlignment="1">
      <alignment horizontal="right" vertical="center"/>
    </xf>
    <xf numFmtId="0" fontId="105" fillId="4" borderId="1" xfId="0" applyFont="1" applyFill="1" applyBorder="1" applyAlignment="1">
      <alignment horizontal="left" vertical="center" wrapText="1"/>
    </xf>
    <xf numFmtId="2" fontId="105" fillId="4" borderId="1" xfId="0" applyNumberFormat="1" applyFont="1" applyFill="1" applyBorder="1" applyAlignment="1">
      <alignment horizontal="center" vertical="center" wrapText="1"/>
    </xf>
    <xf numFmtId="2" fontId="107" fillId="4" borderId="1" xfId="0" applyNumberFormat="1" applyFont="1" applyFill="1" applyBorder="1" applyAlignment="1">
      <alignment horizontal="left" vertical="center"/>
    </xf>
    <xf numFmtId="199" fontId="105" fillId="4" borderId="1" xfId="0" applyNumberFormat="1" applyFont="1" applyFill="1" applyBorder="1" applyAlignment="1">
      <alignment horizontal="center" vertical="center"/>
    </xf>
    <xf numFmtId="2" fontId="105" fillId="4" borderId="1" xfId="0" applyNumberFormat="1" applyFont="1" applyFill="1" applyBorder="1" applyAlignment="1">
      <alignment vertical="center"/>
    </xf>
    <xf numFmtId="171" fontId="107" fillId="4" borderId="1" xfId="0" applyNumberFormat="1" applyFont="1" applyFill="1" applyBorder="1" applyAlignment="1">
      <alignment horizontal="center" vertical="center"/>
    </xf>
    <xf numFmtId="0" fontId="105" fillId="0" borderId="1" xfId="0" applyFont="1" applyBorder="1" applyAlignment="1">
      <alignment vertical="top" wrapText="1"/>
    </xf>
    <xf numFmtId="0" fontId="110" fillId="0" borderId="1" xfId="0" applyFont="1" applyBorder="1" applyAlignment="1">
      <alignment horizontal="left" vertical="center"/>
    </xf>
    <xf numFmtId="2" fontId="105" fillId="0" borderId="1" xfId="0" applyNumberFormat="1" applyFont="1" applyBorder="1" applyAlignment="1">
      <alignment vertical="center" wrapText="1"/>
    </xf>
    <xf numFmtId="0" fontId="105" fillId="0" borderId="1" xfId="0" applyFont="1" applyBorder="1" applyAlignment="1">
      <alignment vertical="center" wrapText="1"/>
    </xf>
    <xf numFmtId="2" fontId="107" fillId="0" borderId="1" xfId="0" applyNumberFormat="1" applyFont="1" applyBorder="1" applyAlignment="1">
      <alignment horizontal="center" vertical="center"/>
    </xf>
    <xf numFmtId="171" fontId="105" fillId="0" borderId="1" xfId="0" applyNumberFormat="1" applyFont="1" applyBorder="1" applyAlignment="1">
      <alignment horizontal="right" vertical="center"/>
    </xf>
    <xf numFmtId="171" fontId="107" fillId="0" borderId="1" xfId="0" applyNumberFormat="1" applyFont="1" applyBorder="1" applyAlignment="1">
      <alignment horizontal="right" vertical="center"/>
    </xf>
    <xf numFmtId="2" fontId="105" fillId="3" borderId="1" xfId="0" applyNumberFormat="1" applyFont="1" applyFill="1" applyBorder="1" applyAlignment="1">
      <alignment horizontal="center" vertical="center"/>
    </xf>
    <xf numFmtId="2" fontId="105" fillId="3" borderId="1" xfId="0" applyNumberFormat="1" applyFont="1" applyFill="1" applyBorder="1" applyAlignment="1">
      <alignment horizontal="left" vertical="center"/>
    </xf>
    <xf numFmtId="0" fontId="105" fillId="3" borderId="1" xfId="0" applyFont="1" applyFill="1" applyBorder="1" applyAlignment="1">
      <alignment horizontal="left" vertical="center" wrapText="1"/>
    </xf>
    <xf numFmtId="0" fontId="105" fillId="0" borderId="1" xfId="0" applyFont="1" applyBorder="1" applyAlignment="1">
      <alignment horizontal="justify" vertical="center" wrapText="1"/>
    </xf>
    <xf numFmtId="171" fontId="107" fillId="0" borderId="1" xfId="0" applyNumberFormat="1" applyFont="1" applyBorder="1" applyAlignment="1">
      <alignment horizontal="center" vertical="center"/>
    </xf>
    <xf numFmtId="0" fontId="108" fillId="0" borderId="1" xfId="0" applyFont="1" applyBorder="1" applyAlignment="1">
      <alignment horizontal="center" vertical="center"/>
    </xf>
    <xf numFmtId="0" fontId="108" fillId="0" borderId="1" xfId="0" applyFont="1" applyBorder="1" applyAlignment="1">
      <alignment horizontal="left" vertical="center"/>
    </xf>
    <xf numFmtId="0" fontId="105" fillId="3" borderId="1" xfId="0" applyFont="1" applyFill="1" applyBorder="1" applyAlignment="1">
      <alignment horizontal="left" vertical="center"/>
    </xf>
    <xf numFmtId="0" fontId="105" fillId="0" borderId="1" xfId="0" applyFont="1" applyBorder="1" applyAlignment="1">
      <alignment horizontal="left" vertical="center" wrapText="1" shrinkToFit="1"/>
    </xf>
    <xf numFmtId="0" fontId="108" fillId="0" borderId="1" xfId="0" applyFont="1" applyBorder="1" applyAlignment="1">
      <alignment vertical="center"/>
    </xf>
    <xf numFmtId="181" fontId="105" fillId="0" borderId="1" xfId="0" applyNumberFormat="1" applyFont="1" applyBorder="1" applyAlignment="1">
      <alignment horizontal="center" vertical="center"/>
    </xf>
    <xf numFmtId="184" fontId="105" fillId="0" borderId="1" xfId="0" applyNumberFormat="1" applyFont="1" applyBorder="1" applyAlignment="1">
      <alignment horizontal="center" vertical="center"/>
    </xf>
    <xf numFmtId="0" fontId="105" fillId="0" borderId="1" xfId="3756" applyFont="1" applyBorder="1"/>
    <xf numFmtId="2" fontId="105" fillId="0" borderId="1" xfId="0" applyNumberFormat="1" applyFont="1" applyBorder="1" applyAlignment="1">
      <alignment horizontal="center" vertical="top"/>
    </xf>
    <xf numFmtId="2" fontId="105" fillId="9" borderId="1" xfId="0" applyNumberFormat="1" applyFont="1" applyFill="1" applyBorder="1" applyAlignment="1">
      <alignment horizontal="center" vertical="center"/>
    </xf>
    <xf numFmtId="0" fontId="105" fillId="9" borderId="1" xfId="0" applyFont="1" applyFill="1" applyBorder="1" applyAlignment="1">
      <alignment horizontal="left" vertical="center"/>
    </xf>
    <xf numFmtId="2" fontId="105" fillId="5" borderId="1" xfId="0" applyNumberFormat="1" applyFont="1" applyFill="1" applyBorder="1" applyAlignment="1">
      <alignment horizontal="center" vertical="center"/>
    </xf>
    <xf numFmtId="2" fontId="105" fillId="0" borderId="1" xfId="3756" applyNumberFormat="1" applyFont="1" applyBorder="1" applyAlignment="1">
      <alignment horizontal="center" vertical="top"/>
    </xf>
    <xf numFmtId="2" fontId="105" fillId="0" borderId="1" xfId="3756" applyNumberFormat="1" applyFont="1" applyBorder="1" applyAlignment="1">
      <alignment horizontal="left" vertical="center" wrapText="1"/>
    </xf>
    <xf numFmtId="2" fontId="107" fillId="0" borderId="1" xfId="3756" applyNumberFormat="1" applyFont="1" applyBorder="1" applyAlignment="1">
      <alignment horizontal="right" vertical="center"/>
    </xf>
    <xf numFmtId="2" fontId="105" fillId="0" borderId="1" xfId="0" applyNumberFormat="1" applyFont="1" applyBorder="1" applyAlignment="1">
      <alignment horizontal="center"/>
    </xf>
    <xf numFmtId="0" fontId="107" fillId="10" borderId="1" xfId="0" applyFont="1" applyFill="1" applyBorder="1" applyAlignment="1">
      <alignment horizontal="center" vertical="top"/>
    </xf>
    <xf numFmtId="0" fontId="105" fillId="0" borderId="1" xfId="0" applyFont="1" applyBorder="1" applyAlignment="1">
      <alignment horizontal="center"/>
    </xf>
    <xf numFmtId="0" fontId="105" fillId="0" borderId="1" xfId="0" applyFont="1" applyBorder="1" applyAlignment="1">
      <alignment horizontal="center" vertical="center" wrapText="1"/>
    </xf>
    <xf numFmtId="2" fontId="105" fillId="0" borderId="1" xfId="3756" applyNumberFormat="1" applyFont="1" applyBorder="1" applyAlignment="1">
      <alignment horizontal="left" vertical="center"/>
    </xf>
    <xf numFmtId="0" fontId="111" fillId="7" borderId="1" xfId="0" applyFont="1" applyFill="1" applyBorder="1" applyAlignment="1">
      <alignment horizontal="left" vertical="center" wrapText="1"/>
    </xf>
    <xf numFmtId="184" fontId="105" fillId="0" borderId="0" xfId="3756" applyNumberFormat="1" applyFont="1"/>
    <xf numFmtId="171" fontId="105" fillId="0" borderId="0" xfId="3756" applyNumberFormat="1" applyFont="1"/>
    <xf numFmtId="2" fontId="105" fillId="11" borderId="1" xfId="0" applyNumberFormat="1" applyFont="1" applyFill="1" applyBorder="1" applyAlignment="1">
      <alignment horizontal="center" vertical="center"/>
    </xf>
    <xf numFmtId="0" fontId="105" fillId="11" borderId="1" xfId="0" applyFont="1" applyFill="1" applyBorder="1" applyAlignment="1">
      <alignment horizontal="left" vertical="center" wrapText="1"/>
    </xf>
    <xf numFmtId="2" fontId="105" fillId="11" borderId="1" xfId="0" applyNumberFormat="1" applyFont="1" applyFill="1" applyBorder="1" applyAlignment="1">
      <alignment horizontal="right" vertical="center"/>
    </xf>
    <xf numFmtId="0" fontId="107" fillId="0" borderId="1" xfId="3756" applyFont="1" applyBorder="1" applyAlignment="1">
      <alignment horizontal="center" vertical="top"/>
    </xf>
    <xf numFmtId="0" fontId="105" fillId="0" borderId="1" xfId="3756" applyFont="1" applyBorder="1" applyAlignment="1">
      <alignment horizontal="center" vertical="center"/>
    </xf>
    <xf numFmtId="0" fontId="105" fillId="0" borderId="1" xfId="3756" applyFont="1" applyBorder="1" applyAlignment="1">
      <alignment horizontal="left" vertical="top"/>
    </xf>
    <xf numFmtId="0" fontId="105" fillId="0" borderId="1" xfId="3756" applyFont="1" applyBorder="1" applyAlignment="1">
      <alignment horizontal="left" vertical="center"/>
    </xf>
    <xf numFmtId="2" fontId="105" fillId="0" borderId="1" xfId="3756" applyNumberFormat="1" applyFont="1" applyBorder="1" applyAlignment="1">
      <alignment horizontal="center" vertical="center"/>
    </xf>
    <xf numFmtId="0" fontId="105" fillId="0" borderId="1" xfId="3756" applyFont="1" applyBorder="1" applyAlignment="1">
      <alignment horizontal="right" vertical="center"/>
    </xf>
    <xf numFmtId="0" fontId="107" fillId="0" borderId="1" xfId="3756" applyFont="1" applyBorder="1" applyAlignment="1">
      <alignment horizontal="left" vertical="top"/>
    </xf>
    <xf numFmtId="0" fontId="105" fillId="0" borderId="1" xfId="3756" applyFont="1" applyBorder="1" applyAlignment="1">
      <alignment horizontal="left"/>
    </xf>
    <xf numFmtId="2" fontId="105" fillId="0" borderId="1" xfId="3756" applyNumberFormat="1" applyFont="1" applyBorder="1"/>
    <xf numFmtId="0" fontId="107" fillId="0" borderId="1" xfId="3756" applyFont="1" applyBorder="1" applyAlignment="1">
      <alignment horizontal="center"/>
    </xf>
    <xf numFmtId="0" fontId="107" fillId="0" borderId="1" xfId="3756" applyFont="1" applyBorder="1" applyAlignment="1">
      <alignment horizontal="left" vertical="center"/>
    </xf>
    <xf numFmtId="2" fontId="105" fillId="0" borderId="1" xfId="3756" applyNumberFormat="1" applyFont="1" applyBorder="1" applyAlignment="1">
      <alignment horizontal="center"/>
    </xf>
    <xf numFmtId="2" fontId="105" fillId="0" borderId="1" xfId="3756" applyNumberFormat="1" applyFont="1" applyBorder="1" applyAlignment="1">
      <alignment horizontal="right" vertical="center"/>
    </xf>
    <xf numFmtId="0" fontId="105" fillId="0" borderId="1" xfId="3756" applyFont="1" applyBorder="1" applyAlignment="1">
      <alignment horizontal="left" vertical="top" wrapText="1"/>
    </xf>
    <xf numFmtId="0" fontId="105" fillId="0" borderId="1" xfId="3756" applyFont="1" applyBorder="1" applyAlignment="1">
      <alignment horizontal="left" vertical="top" shrinkToFit="1"/>
    </xf>
    <xf numFmtId="0" fontId="105" fillId="0" borderId="1" xfId="3756" applyFont="1" applyBorder="1" applyAlignment="1">
      <alignment horizontal="left" vertical="center" wrapText="1"/>
    </xf>
    <xf numFmtId="2" fontId="105" fillId="0" borderId="1" xfId="0" applyNumberFormat="1" applyFont="1" applyBorder="1" applyAlignment="1" applyProtection="1">
      <alignment horizontal="center" vertical="center" wrapText="1"/>
      <protection hidden="1"/>
    </xf>
    <xf numFmtId="0" fontId="105" fillId="0" borderId="1" xfId="0" applyFont="1" applyBorder="1" applyAlignment="1" applyProtection="1">
      <alignment vertical="center" wrapText="1"/>
      <protection hidden="1"/>
    </xf>
    <xf numFmtId="0" fontId="105" fillId="0" borderId="1" xfId="0" applyFont="1" applyBorder="1" applyAlignment="1" applyProtection="1">
      <alignment vertical="center"/>
      <protection hidden="1"/>
    </xf>
    <xf numFmtId="2" fontId="105" fillId="0" borderId="1" xfId="0" applyNumberFormat="1" applyFont="1" applyBorder="1" applyAlignment="1" applyProtection="1">
      <alignment horizontal="center" vertical="center"/>
      <protection hidden="1"/>
    </xf>
    <xf numFmtId="0" fontId="105" fillId="0" borderId="1" xfId="3756" applyFont="1" applyBorder="1" applyAlignment="1">
      <alignment horizontal="center"/>
    </xf>
    <xf numFmtId="0" fontId="107" fillId="0" borderId="1" xfId="0" applyFont="1" applyBorder="1" applyAlignment="1">
      <alignment horizontal="left" vertical="top"/>
    </xf>
    <xf numFmtId="0" fontId="107" fillId="0" borderId="1" xfId="3756" applyFont="1" applyBorder="1" applyAlignment="1">
      <alignment horizontal="left" vertical="top" shrinkToFit="1"/>
    </xf>
    <xf numFmtId="0" fontId="105" fillId="0" borderId="1" xfId="0" applyFont="1" applyBorder="1" applyAlignment="1">
      <alignment horizontal="left" vertical="top" wrapText="1" shrinkToFit="1"/>
    </xf>
    <xf numFmtId="2" fontId="105" fillId="0" borderId="0" xfId="3756" applyNumberFormat="1" applyFont="1"/>
    <xf numFmtId="0" fontId="107" fillId="0" borderId="1" xfId="0" applyFont="1" applyBorder="1" applyAlignment="1">
      <alignment horizontal="left" vertical="top" wrapText="1"/>
    </xf>
    <xf numFmtId="184" fontId="105" fillId="4" borderId="1" xfId="0" applyNumberFormat="1" applyFont="1" applyFill="1" applyBorder="1" applyAlignment="1">
      <alignment horizontal="center" vertical="center"/>
    </xf>
    <xf numFmtId="0" fontId="107" fillId="0" borderId="1" xfId="3756" applyFont="1" applyBorder="1" applyAlignment="1">
      <alignment horizontal="left" vertical="center" shrinkToFit="1"/>
    </xf>
    <xf numFmtId="184" fontId="105" fillId="5" borderId="1" xfId="0" applyNumberFormat="1" applyFont="1" applyFill="1" applyBorder="1" applyAlignment="1">
      <alignment horizontal="center" vertical="center"/>
    </xf>
    <xf numFmtId="2" fontId="107" fillId="0" borderId="1" xfId="0" applyNumberFormat="1" applyFont="1" applyBorder="1" applyAlignment="1">
      <alignment vertical="center"/>
    </xf>
    <xf numFmtId="10" fontId="105" fillId="0" borderId="1" xfId="0" applyNumberFormat="1" applyFont="1" applyBorder="1" applyAlignment="1">
      <alignment horizontal="center" vertical="center"/>
    </xf>
    <xf numFmtId="2" fontId="108" fillId="0" borderId="1" xfId="0" applyNumberFormat="1" applyFont="1" applyBorder="1" applyAlignment="1">
      <alignment vertical="center"/>
    </xf>
    <xf numFmtId="2" fontId="107" fillId="0" borderId="1" xfId="0" applyNumberFormat="1" applyFont="1" applyBorder="1" applyAlignment="1">
      <alignment horizontal="right" vertical="center" wrapText="1"/>
    </xf>
    <xf numFmtId="0" fontId="107" fillId="0" borderId="1" xfId="0" applyFont="1" applyBorder="1" applyAlignment="1">
      <alignment horizontal="right" vertical="center" wrapText="1"/>
    </xf>
    <xf numFmtId="171" fontId="105" fillId="0" borderId="1" xfId="0" applyNumberFormat="1" applyFont="1" applyBorder="1" applyAlignment="1">
      <alignment vertical="center"/>
    </xf>
    <xf numFmtId="0" fontId="108" fillId="0" borderId="1" xfId="0" applyFont="1" applyBorder="1" applyAlignment="1">
      <alignment horizontal="left" vertical="center" shrinkToFit="1"/>
    </xf>
    <xf numFmtId="0" fontId="105" fillId="0" borderId="1" xfId="0" applyFont="1" applyBorder="1" applyAlignment="1">
      <alignment horizontal="left" vertical="center" shrinkToFit="1"/>
    </xf>
    <xf numFmtId="2" fontId="105" fillId="7" borderId="1" xfId="0" applyNumberFormat="1" applyFont="1" applyFill="1" applyBorder="1" applyAlignment="1">
      <alignment horizontal="center" vertical="center"/>
    </xf>
    <xf numFmtId="2" fontId="105" fillId="7" borderId="1" xfId="0" applyNumberFormat="1" applyFont="1" applyFill="1" applyBorder="1" applyAlignment="1">
      <alignment horizontal="left" vertical="center"/>
    </xf>
    <xf numFmtId="0" fontId="111" fillId="7" borderId="1" xfId="0" applyFont="1" applyFill="1" applyBorder="1" applyAlignment="1">
      <alignment vertical="center" wrapText="1"/>
    </xf>
    <xf numFmtId="0" fontId="105" fillId="7" borderId="1" xfId="0" applyFont="1" applyFill="1" applyBorder="1" applyAlignment="1">
      <alignment horizontal="center" vertical="center" wrapText="1"/>
    </xf>
    <xf numFmtId="2" fontId="105" fillId="7" borderId="1" xfId="0" applyNumberFormat="1" applyFont="1" applyFill="1" applyBorder="1" applyAlignment="1">
      <alignment horizontal="right" vertical="center"/>
    </xf>
    <xf numFmtId="0" fontId="97" fillId="0" borderId="0" xfId="0" applyFont="1" applyAlignment="1" applyProtection="1">
      <alignment horizontal="center"/>
      <protection locked="0"/>
    </xf>
    <xf numFmtId="0" fontId="97" fillId="0" borderId="0" xfId="0" applyFont="1" applyAlignment="1" applyProtection="1">
      <alignment vertical="center"/>
      <protection locked="0"/>
    </xf>
    <xf numFmtId="0" fontId="97" fillId="4" borderId="0" xfId="0" applyFont="1" applyFill="1" applyAlignment="1" applyProtection="1">
      <alignment vertical="center"/>
      <protection locked="0"/>
    </xf>
    <xf numFmtId="0" fontId="97" fillId="0" borderId="0" xfId="0" applyFont="1" applyProtection="1">
      <protection locked="0"/>
    </xf>
    <xf numFmtId="0" fontId="100" fillId="0" borderId="1" xfId="0" applyFont="1" applyBorder="1" applyAlignment="1" applyProtection="1">
      <alignment horizontal="center" vertical="center" wrapText="1"/>
      <protection locked="0"/>
    </xf>
    <xf numFmtId="0" fontId="97" fillId="0" borderId="1" xfId="0" applyFont="1" applyBorder="1" applyAlignment="1" applyProtection="1">
      <alignment horizontal="center" vertical="center"/>
      <protection locked="0"/>
    </xf>
    <xf numFmtId="0" fontId="97" fillId="0" borderId="1" xfId="0" applyFont="1" applyBorder="1" applyAlignment="1" applyProtection="1">
      <alignment vertical="center" wrapText="1"/>
      <protection locked="0"/>
    </xf>
    <xf numFmtId="0" fontId="112" fillId="0" borderId="1" xfId="0" applyFont="1" applyBorder="1" applyAlignment="1" applyProtection="1">
      <alignment horizontal="center" vertical="center" wrapText="1"/>
      <protection locked="0"/>
    </xf>
    <xf numFmtId="1" fontId="97" fillId="0" borderId="1" xfId="0" applyNumberFormat="1" applyFont="1" applyBorder="1" applyAlignment="1" applyProtection="1">
      <alignment horizontal="center" vertical="center" wrapText="1"/>
      <protection locked="0"/>
    </xf>
    <xf numFmtId="2" fontId="97" fillId="0" borderId="1" xfId="0" applyNumberFormat="1" applyFont="1" applyBorder="1" applyAlignment="1" applyProtection="1">
      <alignment horizontal="right" vertical="center" wrapText="1"/>
      <protection locked="0"/>
    </xf>
    <xf numFmtId="0" fontId="113" fillId="0" borderId="1" xfId="0" applyFont="1" applyBorder="1" applyAlignment="1" applyProtection="1">
      <alignment horizontal="center" vertical="top" wrapText="1"/>
      <protection locked="0"/>
    </xf>
    <xf numFmtId="0" fontId="100" fillId="0" borderId="1" xfId="0" applyFont="1" applyBorder="1" applyAlignment="1" applyProtection="1">
      <alignment horizontal="left" vertical="center"/>
      <protection locked="0"/>
    </xf>
    <xf numFmtId="0" fontId="113" fillId="0" borderId="1" xfId="0" applyFont="1" applyBorder="1" applyAlignment="1" applyProtection="1">
      <alignment horizontal="center" vertical="center"/>
      <protection locked="0"/>
    </xf>
    <xf numFmtId="0" fontId="97" fillId="0" borderId="1" xfId="0" applyFont="1" applyBorder="1" applyAlignment="1" applyProtection="1">
      <alignment horizontal="right" vertical="center" wrapText="1"/>
      <protection locked="0"/>
    </xf>
    <xf numFmtId="0" fontId="97" fillId="0" borderId="1" xfId="0" applyFont="1" applyBorder="1" applyAlignment="1" applyProtection="1">
      <alignment vertical="center"/>
      <protection locked="0"/>
    </xf>
    <xf numFmtId="0" fontId="114" fillId="0" borderId="1" xfId="0" applyFont="1" applyBorder="1" applyAlignment="1" applyProtection="1">
      <alignment horizontal="center" vertical="top" wrapText="1"/>
      <protection locked="0"/>
    </xf>
    <xf numFmtId="1" fontId="97" fillId="4" borderId="1" xfId="0" applyNumberFormat="1" applyFont="1" applyFill="1" applyBorder="1" applyAlignment="1" applyProtection="1">
      <alignment horizontal="center" vertical="center" wrapText="1"/>
      <protection locked="0"/>
    </xf>
    <xf numFmtId="2" fontId="97" fillId="4" borderId="1" xfId="0" applyNumberFormat="1" applyFont="1" applyFill="1" applyBorder="1" applyAlignment="1" applyProtection="1">
      <alignment horizontal="right" vertical="center" wrapText="1"/>
      <protection locked="0"/>
    </xf>
    <xf numFmtId="0" fontId="97" fillId="4" borderId="1" xfId="0" applyFont="1" applyFill="1" applyBorder="1" applyAlignment="1" applyProtection="1">
      <alignment vertical="center" wrapText="1"/>
      <protection locked="0"/>
    </xf>
    <xf numFmtId="0" fontId="113" fillId="0" borderId="1" xfId="0" applyFont="1" applyBorder="1" applyAlignment="1" applyProtection="1">
      <alignment horizontal="center" vertical="center" wrapText="1"/>
      <protection locked="0"/>
    </xf>
    <xf numFmtId="0" fontId="97" fillId="3" borderId="1" xfId="0" applyFont="1" applyFill="1" applyBorder="1" applyAlignment="1" applyProtection="1">
      <alignment vertical="center"/>
      <protection locked="0"/>
    </xf>
    <xf numFmtId="0" fontId="97" fillId="4" borderId="1" xfId="0" applyFont="1" applyFill="1" applyBorder="1" applyAlignment="1" applyProtection="1">
      <alignment vertical="center"/>
      <protection locked="0"/>
    </xf>
    <xf numFmtId="0" fontId="113" fillId="4" borderId="1" xfId="0" applyFont="1" applyFill="1" applyBorder="1" applyAlignment="1" applyProtection="1">
      <alignment horizontal="center" vertical="center"/>
      <protection locked="0"/>
    </xf>
    <xf numFmtId="0" fontId="97" fillId="0" borderId="1" xfId="0" applyFont="1" applyBorder="1" applyAlignment="1" applyProtection="1">
      <alignment horizontal="right" vertical="center"/>
      <protection locked="0"/>
    </xf>
    <xf numFmtId="0" fontId="97" fillId="0" borderId="1" xfId="0" applyFont="1" applyBorder="1" applyProtection="1">
      <protection locked="0"/>
    </xf>
    <xf numFmtId="0" fontId="97" fillId="0" borderId="1" xfId="0" applyFont="1" applyBorder="1" applyAlignment="1" applyProtection="1">
      <alignment horizontal="right"/>
      <protection locked="0"/>
    </xf>
    <xf numFmtId="0" fontId="97" fillId="0" borderId="1" xfId="0" applyFont="1" applyBorder="1" applyAlignment="1" applyProtection="1">
      <alignment horizontal="left"/>
      <protection locked="0"/>
    </xf>
    <xf numFmtId="0" fontId="97" fillId="0" borderId="5" xfId="0" applyFont="1" applyBorder="1" applyProtection="1">
      <protection locked="0"/>
    </xf>
    <xf numFmtId="0" fontId="98" fillId="0" borderId="1" xfId="0" applyFont="1" applyBorder="1" applyProtection="1">
      <protection locked="0"/>
    </xf>
    <xf numFmtId="0" fontId="98" fillId="0" borderId="1" xfId="0" applyFont="1" applyBorder="1" applyAlignment="1" applyProtection="1">
      <alignment horizontal="right"/>
      <protection locked="0"/>
    </xf>
    <xf numFmtId="0" fontId="97" fillId="0" borderId="5" xfId="0" applyFont="1" applyBorder="1" applyAlignment="1" applyProtection="1">
      <alignment vertical="center" wrapText="1"/>
      <protection locked="0"/>
    </xf>
    <xf numFmtId="0" fontId="98" fillId="0" borderId="1" xfId="0" applyFont="1" applyBorder="1" applyAlignment="1" applyProtection="1">
      <alignment horizontal="right" vertical="center"/>
      <protection locked="0"/>
    </xf>
    <xf numFmtId="0" fontId="97" fillId="0" borderId="5" xfId="0" applyFont="1" applyBorder="1" applyAlignment="1" applyProtection="1">
      <alignment vertical="center"/>
      <protection locked="0"/>
    </xf>
    <xf numFmtId="0" fontId="98" fillId="3" borderId="1" xfId="0" applyFont="1" applyFill="1" applyBorder="1" applyProtection="1">
      <protection locked="0"/>
    </xf>
    <xf numFmtId="0" fontId="113" fillId="0" borderId="10" xfId="0" applyFont="1" applyBorder="1" applyAlignment="1" applyProtection="1">
      <alignment horizontal="center"/>
      <protection locked="0"/>
    </xf>
    <xf numFmtId="0" fontId="97" fillId="0" borderId="1" xfId="0" applyFont="1" applyBorder="1" applyAlignment="1" applyProtection="1">
      <alignment horizontal="center"/>
      <protection locked="0"/>
    </xf>
    <xf numFmtId="2" fontId="115" fillId="0" borderId="1" xfId="0" applyNumberFormat="1" applyFont="1" applyBorder="1" applyAlignment="1" applyProtection="1">
      <alignment horizontal="right"/>
      <protection locked="0"/>
    </xf>
    <xf numFmtId="2" fontId="97" fillId="0" borderId="1" xfId="0" applyNumberFormat="1" applyFont="1" applyBorder="1" applyAlignment="1" applyProtection="1">
      <alignment horizontal="right"/>
      <protection locked="0"/>
    </xf>
    <xf numFmtId="0" fontId="99" fillId="0" borderId="1" xfId="0" applyFont="1" applyBorder="1" applyAlignment="1" applyProtection="1">
      <alignment horizontal="center"/>
      <protection locked="0"/>
    </xf>
    <xf numFmtId="0" fontId="113" fillId="0" borderId="1" xfId="0" applyFont="1" applyBorder="1" applyAlignment="1" applyProtection="1">
      <alignment horizontal="center"/>
      <protection locked="0"/>
    </xf>
    <xf numFmtId="2" fontId="115" fillId="0" borderId="1" xfId="0" applyNumberFormat="1" applyFont="1" applyBorder="1" applyProtection="1">
      <protection locked="0"/>
    </xf>
    <xf numFmtId="0" fontId="98" fillId="0" borderId="1" xfId="0" applyFont="1" applyBorder="1" applyAlignment="1" applyProtection="1">
      <alignment horizontal="center"/>
      <protection locked="0"/>
    </xf>
    <xf numFmtId="0" fontId="97" fillId="0" borderId="7" xfId="0" applyFont="1" applyBorder="1" applyProtection="1">
      <protection locked="0"/>
    </xf>
    <xf numFmtId="2" fontId="97" fillId="0" borderId="1" xfId="0" applyNumberFormat="1" applyFont="1" applyBorder="1" applyProtection="1">
      <protection locked="0"/>
    </xf>
    <xf numFmtId="0" fontId="99" fillId="0" borderId="10" xfId="0" applyFont="1" applyBorder="1" applyAlignment="1" applyProtection="1">
      <alignment horizontal="center"/>
      <protection locked="0"/>
    </xf>
    <xf numFmtId="0" fontId="116" fillId="0" borderId="0" xfId="0" applyFont="1"/>
    <xf numFmtId="0" fontId="98" fillId="0" borderId="0" xfId="0" applyFont="1"/>
    <xf numFmtId="2" fontId="97" fillId="0" borderId="0" xfId="0" applyNumberFormat="1" applyFont="1" applyAlignment="1">
      <alignment horizontal="center"/>
    </xf>
    <xf numFmtId="0" fontId="98" fillId="0" borderId="0" xfId="0" applyFont="1" applyAlignment="1">
      <alignment horizontal="center"/>
    </xf>
    <xf numFmtId="0" fontId="97" fillId="0" borderId="0" xfId="0" applyFont="1" applyAlignment="1">
      <alignment horizontal="center"/>
    </xf>
    <xf numFmtId="0" fontId="98" fillId="0" borderId="0" xfId="0" applyFont="1" applyAlignment="1">
      <alignment vertical="center"/>
    </xf>
    <xf numFmtId="0" fontId="97" fillId="0" borderId="0" xfId="0" applyFont="1" applyAlignment="1">
      <alignment horizontal="center" vertical="center" wrapText="1"/>
    </xf>
    <xf numFmtId="9" fontId="117" fillId="0" borderId="1" xfId="0" applyNumberFormat="1" applyFont="1" applyBorder="1" applyAlignment="1" applyProtection="1">
      <alignment horizontal="center" vertical="center" wrapText="1"/>
      <protection locked="0"/>
    </xf>
    <xf numFmtId="0" fontId="117" fillId="0" borderId="1" xfId="0" applyFont="1" applyBorder="1" applyAlignment="1" applyProtection="1">
      <alignment horizontal="center" vertical="center" wrapText="1"/>
      <protection locked="0"/>
    </xf>
    <xf numFmtId="0" fontId="98" fillId="0" borderId="0" xfId="0" applyFont="1" applyProtection="1">
      <protection locked="0"/>
    </xf>
    <xf numFmtId="0" fontId="118" fillId="3" borderId="1" xfId="0" applyFont="1" applyFill="1" applyBorder="1" applyProtection="1">
      <protection locked="0"/>
    </xf>
    <xf numFmtId="2" fontId="97" fillId="0" borderId="0" xfId="0" applyNumberFormat="1" applyFont="1" applyAlignment="1" applyProtection="1">
      <alignment horizontal="center"/>
      <protection locked="0"/>
    </xf>
    <xf numFmtId="2" fontId="97" fillId="0" borderId="0" xfId="0" applyNumberFormat="1" applyFont="1" applyAlignment="1" applyProtection="1">
      <alignment vertical="center"/>
      <protection locked="0"/>
    </xf>
    <xf numFmtId="2" fontId="97" fillId="3" borderId="1" xfId="0" applyNumberFormat="1" applyFont="1" applyFill="1" applyBorder="1" applyAlignment="1" applyProtection="1">
      <alignment horizontal="right" vertical="center" wrapText="1"/>
      <protection locked="0"/>
    </xf>
    <xf numFmtId="195" fontId="97" fillId="0" borderId="0" xfId="0" applyNumberFormat="1" applyFont="1" applyProtection="1">
      <protection locked="0"/>
    </xf>
    <xf numFmtId="2" fontId="98" fillId="0" borderId="5" xfId="0" applyNumberFormat="1" applyFont="1" applyBorder="1" applyAlignment="1">
      <alignment horizontal="center" vertical="center" wrapText="1"/>
    </xf>
    <xf numFmtId="2" fontId="97" fillId="0" borderId="0" xfId="0" applyNumberFormat="1" applyFont="1" applyAlignment="1">
      <alignment horizontal="center" vertical="center" wrapText="1"/>
    </xf>
    <xf numFmtId="0" fontId="117" fillId="0" borderId="0" xfId="0" applyFont="1" applyAlignment="1" applyProtection="1">
      <alignment horizontal="center" vertical="center" wrapText="1"/>
      <protection locked="0"/>
    </xf>
    <xf numFmtId="9" fontId="117" fillId="0" borderId="0" xfId="0" applyNumberFormat="1" applyFont="1" applyAlignment="1" applyProtection="1">
      <alignment horizontal="center" vertical="center" wrapText="1"/>
      <protection locked="0"/>
    </xf>
    <xf numFmtId="0" fontId="97" fillId="0" borderId="0" xfId="2079" applyFont="1" applyAlignment="1" applyProtection="1">
      <alignment horizontal="center" vertical="top"/>
      <protection locked="0"/>
    </xf>
    <xf numFmtId="0" fontId="97" fillId="0" borderId="0" xfId="2079" applyFont="1" applyAlignment="1" applyProtection="1">
      <alignment horizontal="center"/>
      <protection locked="0"/>
    </xf>
    <xf numFmtId="0" fontId="113" fillId="0" borderId="0" xfId="0" applyFont="1" applyProtection="1">
      <protection locked="0"/>
    </xf>
    <xf numFmtId="0" fontId="113" fillId="0" borderId="0" xfId="2192" applyFont="1" applyAlignment="1" applyProtection="1">
      <alignment horizontal="left"/>
      <protection locked="0"/>
    </xf>
    <xf numFmtId="0" fontId="97" fillId="0" borderId="0" xfId="2192" applyFont="1" applyAlignment="1" applyProtection="1">
      <alignment horizontal="center"/>
      <protection locked="0"/>
    </xf>
    <xf numFmtId="0" fontId="113" fillId="0" borderId="0" xfId="2192" applyFont="1" applyAlignment="1" applyProtection="1">
      <alignment horizontal="left" vertical="center"/>
      <protection locked="0"/>
    </xf>
    <xf numFmtId="0" fontId="113" fillId="0" borderId="0" xfId="2192" applyFont="1" applyAlignment="1" applyProtection="1">
      <alignment horizontal="center" vertical="top" wrapText="1"/>
      <protection locked="0"/>
    </xf>
    <xf numFmtId="0" fontId="97" fillId="0" borderId="0" xfId="2192" applyFont="1" applyAlignment="1" applyProtection="1">
      <alignment horizontal="center" vertical="top"/>
      <protection locked="0"/>
    </xf>
    <xf numFmtId="0" fontId="119" fillId="0" borderId="0" xfId="1618" applyAlignment="1">
      <alignment horizontal="center"/>
    </xf>
    <xf numFmtId="0" fontId="119" fillId="0" borderId="0" xfId="1618" applyAlignment="1">
      <alignment vertical="top"/>
    </xf>
    <xf numFmtId="0" fontId="119" fillId="0" borderId="0" xfId="1618" applyAlignment="1">
      <alignment vertical="center"/>
    </xf>
    <xf numFmtId="0" fontId="119" fillId="0" borderId="0" xfId="1618" applyAlignment="1">
      <alignment vertical="center" wrapText="1"/>
    </xf>
    <xf numFmtId="0" fontId="120" fillId="0" borderId="0" xfId="1618" applyFont="1" applyAlignment="1">
      <alignment vertical="top"/>
    </xf>
    <xf numFmtId="0" fontId="121" fillId="0" borderId="0" xfId="0" applyFont="1" applyAlignment="1">
      <alignment vertical="center"/>
    </xf>
    <xf numFmtId="0" fontId="119" fillId="0" borderId="0" xfId="1618"/>
    <xf numFmtId="0" fontId="121" fillId="0" borderId="7" xfId="1618" applyFont="1" applyBorder="1" applyAlignment="1">
      <alignment horizontal="center" vertical="center" wrapText="1"/>
    </xf>
    <xf numFmtId="0" fontId="121" fillId="0" borderId="1" xfId="1618" applyFont="1" applyBorder="1" applyAlignment="1">
      <alignment horizontal="center" wrapText="1"/>
    </xf>
    <xf numFmtId="0" fontId="121" fillId="0" borderId="1" xfId="1618" applyFont="1" applyBorder="1" applyAlignment="1">
      <alignment horizontal="center" vertical="center"/>
    </xf>
    <xf numFmtId="0" fontId="121" fillId="0" borderId="1" xfId="1618" applyFont="1" applyBorder="1" applyAlignment="1">
      <alignment horizontal="center"/>
    </xf>
    <xf numFmtId="0" fontId="121" fillId="0" borderId="1" xfId="1618" applyFont="1" applyBorder="1"/>
    <xf numFmtId="0" fontId="121" fillId="0" borderId="2" xfId="1618" applyFont="1" applyBorder="1" applyAlignment="1">
      <alignment horizontal="center"/>
    </xf>
    <xf numFmtId="0" fontId="121" fillId="0" borderId="2" xfId="1618" applyFont="1" applyBorder="1"/>
    <xf numFmtId="0" fontId="121" fillId="0" borderId="1" xfId="1618" applyFont="1" applyBorder="1" applyAlignment="1">
      <alignment horizontal="center" vertical="top"/>
    </xf>
    <xf numFmtId="0" fontId="121" fillId="0" borderId="1" xfId="1618" applyFont="1" applyBorder="1" applyAlignment="1">
      <alignment vertical="top"/>
    </xf>
    <xf numFmtId="0" fontId="119" fillId="0" borderId="1" xfId="1618" applyBorder="1" applyAlignment="1">
      <alignment horizontal="center" vertical="center"/>
    </xf>
    <xf numFmtId="0" fontId="119" fillId="0" borderId="1" xfId="1618" applyBorder="1" applyAlignment="1">
      <alignment horizontal="left" vertical="center" wrapText="1"/>
    </xf>
    <xf numFmtId="2" fontId="119" fillId="0" borderId="1" xfId="1618" applyNumberFormat="1" applyBorder="1" applyAlignment="1">
      <alignment vertical="center"/>
    </xf>
    <xf numFmtId="2" fontId="119" fillId="0" borderId="1" xfId="1618" applyNumberFormat="1" applyBorder="1" applyAlignment="1">
      <alignment horizontal="right" vertical="center"/>
    </xf>
    <xf numFmtId="2" fontId="119" fillId="0" borderId="0" xfId="1618" applyNumberFormat="1" applyAlignment="1">
      <alignment vertical="center"/>
    </xf>
    <xf numFmtId="0" fontId="121" fillId="0" borderId="1" xfId="1618" applyFont="1" applyBorder="1" applyAlignment="1">
      <alignment horizontal="center" vertical="center" wrapText="1"/>
    </xf>
    <xf numFmtId="2" fontId="121" fillId="0" borderId="1" xfId="1618" applyNumberFormat="1" applyFont="1" applyBorder="1" applyAlignment="1">
      <alignment vertical="center" wrapText="1"/>
    </xf>
    <xf numFmtId="1" fontId="119" fillId="0" borderId="1" xfId="1618" applyNumberFormat="1" applyBorder="1" applyAlignment="1">
      <alignment horizontal="center" vertical="center"/>
    </xf>
    <xf numFmtId="184" fontId="119" fillId="0" borderId="1" xfId="1618" applyNumberFormat="1" applyBorder="1" applyAlignment="1">
      <alignment vertical="center"/>
    </xf>
    <xf numFmtId="0" fontId="121" fillId="0" borderId="1" xfId="1618" applyFont="1" applyBorder="1" applyAlignment="1">
      <alignment horizontal="left" vertical="center"/>
    </xf>
    <xf numFmtId="2" fontId="119" fillId="0" borderId="1" xfId="1618" applyNumberFormat="1" applyBorder="1" applyAlignment="1">
      <alignment horizontal="center" vertical="center"/>
    </xf>
    <xf numFmtId="2" fontId="121" fillId="0" borderId="1" xfId="1618" applyNumberFormat="1" applyFont="1" applyBorder="1" applyAlignment="1">
      <alignment horizontal="right" vertical="center"/>
    </xf>
    <xf numFmtId="0" fontId="120" fillId="0" borderId="0" xfId="1618" applyFont="1" applyAlignment="1">
      <alignment horizontal="center" vertical="top"/>
    </xf>
    <xf numFmtId="0" fontId="120" fillId="0" borderId="0" xfId="1618" applyFont="1" applyAlignment="1">
      <alignment horizontal="left" vertical="top" wrapText="1"/>
    </xf>
    <xf numFmtId="0" fontId="119" fillId="0" borderId="0" xfId="1618" applyAlignment="1">
      <alignment horizontal="left" vertical="top" wrapText="1"/>
    </xf>
    <xf numFmtId="0" fontId="119" fillId="0" borderId="0" xfId="1618" applyAlignment="1">
      <alignment horizontal="center" vertical="top"/>
    </xf>
    <xf numFmtId="2" fontId="119" fillId="0" borderId="0" xfId="1618" applyNumberFormat="1" applyAlignment="1">
      <alignment vertical="top"/>
    </xf>
    <xf numFmtId="2" fontId="119" fillId="0" borderId="0" xfId="1618" applyNumberFormat="1" applyAlignment="1">
      <alignment horizontal="right" vertical="top"/>
    </xf>
    <xf numFmtId="0" fontId="121" fillId="0" borderId="0" xfId="0" applyFont="1" applyAlignment="1">
      <alignment horizontal="justify" vertical="center" wrapText="1"/>
    </xf>
    <xf numFmtId="0" fontId="121" fillId="0" borderId="0" xfId="0" applyFont="1" applyAlignment="1">
      <alignment horizontal="center" vertical="center" wrapText="1"/>
    </xf>
    <xf numFmtId="0" fontId="119" fillId="0" borderId="0" xfId="1618" applyAlignment="1">
      <alignment horizontal="center" vertical="center" wrapText="1"/>
    </xf>
    <xf numFmtId="0" fontId="119" fillId="0" borderId="0" xfId="1618" applyAlignment="1">
      <alignment horizontal="center" vertical="center"/>
    </xf>
    <xf numFmtId="0" fontId="119" fillId="0" borderId="0" xfId="1618" applyAlignment="1">
      <alignment horizontal="left" vertical="center" wrapText="1"/>
    </xf>
    <xf numFmtId="1" fontId="124" fillId="0" borderId="0" xfId="0" applyNumberFormat="1" applyFont="1" applyAlignment="1">
      <alignment vertical="center"/>
    </xf>
    <xf numFmtId="0" fontId="125" fillId="0" borderId="0" xfId="0" applyFont="1" applyAlignment="1">
      <alignment horizontal="center" vertical="center"/>
    </xf>
    <xf numFmtId="0" fontId="90" fillId="0" borderId="0" xfId="0" applyFont="1" applyAlignment="1">
      <alignment horizontal="center" vertical="center"/>
    </xf>
    <xf numFmtId="0" fontId="90" fillId="0" borderId="0" xfId="0" applyFont="1"/>
    <xf numFmtId="0" fontId="35" fillId="0" borderId="0" xfId="0" applyFont="1" applyAlignment="1">
      <alignment vertical="top"/>
    </xf>
    <xf numFmtId="0" fontId="90" fillId="0" borderId="0" xfId="0" applyFont="1" applyAlignment="1">
      <alignment vertical="center"/>
    </xf>
    <xf numFmtId="0" fontId="126" fillId="0" borderId="1" xfId="0" applyFont="1" applyBorder="1" applyAlignment="1">
      <alignment horizontal="center" vertical="top" wrapText="1"/>
    </xf>
    <xf numFmtId="0" fontId="126" fillId="0" borderId="1" xfId="0" applyFont="1" applyBorder="1" applyAlignment="1">
      <alignment horizontal="center" vertical="center" wrapText="1"/>
    </xf>
    <xf numFmtId="0" fontId="126" fillId="0" borderId="1" xfId="0" applyFont="1" applyBorder="1" applyAlignment="1">
      <alignment horizontal="center" vertical="top"/>
    </xf>
    <xf numFmtId="0" fontId="126" fillId="0" borderId="1" xfId="0" applyFont="1" applyBorder="1" applyAlignment="1">
      <alignment horizontal="center" vertical="center"/>
    </xf>
    <xf numFmtId="0" fontId="35" fillId="0" borderId="7" xfId="0" applyFont="1" applyBorder="1" applyAlignment="1">
      <alignment horizontal="center" vertical="top"/>
    </xf>
    <xf numFmtId="0" fontId="35" fillId="0" borderId="34" xfId="0" applyFont="1" applyBorder="1" applyAlignment="1">
      <alignment horizontal="center" vertical="center"/>
    </xf>
    <xf numFmtId="0" fontId="126" fillId="0" borderId="35" xfId="0" applyFont="1" applyBorder="1" applyAlignment="1">
      <alignment horizontal="left" vertical="center"/>
    </xf>
    <xf numFmtId="0" fontId="35" fillId="0" borderId="35" xfId="0" applyFont="1" applyBorder="1" applyAlignment="1">
      <alignment horizontal="justify" vertical="center" wrapText="1"/>
    </xf>
    <xf numFmtId="0" fontId="35" fillId="0" borderId="8" xfId="0" applyFont="1" applyBorder="1" applyAlignment="1">
      <alignment horizontal="center" vertical="center"/>
    </xf>
    <xf numFmtId="0" fontId="126" fillId="0" borderId="8" xfId="0" applyFont="1" applyBorder="1" applyAlignment="1">
      <alignment horizontal="left" vertical="center"/>
    </xf>
    <xf numFmtId="0" fontId="35" fillId="0" borderId="8" xfId="0" applyFont="1" applyBorder="1" applyAlignment="1">
      <alignment horizontal="justify" vertical="center" wrapText="1"/>
    </xf>
    <xf numFmtId="0" fontId="35" fillId="0" borderId="8" xfId="0" applyFont="1" applyBorder="1" applyAlignment="1">
      <alignment horizontal="left" vertical="center" wrapText="1"/>
    </xf>
    <xf numFmtId="0" fontId="35" fillId="0" borderId="8" xfId="0" applyFont="1" applyBorder="1" applyAlignment="1">
      <alignment horizontal="center" vertical="center" wrapText="1"/>
    </xf>
    <xf numFmtId="2" fontId="35" fillId="0" borderId="8" xfId="0" applyNumberFormat="1" applyFont="1" applyBorder="1" applyAlignment="1">
      <alignment horizontal="center" vertical="center" wrapText="1"/>
    </xf>
    <xf numFmtId="0" fontId="35" fillId="0" borderId="8" xfId="0" applyFont="1" applyBorder="1" applyAlignment="1">
      <alignment horizontal="center" vertical="top"/>
    </xf>
    <xf numFmtId="0" fontId="35" fillId="0" borderId="8" xfId="0" applyFont="1" applyBorder="1" applyAlignment="1">
      <alignment horizontal="left" vertical="top" wrapText="1"/>
    </xf>
    <xf numFmtId="0" fontId="35" fillId="0" borderId="8" xfId="0" applyFont="1" applyBorder="1" applyAlignment="1">
      <alignment horizontal="justify" vertical="top" wrapText="1"/>
    </xf>
    <xf numFmtId="0" fontId="0" fillId="0" borderId="8" xfId="0" applyBorder="1" applyAlignment="1">
      <alignment horizontal="left" vertical="center" wrapText="1"/>
    </xf>
    <xf numFmtId="0" fontId="0" fillId="0" borderId="8" xfId="0" applyBorder="1" applyAlignment="1">
      <alignment horizontal="center" vertical="center" wrapText="1"/>
    </xf>
    <xf numFmtId="2" fontId="0" fillId="0" borderId="8" xfId="0" applyNumberFormat="1" applyBorder="1" applyAlignment="1">
      <alignment horizontal="center" vertical="center" wrapText="1"/>
    </xf>
    <xf numFmtId="2" fontId="129" fillId="0" borderId="8" xfId="0" applyNumberFormat="1" applyFont="1" applyBorder="1" applyAlignment="1">
      <alignment horizontal="center" vertical="center" wrapText="1"/>
    </xf>
    <xf numFmtId="0" fontId="35" fillId="0" borderId="2" xfId="0" applyFont="1" applyBorder="1" applyAlignment="1">
      <alignment horizontal="center" vertical="center"/>
    </xf>
    <xf numFmtId="0" fontId="35" fillId="0" borderId="2" xfId="0" applyFont="1" applyBorder="1" applyAlignment="1">
      <alignment horizontal="left" vertical="center" wrapText="1"/>
    </xf>
    <xf numFmtId="0" fontId="35" fillId="0" borderId="1" xfId="0" applyFont="1" applyBorder="1" applyAlignment="1">
      <alignment horizontal="center" vertical="top"/>
    </xf>
    <xf numFmtId="0" fontId="35" fillId="0" borderId="1" xfId="0" applyFont="1" applyBorder="1" applyAlignment="1">
      <alignment horizontal="justify" vertical="top" wrapText="1"/>
    </xf>
    <xf numFmtId="0" fontId="35" fillId="0" borderId="1" xfId="0" applyFont="1" applyBorder="1" applyAlignment="1">
      <alignment horizontal="left" vertical="top" wrapText="1"/>
    </xf>
    <xf numFmtId="2" fontId="35" fillId="0" borderId="1" xfId="0" applyNumberFormat="1" applyFont="1" applyBorder="1" applyAlignment="1">
      <alignment horizontal="center" vertical="center"/>
    </xf>
    <xf numFmtId="0" fontId="35" fillId="0" borderId="1" xfId="0" applyFont="1" applyBorder="1" applyAlignment="1">
      <alignment horizontal="center" vertical="center"/>
    </xf>
    <xf numFmtId="0" fontId="35" fillId="0" borderId="1" xfId="0" applyFont="1" applyBorder="1" applyAlignment="1">
      <alignment horizontal="center"/>
    </xf>
    <xf numFmtId="0" fontId="126" fillId="0" borderId="1" xfId="0" applyFont="1" applyBorder="1" applyAlignment="1">
      <alignment horizontal="left"/>
    </xf>
    <xf numFmtId="0" fontId="35" fillId="0" borderId="1" xfId="0" applyFont="1" applyBorder="1" applyAlignment="1">
      <alignment horizontal="justify" wrapText="1"/>
    </xf>
    <xf numFmtId="0" fontId="35" fillId="0" borderId="1" xfId="0" applyFont="1" applyBorder="1" applyAlignment="1">
      <alignment horizontal="center" vertical="top" wrapText="1"/>
    </xf>
    <xf numFmtId="2" fontId="35" fillId="0" borderId="1" xfId="0" applyNumberFormat="1" applyFont="1" applyBorder="1" applyAlignment="1">
      <alignment horizontal="center" vertical="top" wrapText="1"/>
    </xf>
    <xf numFmtId="0" fontId="35" fillId="0" borderId="0" xfId="2192" applyFont="1" applyAlignment="1">
      <alignment horizontal="center" vertical="center"/>
    </xf>
    <xf numFmtId="0" fontId="35" fillId="0" borderId="0" xfId="2192" applyFont="1" applyAlignment="1">
      <alignment vertical="center" wrapText="1"/>
    </xf>
    <xf numFmtId="2" fontId="126" fillId="0" borderId="1" xfId="0" applyNumberFormat="1" applyFont="1" applyBorder="1" applyAlignment="1">
      <alignment horizontal="center" vertical="center"/>
    </xf>
    <xf numFmtId="1" fontId="126" fillId="0" borderId="1" xfId="0" applyNumberFormat="1" applyFont="1" applyBorder="1" applyAlignment="1">
      <alignment horizontal="center" vertical="center"/>
    </xf>
    <xf numFmtId="3" fontId="126" fillId="0" borderId="7" xfId="0" applyNumberFormat="1" applyFont="1" applyBorder="1" applyAlignment="1">
      <alignment horizontal="justify" vertical="top"/>
    </xf>
    <xf numFmtId="2" fontId="90" fillId="0" borderId="0" xfId="0" applyNumberFormat="1" applyFont="1" applyAlignment="1">
      <alignment vertical="center"/>
    </xf>
    <xf numFmtId="3" fontId="126" fillId="0" borderId="36" xfId="0" applyNumberFormat="1" applyFont="1" applyBorder="1" applyAlignment="1">
      <alignment horizontal="justify" vertical="center"/>
    </xf>
    <xf numFmtId="3" fontId="126" fillId="0" borderId="8" xfId="0" applyNumberFormat="1" applyFont="1" applyBorder="1" applyAlignment="1">
      <alignment horizontal="justify" vertical="center"/>
    </xf>
    <xf numFmtId="2" fontId="126" fillId="0" borderId="1" xfId="0" applyNumberFormat="1" applyFont="1" applyBorder="1" applyAlignment="1">
      <alignment horizontal="center" vertical="center" wrapText="1"/>
    </xf>
    <xf numFmtId="2" fontId="126" fillId="0" borderId="8" xfId="0" applyNumberFormat="1" applyFont="1" applyBorder="1" applyAlignment="1">
      <alignment horizontal="right" vertical="center"/>
    </xf>
    <xf numFmtId="2" fontId="126" fillId="0" borderId="8" xfId="0" applyNumberFormat="1" applyFont="1" applyBorder="1" applyAlignment="1">
      <alignment horizontal="center" vertical="center" wrapText="1"/>
    </xf>
    <xf numFmtId="2" fontId="126" fillId="0" borderId="8" xfId="0" applyNumberFormat="1" applyFont="1" applyBorder="1" applyAlignment="1">
      <alignment horizontal="justify" vertical="top"/>
    </xf>
    <xf numFmtId="2" fontId="126" fillId="0" borderId="2" xfId="0" applyNumberFormat="1" applyFont="1" applyBorder="1" applyAlignment="1">
      <alignment horizontal="center" vertical="center" wrapText="1"/>
    </xf>
    <xf numFmtId="2" fontId="35" fillId="0" borderId="2" xfId="0" applyNumberFormat="1" applyFont="1" applyBorder="1" applyAlignment="1">
      <alignment horizontal="center" vertical="center" wrapText="1"/>
    </xf>
    <xf numFmtId="0" fontId="35" fillId="0" borderId="2" xfId="0" applyFont="1" applyBorder="1" applyAlignment="1">
      <alignment horizontal="center" vertical="center" wrapText="1"/>
    </xf>
    <xf numFmtId="2" fontId="126" fillId="0" borderId="2" xfId="0" applyNumberFormat="1" applyFont="1" applyBorder="1" applyAlignment="1">
      <alignment horizontal="right" vertical="center"/>
    </xf>
    <xf numFmtId="2" fontId="126" fillId="0" borderId="1" xfId="0" applyNumberFormat="1" applyFont="1" applyBorder="1" applyAlignment="1">
      <alignment horizontal="right" vertical="center"/>
    </xf>
    <xf numFmtId="2" fontId="35" fillId="0" borderId="1" xfId="0" applyNumberFormat="1" applyFont="1" applyBorder="1" applyAlignment="1">
      <alignment horizontal="center" vertical="center" wrapText="1"/>
    </xf>
    <xf numFmtId="0" fontId="35" fillId="0" borderId="1" xfId="0" applyFont="1" applyBorder="1" applyAlignment="1">
      <alignment horizontal="center" vertical="center" wrapText="1"/>
    </xf>
    <xf numFmtId="2" fontId="35" fillId="0" borderId="1" xfId="0" applyNumberFormat="1" applyFont="1" applyBorder="1" applyAlignment="1">
      <alignment horizontal="right" wrapText="1"/>
    </xf>
    <xf numFmtId="2" fontId="35" fillId="0" borderId="1" xfId="0" applyNumberFormat="1" applyFont="1" applyBorder="1" applyAlignment="1">
      <alignment horizontal="justify" wrapText="1"/>
    </xf>
    <xf numFmtId="2" fontId="126" fillId="0" borderId="1" xfId="0" applyNumberFormat="1" applyFont="1" applyBorder="1" applyAlignment="1">
      <alignment horizontal="right"/>
    </xf>
    <xf numFmtId="2" fontId="90" fillId="0" borderId="0" xfId="0" applyNumberFormat="1" applyFont="1"/>
    <xf numFmtId="2" fontId="35" fillId="0" borderId="1" xfId="0" applyNumberFormat="1" applyFont="1" applyBorder="1" applyAlignment="1">
      <alignment horizontal="right" vertical="top" wrapText="1"/>
    </xf>
    <xf numFmtId="3" fontId="126" fillId="0" borderId="1" xfId="0" applyNumberFormat="1" applyFont="1" applyBorder="1" applyAlignment="1">
      <alignment horizontal="justify" vertical="top"/>
    </xf>
    <xf numFmtId="0" fontId="125" fillId="0" borderId="1" xfId="0" applyFont="1" applyBorder="1" applyAlignment="1">
      <alignment horizontal="center" vertical="center"/>
    </xf>
    <xf numFmtId="0" fontId="90" fillId="0" borderId="1" xfId="0" applyFont="1" applyBorder="1" applyAlignment="1">
      <alignment horizontal="center" vertical="center"/>
    </xf>
    <xf numFmtId="2" fontId="125" fillId="0" borderId="1" xfId="0" applyNumberFormat="1" applyFont="1" applyBorder="1" applyAlignment="1">
      <alignment vertical="center"/>
    </xf>
    <xf numFmtId="3" fontId="125" fillId="0" borderId="0" xfId="0" applyNumberFormat="1" applyFont="1" applyAlignment="1">
      <alignment horizontal="center" vertical="center"/>
    </xf>
    <xf numFmtId="0" fontId="35" fillId="0" borderId="0" xfId="2192" applyFont="1" applyAlignment="1">
      <alignment horizontal="center" vertical="center" wrapText="1"/>
    </xf>
    <xf numFmtId="0" fontId="35" fillId="0" borderId="8" xfId="0" applyFont="1" applyBorder="1" applyAlignment="1">
      <alignment horizontal="center"/>
    </xf>
    <xf numFmtId="0" fontId="35" fillId="0" borderId="8" xfId="0" applyFont="1" applyBorder="1" applyAlignment="1">
      <alignment horizontal="left" wrapText="1"/>
    </xf>
    <xf numFmtId="0" fontId="35" fillId="0" borderId="8" xfId="0" applyFont="1" applyBorder="1" applyAlignment="1">
      <alignment horizontal="center" wrapText="1"/>
    </xf>
    <xf numFmtId="2" fontId="35" fillId="0" borderId="8" xfId="0" applyNumberFormat="1" applyFont="1" applyBorder="1" applyAlignment="1">
      <alignment horizontal="center" wrapText="1"/>
    </xf>
    <xf numFmtId="0" fontId="35" fillId="0" borderId="8" xfId="0" applyFont="1" applyBorder="1" applyAlignment="1">
      <alignment horizontal="justify" wrapText="1"/>
    </xf>
    <xf numFmtId="3" fontId="126" fillId="0" borderId="8" xfId="0" applyNumberFormat="1" applyFont="1" applyBorder="1" applyAlignment="1">
      <alignment horizontal="justify"/>
    </xf>
    <xf numFmtId="3" fontId="126" fillId="0" borderId="8" xfId="0" applyNumberFormat="1" applyFont="1" applyBorder="1" applyAlignment="1">
      <alignment horizontal="justify" vertical="top"/>
    </xf>
    <xf numFmtId="184" fontId="0" fillId="0" borderId="8" xfId="0" applyNumberFormat="1" applyBorder="1" applyAlignment="1">
      <alignment horizontal="center" vertical="center" wrapText="1"/>
    </xf>
    <xf numFmtId="3" fontId="126" fillId="0" borderId="2" xfId="0" applyNumberFormat="1" applyFont="1" applyBorder="1" applyAlignment="1">
      <alignment horizontal="justify" vertical="center"/>
    </xf>
    <xf numFmtId="0" fontId="35" fillId="0" borderId="0" xfId="0" applyFont="1" applyAlignment="1">
      <alignment vertical="center"/>
    </xf>
    <xf numFmtId="184" fontId="35" fillId="0" borderId="8" xfId="0" applyNumberFormat="1" applyFont="1" applyBorder="1" applyAlignment="1">
      <alignment horizontal="center" vertical="center" wrapText="1"/>
    </xf>
    <xf numFmtId="2" fontId="35" fillId="0" borderId="8" xfId="975" applyNumberFormat="1" applyFont="1" applyBorder="1" applyAlignment="1">
      <alignment horizontal="left" vertical="center"/>
    </xf>
    <xf numFmtId="0" fontId="126" fillId="0" borderId="8" xfId="0" applyFont="1" applyBorder="1" applyAlignment="1">
      <alignment horizontal="left" vertical="center" wrapText="1"/>
    </xf>
    <xf numFmtId="0" fontId="35" fillId="0" borderId="8" xfId="0" applyFont="1" applyBorder="1" applyAlignment="1">
      <alignment vertical="center"/>
    </xf>
    <xf numFmtId="2" fontId="35" fillId="0" borderId="8" xfId="975" applyNumberFormat="1" applyFont="1" applyBorder="1" applyAlignment="1">
      <alignment horizontal="left" shrinkToFit="1"/>
    </xf>
    <xf numFmtId="0" fontId="35" fillId="0" borderId="8" xfId="0" applyFont="1" applyBorder="1" applyAlignment="1">
      <alignment horizontal="center" vertical="top" wrapText="1"/>
    </xf>
    <xf numFmtId="2" fontId="35" fillId="0" borderId="8" xfId="0" applyNumberFormat="1" applyFont="1" applyBorder="1" applyAlignment="1">
      <alignment horizontal="center" vertical="top" wrapText="1"/>
    </xf>
    <xf numFmtId="0" fontId="35" fillId="0" borderId="2" xfId="0" applyFont="1" applyBorder="1" applyAlignment="1">
      <alignment horizontal="center" vertical="top"/>
    </xf>
    <xf numFmtId="0" fontId="35" fillId="0" borderId="2" xfId="0" applyFont="1" applyBorder="1" applyAlignment="1">
      <alignment horizontal="left" vertical="top" wrapText="1"/>
    </xf>
    <xf numFmtId="0" fontId="35" fillId="0" borderId="37" xfId="0" applyFont="1" applyBorder="1" applyAlignment="1">
      <alignment horizontal="center" vertical="top"/>
    </xf>
    <xf numFmtId="0" fontId="35" fillId="0" borderId="38" xfId="0" applyFont="1" applyBorder="1" applyAlignment="1">
      <alignment horizontal="left" vertical="top" wrapText="1"/>
    </xf>
    <xf numFmtId="0" fontId="35" fillId="0" borderId="38" xfId="0" applyFont="1" applyBorder="1" applyAlignment="1">
      <alignment horizontal="center" vertical="center"/>
    </xf>
    <xf numFmtId="184" fontId="35" fillId="0" borderId="8" xfId="0" applyNumberFormat="1" applyFont="1" applyBorder="1" applyAlignment="1">
      <alignment horizontal="center" vertical="top" wrapText="1"/>
    </xf>
    <xf numFmtId="184" fontId="126" fillId="0" borderId="1" xfId="0" applyNumberFormat="1" applyFont="1" applyBorder="1" applyAlignment="1">
      <alignment horizontal="center" vertical="center" wrapText="1"/>
    </xf>
    <xf numFmtId="2" fontId="126" fillId="0" borderId="38" xfId="0" applyNumberFormat="1" applyFont="1" applyBorder="1" applyAlignment="1">
      <alignment horizontal="center" vertical="center" wrapText="1"/>
    </xf>
    <xf numFmtId="0" fontId="125" fillId="0" borderId="38" xfId="0" applyFont="1" applyBorder="1" applyAlignment="1">
      <alignment horizontal="center" vertical="center"/>
    </xf>
    <xf numFmtId="0" fontId="90" fillId="0" borderId="38" xfId="0" applyFont="1" applyBorder="1" applyAlignment="1">
      <alignment horizontal="center" vertical="center"/>
    </xf>
    <xf numFmtId="2" fontId="125" fillId="0" borderId="39" xfId="0" applyNumberFormat="1" applyFont="1" applyBorder="1" applyAlignment="1">
      <alignment vertical="center"/>
    </xf>
    <xf numFmtId="0" fontId="126" fillId="0" borderId="0" xfId="0" applyFont="1" applyAlignment="1">
      <alignment horizontal="center" vertical="center"/>
    </xf>
    <xf numFmtId="0" fontId="35" fillId="0" borderId="0" xfId="0" applyFont="1" applyAlignment="1">
      <alignment horizontal="center" vertical="center"/>
    </xf>
    <xf numFmtId="0" fontId="35" fillId="0" borderId="0" xfId="0" applyFont="1"/>
    <xf numFmtId="0" fontId="130" fillId="0" borderId="0" xfId="288" applyFont="1" applyAlignment="1">
      <alignment vertical="center"/>
    </xf>
    <xf numFmtId="0" fontId="130" fillId="0" borderId="0" xfId="288" applyFont="1" applyAlignment="1">
      <alignment vertical="center" wrapText="1"/>
    </xf>
    <xf numFmtId="0" fontId="35" fillId="0" borderId="0" xfId="2578" applyFont="1"/>
    <xf numFmtId="0" fontId="35" fillId="0" borderId="0" xfId="2578" applyFont="1" applyAlignment="1">
      <alignment vertical="center"/>
    </xf>
    <xf numFmtId="0" fontId="35" fillId="4" borderId="0" xfId="0" applyFont="1" applyFill="1" applyAlignment="1">
      <alignment vertical="center"/>
    </xf>
    <xf numFmtId="1" fontId="131" fillId="0" borderId="0" xfId="0" applyNumberFormat="1" applyFont="1" applyAlignment="1">
      <alignment horizontal="center" vertical="center" wrapText="1"/>
    </xf>
    <xf numFmtId="0" fontId="35" fillId="0" borderId="8" xfId="288" applyFont="1" applyBorder="1" applyAlignment="1">
      <alignment horizontal="left" vertical="center"/>
    </xf>
    <xf numFmtId="0" fontId="35" fillId="0" borderId="8" xfId="288" applyFont="1" applyBorder="1" applyAlignment="1">
      <alignment horizontal="center" vertical="center"/>
    </xf>
    <xf numFmtId="2" fontId="35" fillId="0" borderId="8" xfId="288" applyNumberFormat="1" applyFont="1" applyBorder="1" applyAlignment="1">
      <alignment horizontal="center" vertical="center"/>
    </xf>
    <xf numFmtId="2" fontId="132" fillId="0" borderId="8" xfId="288" applyNumberFormat="1" applyFont="1" applyBorder="1" applyAlignment="1">
      <alignment horizontal="center" vertical="center" wrapText="1"/>
    </xf>
    <xf numFmtId="0" fontId="35" fillId="0" borderId="8" xfId="2578" applyFont="1" applyBorder="1" applyAlignment="1">
      <alignment horizontal="center" wrapText="1"/>
    </xf>
    <xf numFmtId="2" fontId="35" fillId="0" borderId="8" xfId="2578" applyNumberFormat="1" applyFont="1" applyBorder="1" applyAlignment="1">
      <alignment horizontal="center" wrapText="1"/>
    </xf>
    <xf numFmtId="0" fontId="35" fillId="0" borderId="8" xfId="3749" applyFont="1" applyBorder="1" applyAlignment="1">
      <alignment vertical="center"/>
    </xf>
    <xf numFmtId="0" fontId="35" fillId="0" borderId="8" xfId="3749" applyFont="1" applyBorder="1" applyAlignment="1">
      <alignment horizontal="center" vertical="center"/>
    </xf>
    <xf numFmtId="2" fontId="35" fillId="0" borderId="8" xfId="3749" applyNumberFormat="1" applyFont="1" applyBorder="1" applyAlignment="1">
      <alignment horizontal="center" vertical="center"/>
    </xf>
    <xf numFmtId="0" fontId="35" fillId="0" borderId="8" xfId="288" applyFont="1" applyBorder="1" applyAlignment="1">
      <alignment horizontal="left" vertical="center" wrapText="1"/>
    </xf>
    <xf numFmtId="0" fontId="35" fillId="0" borderId="8" xfId="288" applyFont="1" applyBorder="1" applyAlignment="1">
      <alignment horizontal="center" vertical="center" wrapText="1"/>
    </xf>
    <xf numFmtId="184" fontId="35" fillId="0" borderId="8" xfId="288" applyNumberFormat="1" applyFont="1" applyBorder="1" applyAlignment="1">
      <alignment horizontal="left" vertical="center"/>
    </xf>
    <xf numFmtId="184" fontId="35" fillId="0" borderId="8" xfId="288" applyNumberFormat="1" applyFont="1" applyBorder="1" applyAlignment="1">
      <alignment horizontal="center" vertical="center"/>
    </xf>
    <xf numFmtId="184" fontId="35" fillId="0" borderId="8" xfId="288" applyNumberFormat="1" applyFont="1" applyBorder="1" applyAlignment="1">
      <alignment horizontal="center" vertical="center" wrapText="1"/>
    </xf>
    <xf numFmtId="0" fontId="35" fillId="0" borderId="8" xfId="3749" applyFont="1" applyBorder="1" applyAlignment="1">
      <alignment horizontal="left" vertical="center"/>
    </xf>
    <xf numFmtId="2" fontId="35" fillId="0" borderId="8" xfId="288" applyNumberFormat="1" applyFont="1" applyBorder="1" applyAlignment="1">
      <alignment horizontal="center" vertical="center" wrapText="1"/>
    </xf>
    <xf numFmtId="0" fontId="35" fillId="0" borderId="8" xfId="2578" applyFont="1" applyBorder="1" applyAlignment="1">
      <alignment horizontal="justify" wrapText="1"/>
    </xf>
    <xf numFmtId="0" fontId="35" fillId="0" borderId="8" xfId="288" applyFont="1" applyBorder="1" applyAlignment="1">
      <alignment horizontal="left" vertical="top"/>
    </xf>
    <xf numFmtId="0" fontId="35" fillId="0" borderId="8" xfId="288" applyFont="1" applyBorder="1" applyAlignment="1">
      <alignment horizontal="center" vertical="top"/>
    </xf>
    <xf numFmtId="2" fontId="35" fillId="0" borderId="8" xfId="288" applyNumberFormat="1" applyFont="1" applyBorder="1" applyAlignment="1">
      <alignment horizontal="center" vertical="top"/>
    </xf>
    <xf numFmtId="2" fontId="132" fillId="0" borderId="8" xfId="288" applyNumberFormat="1" applyFont="1" applyBorder="1" applyAlignment="1">
      <alignment horizontal="center" vertical="top" wrapText="1"/>
    </xf>
    <xf numFmtId="2" fontId="35" fillId="0" borderId="0" xfId="0" applyNumberFormat="1" applyFont="1" applyAlignment="1">
      <alignment vertical="center"/>
    </xf>
    <xf numFmtId="2" fontId="126" fillId="0" borderId="1" xfId="3749" applyNumberFormat="1" applyFont="1" applyBorder="1" applyAlignment="1">
      <alignment horizontal="center" vertical="center"/>
    </xf>
    <xf numFmtId="2" fontId="35" fillId="0" borderId="0" xfId="0" applyNumberFormat="1" applyFont="1"/>
    <xf numFmtId="2" fontId="126" fillId="0" borderId="8" xfId="0" applyNumberFormat="1" applyFont="1" applyBorder="1" applyAlignment="1">
      <alignment horizontal="justify" vertical="center"/>
    </xf>
    <xf numFmtId="0" fontId="35" fillId="0" borderId="8" xfId="288" applyFont="1" applyBorder="1" applyAlignment="1">
      <alignment vertical="center"/>
    </xf>
    <xf numFmtId="0" fontId="35" fillId="0" borderId="8" xfId="288" applyFont="1" applyBorder="1" applyAlignment="1">
      <alignment vertical="center" wrapText="1"/>
    </xf>
    <xf numFmtId="0" fontId="35" fillId="0" borderId="8" xfId="2578" applyFont="1" applyBorder="1" applyAlignment="1">
      <alignment horizontal="center"/>
    </xf>
    <xf numFmtId="0" fontId="35" fillId="0" borderId="8" xfId="2578" applyFont="1" applyBorder="1"/>
    <xf numFmtId="2" fontId="35" fillId="0" borderId="0" xfId="2578" applyNumberFormat="1" applyFont="1" applyAlignment="1">
      <alignment horizontal="center"/>
    </xf>
    <xf numFmtId="0" fontId="35" fillId="0" borderId="0" xfId="2578" applyFont="1" applyAlignment="1">
      <alignment horizontal="justify" wrapText="1"/>
    </xf>
    <xf numFmtId="0" fontId="35" fillId="0" borderId="8" xfId="2578" applyFont="1" applyBorder="1" applyAlignment="1">
      <alignment horizontal="center" vertical="center" wrapText="1"/>
    </xf>
    <xf numFmtId="0" fontId="35" fillId="0" borderId="8" xfId="2578" applyFont="1" applyBorder="1" applyAlignment="1">
      <alignment horizontal="justify" vertical="center" wrapText="1"/>
    </xf>
    <xf numFmtId="2" fontId="35" fillId="0" borderId="8" xfId="2578" applyNumberFormat="1" applyFont="1" applyBorder="1" applyAlignment="1">
      <alignment horizontal="center" vertical="center" wrapText="1"/>
    </xf>
    <xf numFmtId="184" fontId="35" fillId="0" borderId="8" xfId="2578" applyNumberFormat="1" applyFont="1" applyBorder="1" applyAlignment="1">
      <alignment horizontal="center" vertical="center" wrapText="1"/>
    </xf>
    <xf numFmtId="0" fontId="35" fillId="4" borderId="8" xfId="0" applyFont="1" applyFill="1" applyBorder="1" applyAlignment="1">
      <alignment horizontal="center" vertical="top"/>
    </xf>
    <xf numFmtId="0" fontId="35" fillId="0" borderId="8" xfId="3749" applyFont="1" applyBorder="1" applyAlignment="1">
      <alignment horizontal="left" vertical="center" wrapText="1"/>
    </xf>
    <xf numFmtId="2" fontId="35" fillId="0" borderId="8" xfId="3749" applyNumberFormat="1" applyFont="1" applyBorder="1" applyAlignment="1">
      <alignment horizontal="center" vertical="center" wrapText="1"/>
    </xf>
    <xf numFmtId="0" fontId="35" fillId="0" borderId="8" xfId="3749" applyFont="1" applyBorder="1" applyAlignment="1">
      <alignment horizontal="left" vertical="top" wrapText="1"/>
    </xf>
    <xf numFmtId="0" fontId="35" fillId="0" borderId="8" xfId="3749" applyFont="1" applyBorder="1" applyAlignment="1">
      <alignment horizontal="center" vertical="top"/>
    </xf>
    <xf numFmtId="2" fontId="35" fillId="0" borderId="8" xfId="3749" applyNumberFormat="1" applyFont="1" applyBorder="1" applyAlignment="1">
      <alignment horizontal="center" vertical="top" wrapText="1"/>
    </xf>
    <xf numFmtId="0" fontId="35" fillId="0" borderId="3" xfId="0" applyFont="1" applyBorder="1" applyAlignment="1">
      <alignment horizontal="center" vertical="center"/>
    </xf>
    <xf numFmtId="0" fontId="35" fillId="0" borderId="8" xfId="2578" applyFont="1" applyBorder="1" applyAlignment="1">
      <alignment horizontal="center" vertical="center"/>
    </xf>
    <xf numFmtId="0" fontId="35" fillId="0" borderId="8" xfId="2578" applyFont="1" applyBorder="1" applyAlignment="1">
      <alignment vertical="center"/>
    </xf>
    <xf numFmtId="2" fontId="35" fillId="0" borderId="0" xfId="2578" applyNumberFormat="1" applyFont="1" applyAlignment="1">
      <alignment horizontal="center" vertical="center"/>
    </xf>
    <xf numFmtId="0" fontId="35" fillId="0" borderId="0" xfId="2578" applyFont="1" applyAlignment="1">
      <alignment horizontal="justify" vertical="center" wrapText="1"/>
    </xf>
    <xf numFmtId="2" fontId="35" fillId="4" borderId="8" xfId="3749" applyNumberFormat="1" applyFont="1" applyFill="1" applyBorder="1" applyAlignment="1">
      <alignment horizontal="right" vertical="top"/>
    </xf>
    <xf numFmtId="0" fontId="35" fillId="0" borderId="8" xfId="3749" applyFont="1" applyBorder="1" applyAlignment="1">
      <alignment horizontal="center" vertical="center" wrapText="1"/>
    </xf>
    <xf numFmtId="2" fontId="35" fillId="0" borderId="8" xfId="3749" applyNumberFormat="1" applyFont="1" applyBorder="1" applyAlignment="1">
      <alignment horizontal="right" vertical="top"/>
    </xf>
    <xf numFmtId="0" fontId="35" fillId="0" borderId="8" xfId="288" applyFont="1" applyBorder="1" applyAlignment="1">
      <alignment vertical="top"/>
    </xf>
    <xf numFmtId="2" fontId="126" fillId="0" borderId="1" xfId="3749" applyNumberFormat="1" applyFont="1" applyBorder="1" applyAlignment="1">
      <alignment horizontal="center" vertical="top"/>
    </xf>
    <xf numFmtId="0" fontId="35" fillId="0" borderId="8" xfId="3749" applyFont="1" applyBorder="1" applyAlignment="1">
      <alignment horizontal="center" vertical="top" wrapText="1"/>
    </xf>
    <xf numFmtId="1" fontId="35" fillId="0" borderId="8" xfId="3749" applyNumberFormat="1" applyFont="1" applyBorder="1" applyAlignment="1">
      <alignment horizontal="right" vertical="center"/>
    </xf>
    <xf numFmtId="0" fontId="126" fillId="0" borderId="2" xfId="0" applyFont="1" applyBorder="1" applyAlignment="1">
      <alignment horizontal="center" vertical="center"/>
    </xf>
    <xf numFmtId="2" fontId="126" fillId="0" borderId="2" xfId="0" applyNumberFormat="1" applyFont="1" applyBorder="1" applyAlignment="1">
      <alignment vertical="center"/>
    </xf>
    <xf numFmtId="3" fontId="126" fillId="0" borderId="0" xfId="0" applyNumberFormat="1" applyFont="1" applyAlignment="1">
      <alignment horizontal="center" vertical="center"/>
    </xf>
    <xf numFmtId="0" fontId="106" fillId="0" borderId="0" xfId="3964" applyFont="1"/>
    <xf numFmtId="0" fontId="106" fillId="0" borderId="0" xfId="3964" applyFont="1" applyAlignment="1">
      <alignment horizontal="center"/>
    </xf>
    <xf numFmtId="1" fontId="109" fillId="0" borderId="1" xfId="3771" applyNumberFormat="1" applyFont="1" applyBorder="1" applyAlignment="1">
      <alignment horizontal="center" vertical="center"/>
    </xf>
    <xf numFmtId="2" fontId="109" fillId="0" borderId="1" xfId="3771" applyNumberFormat="1" applyFont="1" applyBorder="1" applyAlignment="1">
      <alignment horizontal="center" vertical="center"/>
    </xf>
    <xf numFmtId="1" fontId="109" fillId="0" borderId="1" xfId="3771" applyNumberFormat="1" applyFont="1" applyBorder="1" applyAlignment="1">
      <alignment horizontal="center" vertical="top"/>
    </xf>
    <xf numFmtId="0" fontId="106" fillId="0" borderId="1" xfId="3771" applyFont="1" applyBorder="1" applyAlignment="1">
      <alignment horizontal="justify" vertical="top" wrapText="1"/>
    </xf>
    <xf numFmtId="1" fontId="106" fillId="0" borderId="1" xfId="3771" applyNumberFormat="1" applyFont="1" applyBorder="1" applyAlignment="1">
      <alignment horizontal="right" vertical="top"/>
    </xf>
    <xf numFmtId="0" fontId="134" fillId="0" borderId="1" xfId="3771" applyFont="1" applyBorder="1" applyAlignment="1">
      <alignment horizontal="justify" vertical="top" wrapText="1"/>
    </xf>
    <xf numFmtId="1" fontId="106" fillId="0" borderId="1" xfId="3771" applyNumberFormat="1" applyFont="1" applyBorder="1" applyAlignment="1">
      <alignment horizontal="center" vertical="top"/>
    </xf>
    <xf numFmtId="0" fontId="134" fillId="0" borderId="1" xfId="3771" applyFont="1" applyBorder="1" applyAlignment="1">
      <alignment vertical="center" wrapText="1"/>
    </xf>
    <xf numFmtId="0" fontId="135" fillId="0" borderId="1" xfId="3771" applyFont="1" applyBorder="1" applyAlignment="1">
      <alignment horizontal="center" vertical="center" wrapText="1"/>
    </xf>
    <xf numFmtId="0" fontId="134" fillId="0" borderId="1" xfId="3771" applyFont="1" applyBorder="1" applyAlignment="1">
      <alignment horizontal="center" vertical="center" wrapText="1"/>
    </xf>
    <xf numFmtId="2" fontId="134" fillId="0" borderId="1" xfId="3771" applyNumberFormat="1" applyFont="1" applyBorder="1" applyAlignment="1">
      <alignment horizontal="center" vertical="center" wrapText="1"/>
    </xf>
    <xf numFmtId="2" fontId="134" fillId="0" borderId="1" xfId="3771" applyNumberFormat="1" applyFont="1" applyBorder="1" applyAlignment="1">
      <alignment horizontal="center" vertical="center"/>
    </xf>
    <xf numFmtId="2" fontId="106" fillId="0" borderId="1" xfId="3771" applyNumberFormat="1" applyFont="1" applyBorder="1" applyAlignment="1">
      <alignment horizontal="center" vertical="center" wrapText="1"/>
    </xf>
    <xf numFmtId="0" fontId="106" fillId="0" borderId="1" xfId="3771" applyFont="1" applyBorder="1" applyAlignment="1">
      <alignment vertical="center" wrapText="1"/>
    </xf>
    <xf numFmtId="1" fontId="134" fillId="0" borderId="1" xfId="3771" applyNumberFormat="1" applyFont="1" applyBorder="1" applyAlignment="1">
      <alignment horizontal="center" vertical="center" wrapText="1"/>
    </xf>
    <xf numFmtId="0" fontId="106" fillId="0" borderId="1" xfId="3771" applyFont="1" applyBorder="1" applyAlignment="1">
      <alignment vertical="top" wrapText="1"/>
    </xf>
    <xf numFmtId="0" fontId="106" fillId="0" borderId="1" xfId="3771" applyFont="1" applyBorder="1" applyAlignment="1">
      <alignment horizontal="center" vertical="top" wrapText="1"/>
    </xf>
    <xf numFmtId="0" fontId="109" fillId="0" borderId="1" xfId="3771" applyFont="1" applyBorder="1" applyAlignment="1">
      <alignment horizontal="justify" vertical="top" wrapText="1"/>
    </xf>
    <xf numFmtId="0" fontId="106" fillId="0" borderId="1" xfId="3964" applyFont="1" applyBorder="1"/>
    <xf numFmtId="9" fontId="106" fillId="0" borderId="1" xfId="3771" applyNumberFormat="1" applyFont="1" applyBorder="1" applyAlignment="1">
      <alignment horizontal="justify" vertical="top" wrapText="1"/>
    </xf>
    <xf numFmtId="2" fontId="106" fillId="0" borderId="0" xfId="3964" applyNumberFormat="1" applyFont="1"/>
    <xf numFmtId="1" fontId="106" fillId="0" borderId="1" xfId="3771" applyNumberFormat="1" applyFont="1" applyBorder="1" applyAlignment="1">
      <alignment horizontal="center" vertical="center" wrapText="1"/>
    </xf>
    <xf numFmtId="0" fontId="106" fillId="0" borderId="1" xfId="3771" applyFont="1" applyBorder="1" applyAlignment="1">
      <alignment horizontal="left" vertical="top" wrapText="1"/>
    </xf>
    <xf numFmtId="2" fontId="106" fillId="0" borderId="1" xfId="3771" applyNumberFormat="1" applyFont="1" applyBorder="1" applyAlignment="1">
      <alignment horizontal="center" vertical="top"/>
    </xf>
    <xf numFmtId="2" fontId="106" fillId="0" borderId="1" xfId="3771" applyNumberFormat="1" applyFont="1" applyBorder="1" applyAlignment="1">
      <alignment vertical="top"/>
    </xf>
    <xf numFmtId="2" fontId="109" fillId="0" borderId="1" xfId="3771" applyNumberFormat="1" applyFont="1" applyBorder="1" applyAlignment="1">
      <alignment horizontal="center" vertical="top"/>
    </xf>
    <xf numFmtId="1" fontId="106" fillId="0" borderId="1" xfId="3771" applyNumberFormat="1" applyFont="1" applyBorder="1" applyAlignment="1">
      <alignment vertical="top"/>
    </xf>
    <xf numFmtId="2" fontId="106" fillId="0" borderId="1" xfId="3771" applyNumberFormat="1" applyFont="1" applyBorder="1" applyAlignment="1">
      <alignment horizontal="center" vertical="top" wrapText="1"/>
    </xf>
    <xf numFmtId="1" fontId="106" fillId="0" borderId="0" xfId="3964" applyNumberFormat="1" applyFont="1"/>
    <xf numFmtId="184" fontId="106" fillId="0" borderId="1" xfId="3771" applyNumberFormat="1" applyFont="1" applyBorder="1" applyAlignment="1">
      <alignment horizontal="center" vertical="center" wrapText="1"/>
    </xf>
    <xf numFmtId="2" fontId="109" fillId="0" borderId="1" xfId="3771" applyNumberFormat="1" applyFont="1" applyBorder="1" applyAlignment="1">
      <alignment vertical="top"/>
    </xf>
    <xf numFmtId="2" fontId="107" fillId="0" borderId="0" xfId="2477" applyNumberFormat="1" applyFont="1" applyAlignment="1">
      <alignment horizontal="center" vertical="center"/>
    </xf>
    <xf numFmtId="2" fontId="107" fillId="0" borderId="0" xfId="2477" applyNumberFormat="1" applyFont="1" applyAlignment="1">
      <alignment horizontal="justify" vertical="center"/>
    </xf>
    <xf numFmtId="0" fontId="105" fillId="0" borderId="0" xfId="2192" applyFont="1" applyAlignment="1">
      <alignment vertical="center" wrapText="1"/>
    </xf>
    <xf numFmtId="2" fontId="105" fillId="0" borderId="0" xfId="2477" applyNumberFormat="1" applyFont="1" applyAlignment="1">
      <alignment horizontal="justify" vertical="top"/>
    </xf>
    <xf numFmtId="1" fontId="107" fillId="0" borderId="0" xfId="2477" applyNumberFormat="1" applyFont="1" applyAlignment="1">
      <alignment horizontal="center" vertical="center"/>
    </xf>
    <xf numFmtId="2" fontId="137" fillId="0" borderId="0" xfId="2477" applyNumberFormat="1" applyFont="1" applyAlignment="1">
      <alignment horizontal="center" vertical="center"/>
    </xf>
    <xf numFmtId="2" fontId="105" fillId="0" borderId="0" xfId="2477" applyNumberFormat="1" applyFont="1" applyAlignment="1">
      <alignment horizontal="center" vertical="center"/>
    </xf>
    <xf numFmtId="2" fontId="105" fillId="0" borderId="0" xfId="2477" applyNumberFormat="1" applyFont="1" applyAlignment="1">
      <alignment horizontal="right" vertical="center"/>
    </xf>
    <xf numFmtId="2" fontId="105" fillId="0" borderId="0" xfId="2477" applyNumberFormat="1" applyFont="1" applyAlignment="1">
      <alignment horizontal="justify" vertical="center"/>
    </xf>
    <xf numFmtId="1" fontId="107" fillId="0" borderId="1" xfId="2477" applyNumberFormat="1" applyFont="1" applyBorder="1" applyAlignment="1">
      <alignment horizontal="center" vertical="center"/>
    </xf>
    <xf numFmtId="2" fontId="107" fillId="0" borderId="1" xfId="2477" applyNumberFormat="1" applyFont="1" applyBorder="1" applyAlignment="1">
      <alignment horizontal="center" vertical="center"/>
    </xf>
    <xf numFmtId="1" fontId="107" fillId="0" borderId="7" xfId="2477" applyNumberFormat="1" applyFont="1" applyBorder="1" applyAlignment="1">
      <alignment horizontal="center" vertical="top" wrapText="1"/>
    </xf>
    <xf numFmtId="2" fontId="107" fillId="0" borderId="7" xfId="2477" applyNumberFormat="1" applyFont="1" applyBorder="1" applyAlignment="1">
      <alignment horizontal="right" vertical="center" wrapText="1"/>
    </xf>
    <xf numFmtId="1" fontId="107" fillId="0" borderId="8" xfId="2477" applyNumberFormat="1" applyFont="1" applyBorder="1" applyAlignment="1">
      <alignment horizontal="center" vertical="center" wrapText="1"/>
    </xf>
    <xf numFmtId="0" fontId="105" fillId="0" borderId="8" xfId="2477" applyFont="1" applyBorder="1" applyAlignment="1">
      <alignment horizontal="justify" vertical="top" wrapText="1"/>
    </xf>
    <xf numFmtId="1" fontId="138" fillId="0" borderId="8" xfId="2477" applyNumberFormat="1" applyFont="1" applyBorder="1" applyAlignment="1">
      <alignment horizontal="center" vertical="center" wrapText="1"/>
    </xf>
    <xf numFmtId="2" fontId="105" fillId="0" borderId="8" xfId="2477" applyNumberFormat="1" applyFont="1" applyBorder="1" applyAlignment="1">
      <alignment horizontal="center" vertical="center" wrapText="1"/>
    </xf>
    <xf numFmtId="2" fontId="107" fillId="0" borderId="8" xfId="2477" applyNumberFormat="1" applyFont="1" applyBorder="1" applyAlignment="1">
      <alignment horizontal="center" vertical="center" wrapText="1"/>
    </xf>
    <xf numFmtId="171" fontId="105" fillId="0" borderId="8" xfId="2477" applyNumberFormat="1" applyFont="1" applyBorder="1" applyAlignment="1">
      <alignment horizontal="center" vertical="center" wrapText="1"/>
    </xf>
    <xf numFmtId="2" fontId="107" fillId="0" borderId="8" xfId="2477" applyNumberFormat="1" applyFont="1" applyBorder="1" applyAlignment="1">
      <alignment horizontal="right" vertical="center"/>
    </xf>
    <xf numFmtId="1" fontId="107" fillId="0" borderId="8" xfId="2477" applyNumberFormat="1" applyFont="1" applyBorder="1" applyAlignment="1">
      <alignment horizontal="center" vertical="center"/>
    </xf>
    <xf numFmtId="2" fontId="105" fillId="0" borderId="8" xfId="2477" applyNumberFormat="1" applyFont="1" applyBorder="1" applyAlignment="1">
      <alignment horizontal="justify" vertical="top" wrapText="1"/>
    </xf>
    <xf numFmtId="1" fontId="107" fillId="0" borderId="8" xfId="2477" applyNumberFormat="1" applyFont="1" applyBorder="1" applyAlignment="1">
      <alignment horizontal="center" vertical="top"/>
    </xf>
    <xf numFmtId="2" fontId="139" fillId="0" borderId="8" xfId="2477" applyNumberFormat="1" applyFont="1" applyBorder="1" applyAlignment="1">
      <alignment horizontal="justify" vertical="top"/>
    </xf>
    <xf numFmtId="1" fontId="139" fillId="0" borderId="8" xfId="2477" applyNumberFormat="1" applyFont="1" applyBorder="1" applyAlignment="1">
      <alignment horizontal="center" vertical="center" wrapText="1"/>
    </xf>
    <xf numFmtId="2" fontId="105" fillId="0" borderId="8" xfId="2477" applyNumberFormat="1" applyFont="1" applyBorder="1" applyAlignment="1">
      <alignment horizontal="right" vertical="center"/>
    </xf>
    <xf numFmtId="2" fontId="105" fillId="0" borderId="8" xfId="2477" applyNumberFormat="1" applyFont="1" applyBorder="1" applyAlignment="1">
      <alignment horizontal="left" vertical="center"/>
    </xf>
    <xf numFmtId="2" fontId="107" fillId="0" borderId="8" xfId="2477" applyNumberFormat="1" applyFont="1" applyBorder="1" applyAlignment="1">
      <alignment horizontal="justify" vertical="top"/>
    </xf>
    <xf numFmtId="2" fontId="107" fillId="0" borderId="2" xfId="2477" applyNumberFormat="1" applyFont="1" applyBorder="1" applyAlignment="1">
      <alignment horizontal="center" vertical="center" wrapText="1"/>
    </xf>
    <xf numFmtId="171" fontId="105" fillId="0" borderId="2" xfId="2477" applyNumberFormat="1" applyFont="1" applyBorder="1" applyAlignment="1">
      <alignment horizontal="center" vertical="center" wrapText="1"/>
    </xf>
    <xf numFmtId="2" fontId="107" fillId="0" borderId="2" xfId="2477" applyNumberFormat="1" applyFont="1" applyBorder="1" applyAlignment="1">
      <alignment horizontal="right" vertical="center"/>
    </xf>
    <xf numFmtId="1" fontId="107" fillId="0" borderId="2" xfId="2477" applyNumberFormat="1" applyFont="1" applyBorder="1" applyAlignment="1">
      <alignment horizontal="center" vertical="center"/>
    </xf>
    <xf numFmtId="2" fontId="105" fillId="0" borderId="2" xfId="2477" applyNumberFormat="1" applyFont="1" applyBorder="1" applyAlignment="1">
      <alignment horizontal="justify" vertical="center"/>
    </xf>
    <xf numFmtId="2" fontId="139" fillId="0" borderId="2" xfId="2477" applyNumberFormat="1" applyFont="1" applyBorder="1" applyAlignment="1">
      <alignment horizontal="center" vertical="center"/>
    </xf>
    <xf numFmtId="2" fontId="107" fillId="0" borderId="2" xfId="2477" applyNumberFormat="1" applyFont="1" applyBorder="1" applyAlignment="1">
      <alignment horizontal="center" vertical="center"/>
    </xf>
    <xf numFmtId="2" fontId="107" fillId="0" borderId="2" xfId="2477" applyNumberFormat="1" applyFont="1" applyBorder="1" applyAlignment="1">
      <alignment horizontal="justify" vertical="center"/>
    </xf>
    <xf numFmtId="2" fontId="105" fillId="0" borderId="0" xfId="2477" applyNumberFormat="1" applyFont="1" applyAlignment="1">
      <alignment horizontal="left" vertical="center"/>
    </xf>
    <xf numFmtId="0" fontId="105" fillId="0" borderId="0" xfId="2192" applyFont="1" applyAlignment="1">
      <alignment horizontal="center" vertical="center" wrapText="1"/>
    </xf>
    <xf numFmtId="0" fontId="105" fillId="0" borderId="0" xfId="1238" applyFont="1"/>
    <xf numFmtId="2" fontId="105" fillId="0" borderId="0" xfId="1238" applyNumberFormat="1" applyFont="1"/>
    <xf numFmtId="0" fontId="105" fillId="0" borderId="0" xfId="2477" applyFont="1" applyAlignment="1">
      <alignment vertical="top"/>
    </xf>
    <xf numFmtId="0" fontId="137" fillId="0" borderId="0" xfId="2477" applyFont="1" applyAlignment="1">
      <alignment vertical="center"/>
    </xf>
    <xf numFmtId="0" fontId="105" fillId="0" borderId="0" xfId="2477" applyFont="1" applyAlignment="1">
      <alignment horizontal="center" vertical="center"/>
    </xf>
    <xf numFmtId="1" fontId="105" fillId="0" borderId="0" xfId="2477" applyNumberFormat="1" applyFont="1" applyAlignment="1">
      <alignment vertical="top"/>
    </xf>
    <xf numFmtId="0" fontId="105" fillId="0" borderId="0" xfId="2477" applyFont="1" applyAlignment="1">
      <alignment vertical="center"/>
    </xf>
    <xf numFmtId="2" fontId="105" fillId="0" borderId="0" xfId="2477" applyNumberFormat="1" applyFont="1" applyAlignment="1">
      <alignment vertical="top"/>
    </xf>
    <xf numFmtId="0" fontId="105" fillId="0" borderId="0" xfId="2477" applyFont="1" applyAlignment="1">
      <alignment vertical="top" wrapText="1"/>
    </xf>
    <xf numFmtId="1" fontId="105" fillId="0" borderId="0" xfId="2477" applyNumberFormat="1" applyFont="1" applyAlignment="1">
      <alignment horizontal="justify" vertical="center"/>
    </xf>
    <xf numFmtId="0" fontId="110" fillId="0" borderId="0" xfId="0" applyFont="1" applyAlignment="1">
      <alignment horizontal="center" vertical="center"/>
    </xf>
    <xf numFmtId="0" fontId="110" fillId="0" borderId="0" xfId="0" applyFont="1"/>
    <xf numFmtId="0" fontId="140" fillId="0" borderId="0" xfId="288" applyFont="1" applyAlignment="1">
      <alignment vertical="center"/>
    </xf>
    <xf numFmtId="0" fontId="140" fillId="0" borderId="0" xfId="288" applyFont="1" applyAlignment="1">
      <alignment vertical="center" wrapText="1"/>
    </xf>
    <xf numFmtId="0" fontId="110" fillId="0" borderId="0" xfId="2578" applyFont="1"/>
    <xf numFmtId="0" fontId="110" fillId="0" borderId="0" xfId="2578" applyFont="1" applyAlignment="1">
      <alignment vertical="center"/>
    </xf>
    <xf numFmtId="0" fontId="110" fillId="4" borderId="0" xfId="0" applyFont="1" applyFill="1" applyAlignment="1">
      <alignment vertical="center"/>
    </xf>
    <xf numFmtId="178" fontId="110" fillId="0" borderId="0" xfId="0" applyNumberFormat="1" applyFont="1" applyAlignment="1">
      <alignment vertical="top"/>
    </xf>
    <xf numFmtId="0" fontId="110" fillId="0" borderId="0" xfId="0" applyFont="1" applyAlignment="1">
      <alignment vertical="center"/>
    </xf>
    <xf numFmtId="0" fontId="141" fillId="0" borderId="0" xfId="0" applyFont="1" applyAlignment="1">
      <alignment horizontal="center" vertical="center"/>
    </xf>
    <xf numFmtId="1" fontId="142" fillId="0" borderId="0" xfId="0" applyNumberFormat="1" applyFont="1" applyAlignment="1">
      <alignment horizontal="center" vertical="center" wrapText="1"/>
    </xf>
    <xf numFmtId="178" fontId="110" fillId="0" borderId="1" xfId="0" applyNumberFormat="1" applyFont="1" applyBorder="1" applyAlignment="1">
      <alignment horizontal="center" vertical="top" wrapText="1"/>
    </xf>
    <xf numFmtId="0" fontId="110" fillId="0" borderId="1" xfId="0" applyFont="1" applyBorder="1" applyAlignment="1">
      <alignment horizontal="center" vertical="center" wrapText="1"/>
    </xf>
    <xf numFmtId="178" fontId="110" fillId="0" borderId="1" xfId="0" applyNumberFormat="1" applyFont="1" applyBorder="1" applyAlignment="1">
      <alignment horizontal="center" vertical="top"/>
    </xf>
    <xf numFmtId="195" fontId="110" fillId="0" borderId="1" xfId="0" applyNumberFormat="1" applyFont="1" applyBorder="1" applyAlignment="1">
      <alignment horizontal="center" vertical="center"/>
    </xf>
    <xf numFmtId="178" fontId="110" fillId="0" borderId="7" xfId="0" applyNumberFormat="1" applyFont="1" applyBorder="1" applyAlignment="1">
      <alignment horizontal="center" vertical="top"/>
    </xf>
    <xf numFmtId="178" fontId="110" fillId="0" borderId="8" xfId="0" applyNumberFormat="1" applyFont="1" applyBorder="1" applyAlignment="1">
      <alignment horizontal="center" vertical="center"/>
    </xf>
    <xf numFmtId="195" fontId="110" fillId="0" borderId="8" xfId="288" applyNumberFormat="1" applyFont="1" applyBorder="1" applyAlignment="1">
      <alignment horizontal="left" vertical="center"/>
    </xf>
    <xf numFmtId="195" fontId="110" fillId="0" borderId="8" xfId="288" applyNumberFormat="1" applyFont="1" applyBorder="1" applyAlignment="1">
      <alignment horizontal="center" vertical="center"/>
    </xf>
    <xf numFmtId="195" fontId="142" fillId="0" borderId="8" xfId="288" applyNumberFormat="1" applyFont="1" applyBorder="1" applyAlignment="1">
      <alignment horizontal="center" vertical="center" wrapText="1"/>
    </xf>
    <xf numFmtId="195" fontId="110" fillId="0" borderId="8" xfId="0" applyNumberFormat="1" applyFont="1" applyBorder="1" applyAlignment="1">
      <alignment horizontal="left" vertical="center" wrapText="1"/>
    </xf>
    <xf numFmtId="195" fontId="110" fillId="0" borderId="8" xfId="0" applyNumberFormat="1" applyFont="1" applyBorder="1" applyAlignment="1">
      <alignment horizontal="center" vertical="center" wrapText="1"/>
    </xf>
    <xf numFmtId="195" fontId="110" fillId="0" borderId="8" xfId="0" applyNumberFormat="1" applyFont="1" applyBorder="1" applyAlignment="1">
      <alignment horizontal="center" vertical="center"/>
    </xf>
    <xf numFmtId="178" fontId="110" fillId="0" borderId="8" xfId="0" applyNumberFormat="1" applyFont="1" applyBorder="1" applyAlignment="1">
      <alignment horizontal="center" vertical="top"/>
    </xf>
    <xf numFmtId="195" fontId="110" fillId="0" borderId="8" xfId="0" applyNumberFormat="1" applyFont="1" applyBorder="1" applyAlignment="1">
      <alignment horizontal="justify" vertical="top" wrapText="1"/>
    </xf>
    <xf numFmtId="178" fontId="110" fillId="0" borderId="8" xfId="0" applyNumberFormat="1" applyFont="1" applyBorder="1" applyAlignment="1">
      <alignment horizontal="center"/>
    </xf>
    <xf numFmtId="195" fontId="110" fillId="0" borderId="8" xfId="0" applyNumberFormat="1" applyFont="1" applyBorder="1" applyAlignment="1">
      <alignment horizontal="left" wrapText="1"/>
    </xf>
    <xf numFmtId="195" fontId="110" fillId="0" borderId="8" xfId="2578" applyNumberFormat="1" applyFont="1" applyBorder="1" applyAlignment="1">
      <alignment horizontal="center" wrapText="1"/>
    </xf>
    <xf numFmtId="195" fontId="110" fillId="0" borderId="8" xfId="0" applyNumberFormat="1" applyFont="1" applyBorder="1" applyAlignment="1">
      <alignment horizontal="left" vertical="top" wrapText="1"/>
    </xf>
    <xf numFmtId="195" fontId="110" fillId="0" borderId="8" xfId="0" applyNumberFormat="1" applyFont="1" applyBorder="1" applyAlignment="1">
      <alignment horizontal="center" vertical="top" wrapText="1"/>
    </xf>
    <xf numFmtId="195" fontId="110" fillId="0" borderId="8" xfId="3749" applyNumberFormat="1" applyFont="1" applyBorder="1" applyAlignment="1">
      <alignment vertical="center"/>
    </xf>
    <xf numFmtId="195" fontId="110" fillId="0" borderId="8" xfId="3749" applyNumberFormat="1" applyFont="1" applyBorder="1" applyAlignment="1">
      <alignment horizontal="center" vertical="center"/>
    </xf>
    <xf numFmtId="195" fontId="110" fillId="0" borderId="8" xfId="0" applyNumberFormat="1" applyFont="1" applyBorder="1" applyAlignment="1">
      <alignment vertical="center"/>
    </xf>
    <xf numFmtId="178" fontId="136" fillId="0" borderId="8" xfId="288" applyNumberFormat="1" applyFont="1" applyBorder="1" applyAlignment="1">
      <alignment horizontal="left" vertical="center"/>
    </xf>
    <xf numFmtId="195" fontId="136" fillId="0" borderId="8" xfId="288" applyNumberFormat="1" applyFont="1" applyBorder="1" applyAlignment="1">
      <alignment horizontal="left" vertical="center"/>
    </xf>
    <xf numFmtId="195" fontId="136" fillId="0" borderId="8" xfId="288" applyNumberFormat="1" applyFont="1" applyBorder="1" applyAlignment="1">
      <alignment horizontal="center" vertical="center"/>
    </xf>
    <xf numFmtId="195" fontId="143" fillId="0" borderId="8" xfId="288" applyNumberFormat="1" applyFont="1" applyBorder="1" applyAlignment="1">
      <alignment horizontal="center" vertical="center" wrapText="1"/>
    </xf>
    <xf numFmtId="195" fontId="140" fillId="0" borderId="8" xfId="288" applyNumberFormat="1" applyFont="1" applyBorder="1" applyAlignment="1">
      <alignment horizontal="left" vertical="center"/>
    </xf>
    <xf numFmtId="195" fontId="140" fillId="0" borderId="8" xfId="288" applyNumberFormat="1" applyFont="1" applyBorder="1" applyAlignment="1">
      <alignment horizontal="left" vertical="center" wrapText="1"/>
    </xf>
    <xf numFmtId="195" fontId="136" fillId="0" borderId="8" xfId="288" applyNumberFormat="1" applyFont="1" applyBorder="1" applyAlignment="1">
      <alignment horizontal="center" vertical="center" wrapText="1"/>
    </xf>
    <xf numFmtId="195" fontId="136" fillId="0" borderId="8" xfId="288" applyNumberFormat="1" applyFont="1" applyBorder="1" applyAlignment="1">
      <alignment horizontal="left" vertical="center" wrapText="1"/>
    </xf>
    <xf numFmtId="195" fontId="110" fillId="0" borderId="8" xfId="3749" applyNumberFormat="1" applyFont="1" applyBorder="1" applyAlignment="1">
      <alignment horizontal="left" vertical="center"/>
    </xf>
    <xf numFmtId="178" fontId="136" fillId="0" borderId="8" xfId="288" applyNumberFormat="1" applyFont="1" applyBorder="1" applyAlignment="1">
      <alignment horizontal="left" vertical="center" wrapText="1"/>
    </xf>
    <xf numFmtId="178" fontId="110" fillId="0" borderId="6" xfId="0" applyNumberFormat="1" applyFont="1" applyBorder="1" applyAlignment="1">
      <alignment horizontal="center" vertical="top"/>
    </xf>
    <xf numFmtId="178" fontId="110" fillId="0" borderId="8" xfId="2578" applyNumberFormat="1" applyFont="1" applyBorder="1" applyAlignment="1">
      <alignment horizontal="center" wrapText="1"/>
    </xf>
    <xf numFmtId="195" fontId="110" fillId="0" borderId="8" xfId="2578" applyNumberFormat="1" applyFont="1" applyBorder="1" applyAlignment="1">
      <alignment horizontal="justify" wrapText="1"/>
    </xf>
    <xf numFmtId="178" fontId="110" fillId="0" borderId="8" xfId="2578" applyNumberFormat="1" applyFont="1" applyBorder="1" applyAlignment="1">
      <alignment horizontal="center" vertical="center" wrapText="1"/>
    </xf>
    <xf numFmtId="195" fontId="110" fillId="0" borderId="8" xfId="2578" applyNumberFormat="1" applyFont="1" applyBorder="1" applyAlignment="1">
      <alignment horizontal="justify" vertical="center" wrapText="1"/>
    </xf>
    <xf numFmtId="195" fontId="110" fillId="0" borderId="8" xfId="2578" applyNumberFormat="1" applyFont="1" applyBorder="1" applyAlignment="1">
      <alignment horizontal="center" vertical="center" wrapText="1"/>
    </xf>
    <xf numFmtId="2" fontId="110" fillId="0" borderId="1" xfId="0" applyNumberFormat="1" applyFont="1" applyBorder="1" applyAlignment="1">
      <alignment horizontal="center" vertical="center"/>
    </xf>
    <xf numFmtId="0" fontId="110" fillId="0" borderId="1" xfId="0" applyFont="1" applyBorder="1" applyAlignment="1">
      <alignment horizontal="center" vertical="center"/>
    </xf>
    <xf numFmtId="0" fontId="141" fillId="0" borderId="1" xfId="0" applyFont="1" applyBorder="1" applyAlignment="1">
      <alignment horizontal="center" vertical="center" wrapText="1"/>
    </xf>
    <xf numFmtId="195" fontId="141" fillId="0" borderId="1" xfId="0" applyNumberFormat="1" applyFont="1" applyBorder="1" applyAlignment="1">
      <alignment horizontal="center" vertical="center"/>
    </xf>
    <xf numFmtId="195" fontId="141" fillId="0" borderId="7" xfId="0" applyNumberFormat="1" applyFont="1" applyBorder="1" applyAlignment="1">
      <alignment horizontal="justify" vertical="top"/>
    </xf>
    <xf numFmtId="2" fontId="110" fillId="0" borderId="0" xfId="0" applyNumberFormat="1" applyFont="1" applyAlignment="1">
      <alignment vertical="center"/>
    </xf>
    <xf numFmtId="195" fontId="110" fillId="0" borderId="8" xfId="0" applyNumberFormat="1" applyFont="1" applyBorder="1" applyAlignment="1">
      <alignment horizontal="justify" vertical="center" wrapText="1"/>
    </xf>
    <xf numFmtId="195" fontId="141" fillId="0" borderId="8" xfId="0" applyNumberFormat="1" applyFont="1" applyBorder="1" applyAlignment="1">
      <alignment horizontal="justify" vertical="center"/>
    </xf>
    <xf numFmtId="195" fontId="110" fillId="0" borderId="1" xfId="3749" applyNumberFormat="1" applyFont="1" applyBorder="1" applyAlignment="1">
      <alignment horizontal="center" vertical="center"/>
    </xf>
    <xf numFmtId="195" fontId="141" fillId="0" borderId="8" xfId="0" applyNumberFormat="1" applyFont="1" applyBorder="1" applyAlignment="1">
      <alignment horizontal="right" vertical="center"/>
    </xf>
    <xf numFmtId="195" fontId="141" fillId="0" borderId="8" xfId="0" applyNumberFormat="1" applyFont="1" applyBorder="1" applyAlignment="1">
      <alignment horizontal="justify" vertical="top"/>
    </xf>
    <xf numFmtId="195" fontId="110" fillId="0" borderId="8" xfId="0" applyNumberFormat="1" applyFont="1" applyBorder="1" applyAlignment="1">
      <alignment horizontal="center" wrapText="1"/>
    </xf>
    <xf numFmtId="195" fontId="110" fillId="0" borderId="8" xfId="0" applyNumberFormat="1" applyFont="1" applyBorder="1" applyAlignment="1">
      <alignment horizontal="justify" wrapText="1"/>
    </xf>
    <xf numFmtId="195" fontId="141" fillId="0" borderId="8" xfId="0" applyNumberFormat="1" applyFont="1" applyBorder="1" applyAlignment="1">
      <alignment horizontal="justify"/>
    </xf>
    <xf numFmtId="2" fontId="110" fillId="0" borderId="0" xfId="0" applyNumberFormat="1" applyFont="1"/>
    <xf numFmtId="195" fontId="144" fillId="0" borderId="8" xfId="288" applyNumberFormat="1" applyFont="1" applyBorder="1" applyAlignment="1">
      <alignment vertical="center"/>
    </xf>
    <xf numFmtId="195" fontId="144" fillId="0" borderId="8" xfId="288" applyNumberFormat="1" applyFont="1" applyBorder="1" applyAlignment="1">
      <alignment vertical="center" wrapText="1"/>
    </xf>
    <xf numFmtId="195" fontId="110" fillId="0" borderId="1" xfId="0" applyNumberFormat="1" applyFont="1" applyBorder="1" applyAlignment="1">
      <alignment horizontal="center" vertical="center" wrapText="1"/>
    </xf>
    <xf numFmtId="195" fontId="141" fillId="0" borderId="25" xfId="0" applyNumberFormat="1" applyFont="1" applyBorder="1" applyAlignment="1">
      <alignment horizontal="right" vertical="center"/>
    </xf>
    <xf numFmtId="195" fontId="110" fillId="0" borderId="8" xfId="2578" applyNumberFormat="1" applyFont="1" applyBorder="1" applyAlignment="1">
      <alignment horizontal="center"/>
    </xf>
    <xf numFmtId="195" fontId="141" fillId="0" borderId="8" xfId="2578" applyNumberFormat="1" applyFont="1" applyBorder="1"/>
    <xf numFmtId="2" fontId="110" fillId="0" borderId="0" xfId="2578" applyNumberFormat="1" applyFont="1" applyAlignment="1">
      <alignment horizontal="center"/>
    </xf>
    <xf numFmtId="0" fontId="110" fillId="0" borderId="0" xfId="2578" applyFont="1" applyAlignment="1">
      <alignment horizontal="justify" wrapText="1"/>
    </xf>
    <xf numFmtId="195" fontId="110" fillId="0" borderId="8" xfId="2578" applyNumberFormat="1" applyFont="1" applyBorder="1"/>
    <xf numFmtId="195" fontId="110" fillId="0" borderId="8" xfId="2578" applyNumberFormat="1" applyFont="1" applyBorder="1" applyAlignment="1">
      <alignment vertical="center"/>
    </xf>
    <xf numFmtId="195" fontId="141" fillId="0" borderId="8" xfId="2578" applyNumberFormat="1" applyFont="1" applyBorder="1" applyAlignment="1">
      <alignment vertical="center"/>
    </xf>
    <xf numFmtId="195" fontId="110" fillId="0" borderId="8" xfId="288" applyNumberFormat="1" applyFont="1" applyBorder="1" applyAlignment="1">
      <alignment horizontal="center" vertical="center" wrapText="1"/>
    </xf>
    <xf numFmtId="2" fontId="110" fillId="0" borderId="0" xfId="2578" applyNumberFormat="1" applyFont="1" applyAlignment="1">
      <alignment horizontal="center" vertical="center"/>
    </xf>
    <xf numFmtId="0" fontId="110" fillId="0" borderId="0" xfId="2578" applyFont="1" applyAlignment="1">
      <alignment horizontal="justify" vertical="center" wrapText="1"/>
    </xf>
    <xf numFmtId="178" fontId="110" fillId="4" borderId="8" xfId="0" applyNumberFormat="1" applyFont="1" applyFill="1" applyBorder="1" applyAlignment="1">
      <alignment horizontal="center" vertical="top"/>
    </xf>
    <xf numFmtId="195" fontId="110" fillId="0" borderId="8" xfId="3749" applyNumberFormat="1" applyFont="1" applyBorder="1" applyAlignment="1">
      <alignment horizontal="left" vertical="center" wrapText="1"/>
    </xf>
    <xf numFmtId="195" fontId="110" fillId="0" borderId="8" xfId="3749" applyNumberFormat="1" applyFont="1" applyBorder="1" applyAlignment="1">
      <alignment horizontal="center" vertical="center" wrapText="1"/>
    </xf>
    <xf numFmtId="195" fontId="110" fillId="0" borderId="8" xfId="288" applyNumberFormat="1" applyFont="1" applyBorder="1" applyAlignment="1">
      <alignment horizontal="left" vertical="top"/>
    </xf>
    <xf numFmtId="195" fontId="110" fillId="0" borderId="8" xfId="288" applyNumberFormat="1" applyFont="1" applyBorder="1" applyAlignment="1">
      <alignment horizontal="center" vertical="top"/>
    </xf>
    <xf numFmtId="195" fontId="110" fillId="0" borderId="8" xfId="3749" applyNumberFormat="1" applyFont="1" applyBorder="1" applyAlignment="1">
      <alignment horizontal="left" vertical="top" wrapText="1"/>
    </xf>
    <xf numFmtId="195" fontId="110" fillId="0" borderId="8" xfId="3749" applyNumberFormat="1" applyFont="1" applyBorder="1" applyAlignment="1">
      <alignment horizontal="center" vertical="top"/>
    </xf>
    <xf numFmtId="195" fontId="110" fillId="0" borderId="8" xfId="3749" applyNumberFormat="1" applyFont="1" applyBorder="1" applyAlignment="1">
      <alignment horizontal="center" vertical="top" wrapText="1"/>
    </xf>
    <xf numFmtId="178" fontId="110" fillId="0" borderId="2" xfId="0" applyNumberFormat="1" applyFont="1" applyBorder="1" applyAlignment="1">
      <alignment horizontal="center" vertical="center"/>
    </xf>
    <xf numFmtId="195" fontId="110" fillId="0" borderId="2" xfId="0" applyNumberFormat="1" applyFont="1" applyBorder="1" applyAlignment="1">
      <alignment horizontal="left" vertical="center" wrapText="1"/>
    </xf>
    <xf numFmtId="195" fontId="110" fillId="0" borderId="2" xfId="0" applyNumberFormat="1" applyFont="1" applyBorder="1" applyAlignment="1">
      <alignment horizontal="center" vertical="center" wrapText="1"/>
    </xf>
    <xf numFmtId="195" fontId="110" fillId="0" borderId="2" xfId="0" applyNumberFormat="1" applyFont="1" applyBorder="1" applyAlignment="1">
      <alignment horizontal="center" vertical="center"/>
    </xf>
    <xf numFmtId="178" fontId="110" fillId="0" borderId="3" xfId="0" applyNumberFormat="1" applyFont="1" applyBorder="1" applyAlignment="1">
      <alignment horizontal="center" vertical="center"/>
    </xf>
    <xf numFmtId="0" fontId="110" fillId="0" borderId="0" xfId="2192" applyFont="1" applyAlignment="1">
      <alignment horizontal="center" vertical="center"/>
    </xf>
    <xf numFmtId="0" fontId="110" fillId="0" borderId="0" xfId="2192" applyFont="1" applyAlignment="1">
      <alignment horizontal="center" vertical="center" wrapText="1"/>
    </xf>
    <xf numFmtId="0" fontId="110" fillId="0" borderId="0" xfId="2192" applyFont="1" applyAlignment="1">
      <alignment vertical="center" wrapText="1"/>
    </xf>
    <xf numFmtId="195" fontId="141" fillId="4" borderId="8" xfId="3749" applyNumberFormat="1" applyFont="1" applyFill="1" applyBorder="1" applyAlignment="1">
      <alignment horizontal="right" vertical="top"/>
    </xf>
    <xf numFmtId="195" fontId="110" fillId="0" borderId="8" xfId="288" applyNumberFormat="1" applyFont="1" applyBorder="1" applyAlignment="1">
      <alignment vertical="center"/>
    </xf>
    <xf numFmtId="195" fontId="141" fillId="0" borderId="8" xfId="288" applyNumberFormat="1" applyFont="1" applyBorder="1" applyAlignment="1">
      <alignment vertical="center"/>
    </xf>
    <xf numFmtId="195" fontId="110" fillId="0" borderId="8" xfId="3749" applyNumberFormat="1" applyFont="1" applyBorder="1" applyAlignment="1">
      <alignment vertical="center" wrapText="1"/>
    </xf>
    <xf numFmtId="195" fontId="141" fillId="0" borderId="8" xfId="3749" applyNumberFormat="1" applyFont="1" applyBorder="1" applyAlignment="1">
      <alignment horizontal="right" vertical="top"/>
    </xf>
    <xf numFmtId="195" fontId="141" fillId="0" borderId="8" xfId="3749" applyNumberFormat="1" applyFont="1" applyBorder="1" applyAlignment="1">
      <alignment horizontal="right" vertical="center"/>
    </xf>
    <xf numFmtId="195" fontId="110" fillId="0" borderId="8" xfId="288" applyNumberFormat="1" applyFont="1" applyBorder="1" applyAlignment="1">
      <alignment vertical="top"/>
    </xf>
    <xf numFmtId="195" fontId="141" fillId="0" borderId="8" xfId="288" applyNumberFormat="1" applyFont="1" applyBorder="1" applyAlignment="1">
      <alignment vertical="top"/>
    </xf>
    <xf numFmtId="195" fontId="110" fillId="0" borderId="1" xfId="3749" applyNumberFormat="1" applyFont="1" applyBorder="1" applyAlignment="1">
      <alignment horizontal="center" vertical="top"/>
    </xf>
    <xf numFmtId="195" fontId="110" fillId="0" borderId="8" xfId="3749" applyNumberFormat="1" applyFont="1" applyBorder="1" applyAlignment="1">
      <alignment vertical="top" wrapText="1"/>
    </xf>
    <xf numFmtId="195" fontId="141" fillId="0" borderId="2" xfId="0" applyNumberFormat="1" applyFont="1" applyBorder="1" applyAlignment="1">
      <alignment horizontal="right" vertical="center"/>
    </xf>
    <xf numFmtId="195" fontId="141" fillId="0" borderId="2" xfId="0" applyNumberFormat="1" applyFont="1" applyBorder="1" applyAlignment="1">
      <alignment vertical="center"/>
    </xf>
    <xf numFmtId="3" fontId="141" fillId="0" borderId="0" xfId="0" applyNumberFormat="1" applyFont="1" applyAlignment="1">
      <alignment horizontal="center" vertical="center"/>
    </xf>
    <xf numFmtId="0" fontId="110" fillId="0" borderId="0" xfId="288" applyFont="1" applyAlignment="1">
      <alignment vertical="center"/>
    </xf>
    <xf numFmtId="0" fontId="110" fillId="0" borderId="0" xfId="288" applyFont="1" applyAlignment="1">
      <alignment vertical="center" wrapText="1"/>
    </xf>
    <xf numFmtId="0" fontId="110" fillId="0" borderId="0" xfId="0" applyFont="1" applyAlignment="1">
      <alignment vertical="top"/>
    </xf>
    <xf numFmtId="1" fontId="145" fillId="0" borderId="0" xfId="0" applyNumberFormat="1" applyFont="1" applyAlignment="1">
      <alignment horizontal="center" vertical="center" wrapText="1"/>
    </xf>
    <xf numFmtId="0" fontId="141" fillId="0" borderId="1" xfId="0" applyFont="1" applyBorder="1" applyAlignment="1">
      <alignment horizontal="center" vertical="top" wrapText="1"/>
    </xf>
    <xf numFmtId="0" fontId="141" fillId="0" borderId="1" xfId="0" applyFont="1" applyBorder="1" applyAlignment="1">
      <alignment horizontal="center" vertical="top"/>
    </xf>
    <xf numFmtId="0" fontId="141" fillId="0" borderId="1" xfId="0" applyFont="1" applyBorder="1" applyAlignment="1">
      <alignment horizontal="center" vertical="center"/>
    </xf>
    <xf numFmtId="0" fontId="110" fillId="0" borderId="1" xfId="0" applyFont="1" applyBorder="1" applyAlignment="1">
      <alignment horizontal="center" vertical="top"/>
    </xf>
    <xf numFmtId="0" fontId="110" fillId="0" borderId="1" xfId="288" applyFont="1" applyBorder="1" applyAlignment="1">
      <alignment horizontal="left" vertical="center"/>
    </xf>
    <xf numFmtId="0" fontId="110" fillId="0" borderId="1" xfId="288" applyFont="1" applyBorder="1" applyAlignment="1">
      <alignment horizontal="center" vertical="center"/>
    </xf>
    <xf numFmtId="2" fontId="110" fillId="0" borderId="1" xfId="288" applyNumberFormat="1" applyFont="1" applyBorder="1" applyAlignment="1">
      <alignment horizontal="center" vertical="center"/>
    </xf>
    <xf numFmtId="2" fontId="142" fillId="0" borderId="1" xfId="288" applyNumberFormat="1" applyFont="1" applyBorder="1" applyAlignment="1">
      <alignment horizontal="center" vertical="center" wrapText="1"/>
    </xf>
    <xf numFmtId="0" fontId="110" fillId="0" borderId="1" xfId="0" applyFont="1" applyBorder="1" applyAlignment="1">
      <alignment horizontal="left" vertical="center" wrapText="1"/>
    </xf>
    <xf numFmtId="0" fontId="110" fillId="0" borderId="1" xfId="0" applyFont="1" applyBorder="1" applyAlignment="1">
      <alignment horizontal="center"/>
    </xf>
    <xf numFmtId="0" fontId="110" fillId="0" borderId="1" xfId="0" applyFont="1" applyBorder="1" applyAlignment="1">
      <alignment horizontal="left" wrapText="1"/>
    </xf>
    <xf numFmtId="0" fontId="110" fillId="0" borderId="1" xfId="2578" applyFont="1" applyBorder="1" applyAlignment="1">
      <alignment horizontal="center" wrapText="1"/>
    </xf>
    <xf numFmtId="2" fontId="110" fillId="0" borderId="1" xfId="2578" applyNumberFormat="1" applyFont="1" applyBorder="1" applyAlignment="1">
      <alignment horizontal="center" wrapText="1"/>
    </xf>
    <xf numFmtId="0" fontId="110" fillId="0" borderId="1" xfId="0" applyFont="1" applyBorder="1" applyAlignment="1">
      <alignment horizontal="left" vertical="top" wrapText="1"/>
    </xf>
    <xf numFmtId="0" fontId="110" fillId="0" borderId="1" xfId="0" applyFont="1" applyBorder="1" applyAlignment="1">
      <alignment horizontal="center" vertical="top" wrapText="1"/>
    </xf>
    <xf numFmtId="0" fontId="110" fillId="0" borderId="1" xfId="3749" applyFont="1" applyBorder="1" applyAlignment="1">
      <alignment vertical="center"/>
    </xf>
    <xf numFmtId="0" fontId="110" fillId="0" borderId="1" xfId="3749" applyFont="1" applyBorder="1" applyAlignment="1">
      <alignment horizontal="center" vertical="center"/>
    </xf>
    <xf numFmtId="2" fontId="110" fillId="0" borderId="1" xfId="3749" applyNumberFormat="1" applyFont="1" applyBorder="1" applyAlignment="1">
      <alignment horizontal="center" vertical="center"/>
    </xf>
    <xf numFmtId="0" fontId="110" fillId="0" borderId="1" xfId="0" applyFont="1" applyBorder="1" applyAlignment="1">
      <alignment vertical="center"/>
    </xf>
    <xf numFmtId="0" fontId="110" fillId="0" borderId="1" xfId="288" applyFont="1" applyBorder="1" applyAlignment="1">
      <alignment horizontal="left" vertical="center" wrapText="1"/>
    </xf>
    <xf numFmtId="0" fontId="110" fillId="0" borderId="1" xfId="288" applyFont="1" applyBorder="1" applyAlignment="1">
      <alignment horizontal="center" vertical="center" wrapText="1"/>
    </xf>
    <xf numFmtId="184" fontId="110" fillId="0" borderId="1" xfId="288" applyNumberFormat="1" applyFont="1" applyBorder="1" applyAlignment="1">
      <alignment horizontal="center" vertical="center"/>
    </xf>
    <xf numFmtId="0" fontId="110" fillId="0" borderId="1" xfId="3749" applyFont="1" applyBorder="1" applyAlignment="1">
      <alignment horizontal="left" vertical="center"/>
    </xf>
    <xf numFmtId="2" fontId="110" fillId="0" borderId="1" xfId="288" applyNumberFormat="1" applyFont="1" applyBorder="1" applyAlignment="1">
      <alignment horizontal="center" vertical="center" wrapText="1"/>
    </xf>
    <xf numFmtId="184" fontId="110" fillId="0" borderId="1" xfId="288" applyNumberFormat="1" applyFont="1" applyBorder="1" applyAlignment="1">
      <alignment horizontal="center" vertical="center" wrapText="1"/>
    </xf>
    <xf numFmtId="0" fontId="110" fillId="0" borderId="1" xfId="2578" applyFont="1" applyBorder="1" applyAlignment="1">
      <alignment horizontal="justify" wrapText="1"/>
    </xf>
    <xf numFmtId="184" fontId="110" fillId="0" borderId="1" xfId="2578" applyNumberFormat="1" applyFont="1" applyBorder="1" applyAlignment="1">
      <alignment horizontal="center" wrapText="1"/>
    </xf>
    <xf numFmtId="2" fontId="110" fillId="0" borderId="1" xfId="0" applyNumberFormat="1" applyFont="1" applyBorder="1" applyAlignment="1">
      <alignment horizontal="center" vertical="center" wrapText="1"/>
    </xf>
    <xf numFmtId="0" fontId="110" fillId="0" borderId="1" xfId="2578" applyFont="1" applyBorder="1" applyAlignment="1">
      <alignment horizontal="center" vertical="center" wrapText="1"/>
    </xf>
    <xf numFmtId="0" fontId="110" fillId="0" borderId="1" xfId="2578" applyFont="1" applyBorder="1" applyAlignment="1">
      <alignment horizontal="justify" vertical="center" wrapText="1"/>
    </xf>
    <xf numFmtId="2" fontId="110" fillId="0" borderId="1" xfId="2578" applyNumberFormat="1" applyFont="1" applyBorder="1" applyAlignment="1">
      <alignment horizontal="center" vertical="center" wrapText="1"/>
    </xf>
    <xf numFmtId="184" fontId="110" fillId="0" borderId="1" xfId="2578" applyNumberFormat="1" applyFont="1" applyBorder="1" applyAlignment="1">
      <alignment horizontal="center" vertical="center" wrapText="1"/>
    </xf>
    <xf numFmtId="0" fontId="110" fillId="4" borderId="1" xfId="0" applyFont="1" applyFill="1" applyBorder="1" applyAlignment="1">
      <alignment horizontal="center" vertical="top"/>
    </xf>
    <xf numFmtId="0" fontId="110" fillId="0" borderId="1" xfId="3749" applyFont="1" applyBorder="1" applyAlignment="1">
      <alignment horizontal="left" vertical="center" wrapText="1"/>
    </xf>
    <xf numFmtId="2" fontId="110" fillId="0" borderId="1" xfId="3749" applyNumberFormat="1" applyFont="1" applyBorder="1" applyAlignment="1">
      <alignment horizontal="center" vertical="center" wrapText="1"/>
    </xf>
    <xf numFmtId="2" fontId="141" fillId="0" borderId="1" xfId="0" applyNumberFormat="1" applyFont="1" applyBorder="1" applyAlignment="1">
      <alignment horizontal="center" vertical="center"/>
    </xf>
    <xf numFmtId="1" fontId="141" fillId="0" borderId="1" xfId="0" applyNumberFormat="1" applyFont="1" applyBorder="1" applyAlignment="1">
      <alignment horizontal="center" vertical="center"/>
    </xf>
    <xf numFmtId="4" fontId="141" fillId="0" borderId="1" xfId="0" applyNumberFormat="1" applyFont="1" applyBorder="1" applyAlignment="1">
      <alignment horizontal="justify" vertical="top"/>
    </xf>
    <xf numFmtId="4" fontId="141" fillId="0" borderId="1" xfId="0" applyNumberFormat="1" applyFont="1" applyBorder="1" applyAlignment="1">
      <alignment horizontal="justify" vertical="center"/>
    </xf>
    <xf numFmtId="2" fontId="141" fillId="0" borderId="1" xfId="3749" applyNumberFormat="1" applyFont="1" applyBorder="1" applyAlignment="1">
      <alignment horizontal="center" vertical="center"/>
    </xf>
    <xf numFmtId="4" fontId="141" fillId="0" borderId="1" xfId="0" applyNumberFormat="1" applyFont="1" applyBorder="1" applyAlignment="1">
      <alignment horizontal="right" vertical="center"/>
    </xf>
    <xf numFmtId="2" fontId="141" fillId="0" borderId="1" xfId="0" applyNumberFormat="1" applyFont="1" applyBorder="1" applyAlignment="1">
      <alignment horizontal="center" vertical="center" wrapText="1"/>
    </xf>
    <xf numFmtId="0" fontId="110" fillId="0" borderId="1" xfId="0" applyFont="1" applyBorder="1" applyAlignment="1">
      <alignment horizontal="center" wrapText="1"/>
    </xf>
    <xf numFmtId="4" fontId="141" fillId="0" borderId="1" xfId="0" applyNumberFormat="1" applyFont="1" applyBorder="1" applyAlignment="1">
      <alignment horizontal="justify"/>
    </xf>
    <xf numFmtId="4" fontId="141" fillId="0" borderId="1" xfId="288" applyNumberFormat="1" applyFont="1" applyBorder="1" applyAlignment="1">
      <alignment vertical="center"/>
    </xf>
    <xf numFmtId="4" fontId="141" fillId="0" borderId="1" xfId="288" applyNumberFormat="1" applyFont="1" applyBorder="1" applyAlignment="1">
      <alignment vertical="center" wrapText="1"/>
    </xf>
    <xf numFmtId="0" fontId="110" fillId="0" borderId="1" xfId="2578" applyFont="1" applyBorder="1" applyAlignment="1">
      <alignment horizontal="center"/>
    </xf>
    <xf numFmtId="4" fontId="141" fillId="0" borderId="1" xfId="2578" applyNumberFormat="1" applyFont="1" applyBorder="1"/>
    <xf numFmtId="0" fontId="110" fillId="0" borderId="1" xfId="2578" applyFont="1" applyBorder="1" applyAlignment="1">
      <alignment horizontal="center" vertical="center"/>
    </xf>
    <xf numFmtId="4" fontId="141" fillId="0" borderId="1" xfId="2578" applyNumberFormat="1" applyFont="1" applyBorder="1" applyAlignment="1">
      <alignment vertical="center"/>
    </xf>
    <xf numFmtId="4" fontId="141" fillId="4" borderId="1" xfId="3749" applyNumberFormat="1" applyFont="1" applyFill="1" applyBorder="1" applyAlignment="1">
      <alignment horizontal="right" vertical="top"/>
    </xf>
    <xf numFmtId="0" fontId="110" fillId="0" borderId="1" xfId="3749" applyFont="1" applyBorder="1" applyAlignment="1">
      <alignment horizontal="center" vertical="center" wrapText="1"/>
    </xf>
    <xf numFmtId="4" fontId="141" fillId="0" borderId="1" xfId="3749" applyNumberFormat="1" applyFont="1" applyBorder="1" applyAlignment="1">
      <alignment horizontal="right" vertical="top"/>
    </xf>
    <xf numFmtId="4" fontId="141" fillId="0" borderId="1" xfId="3749" applyNumberFormat="1" applyFont="1" applyBorder="1" applyAlignment="1">
      <alignment horizontal="right" vertical="center"/>
    </xf>
    <xf numFmtId="4" fontId="141" fillId="0" borderId="1" xfId="0" applyNumberFormat="1" applyFont="1" applyBorder="1" applyAlignment="1">
      <alignment vertical="center"/>
    </xf>
    <xf numFmtId="0" fontId="105" fillId="0" borderId="0" xfId="0" applyFont="1" applyAlignment="1">
      <alignment vertical="top"/>
    </xf>
    <xf numFmtId="0" fontId="105" fillId="0" borderId="0" xfId="0" applyFont="1" applyAlignment="1">
      <alignment horizontal="right" vertical="center"/>
    </xf>
    <xf numFmtId="0" fontId="105" fillId="0" borderId="0" xfId="0" applyFont="1" applyAlignment="1">
      <alignment horizontal="left" vertical="center"/>
    </xf>
    <xf numFmtId="1" fontId="108" fillId="0" borderId="0" xfId="0" applyNumberFormat="1" applyFont="1" applyAlignment="1">
      <alignment horizontal="center" vertical="center" wrapText="1"/>
    </xf>
    <xf numFmtId="1" fontId="108" fillId="0" borderId="0" xfId="0" applyNumberFormat="1" applyFont="1" applyAlignment="1">
      <alignment horizontal="right" vertical="center" wrapText="1"/>
    </xf>
    <xf numFmtId="1" fontId="108" fillId="0" borderId="0" xfId="0" applyNumberFormat="1" applyFont="1" applyAlignment="1">
      <alignment horizontal="left" vertical="center" wrapText="1"/>
    </xf>
    <xf numFmtId="0" fontId="105" fillId="0" borderId="1" xfId="0" applyFont="1" applyBorder="1" applyAlignment="1">
      <alignment horizontal="center" vertical="top"/>
    </xf>
    <xf numFmtId="0" fontId="105" fillId="0" borderId="1" xfId="0" applyFont="1" applyBorder="1" applyAlignment="1">
      <alignment horizontal="left" wrapText="1"/>
    </xf>
    <xf numFmtId="0" fontId="105" fillId="0" borderId="1" xfId="0" applyFont="1" applyBorder="1" applyAlignment="1">
      <alignment horizontal="center" wrapText="1"/>
    </xf>
    <xf numFmtId="2" fontId="105" fillId="0" borderId="1" xfId="0" applyNumberFormat="1" applyFont="1" applyBorder="1" applyAlignment="1">
      <alignment horizontal="center" wrapText="1"/>
    </xf>
    <xf numFmtId="0" fontId="105" fillId="0" borderId="1" xfId="0" applyFont="1" applyBorder="1" applyAlignment="1">
      <alignment horizontal="right" wrapText="1"/>
    </xf>
    <xf numFmtId="0" fontId="105" fillId="0" borderId="1" xfId="0" applyFont="1" applyBorder="1" applyAlignment="1">
      <alignment horizontal="right"/>
    </xf>
    <xf numFmtId="0" fontId="105" fillId="0" borderId="1" xfId="0" applyFont="1" applyBorder="1" applyAlignment="1">
      <alignment wrapText="1"/>
    </xf>
    <xf numFmtId="0" fontId="105" fillId="0" borderId="1" xfId="0" applyFont="1" applyBorder="1" applyAlignment="1">
      <alignment horizontal="center" vertical="top" wrapText="1"/>
    </xf>
    <xf numFmtId="2" fontId="105" fillId="0" borderId="1" xfId="0" applyNumberFormat="1" applyFont="1" applyBorder="1" applyAlignment="1">
      <alignment horizontal="center" vertical="top" wrapText="1"/>
    </xf>
    <xf numFmtId="1" fontId="105" fillId="0" borderId="1" xfId="0" applyNumberFormat="1" applyFont="1" applyBorder="1" applyAlignment="1">
      <alignment horizontal="center" vertical="top"/>
    </xf>
    <xf numFmtId="2" fontId="146" fillId="0" borderId="1" xfId="0" applyNumberFormat="1" applyFont="1" applyBorder="1" applyAlignment="1">
      <alignment horizontal="center" vertical="top" wrapText="1"/>
    </xf>
    <xf numFmtId="0" fontId="105" fillId="0" borderId="1" xfId="0" applyFont="1" applyBorder="1" applyAlignment="1">
      <alignment horizontal="right" vertical="top" wrapText="1"/>
    </xf>
    <xf numFmtId="0" fontId="105" fillId="0" borderId="2" xfId="0" applyFont="1" applyBorder="1" applyAlignment="1">
      <alignment vertical="top"/>
    </xf>
    <xf numFmtId="0" fontId="105" fillId="0" borderId="2" xfId="0" applyFont="1" applyBorder="1" applyAlignment="1">
      <alignment vertical="center"/>
    </xf>
    <xf numFmtId="0" fontId="105" fillId="0" borderId="2" xfId="0" applyFont="1" applyBorder="1" applyAlignment="1">
      <alignment horizontal="right" vertical="center"/>
    </xf>
    <xf numFmtId="0" fontId="105" fillId="0" borderId="2" xfId="0" applyFont="1" applyBorder="1" applyAlignment="1">
      <alignment horizontal="center" vertical="center"/>
    </xf>
    <xf numFmtId="0" fontId="105" fillId="0" borderId="2" xfId="0" applyFont="1" applyBorder="1" applyAlignment="1">
      <alignment horizontal="left" vertical="center"/>
    </xf>
    <xf numFmtId="0" fontId="105" fillId="0" borderId="0" xfId="2192" applyFont="1" applyAlignment="1">
      <alignment horizontal="left" vertical="center" wrapText="1"/>
    </xf>
    <xf numFmtId="0" fontId="105" fillId="0" borderId="0" xfId="2192" applyFont="1" applyAlignment="1">
      <alignment horizontal="right" vertical="center" wrapText="1"/>
    </xf>
    <xf numFmtId="3" fontId="107" fillId="0" borderId="1" xfId="0" applyNumberFormat="1" applyFont="1" applyBorder="1" applyAlignment="1">
      <alignment horizontal="justify" vertical="top"/>
    </xf>
    <xf numFmtId="2" fontId="105" fillId="0" borderId="1" xfId="975" applyNumberFormat="1" applyFont="1" applyBorder="1"/>
    <xf numFmtId="0" fontId="105" fillId="0" borderId="1" xfId="0" applyFont="1" applyBorder="1" applyAlignment="1">
      <alignment horizontal="justify" wrapText="1"/>
    </xf>
    <xf numFmtId="2" fontId="107" fillId="0" borderId="1" xfId="0" applyNumberFormat="1" applyFont="1" applyBorder="1" applyAlignment="1">
      <alignment horizontal="justify"/>
    </xf>
    <xf numFmtId="2" fontId="107" fillId="0" borderId="1" xfId="0" applyNumberFormat="1" applyFont="1" applyBorder="1" applyAlignment="1">
      <alignment horizontal="right" wrapText="1"/>
    </xf>
    <xf numFmtId="2" fontId="107" fillId="0" borderId="1" xfId="0" applyNumberFormat="1" applyFont="1" applyBorder="1" applyAlignment="1">
      <alignment horizontal="right"/>
    </xf>
    <xf numFmtId="2" fontId="107" fillId="0" borderId="1" xfId="0" applyNumberFormat="1" applyFont="1" applyBorder="1" applyAlignment="1">
      <alignment horizontal="justify" vertical="top"/>
    </xf>
    <xf numFmtId="2" fontId="105" fillId="0" borderId="1" xfId="0" applyNumberFormat="1" applyFont="1" applyBorder="1" applyAlignment="1">
      <alignment horizontal="right" wrapText="1"/>
    </xf>
    <xf numFmtId="184" fontId="105" fillId="0" borderId="1" xfId="0" applyNumberFormat="1" applyFont="1" applyBorder="1" applyAlignment="1">
      <alignment horizontal="right" vertical="top" wrapText="1"/>
    </xf>
    <xf numFmtId="2" fontId="107" fillId="0" borderId="1" xfId="0" applyNumberFormat="1" applyFont="1" applyBorder="1" applyAlignment="1">
      <alignment horizontal="center" wrapText="1"/>
    </xf>
    <xf numFmtId="0" fontId="107" fillId="0" borderId="2" xfId="0" applyFont="1" applyBorder="1" applyAlignment="1">
      <alignment horizontal="center" vertical="center"/>
    </xf>
    <xf numFmtId="2" fontId="107" fillId="0" borderId="2" xfId="0" applyNumberFormat="1" applyFont="1" applyBorder="1" applyAlignment="1">
      <alignment horizontal="right" vertical="center"/>
    </xf>
    <xf numFmtId="3" fontId="107" fillId="0" borderId="0" xfId="0" applyNumberFormat="1" applyFont="1" applyAlignment="1">
      <alignment horizontal="center" vertical="center"/>
    </xf>
    <xf numFmtId="0" fontId="119" fillId="0" borderId="0" xfId="2595" applyFont="1" applyAlignment="1">
      <alignment vertical="center"/>
    </xf>
    <xf numFmtId="0" fontId="119" fillId="0" borderId="0" xfId="2595" applyFont="1" applyAlignment="1">
      <alignment horizontal="center" vertical="top" wrapText="1"/>
    </xf>
    <xf numFmtId="198" fontId="119" fillId="0" borderId="0" xfId="2595" applyNumberFormat="1" applyFont="1" applyAlignment="1">
      <alignment horizontal="center" vertical="top" wrapText="1"/>
    </xf>
    <xf numFmtId="0" fontId="119" fillId="0" borderId="0" xfId="2595" applyFont="1" applyAlignment="1">
      <alignment vertical="top"/>
    </xf>
    <xf numFmtId="0" fontId="119" fillId="3" borderId="0" xfId="2595" applyFont="1" applyFill="1" applyAlignment="1">
      <alignment vertical="top"/>
    </xf>
    <xf numFmtId="0" fontId="119" fillId="0" borderId="0" xfId="2595" applyFont="1" applyAlignment="1">
      <alignment horizontal="center" vertical="top"/>
    </xf>
    <xf numFmtId="0" fontId="119" fillId="0" borderId="0" xfId="2595" applyFont="1" applyAlignment="1">
      <alignment horizontal="center" vertical="center"/>
    </xf>
    <xf numFmtId="198" fontId="121" fillId="0" borderId="0" xfId="2595" applyNumberFormat="1" applyFont="1" applyAlignment="1">
      <alignment horizontal="center" vertical="top" wrapText="1"/>
    </xf>
    <xf numFmtId="0" fontId="119" fillId="0" borderId="0" xfId="2595" applyFont="1" applyAlignment="1">
      <alignment horizontal="justify" vertical="top" wrapText="1"/>
    </xf>
    <xf numFmtId="200" fontId="119" fillId="0" borderId="0" xfId="2595" applyNumberFormat="1" applyFont="1" applyAlignment="1">
      <alignment horizontal="center" vertical="top" wrapText="1"/>
    </xf>
    <xf numFmtId="198" fontId="119" fillId="0" borderId="1" xfId="2595" applyNumberFormat="1" applyFont="1" applyBorder="1" applyAlignment="1">
      <alignment horizontal="center" vertical="top" wrapText="1"/>
    </xf>
    <xf numFmtId="0" fontId="147" fillId="0" borderId="1" xfId="2595" applyFont="1" applyBorder="1" applyAlignment="1">
      <alignment horizontal="center" vertical="top" wrapText="1"/>
    </xf>
    <xf numFmtId="0" fontId="119" fillId="0" borderId="1" xfId="2595" applyFont="1" applyBorder="1" applyAlignment="1">
      <alignment horizontal="center" vertical="top" wrapText="1"/>
    </xf>
    <xf numFmtId="0" fontId="121" fillId="0" borderId="8" xfId="2595" applyFont="1" applyBorder="1" applyAlignment="1">
      <alignment horizontal="center" vertical="top"/>
    </xf>
    <xf numFmtId="204" fontId="121" fillId="6" borderId="8" xfId="2595" applyNumberFormat="1" applyFont="1" applyFill="1" applyBorder="1" applyAlignment="1">
      <alignment horizontal="center" vertical="top" wrapText="1"/>
    </xf>
    <xf numFmtId="0" fontId="121" fillId="0" borderId="8" xfId="2595" applyFont="1" applyBorder="1" applyAlignment="1">
      <alignment horizontal="center" vertical="top" wrapText="1"/>
    </xf>
    <xf numFmtId="0" fontId="121" fillId="0" borderId="8" xfId="2595" applyFont="1" applyBorder="1" applyAlignment="1">
      <alignment horizontal="justify" vertical="top" wrapText="1"/>
    </xf>
    <xf numFmtId="0" fontId="119" fillId="0" borderId="8" xfId="2595" applyFont="1" applyBorder="1" applyAlignment="1">
      <alignment horizontal="center" vertical="top"/>
    </xf>
    <xf numFmtId="200" fontId="119" fillId="0" borderId="8" xfId="2595" applyNumberFormat="1" applyFont="1" applyBorder="1" applyAlignment="1">
      <alignment horizontal="center" vertical="top" wrapText="1"/>
    </xf>
    <xf numFmtId="0" fontId="119" fillId="0" borderId="8" xfId="2595" applyFont="1" applyBorder="1" applyAlignment="1">
      <alignment horizontal="center" vertical="top" wrapText="1"/>
    </xf>
    <xf numFmtId="198" fontId="121" fillId="0" borderId="8" xfId="2595" applyNumberFormat="1" applyFont="1" applyBorder="1" applyAlignment="1">
      <alignment horizontal="center" vertical="top" wrapText="1"/>
    </xf>
    <xf numFmtId="2" fontId="119" fillId="0" borderId="8" xfId="1238" applyNumberFormat="1" applyBorder="1" applyAlignment="1">
      <alignment horizontal="justify" vertical="top" wrapText="1"/>
    </xf>
    <xf numFmtId="2" fontId="121" fillId="0" borderId="8" xfId="2595" applyNumberFormat="1" applyFont="1" applyBorder="1" applyAlignment="1">
      <alignment horizontal="justify" vertical="top" wrapText="1"/>
    </xf>
    <xf numFmtId="2" fontId="119" fillId="0" borderId="8" xfId="2595" applyNumberFormat="1" applyFont="1" applyBorder="1" applyAlignment="1">
      <alignment horizontal="justify" vertical="top" wrapText="1"/>
    </xf>
    <xf numFmtId="2" fontId="119" fillId="0" borderId="8" xfId="2595" applyNumberFormat="1" applyFont="1" applyBorder="1" applyAlignment="1">
      <alignment horizontal="center" vertical="top"/>
    </xf>
    <xf numFmtId="2" fontId="119" fillId="0" borderId="8" xfId="206" applyNumberFormat="1" applyFont="1" applyBorder="1" applyAlignment="1">
      <alignment horizontal="right" vertical="top"/>
    </xf>
    <xf numFmtId="185" fontId="121" fillId="0" borderId="8" xfId="2595" applyNumberFormat="1" applyFont="1" applyBorder="1" applyAlignment="1">
      <alignment horizontal="right" vertical="top" wrapText="1"/>
    </xf>
    <xf numFmtId="0" fontId="119" fillId="0" borderId="8" xfId="2595" applyFont="1" applyBorder="1" applyAlignment="1">
      <alignment horizontal="right" vertical="top" wrapText="1"/>
    </xf>
    <xf numFmtId="0" fontId="119" fillId="0" borderId="8" xfId="1238" applyBorder="1" applyAlignment="1">
      <alignment vertical="top" wrapText="1"/>
    </xf>
    <xf numFmtId="203" fontId="119" fillId="0" borderId="8" xfId="1238" applyNumberFormat="1" applyBorder="1" applyAlignment="1">
      <alignment horizontal="center" vertical="top"/>
    </xf>
    <xf numFmtId="2" fontId="119" fillId="0" borderId="8" xfId="2595" applyNumberFormat="1" applyFont="1" applyBorder="1" applyAlignment="1">
      <alignment horizontal="center" vertical="top" wrapText="1"/>
    </xf>
    <xf numFmtId="10" fontId="119" fillId="0" borderId="8" xfId="2926" applyNumberFormat="1" applyFont="1" applyBorder="1" applyAlignment="1">
      <alignment horizontal="center" vertical="top" wrapText="1"/>
    </xf>
    <xf numFmtId="189" fontId="119" fillId="0" borderId="8" xfId="1238" applyNumberFormat="1" applyBorder="1" applyAlignment="1">
      <alignment horizontal="center" vertical="top" wrapText="1"/>
    </xf>
    <xf numFmtId="4" fontId="121" fillId="0" borderId="8" xfId="1238" applyNumberFormat="1" applyFont="1" applyBorder="1" applyAlignment="1">
      <alignment horizontal="right" vertical="top" wrapText="1"/>
    </xf>
    <xf numFmtId="0" fontId="121" fillId="0" borderId="8" xfId="1238" applyFont="1" applyBorder="1" applyAlignment="1">
      <alignment vertical="top" wrapText="1"/>
    </xf>
    <xf numFmtId="0" fontId="121" fillId="0" borderId="8" xfId="0" applyFont="1" applyBorder="1" applyAlignment="1">
      <alignment horizontal="center" vertical="top"/>
    </xf>
    <xf numFmtId="0" fontId="121" fillId="0" borderId="8" xfId="0" applyFont="1" applyBorder="1" applyAlignment="1">
      <alignment horizontal="left" vertical="top"/>
    </xf>
    <xf numFmtId="0" fontId="119" fillId="0" borderId="8" xfId="0" applyFont="1" applyBorder="1" applyAlignment="1">
      <alignment horizontal="left" vertical="top"/>
    </xf>
    <xf numFmtId="2" fontId="121" fillId="0" borderId="8" xfId="0" applyNumberFormat="1" applyFont="1" applyBorder="1" applyAlignment="1">
      <alignment horizontal="right" vertical="top"/>
    </xf>
    <xf numFmtId="199" fontId="119" fillId="0" borderId="8" xfId="2926" applyNumberFormat="1" applyFont="1" applyBorder="1" applyAlignment="1">
      <alignment horizontal="center" vertical="top" wrapText="1"/>
    </xf>
    <xf numFmtId="2" fontId="119" fillId="0" borderId="8" xfId="0" applyNumberFormat="1" applyFont="1" applyBorder="1" applyAlignment="1">
      <alignment horizontal="left" vertical="top"/>
    </xf>
    <xf numFmtId="2" fontId="119" fillId="0" borderId="8" xfId="0" applyNumberFormat="1" applyFont="1" applyBorder="1" applyAlignment="1">
      <alignment vertical="top" wrapText="1"/>
    </xf>
    <xf numFmtId="2" fontId="119" fillId="0" borderId="8" xfId="0" applyNumberFormat="1" applyFont="1" applyBorder="1" applyAlignment="1">
      <alignment horizontal="right" vertical="top"/>
    </xf>
    <xf numFmtId="0" fontId="119" fillId="0" borderId="8" xfId="0" applyFont="1" applyBorder="1" applyAlignment="1">
      <alignment vertical="center"/>
    </xf>
    <xf numFmtId="2" fontId="119" fillId="0" borderId="8" xfId="0" applyNumberFormat="1" applyFont="1" applyBorder="1" applyAlignment="1">
      <alignment horizontal="right" vertical="center"/>
    </xf>
    <xf numFmtId="0" fontId="119" fillId="0" borderId="8" xfId="0" applyFont="1" applyBorder="1" applyAlignment="1">
      <alignment vertical="top"/>
    </xf>
    <xf numFmtId="0" fontId="119" fillId="3" borderId="8" xfId="2595" applyFont="1" applyFill="1" applyBorder="1" applyAlignment="1">
      <alignment horizontal="center" vertical="top"/>
    </xf>
    <xf numFmtId="2" fontId="119" fillId="3" borderId="8" xfId="0" applyNumberFormat="1" applyFont="1" applyFill="1" applyBorder="1" applyAlignment="1">
      <alignment horizontal="center" vertical="top"/>
    </xf>
    <xf numFmtId="2" fontId="119" fillId="3" borderId="8" xfId="0" applyNumberFormat="1" applyFont="1" applyFill="1" applyBorder="1" applyAlignment="1">
      <alignment horizontal="left" vertical="top"/>
    </xf>
    <xf numFmtId="0" fontId="121" fillId="3" borderId="8" xfId="0" applyFont="1" applyFill="1" applyBorder="1" applyAlignment="1">
      <alignment vertical="top"/>
    </xf>
    <xf numFmtId="2" fontId="121" fillId="3" borderId="8" xfId="0" applyNumberFormat="1" applyFont="1" applyFill="1" applyBorder="1" applyAlignment="1">
      <alignment horizontal="right" vertical="top"/>
    </xf>
    <xf numFmtId="171" fontId="121" fillId="0" borderId="8" xfId="2595" applyNumberFormat="1" applyFont="1" applyBorder="1" applyAlignment="1">
      <alignment horizontal="justify" vertical="top" wrapText="1"/>
    </xf>
    <xf numFmtId="0" fontId="119" fillId="0" borderId="8" xfId="2595" applyFont="1" applyBorder="1" applyAlignment="1">
      <alignment horizontal="justify" vertical="top" wrapText="1"/>
    </xf>
    <xf numFmtId="0" fontId="119" fillId="0" borderId="2" xfId="2595" applyFont="1" applyBorder="1" applyAlignment="1">
      <alignment horizontal="center" vertical="top"/>
    </xf>
    <xf numFmtId="0" fontId="121" fillId="0" borderId="2" xfId="0" applyFont="1" applyBorder="1" applyAlignment="1">
      <alignment horizontal="center" vertical="top"/>
    </xf>
    <xf numFmtId="0" fontId="121" fillId="0" borderId="2" xfId="0" applyFont="1" applyBorder="1" applyAlignment="1">
      <alignment horizontal="left" vertical="top"/>
    </xf>
    <xf numFmtId="0" fontId="119" fillId="0" borderId="2" xfId="0" applyFont="1" applyBorder="1" applyAlignment="1">
      <alignment horizontal="left" vertical="top"/>
    </xf>
    <xf numFmtId="2" fontId="121" fillId="0" borderId="2" xfId="0" applyNumberFormat="1" applyFont="1" applyBorder="1" applyAlignment="1">
      <alignment horizontal="right" vertical="top"/>
    </xf>
    <xf numFmtId="204" fontId="121" fillId="0" borderId="8" xfId="2595" applyNumberFormat="1" applyFont="1" applyBorder="1" applyAlignment="1">
      <alignment horizontal="center" vertical="top" wrapText="1"/>
    </xf>
    <xf numFmtId="0" fontId="121" fillId="0" borderId="8" xfId="1238" applyFont="1" applyBorder="1" applyAlignment="1">
      <alignment horizontal="justify" vertical="top" wrapText="1"/>
    </xf>
    <xf numFmtId="189" fontId="119" fillId="0" borderId="8" xfId="1238" applyNumberFormat="1" applyBorder="1" applyAlignment="1">
      <alignment horizontal="right" vertical="top" wrapText="1"/>
    </xf>
    <xf numFmtId="0" fontId="119" fillId="0" borderId="8" xfId="1238" applyBorder="1" applyAlignment="1">
      <alignment horizontal="justify" vertical="top" wrapText="1"/>
    </xf>
    <xf numFmtId="0" fontId="148" fillId="0" borderId="8" xfId="1238" applyFont="1" applyBorder="1" applyAlignment="1">
      <alignment horizontal="justify" vertical="top" wrapText="1"/>
    </xf>
    <xf numFmtId="0" fontId="119" fillId="0" borderId="8" xfId="1238" applyBorder="1" applyAlignment="1">
      <alignment horizontal="left" vertical="top" wrapText="1"/>
    </xf>
    <xf numFmtId="2" fontId="121" fillId="0" borderId="8" xfId="2595" applyNumberFormat="1" applyFont="1" applyBorder="1" applyAlignment="1">
      <alignment horizontal="right" vertical="top" wrapText="1"/>
    </xf>
    <xf numFmtId="0" fontId="119" fillId="3" borderId="8" xfId="1238" applyFill="1" applyBorder="1" applyAlignment="1">
      <alignment horizontal="left" vertical="top" wrapText="1"/>
    </xf>
    <xf numFmtId="198" fontId="121" fillId="0" borderId="2" xfId="2595" applyNumberFormat="1" applyFont="1" applyBorder="1" applyAlignment="1">
      <alignment horizontal="center" vertical="top" wrapText="1"/>
    </xf>
    <xf numFmtId="0" fontId="119" fillId="0" borderId="2" xfId="1238" applyBorder="1" applyAlignment="1">
      <alignment horizontal="left" vertical="top" wrapText="1"/>
    </xf>
    <xf numFmtId="0" fontId="119" fillId="0" borderId="2" xfId="2595" applyFont="1" applyBorder="1" applyAlignment="1">
      <alignment horizontal="center" vertical="top" wrapText="1"/>
    </xf>
    <xf numFmtId="189" fontId="119" fillId="0" borderId="2" xfId="1238" applyNumberFormat="1" applyBorder="1" applyAlignment="1">
      <alignment horizontal="center" vertical="top" wrapText="1"/>
    </xf>
    <xf numFmtId="2" fontId="121" fillId="0" borderId="2" xfId="2595" applyNumberFormat="1" applyFont="1" applyBorder="1" applyAlignment="1">
      <alignment horizontal="right" vertical="top" wrapText="1"/>
    </xf>
    <xf numFmtId="203" fontId="119" fillId="0" borderId="8" xfId="1238" applyNumberFormat="1" applyBorder="1" applyAlignment="1">
      <alignment horizontal="right" vertical="top"/>
    </xf>
    <xf numFmtId="2" fontId="119" fillId="0" borderId="8" xfId="2595" applyNumberFormat="1" applyFont="1" applyBorder="1" applyAlignment="1">
      <alignment horizontal="right" vertical="top" wrapText="1"/>
    </xf>
    <xf numFmtId="9" fontId="119" fillId="0" borderId="8" xfId="2595" applyNumberFormat="1" applyFont="1" applyBorder="1" applyAlignment="1">
      <alignment horizontal="center" vertical="top" wrapText="1"/>
    </xf>
    <xf numFmtId="189" fontId="119" fillId="0" borderId="8" xfId="1238" applyNumberFormat="1" applyBorder="1" applyAlignment="1">
      <alignment horizontal="center" vertical="top"/>
    </xf>
    <xf numFmtId="2" fontId="121" fillId="0" borderId="8" xfId="206" applyNumberFormat="1" applyFont="1" applyBorder="1" applyAlignment="1">
      <alignment horizontal="right" vertical="top"/>
    </xf>
    <xf numFmtId="0" fontId="121" fillId="0" borderId="8" xfId="1238" applyFont="1" applyBorder="1" applyAlignment="1">
      <alignment horizontal="left" vertical="top"/>
    </xf>
    <xf numFmtId="2" fontId="119" fillId="3" borderId="2" xfId="0" applyNumberFormat="1" applyFont="1" applyFill="1" applyBorder="1" applyAlignment="1">
      <alignment horizontal="center" vertical="top"/>
    </xf>
    <xf numFmtId="2" fontId="119" fillId="3" borderId="2" xfId="0" applyNumberFormat="1" applyFont="1" applyFill="1" applyBorder="1" applyAlignment="1">
      <alignment horizontal="left" vertical="top"/>
    </xf>
    <xf numFmtId="0" fontId="121" fillId="3" borderId="2" xfId="0" applyFont="1" applyFill="1" applyBorder="1" applyAlignment="1">
      <alignment vertical="top"/>
    </xf>
    <xf numFmtId="2" fontId="121" fillId="3" borderId="2" xfId="0" applyNumberFormat="1" applyFont="1" applyFill="1" applyBorder="1" applyAlignment="1">
      <alignment horizontal="right" vertical="top"/>
    </xf>
    <xf numFmtId="0" fontId="121" fillId="0" borderId="0" xfId="1238" applyFont="1" applyAlignment="1">
      <alignment horizontal="justify" vertical="top" wrapText="1"/>
    </xf>
    <xf numFmtId="2" fontId="121" fillId="0" borderId="0" xfId="2595" applyNumberFormat="1" applyFont="1" applyAlignment="1">
      <alignment horizontal="justify" vertical="top" wrapText="1"/>
    </xf>
    <xf numFmtId="0" fontId="149" fillId="0" borderId="0" xfId="2595" applyFont="1" applyAlignment="1">
      <alignment horizontal="center" vertical="top" wrapText="1"/>
    </xf>
    <xf numFmtId="0" fontId="121" fillId="0" borderId="0" xfId="2595" applyFont="1" applyAlignment="1">
      <alignment horizontal="center" vertical="top" wrapText="1"/>
    </xf>
    <xf numFmtId="0" fontId="150" fillId="0" borderId="0" xfId="2595" applyFont="1" applyAlignment="1">
      <alignment horizontal="center" vertical="top" wrapText="1"/>
    </xf>
    <xf numFmtId="0" fontId="151" fillId="0" borderId="0" xfId="2595" applyFont="1" applyAlignment="1">
      <alignment horizontal="center" vertical="top" wrapText="1"/>
    </xf>
    <xf numFmtId="198" fontId="119" fillId="0" borderId="0" xfId="2595" applyNumberFormat="1" applyFont="1" applyAlignment="1">
      <alignment horizontal="center" vertical="center" wrapText="1"/>
    </xf>
    <xf numFmtId="0" fontId="119" fillId="0" borderId="0" xfId="2595" applyFont="1" applyAlignment="1">
      <alignment horizontal="center" vertical="center" wrapText="1"/>
    </xf>
    <xf numFmtId="0" fontId="152" fillId="3" borderId="0" xfId="0" applyFont="1" applyFill="1" applyAlignment="1">
      <alignment vertical="top" wrapText="1"/>
    </xf>
    <xf numFmtId="0" fontId="48" fillId="12" borderId="0" xfId="0" applyFont="1" applyFill="1" applyAlignment="1">
      <alignment vertical="top" wrapText="1"/>
    </xf>
    <xf numFmtId="0" fontId="48" fillId="12" borderId="0" xfId="539" applyFont="1" applyFill="1" applyAlignment="1">
      <alignment vertical="top" wrapText="1"/>
    </xf>
    <xf numFmtId="0" fontId="48" fillId="12" borderId="0" xfId="539" applyFont="1" applyFill="1" applyAlignment="1">
      <alignment vertical="center" wrapText="1"/>
    </xf>
    <xf numFmtId="0" fontId="48" fillId="0" borderId="0" xfId="0" applyFont="1" applyAlignment="1">
      <alignment vertical="top" wrapText="1"/>
    </xf>
    <xf numFmtId="0" fontId="48" fillId="0" borderId="0" xfId="0" applyFont="1" applyAlignment="1">
      <alignment vertical="center" wrapText="1"/>
    </xf>
    <xf numFmtId="0" fontId="50" fillId="0" borderId="0" xfId="0" applyFont="1" applyAlignment="1">
      <alignment vertical="center" wrapText="1"/>
    </xf>
    <xf numFmtId="0" fontId="152" fillId="0" borderId="0" xfId="0" applyFont="1" applyAlignment="1">
      <alignment vertical="center" wrapText="1"/>
    </xf>
    <xf numFmtId="0" fontId="48" fillId="0" borderId="0" xfId="3756" applyFont="1" applyAlignment="1">
      <alignment vertical="top" wrapText="1"/>
    </xf>
    <xf numFmtId="0" fontId="48" fillId="0" borderId="0" xfId="3756" applyFont="1" applyAlignment="1">
      <alignment vertical="center" wrapText="1"/>
    </xf>
    <xf numFmtId="1" fontId="83" fillId="3" borderId="0" xfId="0" applyNumberFormat="1" applyFont="1" applyFill="1" applyAlignment="1">
      <alignment horizontal="left" vertical="top" wrapText="1"/>
    </xf>
    <xf numFmtId="0" fontId="48" fillId="12" borderId="35" xfId="0" applyFont="1" applyFill="1" applyBorder="1" applyAlignment="1">
      <alignment horizontal="center" vertical="top" wrapText="1"/>
    </xf>
    <xf numFmtId="0" fontId="50" fillId="12" borderId="35" xfId="0" applyFont="1" applyFill="1" applyBorder="1" applyAlignment="1">
      <alignment horizontal="left" vertical="top" wrapText="1"/>
    </xf>
    <xf numFmtId="2" fontId="48" fillId="12" borderId="35" xfId="0" applyNumberFormat="1" applyFont="1" applyFill="1" applyBorder="1" applyAlignment="1">
      <alignment horizontal="center" vertical="center" wrapText="1"/>
    </xf>
    <xf numFmtId="2" fontId="50" fillId="12" borderId="35" xfId="0" applyNumberFormat="1" applyFont="1" applyFill="1" applyBorder="1" applyAlignment="1">
      <alignment horizontal="right" vertical="top" wrapText="1"/>
    </xf>
    <xf numFmtId="0" fontId="50" fillId="12" borderId="0" xfId="0" applyFont="1" applyFill="1" applyAlignment="1">
      <alignment horizontal="left" vertical="top" wrapText="1"/>
    </xf>
    <xf numFmtId="0" fontId="48" fillId="12" borderId="35" xfId="539" applyFont="1" applyFill="1" applyBorder="1" applyAlignment="1">
      <alignment horizontal="center" vertical="top" wrapText="1"/>
    </xf>
    <xf numFmtId="2" fontId="50" fillId="12" borderId="35" xfId="539" applyNumberFormat="1" applyFont="1" applyFill="1" applyBorder="1" applyAlignment="1">
      <alignment horizontal="left" vertical="top" wrapText="1"/>
    </xf>
    <xf numFmtId="2" fontId="48" fillId="12" borderId="35" xfId="539" applyNumberFormat="1" applyFont="1" applyFill="1" applyBorder="1" applyAlignment="1">
      <alignment horizontal="center" vertical="center" wrapText="1"/>
    </xf>
    <xf numFmtId="200" fontId="48" fillId="12" borderId="35" xfId="539" applyNumberFormat="1" applyFont="1" applyFill="1" applyBorder="1" applyAlignment="1">
      <alignment horizontal="center" vertical="top" wrapText="1"/>
    </xf>
    <xf numFmtId="2" fontId="48" fillId="12" borderId="35" xfId="539" applyNumberFormat="1" applyFont="1" applyFill="1" applyBorder="1" applyAlignment="1">
      <alignment horizontal="right" vertical="top" wrapText="1"/>
    </xf>
    <xf numFmtId="0" fontId="48" fillId="12" borderId="0" xfId="539" applyFont="1" applyFill="1" applyAlignment="1">
      <alignment horizontal="left" vertical="top" wrapText="1"/>
    </xf>
    <xf numFmtId="198" fontId="50" fillId="12" borderId="35" xfId="539" applyNumberFormat="1" applyFont="1" applyFill="1" applyBorder="1" applyAlignment="1">
      <alignment horizontal="center" vertical="top" wrapText="1"/>
    </xf>
    <xf numFmtId="2" fontId="48" fillId="12" borderId="0" xfId="539" applyNumberFormat="1" applyFont="1" applyFill="1" applyAlignment="1">
      <alignment horizontal="left" vertical="top" wrapText="1"/>
    </xf>
    <xf numFmtId="0" fontId="48" fillId="12" borderId="35" xfId="539" applyFont="1" applyFill="1" applyBorder="1" applyAlignment="1">
      <alignment horizontal="center" vertical="center" wrapText="1"/>
    </xf>
    <xf numFmtId="198" fontId="50" fillId="12" borderId="35" xfId="539" applyNumberFormat="1" applyFont="1" applyFill="1" applyBorder="1" applyAlignment="1">
      <alignment horizontal="center" vertical="center" wrapText="1"/>
    </xf>
    <xf numFmtId="0" fontId="50" fillId="12" borderId="35" xfId="539" applyFont="1" applyFill="1" applyBorder="1" applyAlignment="1">
      <alignment horizontal="center" vertical="center" wrapText="1"/>
    </xf>
    <xf numFmtId="2" fontId="48" fillId="12" borderId="35" xfId="539" applyNumberFormat="1" applyFont="1" applyFill="1" applyBorder="1" applyAlignment="1">
      <alignment horizontal="left" vertical="center" wrapText="1"/>
    </xf>
    <xf numFmtId="200" fontId="48" fillId="12" borderId="35" xfId="539" applyNumberFormat="1" applyFont="1" applyFill="1" applyBorder="1" applyAlignment="1">
      <alignment horizontal="center" vertical="center" wrapText="1"/>
    </xf>
    <xf numFmtId="2" fontId="48" fillId="12" borderId="35" xfId="539" applyNumberFormat="1" applyFont="1" applyFill="1" applyBorder="1" applyAlignment="1">
      <alignment horizontal="right" vertical="center" wrapText="1"/>
    </xf>
    <xf numFmtId="0" fontId="48" fillId="12" borderId="0" xfId="539" applyFont="1" applyFill="1" applyAlignment="1">
      <alignment horizontal="left" vertical="center" wrapText="1"/>
    </xf>
    <xf numFmtId="2" fontId="48" fillId="12" borderId="0" xfId="539" applyNumberFormat="1" applyFont="1" applyFill="1" applyAlignment="1">
      <alignment horizontal="left" vertical="center" wrapText="1"/>
    </xf>
    <xf numFmtId="2" fontId="50" fillId="12" borderId="0" xfId="539" applyNumberFormat="1" applyFont="1" applyFill="1" applyAlignment="1">
      <alignment horizontal="left" vertical="top" wrapText="1"/>
    </xf>
    <xf numFmtId="2" fontId="48" fillId="12" borderId="35" xfId="0" applyNumberFormat="1" applyFont="1" applyFill="1" applyBorder="1" applyAlignment="1">
      <alignment horizontal="right" vertical="center" wrapText="1"/>
    </xf>
    <xf numFmtId="2" fontId="48" fillId="12" borderId="0" xfId="0" applyNumberFormat="1" applyFont="1" applyFill="1" applyAlignment="1">
      <alignment horizontal="left" vertical="center" wrapText="1"/>
    </xf>
    <xf numFmtId="2" fontId="48" fillId="12" borderId="35" xfId="3562" applyNumberFormat="1" applyFont="1" applyFill="1" applyBorder="1" applyAlignment="1">
      <alignment horizontal="center" vertical="center" wrapText="1"/>
    </xf>
    <xf numFmtId="2" fontId="50" fillId="12" borderId="35" xfId="539" applyNumberFormat="1" applyFont="1" applyFill="1" applyBorder="1" applyAlignment="1">
      <alignment horizontal="right" vertical="center" wrapText="1"/>
    </xf>
    <xf numFmtId="185" fontId="50" fillId="12" borderId="0" xfId="539" applyNumberFormat="1" applyFont="1" applyFill="1" applyAlignment="1">
      <alignment horizontal="left" vertical="center" wrapText="1"/>
    </xf>
    <xf numFmtId="185" fontId="48" fillId="12" borderId="0" xfId="539" applyNumberFormat="1" applyFont="1" applyFill="1" applyAlignment="1">
      <alignment horizontal="left" vertical="center" wrapText="1"/>
    </xf>
    <xf numFmtId="0" fontId="48" fillId="12" borderId="35" xfId="0" applyFont="1" applyFill="1" applyBorder="1" applyAlignment="1">
      <alignment horizontal="left" vertical="top" wrapText="1"/>
    </xf>
    <xf numFmtId="2" fontId="48" fillId="12" borderId="35" xfId="0" applyNumberFormat="1" applyFont="1" applyFill="1" applyBorder="1" applyAlignment="1">
      <alignment horizontal="right" vertical="top" wrapText="1"/>
    </xf>
    <xf numFmtId="171" fontId="48" fillId="12" borderId="0" xfId="0" applyNumberFormat="1" applyFont="1" applyFill="1" applyAlignment="1">
      <alignment horizontal="left" vertical="top" wrapText="1"/>
    </xf>
    <xf numFmtId="0" fontId="48" fillId="0" borderId="35" xfId="0" applyFont="1" applyBorder="1" applyAlignment="1">
      <alignment horizontal="center" vertical="top" wrapText="1"/>
    </xf>
    <xf numFmtId="171" fontId="48" fillId="0" borderId="0" xfId="0" applyNumberFormat="1" applyFont="1" applyAlignment="1">
      <alignment horizontal="left" vertical="top" wrapText="1"/>
    </xf>
    <xf numFmtId="0" fontId="50" fillId="0" borderId="35" xfId="0" applyFont="1" applyBorder="1" applyAlignment="1">
      <alignment horizontal="center" vertical="top" wrapText="1"/>
    </xf>
    <xf numFmtId="0" fontId="48" fillId="0" borderId="0" xfId="0" applyFont="1" applyAlignment="1">
      <alignment horizontal="left" vertical="top" wrapText="1"/>
    </xf>
    <xf numFmtId="0" fontId="48" fillId="0" borderId="35" xfId="0" applyFont="1" applyBorder="1" applyAlignment="1">
      <alignment horizontal="center" vertical="center" wrapText="1"/>
    </xf>
    <xf numFmtId="2" fontId="48" fillId="0" borderId="35" xfId="0" applyNumberFormat="1" applyFont="1" applyBorder="1" applyAlignment="1">
      <alignment horizontal="left" vertical="center" wrapText="1"/>
    </xf>
    <xf numFmtId="2" fontId="48" fillId="0" borderId="35" xfId="0" applyNumberFormat="1" applyFont="1" applyBorder="1" applyAlignment="1">
      <alignment horizontal="center" vertical="center" wrapText="1"/>
    </xf>
    <xf numFmtId="2" fontId="48" fillId="0" borderId="35" xfId="0" applyNumberFormat="1" applyFont="1" applyBorder="1" applyAlignment="1">
      <alignment horizontal="right" vertical="center" wrapText="1"/>
    </xf>
    <xf numFmtId="171" fontId="48" fillId="0" borderId="0" xfId="0" applyNumberFormat="1" applyFont="1" applyAlignment="1">
      <alignment horizontal="left" vertical="center" wrapText="1"/>
    </xf>
    <xf numFmtId="2" fontId="50" fillId="0" borderId="35" xfId="0" applyNumberFormat="1" applyFont="1" applyBorder="1" applyAlignment="1">
      <alignment horizontal="left" vertical="center" wrapText="1"/>
    </xf>
    <xf numFmtId="200" fontId="48" fillId="0" borderId="35" xfId="0" applyNumberFormat="1" applyFont="1" applyBorder="1" applyAlignment="1">
      <alignment horizontal="center" vertical="center" wrapText="1"/>
    </xf>
    <xf numFmtId="185" fontId="48" fillId="0" borderId="0" xfId="0" applyNumberFormat="1" applyFont="1" applyAlignment="1">
      <alignment horizontal="left" vertical="center" wrapText="1"/>
    </xf>
    <xf numFmtId="10" fontId="48" fillId="0" borderId="35" xfId="0" applyNumberFormat="1" applyFont="1" applyBorder="1" applyAlignment="1">
      <alignment horizontal="center" vertical="center" wrapText="1"/>
    </xf>
    <xf numFmtId="0" fontId="48" fillId="0" borderId="35" xfId="0" applyFont="1" applyBorder="1" applyAlignment="1">
      <alignment horizontal="left" vertical="center" wrapText="1"/>
    </xf>
    <xf numFmtId="2" fontId="48" fillId="0" borderId="0" xfId="0" applyNumberFormat="1" applyFont="1" applyAlignment="1">
      <alignment horizontal="left" vertical="center" wrapText="1"/>
    </xf>
    <xf numFmtId="2" fontId="50" fillId="0" borderId="35" xfId="0" applyNumberFormat="1" applyFont="1" applyBorder="1" applyAlignment="1">
      <alignment horizontal="right" vertical="center" wrapText="1"/>
    </xf>
    <xf numFmtId="2" fontId="50" fillId="0" borderId="0" xfId="0" applyNumberFormat="1" applyFont="1" applyAlignment="1">
      <alignment horizontal="left" vertical="center" wrapText="1"/>
    </xf>
    <xf numFmtId="185" fontId="50" fillId="0" borderId="0" xfId="0" applyNumberFormat="1" applyFont="1" applyAlignment="1">
      <alignment horizontal="left" vertical="center" wrapText="1"/>
    </xf>
    <xf numFmtId="185" fontId="48" fillId="0" borderId="35" xfId="0" applyNumberFormat="1" applyFont="1" applyBorder="1" applyAlignment="1">
      <alignment horizontal="center" vertical="center" wrapText="1"/>
    </xf>
    <xf numFmtId="199" fontId="50" fillId="0" borderId="35" xfId="0" applyNumberFormat="1" applyFont="1" applyBorder="1" applyAlignment="1">
      <alignment horizontal="center" vertical="center" wrapText="1"/>
    </xf>
    <xf numFmtId="0" fontId="50" fillId="0" borderId="35" xfId="0" applyFont="1" applyBorder="1" applyAlignment="1">
      <alignment horizontal="left" vertical="center" wrapText="1"/>
    </xf>
    <xf numFmtId="0" fontId="50" fillId="0" borderId="35" xfId="0" applyFont="1" applyBorder="1" applyAlignment="1">
      <alignment horizontal="center" vertical="center" wrapText="1"/>
    </xf>
    <xf numFmtId="10" fontId="50" fillId="0" borderId="35" xfId="0" applyNumberFormat="1" applyFont="1" applyBorder="1" applyAlignment="1">
      <alignment horizontal="center" vertical="center" wrapText="1"/>
    </xf>
    <xf numFmtId="9" fontId="50" fillId="0" borderId="35" xfId="0" applyNumberFormat="1" applyFont="1" applyBorder="1" applyAlignment="1">
      <alignment horizontal="center" vertical="center" wrapText="1"/>
    </xf>
    <xf numFmtId="185" fontId="48" fillId="12" borderId="0" xfId="539" applyNumberFormat="1" applyFont="1" applyFill="1" applyAlignment="1">
      <alignment vertical="top" wrapText="1"/>
    </xf>
    <xf numFmtId="185" fontId="48" fillId="12" borderId="0" xfId="539" applyNumberFormat="1" applyFont="1" applyFill="1" applyAlignment="1">
      <alignment vertical="center" wrapText="1"/>
    </xf>
    <xf numFmtId="185" fontId="50" fillId="12" borderId="0" xfId="539" applyNumberFormat="1" applyFont="1" applyFill="1" applyAlignment="1">
      <alignment vertical="center" wrapText="1"/>
    </xf>
    <xf numFmtId="2" fontId="50" fillId="0" borderId="35" xfId="0" applyNumberFormat="1" applyFont="1" applyBorder="1" applyAlignment="1">
      <alignment horizontal="center" vertical="center" wrapText="1"/>
    </xf>
    <xf numFmtId="171" fontId="50" fillId="0" borderId="0" xfId="0" applyNumberFormat="1" applyFont="1" applyAlignment="1">
      <alignment horizontal="left" vertical="center" wrapText="1"/>
    </xf>
    <xf numFmtId="0" fontId="152" fillId="0" borderId="35" xfId="0" applyFont="1" applyBorder="1" applyAlignment="1">
      <alignment horizontal="center" vertical="center" wrapText="1"/>
    </xf>
    <xf numFmtId="0" fontId="152" fillId="0" borderId="35" xfId="0" applyFont="1" applyBorder="1" applyAlignment="1">
      <alignment horizontal="left" vertical="center" wrapText="1"/>
    </xf>
    <xf numFmtId="2" fontId="152" fillId="0" borderId="35" xfId="0" applyNumberFormat="1" applyFont="1" applyBorder="1" applyAlignment="1">
      <alignment horizontal="center" vertical="center" wrapText="1"/>
    </xf>
    <xf numFmtId="2" fontId="152" fillId="0" borderId="35" xfId="0" applyNumberFormat="1" applyFont="1" applyBorder="1" applyAlignment="1">
      <alignment horizontal="right" vertical="center" wrapText="1"/>
    </xf>
    <xf numFmtId="171" fontId="152" fillId="0" borderId="0" xfId="0" applyNumberFormat="1" applyFont="1" applyAlignment="1">
      <alignment horizontal="left" vertical="center" wrapText="1"/>
    </xf>
    <xf numFmtId="0" fontId="50" fillId="0" borderId="0" xfId="0" applyFont="1" applyAlignment="1">
      <alignment horizontal="left" vertical="top" wrapText="1"/>
    </xf>
    <xf numFmtId="0" fontId="48" fillId="0" borderId="0" xfId="0" applyFont="1" applyAlignment="1">
      <alignment horizontal="left" vertical="center" wrapText="1"/>
    </xf>
    <xf numFmtId="9" fontId="48" fillId="0" borderId="35" xfId="0" applyNumberFormat="1" applyFont="1" applyBorder="1" applyAlignment="1">
      <alignment horizontal="center" vertical="center" wrapText="1"/>
    </xf>
    <xf numFmtId="0" fontId="48" fillId="0" borderId="35" xfId="3756" applyFont="1" applyBorder="1" applyAlignment="1">
      <alignment horizontal="left" vertical="center" wrapText="1"/>
    </xf>
    <xf numFmtId="184" fontId="48" fillId="0" borderId="35" xfId="0" applyNumberFormat="1" applyFont="1" applyBorder="1" applyAlignment="1">
      <alignment horizontal="center" vertical="center" wrapText="1"/>
    </xf>
    <xf numFmtId="199" fontId="48" fillId="0" borderId="35" xfId="0" applyNumberFormat="1" applyFont="1" applyBorder="1" applyAlignment="1">
      <alignment horizontal="center" vertical="center" wrapText="1"/>
    </xf>
    <xf numFmtId="2" fontId="48" fillId="0" borderId="35" xfId="3756" applyNumberFormat="1" applyFont="1" applyBorder="1" applyAlignment="1">
      <alignment horizontal="center" vertical="center" wrapText="1"/>
    </xf>
    <xf numFmtId="2" fontId="48" fillId="0" borderId="35" xfId="3756" applyNumberFormat="1" applyFont="1" applyBorder="1" applyAlignment="1">
      <alignment horizontal="left" vertical="center" wrapText="1"/>
    </xf>
    <xf numFmtId="2" fontId="50" fillId="0" borderId="35" xfId="3756" applyNumberFormat="1" applyFont="1" applyBorder="1" applyAlignment="1">
      <alignment horizontal="right" vertical="center" wrapText="1"/>
    </xf>
    <xf numFmtId="2" fontId="50" fillId="0" borderId="0" xfId="3756" applyNumberFormat="1" applyFont="1" applyAlignment="1">
      <alignment horizontal="left" vertical="center" wrapText="1"/>
    </xf>
    <xf numFmtId="0" fontId="48" fillId="0" borderId="35" xfId="3756" applyFont="1" applyBorder="1" applyAlignment="1">
      <alignment horizontal="center" vertical="top" wrapText="1"/>
    </xf>
    <xf numFmtId="2" fontId="48" fillId="0" borderId="0" xfId="0" applyNumberFormat="1" applyFont="1" applyAlignment="1">
      <alignment horizontal="left" vertical="top" wrapText="1"/>
    </xf>
    <xf numFmtId="177" fontId="48" fillId="0" borderId="35" xfId="0" applyNumberFormat="1" applyFont="1" applyBorder="1" applyAlignment="1">
      <alignment horizontal="center" vertical="center" wrapText="1"/>
    </xf>
    <xf numFmtId="0" fontId="50" fillId="0" borderId="35" xfId="2637" applyFont="1" applyBorder="1" applyAlignment="1">
      <alignment horizontal="center" vertical="top" wrapText="1"/>
    </xf>
    <xf numFmtId="204" fontId="50" fillId="0" borderId="35" xfId="2637" applyNumberFormat="1" applyFont="1" applyBorder="1" applyAlignment="1">
      <alignment horizontal="center" vertical="top" wrapText="1"/>
    </xf>
    <xf numFmtId="0" fontId="48" fillId="0" borderId="35" xfId="2637" applyFont="1" applyBorder="1" applyAlignment="1">
      <alignment horizontal="center" vertical="top" wrapText="1"/>
    </xf>
    <xf numFmtId="0" fontId="48" fillId="0" borderId="35" xfId="2637" applyFont="1" applyBorder="1" applyAlignment="1">
      <alignment horizontal="center" vertical="center" wrapText="1"/>
    </xf>
    <xf numFmtId="198" fontId="50" fillId="0" borderId="35" xfId="2637" applyNumberFormat="1" applyFont="1" applyBorder="1" applyAlignment="1">
      <alignment horizontal="center" vertical="center" wrapText="1"/>
    </xf>
    <xf numFmtId="0" fontId="48" fillId="0" borderId="35" xfId="1238" applyFont="1" applyBorder="1" applyAlignment="1">
      <alignment horizontal="left" vertical="center" wrapText="1"/>
    </xf>
    <xf numFmtId="2" fontId="50" fillId="0" borderId="35" xfId="2637" applyNumberFormat="1" applyFont="1" applyBorder="1" applyAlignment="1">
      <alignment horizontal="center" vertical="center" wrapText="1"/>
    </xf>
    <xf numFmtId="200" fontId="48" fillId="0" borderId="35" xfId="2637" applyNumberFormat="1" applyFont="1" applyBorder="1" applyAlignment="1">
      <alignment horizontal="center" vertical="center" wrapText="1"/>
    </xf>
    <xf numFmtId="2" fontId="48" fillId="0" borderId="35" xfId="2637" applyNumberFormat="1" applyFont="1" applyBorder="1" applyAlignment="1">
      <alignment horizontal="center" vertical="center" wrapText="1"/>
    </xf>
    <xf numFmtId="0" fontId="154" fillId="0" borderId="35" xfId="1238" applyFont="1" applyBorder="1" applyAlignment="1">
      <alignment horizontal="left" vertical="center" wrapText="1"/>
    </xf>
    <xf numFmtId="171" fontId="48" fillId="0" borderId="0" xfId="3756" applyNumberFormat="1" applyFont="1" applyAlignment="1">
      <alignment vertical="center" wrapText="1"/>
    </xf>
    <xf numFmtId="184" fontId="48" fillId="0" borderId="0" xfId="3756" applyNumberFormat="1" applyFont="1" applyAlignment="1">
      <alignment vertical="center" wrapText="1"/>
    </xf>
    <xf numFmtId="0" fontId="50" fillId="0" borderId="35" xfId="1238" applyFont="1" applyBorder="1" applyAlignment="1">
      <alignment horizontal="left" vertical="center" wrapText="1"/>
    </xf>
    <xf numFmtId="171" fontId="49" fillId="0" borderId="0" xfId="0" applyNumberFormat="1" applyFont="1" applyAlignment="1">
      <alignment horizontal="left" vertical="center" wrapText="1"/>
    </xf>
    <xf numFmtId="189" fontId="48" fillId="0" borderId="35" xfId="1238" applyNumberFormat="1" applyFont="1" applyBorder="1" applyAlignment="1">
      <alignment horizontal="center" vertical="center" wrapText="1"/>
    </xf>
    <xf numFmtId="2" fontId="48" fillId="0" borderId="35" xfId="206" applyNumberFormat="1" applyFont="1" applyBorder="1" applyAlignment="1">
      <alignment horizontal="center" vertical="center" wrapText="1"/>
    </xf>
    <xf numFmtId="2" fontId="48" fillId="0" borderId="35" xfId="1238" applyNumberFormat="1" applyFont="1" applyBorder="1" applyAlignment="1">
      <alignment horizontal="center" vertical="center" wrapText="1"/>
    </xf>
    <xf numFmtId="203" fontId="48" fillId="0" borderId="35" xfId="1238" applyNumberFormat="1" applyFont="1" applyBorder="1" applyAlignment="1">
      <alignment horizontal="center" vertical="center" wrapText="1"/>
    </xf>
    <xf numFmtId="9" fontId="48" fillId="0" borderId="35" xfId="2637" applyNumberFormat="1" applyFont="1" applyBorder="1" applyAlignment="1">
      <alignment horizontal="center" vertical="center" wrapText="1"/>
    </xf>
    <xf numFmtId="2" fontId="50" fillId="0" borderId="35" xfId="206" applyNumberFormat="1" applyFont="1" applyBorder="1" applyAlignment="1">
      <alignment horizontal="center" vertical="center" wrapText="1"/>
    </xf>
    <xf numFmtId="199" fontId="48" fillId="0" borderId="35" xfId="2926" applyNumberFormat="1" applyFont="1" applyFill="1" applyBorder="1" applyAlignment="1">
      <alignment horizontal="center" vertical="center" wrapText="1"/>
    </xf>
    <xf numFmtId="0" fontId="50" fillId="0" borderId="35" xfId="2637" applyFont="1" applyBorder="1" applyAlignment="1">
      <alignment horizontal="center" vertical="center" wrapText="1"/>
    </xf>
    <xf numFmtId="204" fontId="50" fillId="0" borderId="35" xfId="2637" applyNumberFormat="1" applyFont="1" applyBorder="1" applyAlignment="1">
      <alignment horizontal="center" vertical="center" wrapText="1"/>
    </xf>
    <xf numFmtId="0" fontId="50" fillId="0" borderId="35" xfId="2637" applyFont="1" applyBorder="1" applyAlignment="1">
      <alignment horizontal="left" vertical="center" wrapText="1"/>
    </xf>
    <xf numFmtId="198" fontId="50" fillId="0" borderId="35" xfId="2637" applyNumberFormat="1" applyFont="1" applyBorder="1" applyAlignment="1">
      <alignment horizontal="center" vertical="top" wrapText="1"/>
    </xf>
    <xf numFmtId="171" fontId="49" fillId="0" borderId="0" xfId="0" applyNumberFormat="1" applyFont="1" applyAlignment="1">
      <alignment horizontal="left" vertical="top" wrapText="1"/>
    </xf>
    <xf numFmtId="2" fontId="50" fillId="0" borderId="35" xfId="2637" applyNumberFormat="1" applyFont="1" applyBorder="1" applyAlignment="1">
      <alignment horizontal="left" vertical="center" wrapText="1"/>
    </xf>
    <xf numFmtId="2" fontId="48" fillId="0" borderId="35" xfId="2637" applyNumberFormat="1" applyFont="1" applyBorder="1" applyAlignment="1">
      <alignment horizontal="left" vertical="center" wrapText="1"/>
    </xf>
    <xf numFmtId="10" fontId="48" fillId="0" borderId="35" xfId="2926" applyNumberFormat="1" applyFont="1" applyFill="1" applyBorder="1" applyAlignment="1">
      <alignment horizontal="center" vertical="center" wrapText="1"/>
    </xf>
    <xf numFmtId="2" fontId="50" fillId="0" borderId="35" xfId="1238" applyNumberFormat="1" applyFont="1" applyBorder="1" applyAlignment="1">
      <alignment horizontal="center" vertical="center" wrapText="1"/>
    </xf>
    <xf numFmtId="0" fontId="50" fillId="0" borderId="35" xfId="1238" applyFont="1" applyBorder="1" applyAlignment="1">
      <alignment vertical="center" wrapText="1"/>
    </xf>
    <xf numFmtId="2" fontId="50" fillId="0" borderId="35" xfId="1238" applyNumberFormat="1" applyFont="1" applyBorder="1" applyAlignment="1">
      <alignment vertical="center" wrapText="1"/>
    </xf>
    <xf numFmtId="0" fontId="48" fillId="0" borderId="35" xfId="2637" applyFont="1" applyBorder="1" applyAlignment="1">
      <alignment horizontal="left" vertical="center" wrapText="1"/>
    </xf>
    <xf numFmtId="2" fontId="48" fillId="0" borderId="35" xfId="539" applyNumberFormat="1" applyFont="1" applyBorder="1" applyAlignment="1">
      <alignment horizontal="center" vertical="center" wrapText="1"/>
    </xf>
    <xf numFmtId="199" fontId="48" fillId="0" borderId="35" xfId="3797" applyNumberFormat="1" applyFont="1" applyFill="1" applyBorder="1" applyAlignment="1">
      <alignment horizontal="center" vertical="center" wrapText="1"/>
    </xf>
    <xf numFmtId="0" fontId="48" fillId="0" borderId="0" xfId="2637" applyFont="1" applyAlignment="1">
      <alignment horizontal="center" vertical="top" wrapText="1"/>
    </xf>
    <xf numFmtId="198" fontId="50" fillId="0" borderId="0" xfId="2637" applyNumberFormat="1" applyFont="1" applyAlignment="1">
      <alignment horizontal="center" vertical="top" wrapText="1"/>
    </xf>
    <xf numFmtId="0" fontId="48" fillId="0" borderId="0" xfId="2637" applyFont="1" applyAlignment="1">
      <alignment horizontal="left" vertical="top" wrapText="1"/>
    </xf>
    <xf numFmtId="2" fontId="48" fillId="0" borderId="0" xfId="2637" applyNumberFormat="1" applyFont="1" applyAlignment="1">
      <alignment horizontal="center" vertical="top" wrapText="1"/>
    </xf>
    <xf numFmtId="200" fontId="48" fillId="0" borderId="0" xfId="2637" applyNumberFormat="1" applyFont="1" applyAlignment="1">
      <alignment horizontal="center" vertical="top" wrapText="1"/>
    </xf>
    <xf numFmtId="0" fontId="140" fillId="0" borderId="0" xfId="41" applyFont="1" applyAlignment="1">
      <alignment vertical="top" wrapText="1"/>
    </xf>
    <xf numFmtId="0" fontId="136" fillId="0" borderId="0" xfId="3619" applyFont="1" applyAlignment="1">
      <alignment horizontal="justify" vertical="center" wrapText="1"/>
    </xf>
    <xf numFmtId="0" fontId="98" fillId="0" borderId="0" xfId="3619" applyFont="1" applyAlignment="1">
      <alignment horizontal="justify" vertical="center" wrapText="1"/>
    </xf>
    <xf numFmtId="0" fontId="140" fillId="0" borderId="0" xfId="41" applyFont="1"/>
    <xf numFmtId="0" fontId="141" fillId="0" borderId="0" xfId="1925" applyFont="1" applyAlignment="1">
      <alignment horizontal="center"/>
    </xf>
    <xf numFmtId="0" fontId="141" fillId="0" borderId="0" xfId="1925" applyFont="1"/>
    <xf numFmtId="0" fontId="145" fillId="0" borderId="0" xfId="1925" applyFont="1" applyAlignment="1">
      <alignment horizontal="center" vertical="top" wrapText="1"/>
    </xf>
    <xf numFmtId="0" fontId="145" fillId="0" borderId="0" xfId="1925" applyFont="1" applyAlignment="1">
      <alignment vertical="top" wrapText="1"/>
    </xf>
    <xf numFmtId="0" fontId="110" fillId="0" borderId="1" xfId="3619" applyFont="1" applyBorder="1" applyAlignment="1">
      <alignment horizontal="center" vertical="center" wrapText="1"/>
    </xf>
    <xf numFmtId="2" fontId="141" fillId="0" borderId="1" xfId="1925" applyNumberFormat="1" applyFont="1" applyBorder="1" applyAlignment="1">
      <alignment vertical="center" wrapText="1"/>
    </xf>
    <xf numFmtId="2" fontId="110" fillId="0" borderId="1" xfId="1925" applyNumberFormat="1" applyFont="1" applyBorder="1" applyAlignment="1">
      <alignment vertical="center" wrapText="1"/>
    </xf>
    <xf numFmtId="0" fontId="110" fillId="0" borderId="0" xfId="3619" applyFont="1" applyAlignment="1">
      <alignment horizontal="justify" vertical="center" wrapText="1"/>
    </xf>
    <xf numFmtId="0" fontId="110" fillId="0" borderId="1" xfId="3619" applyFont="1" applyBorder="1" applyAlignment="1">
      <alignment horizontal="justify" vertical="center" wrapText="1"/>
    </xf>
    <xf numFmtId="0" fontId="110" fillId="0" borderId="4" xfId="3758" applyFont="1" applyBorder="1" applyAlignment="1">
      <alignment horizontal="left" vertical="center" wrapText="1"/>
    </xf>
    <xf numFmtId="0" fontId="110" fillId="0" borderId="5" xfId="3758" applyFont="1" applyBorder="1" applyAlignment="1">
      <alignment horizontal="left" vertical="center" wrapText="1"/>
    </xf>
    <xf numFmtId="0" fontId="141" fillId="0" borderId="1" xfId="3619" applyFont="1" applyBorder="1" applyAlignment="1">
      <alignment horizontal="center" vertical="center" wrapText="1"/>
    </xf>
    <xf numFmtId="0" fontId="141" fillId="0" borderId="1" xfId="3619" applyFont="1" applyBorder="1" applyAlignment="1">
      <alignment horizontal="right" vertical="center" wrapText="1"/>
    </xf>
    <xf numFmtId="2" fontId="141" fillId="0" borderId="1" xfId="3619" applyNumberFormat="1" applyFont="1" applyBorder="1" applyAlignment="1">
      <alignment horizontal="right" vertical="center" wrapText="1"/>
    </xf>
    <xf numFmtId="0" fontId="141" fillId="0" borderId="0" xfId="3619" applyFont="1" applyAlignment="1">
      <alignment horizontal="justify" vertical="center" wrapText="1"/>
    </xf>
    <xf numFmtId="0" fontId="110" fillId="0" borderId="0" xfId="1925" applyFont="1" applyAlignment="1">
      <alignment horizontal="center"/>
    </xf>
    <xf numFmtId="0" fontId="110" fillId="0" borderId="0" xfId="1925" applyFont="1" applyAlignment="1">
      <alignment horizontal="left"/>
    </xf>
    <xf numFmtId="0" fontId="145" fillId="0" borderId="0" xfId="1925" applyFont="1" applyAlignment="1">
      <alignment horizontal="center"/>
    </xf>
    <xf numFmtId="0" fontId="145" fillId="0" borderId="0" xfId="1925" applyFont="1" applyAlignment="1">
      <alignment horizontal="center" vertical="center" wrapText="1"/>
    </xf>
    <xf numFmtId="0" fontId="110" fillId="0" borderId="0" xfId="1925" applyFont="1"/>
    <xf numFmtId="0" fontId="110" fillId="0" borderId="0" xfId="1925" applyFont="1" applyAlignment="1">
      <alignment horizontal="justify" vertical="top" wrapText="1"/>
    </xf>
    <xf numFmtId="0" fontId="110" fillId="0" borderId="0" xfId="1925" applyFont="1" applyAlignment="1">
      <alignment vertical="top" wrapText="1"/>
    </xf>
    <xf numFmtId="0" fontId="97" fillId="0" borderId="0" xfId="1925" applyFont="1"/>
    <xf numFmtId="0" fontId="97" fillId="0" borderId="0" xfId="1925" applyFont="1" applyAlignment="1">
      <alignment vertical="top" wrapText="1"/>
    </xf>
    <xf numFmtId="0" fontId="99" fillId="0" borderId="0" xfId="1925" applyFont="1" applyAlignment="1">
      <alignment vertical="top" wrapText="1"/>
    </xf>
    <xf numFmtId="0" fontId="157" fillId="0" borderId="0" xfId="1925" applyFont="1"/>
    <xf numFmtId="0" fontId="136" fillId="0" borderId="0" xfId="1925" applyFont="1"/>
    <xf numFmtId="0" fontId="136" fillId="0" borderId="0" xfId="41" applyFont="1"/>
    <xf numFmtId="0" fontId="106" fillId="0" borderId="0" xfId="0" applyFont="1" applyAlignment="1">
      <alignment vertical="top"/>
    </xf>
    <xf numFmtId="0" fontId="141" fillId="0" borderId="0" xfId="0" applyFont="1" applyAlignment="1">
      <alignment vertical="top"/>
    </xf>
    <xf numFmtId="0" fontId="106" fillId="0" borderId="0" xfId="0" applyFont="1" applyAlignment="1">
      <alignment horizontal="center" vertical="top"/>
    </xf>
    <xf numFmtId="184" fontId="106" fillId="0" borderId="0" xfId="0" applyNumberFormat="1" applyFont="1" applyAlignment="1">
      <alignment horizontal="center" vertical="top"/>
    </xf>
    <xf numFmtId="1" fontId="106" fillId="0" borderId="0" xfId="0" applyNumberFormat="1" applyFont="1" applyAlignment="1">
      <alignment horizontal="center" vertical="top"/>
    </xf>
    <xf numFmtId="0" fontId="141" fillId="0" borderId="0" xfId="0" applyFont="1" applyAlignment="1">
      <alignment horizontal="left" vertical="top"/>
    </xf>
    <xf numFmtId="184" fontId="141" fillId="0" borderId="0" xfId="0" applyNumberFormat="1" applyFont="1" applyAlignment="1">
      <alignment horizontal="center" vertical="top"/>
    </xf>
    <xf numFmtId="0" fontId="141" fillId="0" borderId="0" xfId="0" applyFont="1" applyAlignment="1">
      <alignment horizontal="center" vertical="top"/>
    </xf>
    <xf numFmtId="0" fontId="141" fillId="0" borderId="4" xfId="0" applyFont="1" applyBorder="1" applyAlignment="1">
      <alignment horizontal="left" vertical="top"/>
    </xf>
    <xf numFmtId="184" fontId="141" fillId="0" borderId="5" xfId="0" applyNumberFormat="1" applyFont="1" applyBorder="1" applyAlignment="1">
      <alignment horizontal="center" vertical="top"/>
    </xf>
    <xf numFmtId="2" fontId="158" fillId="0" borderId="1" xfId="0" applyNumberFormat="1" applyFont="1" applyBorder="1" applyAlignment="1">
      <alignment horizontal="center" vertical="top"/>
    </xf>
    <xf numFmtId="0" fontId="141" fillId="0" borderId="1" xfId="0" applyFont="1" applyBorder="1" applyAlignment="1">
      <alignment horizontal="justify" vertical="top" wrapText="1"/>
    </xf>
    <xf numFmtId="0" fontId="110" fillId="0" borderId="1" xfId="0" applyFont="1" applyBorder="1" applyAlignment="1">
      <alignment horizontal="justify" vertical="top" wrapText="1"/>
    </xf>
    <xf numFmtId="0" fontId="141" fillId="0" borderId="1" xfId="1454" applyFont="1" applyBorder="1" applyAlignment="1">
      <alignment horizontal="center" vertical="top" wrapText="1"/>
    </xf>
    <xf numFmtId="184" fontId="141" fillId="0" borderId="1" xfId="1454" applyNumberFormat="1" applyFont="1" applyBorder="1" applyAlignment="1">
      <alignment horizontal="center" vertical="top" wrapText="1"/>
    </xf>
    <xf numFmtId="1" fontId="141" fillId="0" borderId="1" xfId="1454" applyNumberFormat="1" applyFont="1" applyBorder="1" applyAlignment="1">
      <alignment horizontal="center" vertical="top" wrapText="1"/>
    </xf>
    <xf numFmtId="2" fontId="141" fillId="0" borderId="1" xfId="1454" applyNumberFormat="1" applyFont="1" applyBorder="1" applyAlignment="1">
      <alignment horizontal="center" vertical="top" wrapText="1"/>
    </xf>
    <xf numFmtId="0" fontId="141" fillId="0" borderId="1" xfId="0" applyFont="1" applyBorder="1" applyAlignment="1">
      <alignment vertical="top" wrapText="1"/>
    </xf>
    <xf numFmtId="0" fontId="141" fillId="0" borderId="1" xfId="1454" applyFont="1" applyBorder="1" applyAlignment="1">
      <alignment vertical="top" wrapText="1"/>
    </xf>
    <xf numFmtId="0" fontId="106" fillId="0" borderId="1" xfId="187" applyFont="1" applyBorder="1" applyAlignment="1">
      <alignment horizontal="center" vertical="top" shrinkToFit="1"/>
    </xf>
    <xf numFmtId="184" fontId="110" fillId="0" borderId="1" xfId="0" applyNumberFormat="1" applyFont="1" applyBorder="1" applyAlignment="1">
      <alignment horizontal="center" vertical="top"/>
    </xf>
    <xf numFmtId="1" fontId="110" fillId="0" borderId="1" xfId="0" applyNumberFormat="1" applyFont="1" applyBorder="1" applyAlignment="1">
      <alignment horizontal="center" vertical="top" wrapText="1"/>
    </xf>
    <xf numFmtId="2" fontId="110" fillId="0" borderId="1" xfId="0" applyNumberFormat="1" applyFont="1" applyBorder="1" applyAlignment="1">
      <alignment horizontal="center" vertical="top"/>
    </xf>
    <xf numFmtId="2" fontId="110" fillId="0" borderId="1" xfId="0" applyNumberFormat="1" applyFont="1" applyBorder="1" applyAlignment="1">
      <alignment horizontal="right" vertical="top" wrapText="1"/>
    </xf>
    <xf numFmtId="1" fontId="110" fillId="0" borderId="1" xfId="0" applyNumberFormat="1" applyFont="1" applyBorder="1" applyAlignment="1">
      <alignment horizontal="justify" vertical="top" wrapText="1"/>
    </xf>
    <xf numFmtId="0" fontId="141" fillId="0" borderId="1" xfId="1454" applyFont="1" applyBorder="1" applyAlignment="1">
      <alignment horizontal="justify" vertical="top" wrapText="1"/>
    </xf>
    <xf numFmtId="1" fontId="110" fillId="0" borderId="1" xfId="0" applyNumberFormat="1" applyFont="1" applyBorder="1" applyAlignment="1">
      <alignment horizontal="center" vertical="top"/>
    </xf>
    <xf numFmtId="188" fontId="110" fillId="0" borderId="1" xfId="0" applyNumberFormat="1" applyFont="1" applyBorder="1" applyAlignment="1">
      <alignment horizontal="center" vertical="top" wrapText="1"/>
    </xf>
    <xf numFmtId="1" fontId="141" fillId="0" borderId="1" xfId="0" applyNumberFormat="1" applyFont="1" applyBorder="1" applyAlignment="1">
      <alignment horizontal="center" vertical="top"/>
    </xf>
    <xf numFmtId="2" fontId="110" fillId="0" borderId="1" xfId="0" applyNumberFormat="1" applyFont="1" applyBorder="1" applyAlignment="1">
      <alignment horizontal="justify" vertical="top" wrapText="1"/>
    </xf>
    <xf numFmtId="2" fontId="110" fillId="0" borderId="1" xfId="3468" applyNumberFormat="1" applyFont="1" applyBorder="1" applyAlignment="1">
      <alignment horizontal="justify" vertical="top" wrapText="1"/>
    </xf>
    <xf numFmtId="2" fontId="110" fillId="0" borderId="1" xfId="0" applyNumberFormat="1" applyFont="1" applyBorder="1" applyAlignment="1">
      <alignment vertical="top"/>
    </xf>
    <xf numFmtId="2" fontId="106" fillId="0" borderId="1" xfId="187" applyNumberFormat="1" applyFont="1" applyBorder="1" applyAlignment="1">
      <alignment horizontal="center" vertical="top" shrinkToFit="1"/>
    </xf>
    <xf numFmtId="0" fontId="106" fillId="0" borderId="0" xfId="187" applyFont="1" applyAlignment="1">
      <alignment horizontal="center" vertical="top" shrinkToFit="1"/>
    </xf>
    <xf numFmtId="2" fontId="141" fillId="0" borderId="0" xfId="0" applyNumberFormat="1" applyFont="1" applyAlignment="1">
      <alignment vertical="top"/>
    </xf>
    <xf numFmtId="2" fontId="110" fillId="0" borderId="0" xfId="0" applyNumberFormat="1" applyFont="1" applyAlignment="1">
      <alignment vertical="top"/>
    </xf>
    <xf numFmtId="2" fontId="110" fillId="0" borderId="0" xfId="0" applyNumberFormat="1" applyFont="1" applyAlignment="1">
      <alignment horizontal="center" vertical="top"/>
    </xf>
    <xf numFmtId="2" fontId="155" fillId="0" borderId="0" xfId="0" applyNumberFormat="1" applyFont="1" applyAlignment="1">
      <alignment vertical="top"/>
    </xf>
    <xf numFmtId="0" fontId="110" fillId="0" borderId="1" xfId="3468" applyFont="1" applyBorder="1" applyAlignment="1">
      <alignment horizontal="justify" vertical="top" wrapText="1"/>
    </xf>
    <xf numFmtId="0" fontId="110" fillId="0" borderId="1" xfId="3468" applyFont="1" applyBorder="1" applyAlignment="1">
      <alignment horizontal="center" vertical="top" wrapText="1"/>
    </xf>
    <xf numFmtId="1" fontId="110" fillId="0" borderId="1" xfId="3468" applyNumberFormat="1" applyFont="1" applyBorder="1" applyAlignment="1">
      <alignment horizontal="center" vertical="top" wrapText="1"/>
    </xf>
    <xf numFmtId="2" fontId="110" fillId="0" borderId="1" xfId="3468" applyNumberFormat="1" applyFont="1" applyBorder="1" applyAlignment="1">
      <alignment horizontal="center" vertical="top"/>
    </xf>
    <xf numFmtId="0" fontId="110" fillId="0" borderId="1" xfId="3468" applyFont="1" applyBorder="1" applyAlignment="1">
      <alignment horizontal="center" vertical="top"/>
    </xf>
    <xf numFmtId="181" fontId="155" fillId="0" borderId="0" xfId="0" applyNumberFormat="1" applyFont="1" applyAlignment="1">
      <alignment vertical="top"/>
    </xf>
    <xf numFmtId="184" fontId="141" fillId="0" borderId="1" xfId="0" applyNumberFormat="1" applyFont="1" applyBorder="1" applyAlignment="1">
      <alignment horizontal="center" vertical="top"/>
    </xf>
    <xf numFmtId="0" fontId="141" fillId="0" borderId="1" xfId="0" applyFont="1" applyBorder="1" applyAlignment="1">
      <alignment vertical="top"/>
    </xf>
    <xf numFmtId="0" fontId="110" fillId="0" borderId="1" xfId="0" applyFont="1" applyBorder="1" applyAlignment="1">
      <alignment vertical="top"/>
    </xf>
    <xf numFmtId="1" fontId="155" fillId="0" borderId="1" xfId="0" applyNumberFormat="1" applyFont="1" applyBorder="1" applyAlignment="1">
      <alignment horizontal="center" vertical="top"/>
    </xf>
    <xf numFmtId="2" fontId="155" fillId="0" borderId="1" xfId="0" applyNumberFormat="1" applyFont="1" applyBorder="1" applyAlignment="1">
      <alignment horizontal="center" vertical="top"/>
    </xf>
    <xf numFmtId="2" fontId="141" fillId="0" borderId="1" xfId="0" applyNumberFormat="1" applyFont="1" applyBorder="1" applyAlignment="1">
      <alignment vertical="top"/>
    </xf>
    <xf numFmtId="2" fontId="141" fillId="0" borderId="1" xfId="0" applyNumberFormat="1" applyFont="1" applyBorder="1" applyAlignment="1">
      <alignment horizontal="center" vertical="top"/>
    </xf>
    <xf numFmtId="2" fontId="141" fillId="0" borderId="1" xfId="0" applyNumberFormat="1" applyFont="1" applyBorder="1" applyAlignment="1">
      <alignment horizontal="right" vertical="top" wrapText="1"/>
    </xf>
    <xf numFmtId="0" fontId="110" fillId="0" borderId="0" xfId="0" applyFont="1" applyAlignment="1">
      <alignment horizontal="center" vertical="top" wrapText="1"/>
    </xf>
    <xf numFmtId="0" fontId="106" fillId="0" borderId="0" xfId="0" applyFont="1" applyAlignment="1">
      <alignment horizontal="center" vertical="top" wrapText="1"/>
    </xf>
    <xf numFmtId="2" fontId="110" fillId="0" borderId="0" xfId="0" applyNumberFormat="1" applyFont="1" applyAlignment="1">
      <alignment horizontal="center" vertical="top" wrapText="1"/>
    </xf>
    <xf numFmtId="2" fontId="159" fillId="0" borderId="46" xfId="0" applyNumberFormat="1" applyFont="1" applyBorder="1" applyAlignment="1">
      <alignment vertical="top"/>
    </xf>
    <xf numFmtId="0" fontId="159" fillId="0" borderId="47" xfId="0" applyFont="1" applyBorder="1" applyAlignment="1">
      <alignment horizontal="center" vertical="top"/>
    </xf>
    <xf numFmtId="2" fontId="159" fillId="3" borderId="47" xfId="0" applyNumberFormat="1" applyFont="1" applyFill="1" applyBorder="1" applyAlignment="1">
      <alignment horizontal="center" vertical="top"/>
    </xf>
    <xf numFmtId="2" fontId="159" fillId="0" borderId="1" xfId="0" applyNumberFormat="1" applyFont="1" applyBorder="1" applyAlignment="1">
      <alignment vertical="top"/>
    </xf>
    <xf numFmtId="2" fontId="159" fillId="3" borderId="1" xfId="0" applyNumberFormat="1" applyFont="1" applyFill="1" applyBorder="1" applyAlignment="1">
      <alignment vertical="top"/>
    </xf>
    <xf numFmtId="0" fontId="110" fillId="0" borderId="0" xfId="0" applyFont="1" applyAlignment="1">
      <alignment horizontal="justify" vertical="top" wrapText="1"/>
    </xf>
    <xf numFmtId="0" fontId="105" fillId="0" borderId="0" xfId="908" applyFont="1" applyAlignment="1">
      <alignment vertical="top"/>
    </xf>
    <xf numFmtId="0" fontId="106" fillId="0" borderId="0" xfId="0" applyFont="1" applyAlignment="1">
      <alignment vertical="top" wrapText="1"/>
    </xf>
    <xf numFmtId="0" fontId="4" fillId="0" borderId="0" xfId="206" applyAlignment="1">
      <alignment horizontal="center" vertical="center" wrapText="1"/>
    </xf>
    <xf numFmtId="0" fontId="4" fillId="13" borderId="0" xfId="206" applyFill="1" applyAlignment="1">
      <alignment vertical="center" wrapText="1"/>
    </xf>
    <xf numFmtId="0" fontId="4" fillId="0" borderId="0" xfId="206" applyAlignment="1">
      <alignment horizontal="center" wrapText="1"/>
    </xf>
    <xf numFmtId="0" fontId="121" fillId="0" borderId="0" xfId="206" applyFont="1" applyAlignment="1">
      <alignment horizontal="center" vertical="center" wrapText="1"/>
    </xf>
    <xf numFmtId="0" fontId="4" fillId="0" borderId="0" xfId="206" applyAlignment="1">
      <alignment vertical="center" wrapText="1"/>
    </xf>
    <xf numFmtId="2" fontId="4" fillId="0" borderId="0" xfId="206" applyNumberFormat="1" applyAlignment="1">
      <alignment horizontal="center" vertical="center" wrapText="1"/>
    </xf>
    <xf numFmtId="2" fontId="161" fillId="0" borderId="0" xfId="206" applyNumberFormat="1" applyFont="1" applyAlignment="1">
      <alignment horizontal="center" vertical="center" wrapText="1"/>
    </xf>
    <xf numFmtId="2" fontId="4" fillId="0" borderId="0" xfId="206" applyNumberFormat="1" applyAlignment="1">
      <alignment horizontal="right" vertical="center" wrapText="1"/>
    </xf>
    <xf numFmtId="0" fontId="163" fillId="0" borderId="1" xfId="206" applyFont="1" applyBorder="1" applyAlignment="1">
      <alignment horizontal="center" vertical="center" wrapText="1"/>
    </xf>
    <xf numFmtId="2" fontId="164" fillId="0" borderId="1" xfId="206" applyNumberFormat="1" applyFont="1" applyBorder="1" applyAlignment="1">
      <alignment horizontal="center" vertical="center" wrapText="1"/>
    </xf>
    <xf numFmtId="0" fontId="4" fillId="0" borderId="1" xfId="206" applyBorder="1" applyAlignment="1">
      <alignment vertical="center" wrapText="1"/>
    </xf>
    <xf numFmtId="0" fontId="4" fillId="0" borderId="1" xfId="206" applyBorder="1"/>
    <xf numFmtId="0" fontId="164" fillId="0" borderId="1" xfId="206" applyFont="1" applyBorder="1" applyAlignment="1">
      <alignment horizontal="center" vertical="center" wrapText="1"/>
    </xf>
    <xf numFmtId="0" fontId="165" fillId="0" borderId="1" xfId="206" applyFont="1" applyBorder="1" applyAlignment="1">
      <alignment horizontal="center" vertical="center" wrapText="1"/>
    </xf>
    <xf numFmtId="0" fontId="121" fillId="0" borderId="1" xfId="206" applyFont="1" applyBorder="1"/>
    <xf numFmtId="2" fontId="166" fillId="0" borderId="1" xfId="206" applyNumberFormat="1" applyFont="1" applyBorder="1"/>
    <xf numFmtId="0" fontId="119" fillId="0" borderId="1" xfId="206" applyFont="1" applyBorder="1"/>
    <xf numFmtId="1" fontId="168" fillId="0" borderId="1" xfId="206" applyNumberFormat="1" applyFont="1" applyBorder="1"/>
    <xf numFmtId="0" fontId="121" fillId="0" borderId="1" xfId="206" applyFont="1" applyBorder="1" applyAlignment="1">
      <alignment horizontal="center"/>
    </xf>
    <xf numFmtId="1" fontId="166" fillId="0" borderId="1" xfId="206" applyNumberFormat="1" applyFont="1" applyBorder="1"/>
    <xf numFmtId="0" fontId="121" fillId="14" borderId="1" xfId="206" applyFont="1" applyFill="1" applyBorder="1"/>
    <xf numFmtId="0" fontId="121" fillId="14" borderId="1" xfId="206" applyFont="1" applyFill="1" applyBorder="1" applyAlignment="1">
      <alignment horizontal="center" vertical="center" wrapText="1"/>
    </xf>
    <xf numFmtId="0" fontId="4" fillId="14" borderId="1" xfId="206" applyFill="1" applyBorder="1" applyAlignment="1">
      <alignment horizontal="center" vertical="center" wrapText="1"/>
    </xf>
    <xf numFmtId="1" fontId="4" fillId="14" borderId="1" xfId="206" applyNumberFormat="1" applyFill="1" applyBorder="1" applyAlignment="1">
      <alignment horizontal="center" vertical="center" wrapText="1"/>
    </xf>
    <xf numFmtId="0" fontId="121" fillId="0" borderId="1" xfId="206" applyFont="1" applyBorder="1" applyAlignment="1">
      <alignment horizontal="center" vertical="center" wrapText="1"/>
    </xf>
    <xf numFmtId="0" fontId="163" fillId="0" borderId="1" xfId="206" applyFont="1" applyBorder="1" applyAlignment="1">
      <alignment horizontal="left" vertical="center" wrapText="1"/>
    </xf>
    <xf numFmtId="2" fontId="4" fillId="0" borderId="1" xfId="206" applyNumberFormat="1" applyBorder="1" applyAlignment="1">
      <alignment horizontal="center" vertical="center" wrapText="1"/>
    </xf>
    <xf numFmtId="0" fontId="163" fillId="0" borderId="1" xfId="206" applyFont="1" applyBorder="1" applyAlignment="1">
      <alignment vertical="center" wrapText="1"/>
    </xf>
    <xf numFmtId="0" fontId="4" fillId="0" borderId="1" xfId="206" applyBorder="1" applyAlignment="1">
      <alignment horizontal="center" vertical="center" wrapText="1"/>
    </xf>
    <xf numFmtId="1" fontId="4" fillId="0" borderId="1" xfId="206" applyNumberFormat="1" applyBorder="1" applyAlignment="1">
      <alignment horizontal="center" vertical="center" wrapText="1"/>
    </xf>
    <xf numFmtId="171" fontId="4" fillId="0" borderId="1" xfId="206" applyNumberFormat="1" applyBorder="1" applyAlignment="1">
      <alignment horizontal="center" vertical="center" wrapText="1"/>
    </xf>
    <xf numFmtId="0" fontId="0" fillId="0" borderId="1" xfId="206" applyFont="1" applyBorder="1" applyAlignment="1">
      <alignment horizontal="center" vertical="center" wrapText="1"/>
    </xf>
    <xf numFmtId="184" fontId="4" fillId="0" borderId="1" xfId="206" applyNumberFormat="1" applyBorder="1" applyAlignment="1">
      <alignment horizontal="center" vertical="center" wrapText="1"/>
    </xf>
    <xf numFmtId="0" fontId="169" fillId="0" borderId="1" xfId="206" applyFont="1" applyBorder="1" applyAlignment="1">
      <alignment horizontal="left" vertical="top" wrapText="1"/>
    </xf>
    <xf numFmtId="0" fontId="170" fillId="0" borderId="1" xfId="206" applyFont="1" applyBorder="1" applyAlignment="1">
      <alignment vertical="center" wrapText="1"/>
    </xf>
    <xf numFmtId="0" fontId="121" fillId="0" borderId="1" xfId="206" applyFont="1" applyBorder="1" applyAlignment="1">
      <alignment vertical="center" wrapText="1"/>
    </xf>
    <xf numFmtId="171" fontId="169" fillId="6" borderId="1" xfId="206" applyNumberFormat="1" applyFont="1" applyFill="1" applyBorder="1" applyAlignment="1">
      <alignment horizontal="center" vertical="center" wrapText="1"/>
    </xf>
    <xf numFmtId="171" fontId="169" fillId="0" borderId="1" xfId="206" applyNumberFormat="1" applyFont="1" applyBorder="1" applyAlignment="1">
      <alignment horizontal="center" vertical="center" wrapText="1"/>
    </xf>
    <xf numFmtId="0" fontId="121" fillId="13" borderId="1" xfId="206" applyFont="1" applyFill="1" applyBorder="1" applyAlignment="1">
      <alignment horizontal="center" vertical="center" wrapText="1"/>
    </xf>
    <xf numFmtId="0" fontId="11" fillId="13" borderId="1" xfId="206" applyFont="1" applyFill="1" applyBorder="1" applyAlignment="1">
      <alignment vertical="center" wrapText="1"/>
    </xf>
    <xf numFmtId="0" fontId="163" fillId="13" borderId="1" xfId="206" applyFont="1" applyFill="1" applyBorder="1" applyAlignment="1">
      <alignment horizontal="center" vertical="center" wrapText="1"/>
    </xf>
    <xf numFmtId="0" fontId="4" fillId="13" borderId="1" xfId="206" applyFill="1" applyBorder="1" applyAlignment="1">
      <alignment horizontal="center" vertical="center" wrapText="1"/>
    </xf>
    <xf numFmtId="171" fontId="120" fillId="13" borderId="1" xfId="206" applyNumberFormat="1" applyFont="1" applyFill="1" applyBorder="1" applyAlignment="1">
      <alignment horizontal="center" vertical="center" wrapText="1"/>
    </xf>
    <xf numFmtId="0" fontId="11" fillId="0" borderId="1" xfId="206" applyFont="1" applyBorder="1" applyAlignment="1">
      <alignment horizontal="left" vertical="center" wrapText="1"/>
    </xf>
    <xf numFmtId="2" fontId="171" fillId="0" borderId="1" xfId="206" applyNumberFormat="1" applyFont="1" applyBorder="1" applyAlignment="1">
      <alignment horizontal="center" vertical="center" wrapText="1"/>
    </xf>
    <xf numFmtId="0" fontId="119" fillId="13" borderId="1" xfId="206" applyFont="1" applyFill="1" applyBorder="1" applyAlignment="1">
      <alignment horizontal="center" vertical="center" wrapText="1"/>
    </xf>
    <xf numFmtId="2" fontId="120" fillId="6" borderId="1" xfId="206" applyNumberFormat="1" applyFont="1" applyFill="1" applyBorder="1" applyAlignment="1">
      <alignment horizontal="center" vertical="center" wrapText="1"/>
    </xf>
    <xf numFmtId="0" fontId="172" fillId="0" borderId="1" xfId="206" applyFont="1" applyBorder="1" applyAlignment="1">
      <alignment horizontal="left" vertical="center" wrapText="1"/>
    </xf>
    <xf numFmtId="0" fontId="120" fillId="0" borderId="1" xfId="206" applyFont="1" applyBorder="1" applyAlignment="1">
      <alignment horizontal="center" vertical="center" wrapText="1"/>
    </xf>
    <xf numFmtId="0" fontId="172" fillId="0" borderId="1" xfId="206" applyFont="1" applyBorder="1" applyAlignment="1">
      <alignment horizontal="center" vertical="center" wrapText="1"/>
    </xf>
    <xf numFmtId="0" fontId="4" fillId="0" borderId="1" xfId="206" applyBorder="1" applyAlignment="1">
      <alignment horizontal="left" vertical="center" wrapText="1"/>
    </xf>
    <xf numFmtId="0" fontId="169" fillId="0" borderId="0" xfId="206" applyFont="1" applyAlignment="1">
      <alignment vertical="center" wrapText="1"/>
    </xf>
    <xf numFmtId="0" fontId="173" fillId="0" borderId="1" xfId="206" applyFont="1" applyBorder="1" applyAlignment="1">
      <alignment horizontal="center" vertical="center" wrapText="1"/>
    </xf>
    <xf numFmtId="0" fontId="174" fillId="0" borderId="1" xfId="206" applyFont="1" applyBorder="1" applyAlignment="1">
      <alignment horizontal="center" vertical="center" wrapText="1"/>
    </xf>
    <xf numFmtId="2" fontId="175" fillId="0" borderId="1" xfId="206" applyNumberFormat="1" applyFont="1" applyBorder="1" applyAlignment="1">
      <alignment horizontal="center" vertical="center" wrapText="1"/>
    </xf>
    <xf numFmtId="2" fontId="176" fillId="0" borderId="1" xfId="206" applyNumberFormat="1" applyFont="1" applyBorder="1" applyAlignment="1">
      <alignment horizontal="right" vertical="center" wrapText="1"/>
    </xf>
    <xf numFmtId="0" fontId="169" fillId="0" borderId="9" xfId="206" applyFont="1" applyBorder="1" applyAlignment="1">
      <alignment vertical="center" wrapText="1"/>
    </xf>
    <xf numFmtId="2" fontId="175" fillId="13" borderId="1" xfId="206" applyNumberFormat="1" applyFont="1" applyFill="1" applyBorder="1" applyAlignment="1">
      <alignment horizontal="center" vertical="center" wrapText="1"/>
    </xf>
    <xf numFmtId="2" fontId="177" fillId="3" borderId="1" xfId="206" applyNumberFormat="1" applyFont="1" applyFill="1" applyBorder="1" applyAlignment="1">
      <alignment horizontal="right" vertical="center" wrapText="1"/>
    </xf>
    <xf numFmtId="0" fontId="121" fillId="0" borderId="1" xfId="206" applyFont="1" applyBorder="1" applyAlignment="1">
      <alignment horizontal="left"/>
    </xf>
    <xf numFmtId="0" fontId="163" fillId="13" borderId="1" xfId="206" applyFont="1" applyFill="1" applyBorder="1" applyAlignment="1">
      <alignment horizontal="center" vertical="top" wrapText="1"/>
    </xf>
    <xf numFmtId="0" fontId="4" fillId="0" borderId="1" xfId="206" applyBorder="1" applyAlignment="1">
      <alignment horizontal="center" vertical="top" wrapText="1"/>
    </xf>
    <xf numFmtId="2" fontId="4" fillId="3" borderId="1" xfId="206" applyNumberFormat="1" applyFill="1" applyBorder="1" applyAlignment="1">
      <alignment horizontal="center" vertical="top" wrapText="1"/>
    </xf>
    <xf numFmtId="192" fontId="166" fillId="6" borderId="1" xfId="206" applyNumberFormat="1" applyFont="1" applyFill="1" applyBorder="1" applyAlignment="1">
      <alignment horizontal="center" vertical="top" wrapText="1"/>
    </xf>
    <xf numFmtId="2" fontId="124" fillId="0" borderId="1" xfId="206" applyNumberFormat="1" applyFont="1" applyBorder="1" applyAlignment="1">
      <alignment horizontal="center"/>
    </xf>
    <xf numFmtId="1" fontId="178" fillId="0" borderId="1" xfId="206" applyNumberFormat="1" applyFont="1" applyBorder="1" applyAlignment="1">
      <alignment horizontal="center"/>
    </xf>
    <xf numFmtId="2" fontId="4" fillId="0" borderId="1" xfId="206" applyNumberFormat="1" applyBorder="1" applyAlignment="1">
      <alignment horizontal="center" vertical="top" wrapText="1"/>
    </xf>
    <xf numFmtId="1" fontId="124" fillId="0" borderId="1" xfId="206" applyNumberFormat="1" applyFont="1" applyBorder="1" applyAlignment="1">
      <alignment horizontal="center"/>
    </xf>
    <xf numFmtId="2" fontId="180" fillId="14" borderId="1" xfId="206" applyNumberFormat="1" applyFont="1" applyFill="1" applyBorder="1" applyAlignment="1">
      <alignment horizontal="center" vertical="center" wrapText="1"/>
    </xf>
    <xf numFmtId="2" fontId="163" fillId="14" borderId="1" xfId="206" applyNumberFormat="1" applyFont="1" applyFill="1" applyBorder="1" applyAlignment="1">
      <alignment horizontal="right" vertical="center" wrapText="1"/>
    </xf>
    <xf numFmtId="1" fontId="4" fillId="14" borderId="1" xfId="206" applyNumberFormat="1" applyFill="1" applyBorder="1" applyAlignment="1">
      <alignment horizontal="right" vertical="center" wrapText="1"/>
    </xf>
    <xf numFmtId="2" fontId="161" fillId="0" borderId="1" xfId="206" applyNumberFormat="1" applyFont="1" applyBorder="1" applyAlignment="1">
      <alignment horizontal="center" vertical="center" wrapText="1"/>
    </xf>
    <xf numFmtId="2" fontId="4" fillId="0" borderId="1" xfId="206" applyNumberFormat="1" applyBorder="1" applyAlignment="1">
      <alignment horizontal="right" vertical="center" wrapText="1"/>
    </xf>
    <xf numFmtId="0" fontId="119" fillId="0" borderId="5" xfId="206" applyFont="1" applyBorder="1" applyAlignment="1">
      <alignment horizontal="right" vertical="center" wrapText="1"/>
    </xf>
    <xf numFmtId="0" fontId="121" fillId="0" borderId="2" xfId="206" applyFont="1" applyBorder="1" applyAlignment="1">
      <alignment horizontal="center" vertical="center" wrapText="1"/>
    </xf>
    <xf numFmtId="2" fontId="161" fillId="15" borderId="1" xfId="206" applyNumberFormat="1" applyFont="1" applyFill="1" applyBorder="1" applyAlignment="1">
      <alignment horizontal="center" vertical="center" wrapText="1"/>
    </xf>
    <xf numFmtId="2" fontId="119" fillId="0" borderId="1" xfId="206" applyNumberFormat="1" applyFont="1" applyBorder="1" applyAlignment="1">
      <alignment horizontal="center" vertical="center" wrapText="1"/>
    </xf>
    <xf numFmtId="0" fontId="119" fillId="0" borderId="1" xfId="206" applyFont="1" applyBorder="1" applyAlignment="1">
      <alignment horizontal="center" vertical="center" wrapText="1"/>
    </xf>
    <xf numFmtId="2" fontId="181" fillId="15" borderId="1" xfId="206" applyNumberFormat="1" applyFont="1" applyFill="1" applyBorder="1" applyAlignment="1">
      <alignment horizontal="center" vertical="center" wrapText="1"/>
    </xf>
    <xf numFmtId="2" fontId="4" fillId="0" borderId="1" xfId="206" applyNumberFormat="1" applyBorder="1" applyAlignment="1">
      <alignment horizontal="center" vertical="center"/>
    </xf>
    <xf numFmtId="0" fontId="4" fillId="0" borderId="1" xfId="206" applyBorder="1" applyAlignment="1">
      <alignment horizontal="center" vertical="center"/>
    </xf>
    <xf numFmtId="2" fontId="4" fillId="0" borderId="1" xfId="206" applyNumberFormat="1" applyBorder="1" applyAlignment="1">
      <alignment horizontal="right" vertical="center"/>
    </xf>
    <xf numFmtId="2" fontId="181" fillId="0" borderId="1" xfId="206" applyNumberFormat="1" applyFont="1" applyBorder="1" applyAlignment="1">
      <alignment horizontal="center" vertical="center" wrapText="1"/>
    </xf>
    <xf numFmtId="2" fontId="163" fillId="0" borderId="1" xfId="206" applyNumberFormat="1" applyFont="1" applyBorder="1" applyAlignment="1">
      <alignment horizontal="right" vertical="center" wrapText="1"/>
    </xf>
    <xf numFmtId="2" fontId="0" fillId="0" borderId="1" xfId="206" applyNumberFormat="1" applyFont="1" applyBorder="1" applyAlignment="1">
      <alignment horizontal="right" vertical="center" wrapText="1"/>
    </xf>
    <xf numFmtId="0" fontId="120" fillId="13" borderId="1" xfId="206" applyFont="1" applyFill="1" applyBorder="1" applyAlignment="1">
      <alignment horizontal="center" vertical="center" wrapText="1"/>
    </xf>
    <xf numFmtId="2" fontId="161" fillId="13" borderId="1" xfId="206" applyNumberFormat="1" applyFont="1" applyFill="1" applyBorder="1" applyAlignment="1">
      <alignment horizontal="center" vertical="center" wrapText="1"/>
    </xf>
    <xf numFmtId="0" fontId="182" fillId="0" borderId="0" xfId="206" applyFont="1" applyAlignment="1">
      <alignment horizontal="center" vertical="center" wrapText="1"/>
    </xf>
    <xf numFmtId="184" fontId="121" fillId="0" borderId="0" xfId="206" applyNumberFormat="1" applyFont="1" applyAlignment="1">
      <alignment horizontal="center" vertical="center" wrapText="1"/>
    </xf>
    <xf numFmtId="0" fontId="121" fillId="0" borderId="0" xfId="206" applyFont="1" applyAlignment="1">
      <alignment horizontal="right" vertical="center"/>
    </xf>
    <xf numFmtId="0" fontId="121" fillId="0" borderId="47" xfId="206" applyFont="1" applyBorder="1" applyAlignment="1">
      <alignment horizontal="center" vertical="center" wrapText="1"/>
    </xf>
    <xf numFmtId="2" fontId="121" fillId="0" borderId="0" xfId="206" applyNumberFormat="1" applyFont="1" applyAlignment="1">
      <alignment horizontal="center" vertical="center" wrapText="1"/>
    </xf>
    <xf numFmtId="1" fontId="121" fillId="0" borderId="47" xfId="206" applyNumberFormat="1" applyFont="1" applyBorder="1" applyAlignment="1">
      <alignment horizontal="center" vertical="center" wrapText="1"/>
    </xf>
    <xf numFmtId="0" fontId="121" fillId="0" borderId="1" xfId="206" applyFont="1" applyBorder="1" applyAlignment="1">
      <alignment horizontal="left" vertical="center" wrapText="1"/>
    </xf>
    <xf numFmtId="171" fontId="11" fillId="0" borderId="1" xfId="206" applyNumberFormat="1" applyFont="1" applyBorder="1" applyAlignment="1">
      <alignment horizontal="center" vertical="center" wrapText="1"/>
    </xf>
    <xf numFmtId="2" fontId="0" fillId="0" borderId="1" xfId="206" applyNumberFormat="1" applyFont="1" applyBorder="1" applyAlignment="1">
      <alignment horizontal="center" vertical="center" wrapText="1"/>
    </xf>
    <xf numFmtId="2" fontId="185" fillId="0" borderId="1" xfId="206" applyNumberFormat="1" applyFont="1" applyBorder="1" applyAlignment="1">
      <alignment horizontal="center" vertical="center" wrapText="1"/>
    </xf>
    <xf numFmtId="2" fontId="170" fillId="0" borderId="1" xfId="206" applyNumberFormat="1" applyFont="1" applyBorder="1" applyAlignment="1">
      <alignment horizontal="right" vertical="center" wrapText="1"/>
    </xf>
    <xf numFmtId="2" fontId="119" fillId="0" borderId="1" xfId="206" applyNumberFormat="1" applyFont="1" applyBorder="1" applyAlignment="1">
      <alignment horizontal="center" wrapText="1"/>
    </xf>
    <xf numFmtId="0" fontId="119" fillId="0" borderId="0" xfId="206" applyFont="1" applyAlignment="1">
      <alignment horizontal="center" vertical="center" wrapText="1"/>
    </xf>
    <xf numFmtId="0" fontId="5" fillId="0" borderId="0" xfId="2062" applyFont="1" applyAlignment="1">
      <alignment vertical="top"/>
    </xf>
    <xf numFmtId="0" fontId="4" fillId="0" borderId="0" xfId="2062" applyAlignment="1">
      <alignment vertical="top"/>
    </xf>
    <xf numFmtId="0" fontId="4" fillId="0" borderId="1" xfId="2062" applyBorder="1" applyAlignment="1">
      <alignment horizontal="center" vertical="top"/>
    </xf>
    <xf numFmtId="0" fontId="5" fillId="0" borderId="1" xfId="2062" applyFont="1" applyBorder="1" applyAlignment="1">
      <alignment horizontal="center" vertical="top"/>
    </xf>
    <xf numFmtId="205" fontId="187" fillId="0" borderId="1" xfId="2062" applyNumberFormat="1" applyFont="1" applyBorder="1" applyAlignment="1">
      <alignment horizontal="center" vertical="top"/>
    </xf>
    <xf numFmtId="194" fontId="37" fillId="6" borderId="1" xfId="2062" applyNumberFormat="1" applyFont="1" applyFill="1" applyBorder="1" applyAlignment="1">
      <alignment horizontal="center" vertical="top"/>
    </xf>
    <xf numFmtId="194" fontId="187" fillId="0" borderId="1" xfId="2062" applyNumberFormat="1" applyFont="1" applyBorder="1" applyAlignment="1">
      <alignment horizontal="center" vertical="top"/>
    </xf>
    <xf numFmtId="0" fontId="35" fillId="0" borderId="1" xfId="2062" applyFont="1" applyBorder="1" applyAlignment="1">
      <alignment vertical="top" wrapText="1"/>
    </xf>
    <xf numFmtId="0" fontId="4" fillId="0" borderId="1" xfId="2062" applyBorder="1" applyAlignment="1">
      <alignment vertical="top"/>
    </xf>
    <xf numFmtId="2" fontId="163" fillId="0" borderId="1" xfId="1822" applyNumberFormat="1" applyFont="1" applyBorder="1" applyAlignment="1">
      <alignment vertical="top" wrapText="1"/>
    </xf>
    <xf numFmtId="166" fontId="188" fillId="0" borderId="1" xfId="2062" applyNumberFormat="1" applyFont="1" applyBorder="1" applyAlignment="1">
      <alignment horizontal="center" vertical="top"/>
    </xf>
    <xf numFmtId="187" fontId="187" fillId="0" borderId="1" xfId="2062" applyNumberFormat="1" applyFont="1" applyBorder="1" applyAlignment="1">
      <alignment horizontal="center" vertical="top"/>
    </xf>
    <xf numFmtId="0" fontId="0" fillId="0" borderId="1" xfId="2062" applyFont="1" applyBorder="1" applyAlignment="1">
      <alignment horizontal="center" vertical="top"/>
    </xf>
    <xf numFmtId="0" fontId="0" fillId="0" borderId="1" xfId="2062" applyFont="1" applyBorder="1" applyAlignment="1">
      <alignment horizontal="center" vertical="top" wrapText="1"/>
    </xf>
    <xf numFmtId="0" fontId="187" fillId="0" borderId="0" xfId="2062" applyFont="1" applyAlignment="1">
      <alignment horizontal="center" vertical="top"/>
    </xf>
    <xf numFmtId="2" fontId="4" fillId="0" borderId="1" xfId="2062" applyNumberFormat="1" applyBorder="1" applyAlignment="1">
      <alignment horizontal="center" vertical="top"/>
    </xf>
    <xf numFmtId="10" fontId="0" fillId="0" borderId="1" xfId="2928" applyNumberFormat="1" applyFont="1" applyBorder="1" applyAlignment="1">
      <alignment horizontal="center" vertical="top"/>
    </xf>
    <xf numFmtId="1" fontId="4" fillId="0" borderId="1" xfId="2062" applyNumberFormat="1" applyBorder="1" applyAlignment="1">
      <alignment horizontal="center" vertical="top"/>
    </xf>
    <xf numFmtId="2" fontId="15" fillId="0" borderId="5" xfId="2062" applyNumberFormat="1" applyFont="1" applyBorder="1" applyAlignment="1">
      <alignment vertical="top"/>
    </xf>
    <xf numFmtId="2" fontId="4" fillId="0" borderId="0" xfId="2062" applyNumberFormat="1" applyAlignment="1">
      <alignment vertical="top"/>
    </xf>
    <xf numFmtId="0" fontId="5" fillId="0" borderId="1" xfId="2062" applyFont="1" applyBorder="1" applyAlignment="1">
      <alignment horizontal="right" vertical="top" wrapText="1"/>
    </xf>
    <xf numFmtId="2" fontId="5" fillId="0" borderId="1" xfId="2062" applyNumberFormat="1" applyFont="1" applyBorder="1" applyAlignment="1">
      <alignment horizontal="center" vertical="top"/>
    </xf>
    <xf numFmtId="10" fontId="5" fillId="0" borderId="1" xfId="2930" applyNumberFormat="1" applyFont="1" applyBorder="1" applyAlignment="1">
      <alignment horizontal="center" vertical="top"/>
    </xf>
    <xf numFmtId="2" fontId="187" fillId="0" borderId="1" xfId="2062" applyNumberFormat="1" applyFont="1" applyBorder="1" applyAlignment="1">
      <alignment horizontal="center" vertical="top"/>
    </xf>
    <xf numFmtId="2" fontId="15" fillId="0" borderId="1" xfId="2062" applyNumberFormat="1" applyFont="1" applyBorder="1" applyAlignment="1">
      <alignment horizontal="center" vertical="top"/>
    </xf>
    <xf numFmtId="10" fontId="0" fillId="0" borderId="5" xfId="2928" applyNumberFormat="1" applyFont="1" applyBorder="1" applyAlignment="1">
      <alignment horizontal="center" vertical="top"/>
    </xf>
    <xf numFmtId="0" fontId="5" fillId="0" borderId="1" xfId="2062" applyFont="1" applyBorder="1" applyAlignment="1">
      <alignment vertical="top"/>
    </xf>
    <xf numFmtId="0" fontId="189" fillId="0" borderId="1" xfId="2062" applyFont="1" applyBorder="1" applyAlignment="1">
      <alignment vertical="top"/>
    </xf>
    <xf numFmtId="0" fontId="0" fillId="0" borderId="1" xfId="2062" applyFont="1" applyBorder="1" applyAlignment="1">
      <alignment vertical="top"/>
    </xf>
    <xf numFmtId="10" fontId="5" fillId="0" borderId="0" xfId="2930" applyNumberFormat="1" applyFont="1" applyAlignment="1">
      <alignment vertical="top"/>
    </xf>
    <xf numFmtId="10" fontId="4" fillId="0" borderId="0" xfId="2062" applyNumberFormat="1" applyAlignment="1">
      <alignment vertical="top"/>
    </xf>
    <xf numFmtId="0" fontId="101" fillId="0" borderId="0" xfId="2192" applyFont="1" applyAlignment="1">
      <alignment horizontal="center" vertical="center" wrapText="1"/>
    </xf>
    <xf numFmtId="0" fontId="101" fillId="0" borderId="0" xfId="2192" applyFont="1" applyAlignment="1">
      <alignment horizontal="center" vertical="top" wrapText="1"/>
    </xf>
    <xf numFmtId="0" fontId="101" fillId="0" borderId="0" xfId="2192" applyFont="1" applyAlignment="1">
      <alignment horizontal="justify" vertical="top" wrapText="1"/>
    </xf>
    <xf numFmtId="0" fontId="101" fillId="0" borderId="0" xfId="2192" applyFont="1" applyAlignment="1">
      <alignment horizontal="justify" vertical="center" wrapText="1"/>
    </xf>
    <xf numFmtId="0" fontId="190" fillId="0" borderId="0" xfId="2192" applyFont="1" applyAlignment="1">
      <alignment horizontal="justify" vertical="center" wrapText="1"/>
    </xf>
    <xf numFmtId="0" fontId="102" fillId="0" borderId="0" xfId="0" applyFont="1" applyProtection="1">
      <protection locked="0"/>
    </xf>
    <xf numFmtId="0" fontId="101" fillId="0" borderId="0" xfId="2192" applyFont="1" applyAlignment="1">
      <alignment vertical="center" wrapText="1"/>
    </xf>
    <xf numFmtId="0" fontId="101" fillId="0" borderId="1" xfId="2192" applyFont="1" applyBorder="1" applyAlignment="1">
      <alignment horizontal="center" vertical="center" wrapText="1"/>
    </xf>
    <xf numFmtId="0" fontId="101" fillId="0" borderId="1" xfId="2192" applyFont="1" applyBorder="1" applyAlignment="1">
      <alignment horizontal="center" vertical="top" wrapText="1"/>
    </xf>
    <xf numFmtId="0" fontId="101" fillId="0" borderId="1" xfId="2192" applyFont="1" applyBorder="1" applyAlignment="1">
      <alignment horizontal="justify" vertical="center" wrapText="1"/>
    </xf>
    <xf numFmtId="1" fontId="191" fillId="0" borderId="1" xfId="2192" applyNumberFormat="1" applyFont="1" applyBorder="1" applyAlignment="1">
      <alignment horizontal="center" vertical="top" wrapText="1"/>
    </xf>
    <xf numFmtId="2" fontId="101" fillId="0" borderId="1" xfId="2192" applyNumberFormat="1" applyFont="1" applyBorder="1" applyAlignment="1">
      <alignment horizontal="right" vertical="top" wrapText="1"/>
    </xf>
    <xf numFmtId="1" fontId="190" fillId="0" borderId="0" xfId="2192" applyNumberFormat="1" applyFont="1" applyAlignment="1">
      <alignment horizontal="center" vertical="top" wrapText="1"/>
    </xf>
    <xf numFmtId="1" fontId="191" fillId="0" borderId="1" xfId="2192" applyNumberFormat="1" applyFont="1" applyBorder="1" applyAlignment="1">
      <alignment horizontal="center" vertical="center" wrapText="1"/>
    </xf>
    <xf numFmtId="2" fontId="101" fillId="0" borderId="1" xfId="2192" applyNumberFormat="1" applyFont="1" applyBorder="1" applyAlignment="1">
      <alignment horizontal="right" vertical="center" wrapText="1"/>
    </xf>
    <xf numFmtId="1" fontId="190" fillId="0" borderId="0" xfId="2192" applyNumberFormat="1" applyFont="1" applyAlignment="1">
      <alignment horizontal="center" vertical="center" wrapText="1"/>
    </xf>
    <xf numFmtId="1" fontId="190" fillId="0" borderId="1" xfId="2192" applyNumberFormat="1" applyFont="1" applyBorder="1" applyAlignment="1">
      <alignment horizontal="center" vertical="center" wrapText="1"/>
    </xf>
    <xf numFmtId="0" fontId="101" fillId="0" borderId="1" xfId="2192" applyFont="1" applyBorder="1" applyAlignment="1">
      <alignment horizontal="justify" vertical="top" wrapText="1"/>
    </xf>
    <xf numFmtId="1" fontId="190" fillId="0" borderId="1" xfId="2192" applyNumberFormat="1" applyFont="1" applyBorder="1" applyAlignment="1">
      <alignment horizontal="center" vertical="top" wrapText="1"/>
    </xf>
    <xf numFmtId="1" fontId="101" fillId="0" borderId="0" xfId="2192" applyNumberFormat="1" applyFont="1" applyAlignment="1">
      <alignment horizontal="center" vertical="top" wrapText="1"/>
    </xf>
    <xf numFmtId="0" fontId="190" fillId="0" borderId="1" xfId="2192" applyFont="1" applyBorder="1" applyAlignment="1">
      <alignment horizontal="center" vertical="center" wrapText="1"/>
    </xf>
    <xf numFmtId="0" fontId="102" fillId="0" borderId="1" xfId="2192" applyFont="1" applyBorder="1" applyAlignment="1">
      <alignment horizontal="right" vertical="center" wrapText="1"/>
    </xf>
    <xf numFmtId="1" fontId="102" fillId="0" borderId="1" xfId="2192" applyNumberFormat="1" applyFont="1" applyBorder="1" applyAlignment="1">
      <alignment horizontal="center" vertical="center" wrapText="1"/>
    </xf>
    <xf numFmtId="0" fontId="102" fillId="0" borderId="1" xfId="2192" applyFont="1" applyBorder="1" applyAlignment="1">
      <alignment horizontal="justify" vertical="center" wrapText="1"/>
    </xf>
    <xf numFmtId="2" fontId="102" fillId="0" borderId="1" xfId="2192" applyNumberFormat="1" applyFont="1" applyBorder="1" applyAlignment="1">
      <alignment horizontal="right" vertical="center" wrapText="1"/>
    </xf>
    <xf numFmtId="2" fontId="190" fillId="0" borderId="0" xfId="2192" applyNumberFormat="1" applyFont="1" applyAlignment="1">
      <alignment vertical="center" wrapText="1"/>
    </xf>
    <xf numFmtId="0" fontId="102" fillId="13" borderId="0" xfId="2079" applyFont="1" applyFill="1" applyAlignment="1" applyProtection="1">
      <alignment horizontal="left" vertical="top"/>
      <protection locked="0"/>
    </xf>
    <xf numFmtId="0" fontId="102" fillId="13" borderId="0" xfId="2079" applyFont="1" applyFill="1" applyAlignment="1" applyProtection="1">
      <alignment horizontal="center" vertical="top"/>
      <protection locked="0"/>
    </xf>
    <xf numFmtId="0" fontId="102" fillId="0" borderId="0" xfId="2192" applyFont="1" applyAlignment="1" applyProtection="1">
      <alignment horizontal="center" vertical="center"/>
      <protection locked="0"/>
    </xf>
    <xf numFmtId="0" fontId="102" fillId="0" borderId="0" xfId="0" applyFont="1" applyAlignment="1" applyProtection="1">
      <alignment horizontal="left" vertical="center"/>
      <protection locked="0"/>
    </xf>
    <xf numFmtId="0" fontId="102" fillId="0" borderId="0" xfId="0" applyFont="1" applyAlignment="1" applyProtection="1">
      <alignment horizontal="center" vertical="center"/>
      <protection locked="0"/>
    </xf>
    <xf numFmtId="2" fontId="101" fillId="0" borderId="0" xfId="2450" applyNumberFormat="1" applyFont="1" applyAlignment="1">
      <alignment horizontal="justify" vertical="center"/>
    </xf>
    <xf numFmtId="2" fontId="102" fillId="0" borderId="0" xfId="2450" applyNumberFormat="1" applyFont="1" applyAlignment="1">
      <alignment horizontal="justify" vertical="center"/>
    </xf>
    <xf numFmtId="0" fontId="101" fillId="0" borderId="1" xfId="0" applyFont="1" applyBorder="1" applyAlignment="1">
      <alignment horizontal="center" vertical="top" wrapText="1"/>
    </xf>
    <xf numFmtId="0" fontId="101" fillId="4" borderId="1" xfId="0" applyFont="1" applyFill="1" applyBorder="1" applyAlignment="1">
      <alignment horizontal="center" vertical="top"/>
    </xf>
    <xf numFmtId="0" fontId="101" fillId="4" borderId="1" xfId="0" applyFont="1" applyFill="1" applyBorder="1" applyAlignment="1">
      <alignment horizontal="justify" vertical="top" wrapText="1"/>
    </xf>
    <xf numFmtId="0" fontId="101" fillId="4" borderId="1" xfId="0" applyFont="1" applyFill="1" applyBorder="1" applyAlignment="1">
      <alignment horizontal="center" vertical="center"/>
    </xf>
    <xf numFmtId="0" fontId="101" fillId="4" borderId="1" xfId="0" applyFont="1" applyFill="1" applyBorder="1" applyAlignment="1">
      <alignment horizontal="center" vertical="center" wrapText="1"/>
    </xf>
    <xf numFmtId="0" fontId="101" fillId="4" borderId="1" xfId="2450" applyFont="1" applyFill="1" applyBorder="1" applyAlignment="1">
      <alignment horizontal="center" vertical="center" wrapText="1"/>
    </xf>
    <xf numFmtId="2" fontId="101" fillId="4" borderId="1" xfId="2450" applyNumberFormat="1" applyFont="1" applyFill="1" applyBorder="1" applyAlignment="1">
      <alignment horizontal="center" vertical="center" wrapText="1"/>
    </xf>
    <xf numFmtId="184" fontId="101" fillId="4" borderId="1" xfId="2450" applyNumberFormat="1" applyFont="1" applyFill="1" applyBorder="1" applyAlignment="1">
      <alignment horizontal="center" vertical="center" wrapText="1"/>
    </xf>
    <xf numFmtId="0" fontId="101" fillId="4" borderId="1" xfId="2450" applyFont="1" applyFill="1" applyBorder="1" applyAlignment="1">
      <alignment horizontal="center" vertical="center" shrinkToFit="1"/>
    </xf>
    <xf numFmtId="9" fontId="101" fillId="4" borderId="1" xfId="20" applyFont="1" applyFill="1" applyBorder="1" applyAlignment="1">
      <alignment horizontal="center" vertical="center" wrapText="1"/>
    </xf>
    <xf numFmtId="0" fontId="101" fillId="4" borderId="1" xfId="0" applyFont="1" applyFill="1" applyBorder="1" applyAlignment="1">
      <alignment vertical="center"/>
    </xf>
    <xf numFmtId="0" fontId="101" fillId="4" borderId="1" xfId="0" applyFont="1" applyFill="1" applyBorder="1" applyAlignment="1">
      <alignment vertical="top"/>
    </xf>
    <xf numFmtId="0" fontId="101" fillId="4" borderId="1" xfId="2450" applyFont="1" applyFill="1" applyBorder="1" applyAlignment="1">
      <alignment horizontal="center" wrapText="1"/>
    </xf>
    <xf numFmtId="1" fontId="101" fillId="4" borderId="1" xfId="0" applyNumberFormat="1" applyFont="1" applyFill="1" applyBorder="1" applyAlignment="1">
      <alignment horizontal="center" wrapText="1"/>
    </xf>
    <xf numFmtId="2" fontId="101" fillId="4" borderId="1" xfId="0" applyNumberFormat="1" applyFont="1" applyFill="1" applyBorder="1" applyAlignment="1">
      <alignment horizontal="center" vertical="center" wrapText="1"/>
    </xf>
    <xf numFmtId="184" fontId="101" fillId="4" borderId="1" xfId="0" applyNumberFormat="1" applyFont="1" applyFill="1" applyBorder="1" applyAlignment="1">
      <alignment horizontal="center" vertical="center" wrapText="1"/>
    </xf>
    <xf numFmtId="0" fontId="101" fillId="4" borderId="1" xfId="2450" applyFont="1" applyFill="1" applyBorder="1" applyAlignment="1">
      <alignment horizontal="center" shrinkToFit="1"/>
    </xf>
    <xf numFmtId="0" fontId="101" fillId="4" borderId="1" xfId="0" applyFont="1" applyFill="1" applyBorder="1" applyAlignment="1">
      <alignment horizontal="center" vertical="top" wrapText="1"/>
    </xf>
    <xf numFmtId="2" fontId="101" fillId="4" borderId="1" xfId="0" applyNumberFormat="1" applyFont="1" applyFill="1" applyBorder="1" applyAlignment="1">
      <alignment horizontal="center" wrapText="1"/>
    </xf>
    <xf numFmtId="184" fontId="101" fillId="4" borderId="1" xfId="0" applyNumberFormat="1" applyFont="1" applyFill="1" applyBorder="1" applyAlignment="1">
      <alignment horizontal="center" wrapText="1"/>
    </xf>
    <xf numFmtId="0" fontId="101" fillId="4" borderId="1" xfId="0" applyFont="1" applyFill="1" applyBorder="1"/>
    <xf numFmtId="0" fontId="101" fillId="4" borderId="1" xfId="0" applyFont="1" applyFill="1" applyBorder="1" applyAlignment="1">
      <alignment horizontal="left" wrapText="1"/>
    </xf>
    <xf numFmtId="0" fontId="101" fillId="4" borderId="1" xfId="0" applyFont="1" applyFill="1" applyBorder="1" applyAlignment="1">
      <alignment horizontal="center" wrapText="1"/>
    </xf>
    <xf numFmtId="0" fontId="101" fillId="4" borderId="1" xfId="0" applyFont="1" applyFill="1" applyBorder="1" applyAlignment="1">
      <alignment horizontal="center"/>
    </xf>
    <xf numFmtId="0" fontId="101" fillId="4" borderId="1" xfId="0" applyFont="1" applyFill="1" applyBorder="1" applyAlignment="1">
      <alignment horizontal="justify" vertical="center" wrapText="1"/>
    </xf>
    <xf numFmtId="1" fontId="101" fillId="4" borderId="1" xfId="0" applyNumberFormat="1" applyFont="1" applyFill="1" applyBorder="1" applyAlignment="1">
      <alignment horizontal="center" vertical="center" wrapText="1"/>
    </xf>
    <xf numFmtId="1" fontId="101" fillId="4" borderId="1" xfId="2450" applyNumberFormat="1" applyFont="1" applyFill="1" applyBorder="1" applyAlignment="1">
      <alignment horizontal="center" vertical="center"/>
    </xf>
    <xf numFmtId="1" fontId="101" fillId="4" borderId="1" xfId="2450" applyNumberFormat="1" applyFont="1" applyFill="1" applyBorder="1" applyAlignment="1">
      <alignment horizontal="center"/>
    </xf>
    <xf numFmtId="2" fontId="192" fillId="4" borderId="1" xfId="0" applyNumberFormat="1" applyFont="1" applyFill="1" applyBorder="1" applyAlignment="1">
      <alignment horizontal="center" wrapText="1"/>
    </xf>
    <xf numFmtId="2" fontId="101" fillId="4" borderId="1" xfId="2450" applyNumberFormat="1" applyFont="1" applyFill="1" applyBorder="1" applyAlignment="1">
      <alignment horizontal="center" wrapText="1"/>
    </xf>
    <xf numFmtId="184" fontId="101" fillId="4" borderId="1" xfId="2450" applyNumberFormat="1" applyFont="1" applyFill="1" applyBorder="1" applyAlignment="1">
      <alignment horizontal="center" wrapText="1"/>
    </xf>
    <xf numFmtId="0" fontId="102" fillId="4" borderId="1" xfId="0" applyFont="1" applyFill="1" applyBorder="1" applyAlignment="1">
      <alignment horizontal="center" vertical="center" wrapText="1"/>
    </xf>
    <xf numFmtId="2" fontId="102" fillId="4" borderId="1" xfId="0" applyNumberFormat="1" applyFont="1" applyFill="1" applyBorder="1" applyAlignment="1">
      <alignment horizontal="right" vertical="top"/>
    </xf>
    <xf numFmtId="2" fontId="101" fillId="4" borderId="1" xfId="2450" applyNumberFormat="1" applyFont="1" applyFill="1" applyBorder="1" applyAlignment="1">
      <alignment horizontal="right" vertical="center" wrapText="1"/>
    </xf>
    <xf numFmtId="2" fontId="102" fillId="4" borderId="1" xfId="0" applyNumberFormat="1" applyFont="1" applyFill="1" applyBorder="1" applyAlignment="1">
      <alignment horizontal="right" vertical="center"/>
    </xf>
    <xf numFmtId="2" fontId="102" fillId="4" borderId="1" xfId="0" applyNumberFormat="1" applyFont="1" applyFill="1" applyBorder="1" applyAlignment="1">
      <alignment horizontal="right" vertical="center" wrapText="1"/>
    </xf>
    <xf numFmtId="2" fontId="102" fillId="4" borderId="1" xfId="0" applyNumberFormat="1" applyFont="1" applyFill="1" applyBorder="1" applyAlignment="1">
      <alignment horizontal="center" vertical="center" wrapText="1"/>
    </xf>
    <xf numFmtId="2" fontId="101" fillId="4" borderId="1" xfId="2450" applyNumberFormat="1" applyFont="1" applyFill="1" applyBorder="1" applyAlignment="1">
      <alignment horizontal="right" wrapText="1"/>
    </xf>
    <xf numFmtId="184" fontId="193" fillId="4" borderId="1" xfId="0" applyNumberFormat="1" applyFont="1" applyFill="1" applyBorder="1" applyAlignment="1">
      <alignment horizontal="right" wrapText="1"/>
    </xf>
    <xf numFmtId="2" fontId="102" fillId="4" borderId="1" xfId="0" applyNumberFormat="1" applyFont="1" applyFill="1" applyBorder="1" applyAlignment="1">
      <alignment horizontal="center" wrapText="1"/>
    </xf>
    <xf numFmtId="2" fontId="102" fillId="4" borderId="1" xfId="0" applyNumberFormat="1" applyFont="1" applyFill="1" applyBorder="1" applyAlignment="1">
      <alignment horizontal="right"/>
    </xf>
    <xf numFmtId="0" fontId="101" fillId="4" borderId="1" xfId="518" applyFont="1" applyFill="1" applyBorder="1" applyAlignment="1">
      <alignment horizontal="left" vertical="center" wrapText="1"/>
    </xf>
    <xf numFmtId="2" fontId="101" fillId="4" borderId="1" xfId="518" applyNumberFormat="1" applyFont="1" applyFill="1" applyBorder="1" applyAlignment="1">
      <alignment vertical="center" wrapText="1"/>
    </xf>
    <xf numFmtId="0" fontId="192" fillId="4" borderId="1" xfId="518" applyFont="1" applyFill="1" applyBorder="1" applyAlignment="1">
      <alignment horizontal="left" vertical="center" wrapText="1"/>
    </xf>
    <xf numFmtId="0" fontId="101" fillId="4" borderId="1" xfId="518" applyFont="1" applyFill="1" applyBorder="1" applyAlignment="1">
      <alignment horizontal="left" wrapText="1"/>
    </xf>
    <xf numFmtId="0" fontId="101" fillId="4" borderId="1" xfId="518" applyFont="1" applyFill="1" applyBorder="1" applyAlignment="1">
      <alignment horizontal="center" wrapText="1"/>
    </xf>
    <xf numFmtId="2" fontId="101" fillId="4" borderId="1" xfId="518" applyNumberFormat="1" applyFont="1" applyFill="1" applyBorder="1" applyAlignment="1">
      <alignment wrapText="1"/>
    </xf>
    <xf numFmtId="2" fontId="102" fillId="4" borderId="1" xfId="0" applyNumberFormat="1" applyFont="1" applyFill="1" applyBorder="1" applyAlignment="1">
      <alignment horizontal="right" wrapText="1"/>
    </xf>
    <xf numFmtId="2" fontId="192" fillId="4" borderId="1" xfId="2450" applyNumberFormat="1" applyFont="1" applyFill="1" applyBorder="1" applyAlignment="1">
      <alignment horizontal="center" wrapText="1"/>
    </xf>
    <xf numFmtId="2" fontId="194" fillId="4" borderId="1" xfId="2450" applyNumberFormat="1" applyFont="1" applyFill="1" applyBorder="1" applyAlignment="1">
      <alignment horizontal="center" wrapText="1"/>
    </xf>
    <xf numFmtId="0" fontId="102" fillId="4" borderId="1" xfId="0" applyFont="1" applyFill="1" applyBorder="1" applyAlignment="1">
      <alignment horizontal="center" wrapText="1"/>
    </xf>
    <xf numFmtId="2" fontId="194" fillId="4" borderId="1" xfId="2450" applyNumberFormat="1" applyFont="1" applyFill="1" applyBorder="1" applyAlignment="1">
      <alignment horizontal="center" vertical="center" wrapText="1"/>
    </xf>
    <xf numFmtId="2" fontId="101" fillId="4" borderId="1" xfId="2450" applyNumberFormat="1" applyFont="1" applyFill="1" applyBorder="1" applyAlignment="1">
      <alignment horizontal="center" vertical="center" shrinkToFit="1"/>
    </xf>
    <xf numFmtId="0" fontId="101" fillId="0" borderId="0" xfId="2192" applyFont="1" applyAlignment="1">
      <alignment horizontal="center" vertical="center"/>
    </xf>
    <xf numFmtId="2" fontId="192" fillId="4" borderId="1" xfId="2450" applyNumberFormat="1" applyFont="1" applyFill="1" applyBorder="1" applyAlignment="1">
      <alignment horizontal="right" wrapText="1"/>
    </xf>
    <xf numFmtId="0" fontId="101" fillId="4" borderId="1" xfId="0" applyFont="1" applyFill="1" applyBorder="1" applyAlignment="1">
      <alignment horizontal="justify" wrapText="1"/>
    </xf>
    <xf numFmtId="0" fontId="101" fillId="4" borderId="1" xfId="2450" applyFont="1" applyFill="1" applyBorder="1" applyAlignment="1">
      <alignment horizontal="left" vertical="center" wrapText="1"/>
    </xf>
    <xf numFmtId="2" fontId="101" fillId="4" borderId="1" xfId="2450" applyNumberFormat="1" applyFont="1" applyFill="1" applyBorder="1" applyAlignment="1">
      <alignment horizontal="right" vertical="center"/>
    </xf>
    <xf numFmtId="2" fontId="102" fillId="0" borderId="1" xfId="0" applyNumberFormat="1" applyFont="1" applyBorder="1" applyAlignment="1">
      <alignment horizontal="right" vertical="center" wrapText="1"/>
    </xf>
    <xf numFmtId="2" fontId="102" fillId="0" borderId="1" xfId="0" applyNumberFormat="1" applyFont="1" applyBorder="1" applyAlignment="1">
      <alignment horizontal="center" vertical="center" wrapText="1"/>
    </xf>
    <xf numFmtId="0" fontId="195" fillId="0" borderId="0" xfId="0" applyFont="1" applyAlignment="1">
      <alignment horizontal="center" vertical="center"/>
    </xf>
    <xf numFmtId="0" fontId="195" fillId="4" borderId="0" xfId="0" applyFont="1" applyFill="1" applyAlignment="1">
      <alignment vertical="center"/>
    </xf>
    <xf numFmtId="0" fontId="195" fillId="0" borderId="0" xfId="0" applyFont="1" applyAlignment="1">
      <alignment vertical="center"/>
    </xf>
    <xf numFmtId="0" fontId="196" fillId="0" borderId="1" xfId="0" applyFont="1" applyBorder="1" applyAlignment="1">
      <alignment horizontal="center" vertical="center"/>
    </xf>
    <xf numFmtId="0" fontId="195" fillId="0" borderId="1" xfId="0" applyFont="1" applyBorder="1" applyAlignment="1">
      <alignment vertical="center"/>
    </xf>
    <xf numFmtId="0" fontId="195" fillId="0" borderId="1" xfId="0" applyFont="1" applyBorder="1" applyAlignment="1">
      <alignment vertical="center" wrapText="1"/>
    </xf>
    <xf numFmtId="0" fontId="196" fillId="0" borderId="1" xfId="0" applyFont="1" applyBorder="1" applyAlignment="1">
      <alignment horizontal="left" vertical="center" wrapText="1"/>
    </xf>
    <xf numFmtId="1" fontId="196" fillId="0" borderId="1" xfId="0" applyNumberFormat="1" applyFont="1" applyBorder="1" applyAlignment="1">
      <alignment horizontal="right" vertical="center" wrapText="1"/>
    </xf>
    <xf numFmtId="0" fontId="195" fillId="0" borderId="1" xfId="0" applyFont="1" applyBorder="1" applyAlignment="1">
      <alignment horizontal="center" vertical="center"/>
    </xf>
    <xf numFmtId="0" fontId="196" fillId="0" borderId="1" xfId="0" applyFont="1" applyBorder="1" applyAlignment="1">
      <alignment horizontal="left" vertical="center"/>
    </xf>
    <xf numFmtId="0" fontId="195" fillId="0" borderId="0" xfId="206" applyFont="1" applyAlignment="1">
      <alignment horizontal="left" vertical="top" wrapText="1"/>
    </xf>
    <xf numFmtId="184" fontId="195" fillId="0" borderId="1" xfId="0" applyNumberFormat="1" applyFont="1" applyBorder="1" applyAlignment="1">
      <alignment horizontal="center" vertical="center"/>
    </xf>
    <xf numFmtId="189" fontId="195" fillId="0" borderId="1" xfId="3" applyNumberFormat="1" applyFont="1" applyBorder="1" applyAlignment="1">
      <alignment horizontal="right" vertical="center"/>
    </xf>
    <xf numFmtId="1" fontId="195" fillId="0" borderId="1" xfId="0" applyNumberFormat="1" applyFont="1" applyBorder="1" applyAlignment="1">
      <alignment vertical="center"/>
    </xf>
    <xf numFmtId="0" fontId="195" fillId="0" borderId="0" xfId="206" applyFont="1" applyAlignment="1">
      <alignment vertical="top" wrapText="1"/>
    </xf>
    <xf numFmtId="189" fontId="195" fillId="4" borderId="1" xfId="3" applyNumberFormat="1" applyFont="1" applyFill="1" applyBorder="1" applyAlignment="1">
      <alignment horizontal="right" vertical="center"/>
    </xf>
    <xf numFmtId="186" fontId="197" fillId="0" borderId="5" xfId="0" applyNumberFormat="1" applyFont="1" applyBorder="1" applyAlignment="1">
      <alignment vertical="center"/>
    </xf>
    <xf numFmtId="4" fontId="198" fillId="0" borderId="1" xfId="0" applyNumberFormat="1" applyFont="1" applyBorder="1" applyAlignment="1">
      <alignment horizontal="center" vertical="center"/>
    </xf>
    <xf numFmtId="186" fontId="195" fillId="0" borderId="0" xfId="0" applyNumberFormat="1" applyFont="1" applyAlignment="1">
      <alignment vertical="center"/>
    </xf>
    <xf numFmtId="0" fontId="196" fillId="0" borderId="1" xfId="0" applyFont="1" applyBorder="1" applyAlignment="1">
      <alignment horizontal="right" vertical="center"/>
    </xf>
    <xf numFmtId="0" fontId="196" fillId="0" borderId="1" xfId="0" applyFont="1" applyBorder="1" applyAlignment="1">
      <alignment vertical="center"/>
    </xf>
    <xf numFmtId="189" fontId="196" fillId="4" borderId="1" xfId="3" applyNumberFormat="1" applyFont="1" applyFill="1" applyBorder="1" applyAlignment="1">
      <alignment horizontal="right" vertical="center"/>
    </xf>
    <xf numFmtId="2" fontId="195" fillId="0" borderId="1" xfId="0" applyNumberFormat="1" applyFont="1" applyBorder="1" applyAlignment="1">
      <alignment horizontal="center" vertical="center"/>
    </xf>
    <xf numFmtId="0" fontId="195" fillId="0" borderId="1" xfId="206" applyFont="1" applyBorder="1" applyAlignment="1">
      <alignment horizontal="left" vertical="top" wrapText="1"/>
    </xf>
    <xf numFmtId="1" fontId="195" fillId="0" borderId="0" xfId="0" applyNumberFormat="1" applyFont="1" applyAlignment="1">
      <alignment vertical="center"/>
    </xf>
    <xf numFmtId="0" fontId="195" fillId="4" borderId="1" xfId="0" applyFont="1" applyFill="1" applyBorder="1" applyAlignment="1">
      <alignment horizontal="center" vertical="center"/>
    </xf>
    <xf numFmtId="0" fontId="195" fillId="4" borderId="1" xfId="0" applyFont="1" applyFill="1" applyBorder="1" applyAlignment="1">
      <alignment vertical="center" wrapText="1"/>
    </xf>
    <xf numFmtId="2" fontId="195" fillId="4" borderId="1" xfId="0" applyNumberFormat="1" applyFont="1" applyFill="1" applyBorder="1" applyAlignment="1">
      <alignment horizontal="center" vertical="center"/>
    </xf>
    <xf numFmtId="1" fontId="195" fillId="4" borderId="0" xfId="0" applyNumberFormat="1" applyFont="1" applyFill="1" applyAlignment="1">
      <alignment vertical="center"/>
    </xf>
    <xf numFmtId="0" fontId="195" fillId="4" borderId="1" xfId="206" applyFont="1" applyFill="1" applyBorder="1" applyAlignment="1">
      <alignment horizontal="left" vertical="top" wrapText="1"/>
    </xf>
    <xf numFmtId="189" fontId="195" fillId="0" borderId="1" xfId="3" applyNumberFormat="1" applyFont="1" applyFill="1" applyBorder="1" applyAlignment="1">
      <alignment horizontal="right" vertical="center"/>
    </xf>
    <xf numFmtId="2" fontId="195" fillId="0" borderId="1" xfId="3" applyNumberFormat="1" applyFont="1" applyBorder="1" applyAlignment="1">
      <alignment horizontal="right" vertical="center"/>
    </xf>
    <xf numFmtId="172" fontId="195" fillId="0" borderId="0" xfId="3" applyNumberFormat="1" applyFont="1" applyFill="1" applyBorder="1" applyAlignment="1">
      <alignment horizontal="right" vertical="center"/>
    </xf>
    <xf numFmtId="189" fontId="195" fillId="0" borderId="0" xfId="0" applyNumberFormat="1" applyFont="1" applyAlignment="1">
      <alignment vertical="center"/>
    </xf>
    <xf numFmtId="189" fontId="196" fillId="0" borderId="1" xfId="3" applyNumberFormat="1" applyFont="1" applyBorder="1" applyAlignment="1">
      <alignment horizontal="right" vertical="center"/>
    </xf>
    <xf numFmtId="174" fontId="195" fillId="16" borderId="48" xfId="206" applyNumberFormat="1" applyFont="1" applyFill="1" applyBorder="1" applyAlignment="1">
      <alignment horizontal="left" vertical="top" wrapText="1"/>
    </xf>
    <xf numFmtId="186" fontId="195" fillId="0" borderId="0" xfId="206" applyNumberFormat="1" applyFont="1" applyAlignment="1">
      <alignment horizontal="left" vertical="top" wrapText="1"/>
    </xf>
    <xf numFmtId="206" fontId="195" fillId="0" borderId="0" xfId="206" applyNumberFormat="1" applyFont="1" applyAlignment="1">
      <alignment horizontal="left" vertical="top" wrapText="1"/>
    </xf>
    <xf numFmtId="0" fontId="195" fillId="0" borderId="0" xfId="0" applyFont="1" applyAlignment="1">
      <alignment horizontal="justify" vertical="center" wrapText="1"/>
    </xf>
    <xf numFmtId="0" fontId="195" fillId="0" borderId="0" xfId="1238" applyFont="1" applyAlignment="1">
      <alignment horizontal="justify"/>
    </xf>
    <xf numFmtId="2" fontId="195" fillId="0" borderId="0" xfId="1238" applyNumberFormat="1" applyFont="1" applyAlignment="1">
      <alignment horizontal="justify"/>
    </xf>
    <xf numFmtId="0" fontId="199" fillId="0" borderId="0" xfId="0" applyFont="1" applyAlignment="1">
      <alignment vertical="center"/>
    </xf>
    <xf numFmtId="0" fontId="195" fillId="0" borderId="0" xfId="0" applyFont="1" applyAlignment="1">
      <alignment horizontal="center" vertical="center" wrapText="1"/>
    </xf>
    <xf numFmtId="0" fontId="196" fillId="0" borderId="0" xfId="2062" applyFont="1" applyAlignment="1">
      <alignment horizontal="center" vertical="top"/>
    </xf>
    <xf numFmtId="0" fontId="200" fillId="0" borderId="0" xfId="0" applyFont="1" applyAlignment="1">
      <alignment vertical="center"/>
    </xf>
    <xf numFmtId="0" fontId="199" fillId="0" borderId="0" xfId="0" applyFont="1" applyAlignment="1">
      <alignment horizontal="center" vertical="center"/>
    </xf>
    <xf numFmtId="0" fontId="199" fillId="0" borderId="0" xfId="0" applyFont="1" applyAlignment="1">
      <alignment horizontal="right" vertical="center"/>
    </xf>
    <xf numFmtId="0" fontId="195" fillId="0" borderId="0" xfId="0" applyFont="1" applyAlignment="1">
      <alignment horizontal="right" vertical="center"/>
    </xf>
    <xf numFmtId="0" fontId="196" fillId="0" borderId="0" xfId="0" applyFont="1" applyAlignment="1">
      <alignment vertical="center"/>
    </xf>
    <xf numFmtId="1" fontId="198" fillId="0" borderId="0" xfId="0" applyNumberFormat="1" applyFont="1" applyAlignment="1">
      <alignment vertical="center"/>
    </xf>
    <xf numFmtId="0" fontId="198" fillId="0" borderId="0" xfId="0" applyFont="1" applyAlignment="1">
      <alignment horizontal="center" vertical="center"/>
    </xf>
    <xf numFmtId="1" fontId="195" fillId="0" borderId="0" xfId="0" applyNumberFormat="1" applyFont="1" applyAlignment="1">
      <alignment horizontal="center" vertical="center"/>
    </xf>
    <xf numFmtId="0" fontId="5" fillId="0" borderId="0" xfId="2357" applyFont="1"/>
    <xf numFmtId="0" fontId="201" fillId="0" borderId="0" xfId="2357" applyFont="1"/>
    <xf numFmtId="0" fontId="4" fillId="0" borderId="0" xfId="2357"/>
    <xf numFmtId="0" fontId="202" fillId="0" borderId="0" xfId="2357" applyFont="1" applyAlignment="1">
      <alignment horizontal="center" vertical="center"/>
    </xf>
    <xf numFmtId="0" fontId="204" fillId="0" borderId="0" xfId="2357" applyFont="1" applyAlignment="1">
      <alignment horizontal="center" vertical="center" wrapText="1"/>
    </xf>
    <xf numFmtId="0" fontId="205" fillId="0" borderId="0" xfId="2357" applyFont="1" applyAlignment="1">
      <alignment horizontal="center" vertical="center" wrapText="1"/>
    </xf>
    <xf numFmtId="0" fontId="207" fillId="0" borderId="0" xfId="2357" applyFont="1" applyAlignment="1">
      <alignment horizontal="center" vertical="top" wrapText="1"/>
    </xf>
    <xf numFmtId="0" fontId="207" fillId="0" borderId="0" xfId="2357" applyFont="1" applyAlignment="1">
      <alignment vertical="top" wrapText="1"/>
    </xf>
    <xf numFmtId="0" fontId="207" fillId="0" borderId="0" xfId="2357" applyFont="1" applyAlignment="1">
      <alignment vertical="top"/>
    </xf>
    <xf numFmtId="0" fontId="208" fillId="0" borderId="0" xfId="2357" applyFont="1" applyAlignment="1">
      <alignment vertical="top" wrapText="1"/>
    </xf>
    <xf numFmtId="0" fontId="209" fillId="0" borderId="0" xfId="2357" applyFont="1" applyAlignment="1">
      <alignment vertical="top"/>
    </xf>
    <xf numFmtId="0" fontId="209" fillId="0" borderId="0" xfId="2357" applyFont="1" applyAlignment="1">
      <alignment vertical="top" wrapText="1"/>
    </xf>
    <xf numFmtId="0" fontId="0" fillId="0" borderId="0" xfId="2357" applyFont="1"/>
    <xf numFmtId="0" fontId="210" fillId="0" borderId="0" xfId="2357" applyFont="1" applyAlignment="1">
      <alignment horizontal="center" vertical="center" wrapText="1"/>
    </xf>
    <xf numFmtId="0" fontId="3" fillId="0" borderId="0" xfId="2357" applyFont="1" applyAlignment="1">
      <alignment horizontal="right"/>
    </xf>
    <xf numFmtId="0" fontId="211" fillId="0" borderId="0" xfId="2357" applyFont="1" applyAlignment="1">
      <alignment horizontal="centerContinuous" vertical="center" wrapText="1"/>
    </xf>
    <xf numFmtId="0" fontId="25" fillId="0" borderId="0" xfId="2357" applyFont="1" applyAlignment="1">
      <alignment horizontal="center" vertical="center"/>
    </xf>
    <xf numFmtId="0" fontId="212" fillId="0" borderId="0" xfId="2357" applyFont="1" applyAlignment="1">
      <alignment horizontal="left" vertical="center"/>
    </xf>
    <xf numFmtId="0" fontId="212" fillId="0" borderId="0" xfId="2357" applyFont="1" applyAlignment="1">
      <alignment horizontal="center" vertical="center"/>
    </xf>
    <xf numFmtId="0" fontId="213" fillId="0" borderId="0" xfId="2357" applyFont="1" applyAlignment="1">
      <alignment horizontal="center" vertical="center"/>
    </xf>
    <xf numFmtId="184" fontId="4" fillId="0" borderId="0" xfId="2357" applyNumberFormat="1"/>
    <xf numFmtId="0" fontId="214" fillId="0" borderId="0" xfId="2357" applyFont="1" applyAlignment="1">
      <alignment horizontal="center" vertical="center"/>
    </xf>
    <xf numFmtId="0" fontId="34" fillId="0" borderId="0" xfId="2357" applyFont="1" applyAlignment="1">
      <alignment horizontal="center" vertical="center" wrapText="1"/>
    </xf>
    <xf numFmtId="0" fontId="206" fillId="0" borderId="0" xfId="2357" applyFont="1" applyAlignment="1">
      <alignment horizontal="center" vertical="center" wrapText="1"/>
    </xf>
    <xf numFmtId="0" fontId="29" fillId="0" borderId="0" xfId="2357" applyFont="1" applyAlignment="1">
      <alignment horizontal="center"/>
    </xf>
    <xf numFmtId="0" fontId="29" fillId="0" borderId="0" xfId="2357" applyFont="1"/>
    <xf numFmtId="0" fontId="210" fillId="0" borderId="0" xfId="2357" applyFont="1"/>
    <xf numFmtId="0" fontId="210" fillId="0" borderId="0" xfId="0" applyFont="1"/>
    <xf numFmtId="0" fontId="3" fillId="0" borderId="0" xfId="2357" applyFont="1" applyAlignment="1">
      <alignment horizontal="center"/>
    </xf>
    <xf numFmtId="0" fontId="3" fillId="0" borderId="0" xfId="2357" applyFont="1" applyAlignment="1">
      <alignment horizontal="left"/>
    </xf>
    <xf numFmtId="0" fontId="211" fillId="0" borderId="0" xfId="2357" applyFont="1" applyAlignment="1">
      <alignment horizontal="centerContinuous" vertical="center"/>
    </xf>
    <xf numFmtId="0" fontId="215" fillId="0" borderId="0" xfId="2357" applyFont="1"/>
    <xf numFmtId="0" fontId="216" fillId="0" borderId="0" xfId="2357" applyFont="1"/>
    <xf numFmtId="0" fontId="217" fillId="0" borderId="0" xfId="2357" applyFont="1" applyAlignment="1">
      <alignment horizontal="center" vertical="center" wrapText="1"/>
    </xf>
    <xf numFmtId="0" fontId="218" fillId="0" borderId="0" xfId="2357" applyFont="1" applyAlignment="1">
      <alignment horizontal="center" vertical="center" wrapText="1"/>
    </xf>
    <xf numFmtId="0" fontId="219" fillId="0" borderId="0" xfId="2357" applyFont="1" applyAlignment="1">
      <alignment horizontal="center" vertical="center" wrapText="1"/>
    </xf>
    <xf numFmtId="0" fontId="220" fillId="0" borderId="0" xfId="2357" applyFont="1" applyAlignment="1">
      <alignment horizontal="center" vertical="center" wrapText="1"/>
    </xf>
    <xf numFmtId="0" fontId="221" fillId="0" borderId="0" xfId="2357" applyFont="1" applyAlignment="1">
      <alignment horizontal="left"/>
    </xf>
    <xf numFmtId="0" fontId="222" fillId="0" borderId="0" xfId="2357" applyFont="1" applyAlignment="1">
      <alignment horizontal="centerContinuous" vertical="center"/>
    </xf>
    <xf numFmtId="0" fontId="0" fillId="0" borderId="0" xfId="187" applyFont="1" applyAlignment="1">
      <alignment horizontal="center" vertical="top" shrinkToFit="1"/>
    </xf>
    <xf numFmtId="0" fontId="2" fillId="0" borderId="0" xfId="196"/>
    <xf numFmtId="0" fontId="2" fillId="0" borderId="49" xfId="196" applyBorder="1" applyAlignment="1">
      <alignment horizontal="center" vertical="center"/>
    </xf>
    <xf numFmtId="0" fontId="163" fillId="0" borderId="27" xfId="196" applyFont="1" applyBorder="1" applyAlignment="1">
      <alignment horizontal="center" vertical="center"/>
    </xf>
    <xf numFmtId="0" fontId="163" fillId="0" borderId="50" xfId="196" applyFont="1" applyBorder="1" applyAlignment="1">
      <alignment horizontal="center" vertical="center"/>
    </xf>
    <xf numFmtId="0" fontId="163" fillId="0" borderId="51" xfId="196" applyFont="1" applyBorder="1" applyAlignment="1">
      <alignment horizontal="center" vertical="center"/>
    </xf>
    <xf numFmtId="0" fontId="163" fillId="0" borderId="52" xfId="196" applyFont="1" applyBorder="1" applyAlignment="1">
      <alignment horizontal="center" vertical="center"/>
    </xf>
    <xf numFmtId="0" fontId="2" fillId="0" borderId="15" xfId="196" applyBorder="1" applyAlignment="1">
      <alignment horizontal="center" vertical="center"/>
    </xf>
    <xf numFmtId="0" fontId="2" fillId="0" borderId="2" xfId="196" applyBorder="1" applyAlignment="1">
      <alignment horizontal="center" vertical="center"/>
    </xf>
    <xf numFmtId="0" fontId="163" fillId="0" borderId="53" xfId="196" applyFont="1" applyBorder="1" applyAlignment="1">
      <alignment horizontal="center" vertical="center"/>
    </xf>
    <xf numFmtId="0" fontId="2" fillId="0" borderId="5" xfId="196" applyBorder="1" applyAlignment="1">
      <alignment horizontal="center" vertical="center"/>
    </xf>
    <xf numFmtId="0" fontId="2" fillId="0" borderId="1" xfId="196" applyBorder="1" applyAlignment="1">
      <alignment horizontal="center" vertical="center"/>
    </xf>
    <xf numFmtId="0" fontId="163" fillId="0" borderId="54" xfId="196" applyFont="1" applyBorder="1" applyAlignment="1">
      <alignment horizontal="center" vertical="center"/>
    </xf>
    <xf numFmtId="0" fontId="2" fillId="0" borderId="0" xfId="250" applyAlignment="1">
      <alignment horizontal="center" vertical="center" wrapText="1"/>
    </xf>
    <xf numFmtId="0" fontId="2" fillId="13" borderId="0" xfId="250" applyFill="1"/>
    <xf numFmtId="2" fontId="2" fillId="0" borderId="0" xfId="250" applyNumberFormat="1"/>
    <xf numFmtId="0" fontId="2" fillId="0" borderId="0" xfId="250"/>
    <xf numFmtId="0" fontId="2" fillId="0" borderId="0" xfId="250" applyAlignment="1">
      <alignment horizontal="center"/>
    </xf>
    <xf numFmtId="0" fontId="163" fillId="0" borderId="1" xfId="250" applyFont="1" applyBorder="1" applyAlignment="1">
      <alignment horizontal="center" vertical="center"/>
    </xf>
    <xf numFmtId="1" fontId="2" fillId="17" borderId="1" xfId="250" applyNumberFormat="1" applyFill="1" applyBorder="1" applyAlignment="1">
      <alignment horizontal="center" vertical="center"/>
    </xf>
    <xf numFmtId="0" fontId="2" fillId="17" borderId="1" xfId="250" applyFill="1" applyBorder="1" applyAlignment="1">
      <alignment horizontal="center" vertical="center"/>
    </xf>
    <xf numFmtId="0" fontId="2" fillId="13" borderId="0" xfId="250" applyFill="1" applyAlignment="1">
      <alignment horizontal="center" vertical="center"/>
    </xf>
    <xf numFmtId="0" fontId="2" fillId="0" borderId="0" xfId="250" applyAlignment="1">
      <alignment horizontal="center" vertical="center"/>
    </xf>
    <xf numFmtId="0" fontId="2" fillId="0" borderId="1" xfId="250" applyBorder="1" applyAlignment="1">
      <alignment horizontal="center" vertical="center"/>
    </xf>
    <xf numFmtId="0" fontId="2" fillId="0" borderId="1" xfId="250" applyBorder="1" applyAlignment="1">
      <alignment horizontal="center"/>
    </xf>
    <xf numFmtId="171" fontId="2" fillId="0" borderId="0" xfId="250" applyNumberFormat="1"/>
    <xf numFmtId="2" fontId="2" fillId="0" borderId="1" xfId="250" applyNumberFormat="1" applyBorder="1" applyAlignment="1">
      <alignment horizontal="center" vertical="center"/>
    </xf>
    <xf numFmtId="0" fontId="2" fillId="0" borderId="5" xfId="250" applyBorder="1" applyAlignment="1">
      <alignment horizontal="center" vertical="center"/>
    </xf>
    <xf numFmtId="184" fontId="2" fillId="17" borderId="5" xfId="250" applyNumberFormat="1" applyFill="1" applyBorder="1" applyAlignment="1">
      <alignment horizontal="center" vertical="center"/>
    </xf>
    <xf numFmtId="184" fontId="2" fillId="17" borderId="1" xfId="250" applyNumberFormat="1" applyFill="1" applyBorder="1" applyAlignment="1">
      <alignment horizontal="center" vertical="center"/>
    </xf>
    <xf numFmtId="2" fontId="2" fillId="0" borderId="5" xfId="250" applyNumberFormat="1" applyBorder="1" applyAlignment="1">
      <alignment horizontal="center" vertical="center"/>
    </xf>
    <xf numFmtId="0" fontId="223" fillId="0" borderId="0" xfId="25" applyAlignment="1" applyProtection="1"/>
    <xf numFmtId="0" fontId="2" fillId="0" borderId="19" xfId="250" applyBorder="1" applyAlignment="1">
      <alignment horizontal="center" vertical="center"/>
    </xf>
    <xf numFmtId="0" fontId="2" fillId="18" borderId="18" xfId="250" applyFill="1" applyBorder="1" applyAlignment="1">
      <alignment horizontal="center" vertical="center"/>
    </xf>
    <xf numFmtId="0" fontId="184" fillId="0" borderId="1" xfId="250" applyFont="1" applyBorder="1" applyAlignment="1">
      <alignment horizontal="center" vertical="center"/>
    </xf>
    <xf numFmtId="0" fontId="224" fillId="19" borderId="5" xfId="250" applyFont="1" applyFill="1" applyBorder="1" applyAlignment="1">
      <alignment horizontal="center" vertical="center"/>
    </xf>
    <xf numFmtId="0" fontId="224" fillId="21" borderId="5" xfId="250" applyFont="1" applyFill="1" applyBorder="1" applyAlignment="1">
      <alignment horizontal="center" vertical="center"/>
    </xf>
    <xf numFmtId="0" fontId="224" fillId="22" borderId="5" xfId="250" applyFont="1" applyFill="1" applyBorder="1" applyAlignment="1">
      <alignment horizontal="center" vertical="center"/>
    </xf>
    <xf numFmtId="0" fontId="224" fillId="23" borderId="5" xfId="250" applyFont="1" applyFill="1" applyBorder="1" applyAlignment="1">
      <alignment horizontal="center" vertical="center"/>
    </xf>
    <xf numFmtId="0" fontId="224" fillId="0" borderId="5" xfId="250" applyFont="1" applyBorder="1" applyAlignment="1">
      <alignment horizontal="center" vertical="center"/>
    </xf>
    <xf numFmtId="0" fontId="225" fillId="0" borderId="18" xfId="250" applyFont="1" applyBorder="1"/>
    <xf numFmtId="0" fontId="2" fillId="17" borderId="1" xfId="250" applyFill="1" applyBorder="1" applyAlignment="1">
      <alignment horizontal="center"/>
    </xf>
    <xf numFmtId="171" fontId="2" fillId="24" borderId="1" xfId="250" applyNumberFormat="1" applyFill="1" applyBorder="1" applyAlignment="1">
      <alignment horizontal="center"/>
    </xf>
    <xf numFmtId="171" fontId="2" fillId="0" borderId="1" xfId="250" applyNumberFormat="1" applyBorder="1" applyAlignment="1">
      <alignment horizontal="center"/>
    </xf>
    <xf numFmtId="181" fontId="2" fillId="0" borderId="1" xfId="250" applyNumberFormat="1" applyBorder="1" applyAlignment="1">
      <alignment horizontal="center"/>
    </xf>
    <xf numFmtId="171" fontId="2" fillId="0" borderId="0" xfId="250" applyNumberFormat="1" applyAlignment="1">
      <alignment horizontal="center"/>
    </xf>
    <xf numFmtId="2" fontId="2" fillId="0" borderId="0" xfId="250" applyNumberFormat="1" applyAlignment="1">
      <alignment horizontal="center" vertical="center"/>
    </xf>
    <xf numFmtId="2" fontId="2" fillId="0" borderId="1" xfId="250" applyNumberFormat="1" applyBorder="1"/>
    <xf numFmtId="2" fontId="2" fillId="0" borderId="1" xfId="250" applyNumberFormat="1" applyBorder="1" applyAlignment="1">
      <alignment horizontal="center"/>
    </xf>
    <xf numFmtId="0" fontId="2" fillId="0" borderId="0" xfId="250" applyAlignment="1">
      <alignment horizontal="right"/>
    </xf>
    <xf numFmtId="0" fontId="170" fillId="0" borderId="1" xfId="250" applyFont="1" applyBorder="1"/>
    <xf numFmtId="0" fontId="227" fillId="24" borderId="10" xfId="250" applyFont="1" applyFill="1" applyBorder="1" applyAlignment="1">
      <alignment horizontal="right"/>
    </xf>
    <xf numFmtId="0" fontId="227" fillId="24" borderId="5" xfId="250" applyFont="1" applyFill="1" applyBorder="1" applyAlignment="1">
      <alignment horizontal="left"/>
    </xf>
    <xf numFmtId="0" fontId="176" fillId="0" borderId="1" xfId="250" applyFont="1" applyBorder="1" applyAlignment="1">
      <alignment horizontal="center" vertical="center" wrapText="1"/>
    </xf>
    <xf numFmtId="0" fontId="227" fillId="24" borderId="10" xfId="250" applyFont="1" applyFill="1" applyBorder="1" applyAlignment="1">
      <alignment horizontal="right" vertical="center"/>
    </xf>
    <xf numFmtId="0" fontId="227" fillId="24" borderId="5" xfId="250" applyFont="1" applyFill="1" applyBorder="1" applyAlignment="1">
      <alignment horizontal="left" vertical="center"/>
    </xf>
    <xf numFmtId="0" fontId="2" fillId="0" borderId="22" xfId="250" applyBorder="1"/>
    <xf numFmtId="0" fontId="2" fillId="0" borderId="32" xfId="250" applyBorder="1"/>
    <xf numFmtId="0" fontId="2" fillId="0" borderId="23" xfId="250" applyBorder="1"/>
    <xf numFmtId="0" fontId="2" fillId="0" borderId="33" xfId="250" applyBorder="1" applyAlignment="1">
      <alignment horizontal="center" vertical="center"/>
    </xf>
    <xf numFmtId="0" fontId="2" fillId="0" borderId="26" xfId="250" applyBorder="1"/>
    <xf numFmtId="0" fontId="4" fillId="0" borderId="0" xfId="2079" applyProtection="1">
      <protection locked="0"/>
    </xf>
    <xf numFmtId="0" fontId="19" fillId="0" borderId="0" xfId="2079" applyFont="1" applyProtection="1">
      <protection locked="0"/>
    </xf>
    <xf numFmtId="0" fontId="2" fillId="0" borderId="0" xfId="196" applyProtection="1">
      <protection locked="0"/>
    </xf>
    <xf numFmtId="0" fontId="2" fillId="0" borderId="0" xfId="196" applyAlignment="1" applyProtection="1">
      <alignment horizontal="center" vertical="center"/>
      <protection locked="0"/>
    </xf>
    <xf numFmtId="0" fontId="163" fillId="0" borderId="1" xfId="196" applyFont="1" applyBorder="1" applyAlignment="1" applyProtection="1">
      <alignment horizontal="center" vertical="center"/>
      <protection locked="0"/>
    </xf>
    <xf numFmtId="0" fontId="163" fillId="0" borderId="0" xfId="196" applyFont="1" applyProtection="1">
      <protection locked="0"/>
    </xf>
    <xf numFmtId="0" fontId="163" fillId="0" borderId="7" xfId="196" applyFont="1" applyBorder="1" applyAlignment="1" applyProtection="1">
      <alignment horizontal="center" vertical="center"/>
      <protection locked="0"/>
    </xf>
    <xf numFmtId="0" fontId="163" fillId="0" borderId="46" xfId="196" applyFont="1" applyBorder="1" applyAlignment="1" applyProtection="1">
      <alignment horizontal="center" vertical="center"/>
      <protection locked="0"/>
    </xf>
    <xf numFmtId="0" fontId="2" fillId="0" borderId="20" xfId="196" applyBorder="1" applyProtection="1">
      <protection locked="0"/>
    </xf>
    <xf numFmtId="0" fontId="2" fillId="0" borderId="21" xfId="196" applyBorder="1" applyAlignment="1" applyProtection="1">
      <alignment horizontal="center" vertical="center"/>
      <protection locked="0"/>
    </xf>
    <xf numFmtId="0" fontId="2" fillId="0" borderId="21" xfId="196" applyBorder="1" applyProtection="1">
      <protection locked="0"/>
    </xf>
    <xf numFmtId="0" fontId="2" fillId="0" borderId="20" xfId="196" applyBorder="1"/>
    <xf numFmtId="0" fontId="2" fillId="0" borderId="21" xfId="196" applyBorder="1"/>
    <xf numFmtId="0" fontId="2" fillId="0" borderId="22" xfId="196" applyBorder="1" applyProtection="1">
      <protection locked="0"/>
    </xf>
    <xf numFmtId="0" fontId="163" fillId="18" borderId="18" xfId="196" applyFont="1" applyFill="1" applyBorder="1" applyAlignment="1" applyProtection="1">
      <alignment horizontal="center" vertical="center"/>
      <protection locked="0"/>
    </xf>
    <xf numFmtId="0" fontId="2" fillId="0" borderId="22" xfId="196" applyBorder="1"/>
    <xf numFmtId="0" fontId="163" fillId="24" borderId="18" xfId="196" applyFont="1" applyFill="1" applyBorder="1" applyAlignment="1">
      <alignment horizontal="center" vertical="center"/>
    </xf>
    <xf numFmtId="0" fontId="163" fillId="0" borderId="0" xfId="196" applyFont="1" applyAlignment="1" applyProtection="1">
      <alignment horizontal="center" wrapText="1"/>
      <protection locked="0"/>
    </xf>
    <xf numFmtId="1" fontId="2" fillId="18" borderId="58" xfId="196" applyNumberFormat="1" applyFill="1" applyBorder="1" applyAlignment="1" applyProtection="1">
      <alignment horizontal="center" vertical="center"/>
      <protection locked="0"/>
    </xf>
    <xf numFmtId="0" fontId="2" fillId="0" borderId="59" xfId="196" applyBorder="1" applyProtection="1">
      <protection locked="0"/>
    </xf>
    <xf numFmtId="0" fontId="2" fillId="0" borderId="0" xfId="196" applyAlignment="1" applyProtection="1">
      <alignment horizontal="center"/>
      <protection locked="0"/>
    </xf>
    <xf numFmtId="1" fontId="2" fillId="18" borderId="18" xfId="196" applyNumberFormat="1" applyFill="1" applyBorder="1" applyAlignment="1" applyProtection="1">
      <alignment horizontal="center" vertical="center"/>
      <protection locked="0"/>
    </xf>
    <xf numFmtId="0" fontId="2" fillId="0" borderId="55" xfId="196" applyBorder="1" applyProtection="1">
      <protection locked="0"/>
    </xf>
    <xf numFmtId="0" fontId="163" fillId="0" borderId="4" xfId="196" applyFont="1" applyBorder="1" applyAlignment="1" applyProtection="1">
      <alignment horizontal="center" vertical="center"/>
      <protection locked="0"/>
    </xf>
    <xf numFmtId="1" fontId="2" fillId="18" borderId="18" xfId="196" applyNumberFormat="1" applyFill="1" applyBorder="1" applyAlignment="1" applyProtection="1">
      <alignment horizontal="center" vertical="center" wrapText="1"/>
      <protection locked="0"/>
    </xf>
    <xf numFmtId="184" fontId="2" fillId="18" borderId="58" xfId="196" applyNumberFormat="1" applyFill="1" applyBorder="1" applyAlignment="1" applyProtection="1">
      <alignment horizontal="center" vertical="center"/>
      <protection locked="0"/>
    </xf>
    <xf numFmtId="0" fontId="2" fillId="13" borderId="0" xfId="196" applyFill="1" applyAlignment="1" applyProtection="1">
      <alignment horizontal="center"/>
      <protection locked="0"/>
    </xf>
    <xf numFmtId="184" fontId="2" fillId="18" borderId="18" xfId="196" applyNumberFormat="1" applyFill="1" applyBorder="1" applyAlignment="1" applyProtection="1">
      <alignment horizontal="center" vertical="center"/>
      <protection locked="0"/>
    </xf>
    <xf numFmtId="184" fontId="2" fillId="13" borderId="22" xfId="196" applyNumberFormat="1" applyFill="1" applyBorder="1" applyAlignment="1" applyProtection="1">
      <alignment horizontal="center" vertical="center"/>
      <protection locked="0"/>
    </xf>
    <xf numFmtId="184" fontId="2" fillId="18" borderId="48" xfId="196" applyNumberFormat="1" applyFill="1" applyBorder="1" applyAlignment="1" applyProtection="1">
      <alignment horizontal="center" vertical="center"/>
      <protection locked="0"/>
    </xf>
    <xf numFmtId="0" fontId="2" fillId="0" borderId="0" xfId="196" applyAlignment="1">
      <alignment horizontal="center" vertical="center"/>
    </xf>
    <xf numFmtId="0" fontId="2" fillId="18" borderId="58" xfId="196" applyFill="1" applyBorder="1" applyAlignment="1" applyProtection="1">
      <alignment horizontal="center"/>
      <protection locked="0"/>
    </xf>
    <xf numFmtId="0" fontId="2" fillId="18" borderId="18" xfId="196" applyFill="1" applyBorder="1" applyAlignment="1" applyProtection="1">
      <alignment horizontal="center"/>
      <protection locked="0"/>
    </xf>
    <xf numFmtId="0" fontId="2" fillId="13" borderId="22" xfId="196" applyFill="1" applyBorder="1" applyAlignment="1" applyProtection="1">
      <alignment horizontal="center"/>
      <protection locked="0"/>
    </xf>
    <xf numFmtId="1" fontId="2" fillId="18" borderId="48" xfId="196" applyNumberFormat="1" applyFill="1" applyBorder="1" applyAlignment="1" applyProtection="1">
      <alignment horizontal="center" vertical="center"/>
      <protection locked="0"/>
    </xf>
    <xf numFmtId="0" fontId="228" fillId="0" borderId="0" xfId="196" applyFont="1"/>
    <xf numFmtId="0" fontId="163" fillId="0" borderId="0" xfId="196" applyFont="1" applyAlignment="1" applyProtection="1">
      <alignment horizontal="center" vertical="center" wrapText="1"/>
      <protection locked="0"/>
    </xf>
    <xf numFmtId="0" fontId="163" fillId="0" borderId="0" xfId="196" applyFont="1" applyAlignment="1" applyProtection="1">
      <alignment horizontal="center" vertical="center"/>
      <protection locked="0"/>
    </xf>
    <xf numFmtId="0" fontId="2" fillId="13" borderId="0" xfId="196" applyFill="1" applyAlignment="1" applyProtection="1">
      <alignment horizontal="center" vertical="center"/>
      <protection locked="0"/>
    </xf>
    <xf numFmtId="0" fontId="163" fillId="0" borderId="0" xfId="196" applyFont="1" applyAlignment="1" applyProtection="1">
      <alignment vertical="center" wrapText="1"/>
      <protection locked="0"/>
    </xf>
    <xf numFmtId="0" fontId="2" fillId="18" borderId="58" xfId="196" applyFill="1" applyBorder="1" applyAlignment="1" applyProtection="1">
      <alignment horizontal="center" vertical="center"/>
      <protection locked="0"/>
    </xf>
    <xf numFmtId="0" fontId="2" fillId="18" borderId="48" xfId="196" applyFill="1" applyBorder="1" applyAlignment="1" applyProtection="1">
      <alignment horizontal="center"/>
      <protection locked="0"/>
    </xf>
    <xf numFmtId="0" fontId="2" fillId="0" borderId="23" xfId="196" applyBorder="1" applyProtection="1">
      <protection locked="0"/>
    </xf>
    <xf numFmtId="0" fontId="2" fillId="0" borderId="13" xfId="196" applyBorder="1" applyProtection="1">
      <protection locked="0"/>
    </xf>
    <xf numFmtId="0" fontId="2" fillId="0" borderId="13" xfId="196" applyBorder="1" applyAlignment="1" applyProtection="1">
      <alignment horizontal="center" vertical="center"/>
      <protection locked="0"/>
    </xf>
    <xf numFmtId="0" fontId="2" fillId="0" borderId="23" xfId="196" applyBorder="1"/>
    <xf numFmtId="0" fontId="2" fillId="0" borderId="13" xfId="196" applyBorder="1"/>
    <xf numFmtId="0" fontId="4" fillId="13" borderId="0" xfId="2079" applyFill="1" applyProtection="1">
      <protection locked="0"/>
    </xf>
    <xf numFmtId="0" fontId="11" fillId="13" borderId="0" xfId="2079" applyFont="1" applyFill="1" applyAlignment="1" applyProtection="1">
      <alignment horizontal="center" vertical="top"/>
      <protection locked="0"/>
    </xf>
    <xf numFmtId="0" fontId="11" fillId="13" borderId="0" xfId="3748" applyFont="1" applyFill="1" applyBorder="1" applyProtection="1">
      <alignment vertical="center" wrapText="1" shrinkToFit="1"/>
      <protection locked="0"/>
    </xf>
    <xf numFmtId="2" fontId="11" fillId="13" borderId="0" xfId="3748" applyNumberFormat="1" applyFont="1" applyFill="1" applyBorder="1" applyProtection="1">
      <alignment vertical="center" wrapText="1" shrinkToFit="1"/>
      <protection locked="0"/>
    </xf>
    <xf numFmtId="0" fontId="0" fillId="13" borderId="0" xfId="3748" applyFont="1" applyFill="1" applyBorder="1" applyAlignment="1" applyProtection="1">
      <alignment horizontal="center" vertical="center" wrapText="1" shrinkToFit="1"/>
      <protection locked="0"/>
    </xf>
    <xf numFmtId="0" fontId="19" fillId="13" borderId="0" xfId="2079" applyFont="1" applyFill="1" applyProtection="1">
      <protection locked="0"/>
    </xf>
    <xf numFmtId="0" fontId="229" fillId="13" borderId="0" xfId="2079" applyFont="1" applyFill="1" applyAlignment="1" applyProtection="1">
      <alignment horizontal="center" vertical="top"/>
      <protection locked="0"/>
    </xf>
    <xf numFmtId="0" fontId="229" fillId="13" borderId="0" xfId="2079" applyFont="1" applyFill="1" applyAlignment="1" applyProtection="1">
      <alignment vertical="top"/>
      <protection locked="0"/>
    </xf>
    <xf numFmtId="0" fontId="229" fillId="13" borderId="0" xfId="2079" applyFont="1" applyFill="1" applyAlignment="1" applyProtection="1">
      <alignment horizontal="center" vertical="center"/>
      <protection locked="0"/>
    </xf>
    <xf numFmtId="2" fontId="229" fillId="13" borderId="0" xfId="3748" applyNumberFormat="1" applyFont="1" applyFill="1" applyBorder="1" applyProtection="1">
      <alignment vertical="center" wrapText="1" shrinkToFit="1"/>
      <protection locked="0"/>
    </xf>
    <xf numFmtId="0" fontId="229" fillId="13" borderId="0" xfId="2079" applyFont="1" applyFill="1" applyAlignment="1" applyProtection="1">
      <alignment horizontal="right" vertical="top"/>
      <protection locked="0"/>
    </xf>
    <xf numFmtId="0" fontId="2" fillId="0" borderId="28" xfId="196" applyBorder="1"/>
    <xf numFmtId="0" fontId="2" fillId="0" borderId="32" xfId="196" applyBorder="1"/>
    <xf numFmtId="0" fontId="163" fillId="0" borderId="18" xfId="196" applyFont="1" applyBorder="1" applyAlignment="1">
      <alignment horizontal="center" vertical="center"/>
    </xf>
    <xf numFmtId="0" fontId="163" fillId="0" borderId="31" xfId="196" applyFont="1" applyBorder="1" applyAlignment="1">
      <alignment horizontal="center" vertical="center"/>
    </xf>
    <xf numFmtId="2" fontId="2" fillId="24" borderId="31" xfId="196" applyNumberFormat="1" applyFill="1" applyBorder="1" applyAlignment="1">
      <alignment horizontal="center" vertical="center"/>
    </xf>
    <xf numFmtId="2" fontId="2" fillId="24" borderId="18" xfId="196" applyNumberFormat="1" applyFill="1" applyBorder="1"/>
    <xf numFmtId="171" fontId="2" fillId="24" borderId="18" xfId="196" applyNumberFormat="1" applyFill="1" applyBorder="1" applyAlignment="1">
      <alignment horizontal="center" vertical="center"/>
    </xf>
    <xf numFmtId="171" fontId="2" fillId="0" borderId="0" xfId="196" applyNumberFormat="1" applyAlignment="1">
      <alignment horizontal="center"/>
    </xf>
    <xf numFmtId="3" fontId="2" fillId="24" borderId="18" xfId="196" applyNumberFormat="1" applyFill="1" applyBorder="1" applyAlignment="1">
      <alignment horizontal="center" vertical="center"/>
    </xf>
    <xf numFmtId="0" fontId="163" fillId="24" borderId="19" xfId="196" applyFont="1" applyFill="1" applyBorder="1" applyAlignment="1">
      <alignment horizontal="right" vertical="center"/>
    </xf>
    <xf numFmtId="0" fontId="227" fillId="24" borderId="5" xfId="196" applyFont="1" applyFill="1" applyBorder="1" applyAlignment="1">
      <alignment horizontal="left"/>
    </xf>
    <xf numFmtId="0" fontId="226" fillId="13" borderId="0" xfId="196" applyFont="1" applyFill="1" applyAlignment="1">
      <alignment horizontal="center" vertical="center"/>
    </xf>
    <xf numFmtId="0" fontId="2" fillId="13" borderId="0" xfId="196" applyFill="1" applyAlignment="1">
      <alignment horizontal="center" vertical="center"/>
    </xf>
    <xf numFmtId="0" fontId="170" fillId="0" borderId="1" xfId="196" applyFont="1" applyBorder="1" applyAlignment="1">
      <alignment horizontal="center" vertical="center"/>
    </xf>
    <xf numFmtId="0" fontId="170" fillId="19" borderId="1" xfId="196" applyFont="1" applyFill="1" applyBorder="1" applyAlignment="1">
      <alignment horizontal="center" vertical="center"/>
    </xf>
    <xf numFmtId="0" fontId="170" fillId="21" borderId="1" xfId="196" applyFont="1" applyFill="1" applyBorder="1" applyAlignment="1">
      <alignment horizontal="center" vertical="center"/>
    </xf>
    <xf numFmtId="0" fontId="170" fillId="22" borderId="1" xfId="196" applyFont="1" applyFill="1" applyBorder="1" applyAlignment="1">
      <alignment horizontal="center" vertical="center"/>
    </xf>
    <xf numFmtId="0" fontId="170" fillId="23" borderId="1" xfId="196" applyFont="1" applyFill="1" applyBorder="1" applyAlignment="1">
      <alignment horizontal="center" vertical="center"/>
    </xf>
    <xf numFmtId="0" fontId="170" fillId="0" borderId="0" xfId="196" applyFont="1" applyAlignment="1">
      <alignment horizontal="center" vertical="center"/>
    </xf>
    <xf numFmtId="0" fontId="163" fillId="24" borderId="1" xfId="196" applyFont="1" applyFill="1" applyBorder="1" applyAlignment="1">
      <alignment horizontal="center" vertical="center"/>
    </xf>
    <xf numFmtId="0" fontId="2" fillId="0" borderId="26" xfId="196" applyBorder="1"/>
    <xf numFmtId="0" fontId="24" fillId="0" borderId="0" xfId="2079" applyFont="1" applyAlignment="1" applyProtection="1">
      <alignment horizontal="center" vertical="center" textRotation="90" wrapText="1"/>
      <protection locked="0"/>
    </xf>
    <xf numFmtId="2" fontId="11" fillId="13" borderId="0" xfId="3748" applyNumberFormat="1" applyFont="1" applyFill="1" applyBorder="1" applyAlignment="1" applyProtection="1">
      <alignment horizontal="center" vertical="center" wrapText="1" shrinkToFit="1"/>
      <protection locked="0"/>
    </xf>
    <xf numFmtId="0" fontId="11" fillId="13" borderId="0" xfId="2079" applyFont="1" applyFill="1" applyAlignment="1" applyProtection="1">
      <alignment horizontal="left" vertical="top" indent="4"/>
      <protection locked="0"/>
    </xf>
    <xf numFmtId="0" fontId="24" fillId="13" borderId="0" xfId="2079" applyFont="1" applyFill="1" applyAlignment="1" applyProtection="1">
      <alignment horizontal="center" vertical="center" textRotation="90" wrapText="1"/>
      <protection locked="0"/>
    </xf>
    <xf numFmtId="2" fontId="229" fillId="13" borderId="0" xfId="3748" applyNumberFormat="1" applyFont="1" applyFill="1" applyBorder="1" applyAlignment="1" applyProtection="1">
      <alignment horizontal="center" vertical="center" wrapText="1" shrinkToFit="1"/>
      <protection locked="0"/>
    </xf>
    <xf numFmtId="0" fontId="229" fillId="13" borderId="0" xfId="2079" applyFont="1" applyFill="1" applyAlignment="1" applyProtection="1">
      <alignment horizontal="left" vertical="top" indent="5"/>
      <protection locked="0"/>
    </xf>
    <xf numFmtId="2" fontId="19" fillId="13" borderId="0" xfId="2079" applyNumberFormat="1" applyFont="1" applyFill="1" applyAlignment="1" applyProtection="1">
      <alignment horizontal="center"/>
      <protection locked="0"/>
    </xf>
    <xf numFmtId="0" fontId="17" fillId="0" borderId="0" xfId="1587" applyFont="1"/>
    <xf numFmtId="0" fontId="5" fillId="0" borderId="0" xfId="1587" applyFont="1" applyAlignment="1">
      <alignment vertical="center"/>
    </xf>
    <xf numFmtId="0" fontId="19" fillId="0" borderId="0" xfId="1587" applyFont="1"/>
    <xf numFmtId="0" fontId="4" fillId="0" borderId="0" xfId="1587"/>
    <xf numFmtId="0" fontId="4" fillId="0" borderId="0" xfId="1587" applyAlignment="1">
      <alignment horizontal="center"/>
    </xf>
    <xf numFmtId="0" fontId="24" fillId="0" borderId="0" xfId="1587" applyFont="1"/>
    <xf numFmtId="0" fontId="5" fillId="0" borderId="0" xfId="1587" applyFont="1"/>
    <xf numFmtId="0" fontId="8" fillId="0" borderId="1" xfId="1587" applyFont="1" applyBorder="1" applyAlignment="1">
      <alignment horizontal="center" vertical="center" wrapText="1"/>
    </xf>
    <xf numFmtId="0" fontId="17" fillId="0" borderId="1" xfId="1587" applyFont="1" applyBorder="1"/>
    <xf numFmtId="1" fontId="17" fillId="0" borderId="1" xfId="1587" applyNumberFormat="1" applyFont="1" applyBorder="1"/>
    <xf numFmtId="1" fontId="17" fillId="0" borderId="1" xfId="1587" applyNumberFormat="1" applyFont="1" applyBorder="1" applyAlignment="1">
      <alignment horizontal="center" vertical="center" wrapText="1"/>
    </xf>
    <xf numFmtId="1" fontId="19" fillId="0" borderId="1" xfId="2079" applyNumberFormat="1" applyFont="1" applyBorder="1" applyAlignment="1">
      <alignment horizontal="center"/>
    </xf>
    <xf numFmtId="0" fontId="4" fillId="0" borderId="1" xfId="1587" applyBorder="1" applyAlignment="1">
      <alignment horizontal="center" vertical="center"/>
    </xf>
    <xf numFmtId="1" fontId="19" fillId="0" borderId="1" xfId="1587" applyNumberFormat="1" applyFont="1" applyBorder="1" applyAlignment="1">
      <alignment horizontal="center"/>
    </xf>
    <xf numFmtId="0" fontId="5" fillId="0" borderId="1" xfId="1587" applyFont="1" applyBorder="1" applyAlignment="1">
      <alignment horizontal="center" vertical="center" wrapText="1"/>
    </xf>
    <xf numFmtId="1" fontId="5" fillId="0" borderId="1" xfId="1587" applyNumberFormat="1" applyFont="1" applyBorder="1" applyAlignment="1">
      <alignment horizontal="center" vertical="center"/>
    </xf>
    <xf numFmtId="0" fontId="0" fillId="0" borderId="0" xfId="1587" applyFont="1"/>
    <xf numFmtId="0" fontId="5" fillId="0" borderId="0" xfId="1587" applyFont="1" applyAlignment="1">
      <alignment horizontal="center"/>
    </xf>
    <xf numFmtId="1" fontId="5" fillId="0" borderId="0" xfId="1587" applyNumberFormat="1" applyFont="1" applyAlignment="1">
      <alignment horizontal="center"/>
    </xf>
    <xf numFmtId="0" fontId="5" fillId="0" borderId="0" xfId="1587" applyFont="1" applyAlignment="1">
      <alignment horizontal="left"/>
    </xf>
    <xf numFmtId="0" fontId="5" fillId="6" borderId="0" xfId="1587" applyFont="1" applyFill="1" applyAlignment="1">
      <alignment vertical="center"/>
    </xf>
    <xf numFmtId="0" fontId="5" fillId="18" borderId="0" xfId="1587" applyFont="1" applyFill="1" applyAlignment="1">
      <alignment vertical="center"/>
    </xf>
    <xf numFmtId="0" fontId="0" fillId="0" borderId="0" xfId="1587" applyFont="1" applyAlignment="1">
      <alignment horizontal="left"/>
    </xf>
    <xf numFmtId="2" fontId="5" fillId="0" borderId="0" xfId="1587" applyNumberFormat="1" applyFont="1" applyAlignment="1">
      <alignment horizontal="center"/>
    </xf>
    <xf numFmtId="0" fontId="4" fillId="0" borderId="0" xfId="1587" applyAlignment="1">
      <alignment wrapText="1"/>
    </xf>
    <xf numFmtId="0" fontId="0" fillId="0" borderId="0" xfId="1587" applyFont="1" applyAlignment="1">
      <alignment horizontal="center"/>
    </xf>
    <xf numFmtId="0" fontId="4" fillId="0" borderId="0" xfId="1587" applyAlignment="1">
      <alignment horizontal="left"/>
    </xf>
    <xf numFmtId="0" fontId="231" fillId="0" borderId="0" xfId="1587" applyFont="1"/>
    <xf numFmtId="0" fontId="0" fillId="4" borderId="0" xfId="1587" applyFont="1" applyFill="1"/>
    <xf numFmtId="0" fontId="0" fillId="13" borderId="6" xfId="1587" applyFont="1" applyFill="1" applyBorder="1"/>
    <xf numFmtId="0" fontId="11" fillId="13" borderId="0" xfId="1587" applyFont="1" applyFill="1" applyAlignment="1">
      <alignment horizontal="center" vertical="top"/>
    </xf>
    <xf numFmtId="0" fontId="11" fillId="13" borderId="25" xfId="3748" applyFont="1" applyFill="1" applyBorder="1">
      <alignment vertical="center" wrapText="1" shrinkToFit="1"/>
    </xf>
    <xf numFmtId="2" fontId="0" fillId="13" borderId="6" xfId="3748" applyNumberFormat="1" applyFont="1" applyFill="1" applyBorder="1">
      <alignment vertical="center" wrapText="1" shrinkToFit="1"/>
    </xf>
    <xf numFmtId="0" fontId="11" fillId="13" borderId="0" xfId="1587" applyFont="1" applyFill="1" applyAlignment="1">
      <alignment vertical="top"/>
    </xf>
    <xf numFmtId="2" fontId="11" fillId="13" borderId="25" xfId="3748" applyNumberFormat="1" applyFont="1" applyFill="1" applyBorder="1">
      <alignment vertical="center" wrapText="1" shrinkToFit="1"/>
    </xf>
    <xf numFmtId="0" fontId="0" fillId="13" borderId="6" xfId="3748" applyFont="1" applyFill="1" applyBorder="1" applyAlignment="1">
      <alignment horizontal="center" vertical="center" wrapText="1" shrinkToFit="1"/>
    </xf>
    <xf numFmtId="0" fontId="0" fillId="13" borderId="3" xfId="1587" applyFont="1" applyFill="1" applyBorder="1"/>
    <xf numFmtId="0" fontId="11" fillId="13" borderId="9" xfId="1587" applyFont="1" applyFill="1" applyBorder="1" applyAlignment="1">
      <alignment horizontal="center" vertical="top"/>
    </xf>
    <xf numFmtId="0" fontId="11" fillId="13" borderId="15" xfId="1587" applyFont="1" applyFill="1" applyBorder="1" applyAlignment="1">
      <alignment vertical="top"/>
    </xf>
    <xf numFmtId="0" fontId="11" fillId="13" borderId="3" xfId="1587" applyFont="1" applyFill="1" applyBorder="1" applyAlignment="1">
      <alignment horizontal="right" vertical="top"/>
    </xf>
    <xf numFmtId="0" fontId="11" fillId="13" borderId="9" xfId="1587" applyFont="1" applyFill="1" applyBorder="1" applyAlignment="1">
      <alignment horizontal="left" vertical="top" indent="1"/>
    </xf>
    <xf numFmtId="2" fontId="11" fillId="13" borderId="15" xfId="3748" applyNumberFormat="1" applyFont="1" applyFill="1" applyBorder="1">
      <alignment vertical="center" wrapText="1" shrinkToFit="1"/>
    </xf>
    <xf numFmtId="0" fontId="37" fillId="0" borderId="0" xfId="1587" applyFont="1" applyAlignment="1">
      <alignment vertical="center"/>
    </xf>
    <xf numFmtId="1" fontId="4" fillId="0" borderId="1" xfId="1587" applyNumberFormat="1" applyBorder="1" applyAlignment="1">
      <alignment horizontal="center"/>
    </xf>
    <xf numFmtId="3" fontId="9" fillId="0" borderId="0" xfId="1587" applyNumberFormat="1" applyFont="1"/>
    <xf numFmtId="0" fontId="4" fillId="0" borderId="1" xfId="1587" applyBorder="1"/>
    <xf numFmtId="1" fontId="7" fillId="0" borderId="1" xfId="1587" applyNumberFormat="1" applyFont="1" applyBorder="1" applyAlignment="1">
      <alignment horizontal="center" vertical="center"/>
    </xf>
    <xf numFmtId="2" fontId="5" fillId="0" borderId="0" xfId="1587" applyNumberFormat="1" applyFont="1" applyAlignment="1">
      <alignment vertical="center"/>
    </xf>
    <xf numFmtId="1" fontId="37" fillId="0" borderId="0" xfId="1587" applyNumberFormat="1" applyFont="1" applyAlignment="1">
      <alignment horizontal="center"/>
    </xf>
    <xf numFmtId="1" fontId="187" fillId="0" borderId="0" xfId="1587" applyNumberFormat="1" applyFont="1" applyAlignment="1">
      <alignment horizontal="center"/>
    </xf>
    <xf numFmtId="0" fontId="37" fillId="0" borderId="0" xfId="1587" applyFont="1" applyAlignment="1">
      <alignment horizontal="center"/>
    </xf>
    <xf numFmtId="0" fontId="24" fillId="0" borderId="0" xfId="1587" applyFont="1" applyAlignment="1">
      <alignment horizontal="center" vertical="center" textRotation="90" wrapText="1"/>
    </xf>
    <xf numFmtId="0" fontId="233" fillId="0" borderId="0" xfId="1587" applyFont="1"/>
    <xf numFmtId="0" fontId="234" fillId="0" borderId="1" xfId="1587" applyFont="1" applyBorder="1" applyAlignment="1">
      <alignment horizontal="center"/>
    </xf>
    <xf numFmtId="0" fontId="0" fillId="0" borderId="1" xfId="1587" applyFont="1" applyBorder="1" applyAlignment="1">
      <alignment horizontal="center"/>
    </xf>
    <xf numFmtId="0" fontId="5" fillId="4" borderId="0" xfId="1587" applyFont="1" applyFill="1" applyAlignment="1">
      <alignment horizontal="left"/>
    </xf>
    <xf numFmtId="2" fontId="11" fillId="13" borderId="0" xfId="3748" applyNumberFormat="1" applyFont="1" applyFill="1" applyBorder="1" applyAlignment="1">
      <alignment horizontal="center" vertical="center" wrapText="1" shrinkToFit="1"/>
    </xf>
    <xf numFmtId="0" fontId="11" fillId="13" borderId="22" xfId="1587" applyFont="1" applyFill="1" applyBorder="1" applyAlignment="1">
      <alignment horizontal="left" vertical="top" indent="4"/>
    </xf>
    <xf numFmtId="0" fontId="0" fillId="13" borderId="0" xfId="1587" applyFont="1" applyFill="1"/>
    <xf numFmtId="0" fontId="24" fillId="13" borderId="32" xfId="1587" applyFont="1" applyFill="1" applyBorder="1" applyAlignment="1">
      <alignment horizontal="center" vertical="center" textRotation="90" wrapText="1"/>
    </xf>
    <xf numFmtId="2" fontId="11" fillId="13" borderId="9" xfId="3748" applyNumberFormat="1" applyFont="1" applyFill="1" applyBorder="1" applyAlignment="1">
      <alignment horizontal="center" vertical="center" wrapText="1" shrinkToFit="1"/>
    </xf>
    <xf numFmtId="0" fontId="11" fillId="13" borderId="23" xfId="1587" applyFont="1" applyFill="1" applyBorder="1" applyAlignment="1">
      <alignment horizontal="left" vertical="top" indent="5"/>
    </xf>
    <xf numFmtId="2" fontId="0" fillId="13" borderId="13" xfId="1587" applyNumberFormat="1" applyFont="1" applyFill="1" applyBorder="1"/>
    <xf numFmtId="0" fontId="0" fillId="13" borderId="13" xfId="1587" applyFont="1" applyFill="1" applyBorder="1"/>
    <xf numFmtId="0" fontId="0" fillId="13" borderId="26" xfId="1587" applyFont="1" applyFill="1" applyBorder="1"/>
    <xf numFmtId="0" fontId="37" fillId="0" borderId="0" xfId="1587" applyFont="1" applyAlignment="1">
      <alignment horizontal="center" vertical="top" wrapText="1"/>
    </xf>
    <xf numFmtId="0" fontId="48" fillId="0" borderId="0" xfId="2516" applyFont="1"/>
    <xf numFmtId="0" fontId="48" fillId="0" borderId="63" xfId="2516" applyFont="1" applyBorder="1"/>
    <xf numFmtId="0" fontId="48" fillId="0" borderId="64" xfId="2516" applyFont="1" applyBorder="1"/>
    <xf numFmtId="0" fontId="235" fillId="0" borderId="22" xfId="2516" applyFont="1" applyBorder="1" applyAlignment="1">
      <alignment horizontal="left"/>
    </xf>
    <xf numFmtId="0" fontId="235" fillId="0" borderId="0" xfId="2516" applyFont="1" applyAlignment="1">
      <alignment horizontal="left"/>
    </xf>
    <xf numFmtId="0" fontId="48" fillId="0" borderId="65" xfId="2516" applyFont="1" applyBorder="1"/>
    <xf numFmtId="0" fontId="64" fillId="0" borderId="0" xfId="2516" applyFont="1"/>
    <xf numFmtId="0" fontId="50" fillId="0" borderId="0" xfId="2516" applyFont="1"/>
    <xf numFmtId="0" fontId="48" fillId="0" borderId="0" xfId="2516" applyFont="1" applyAlignment="1">
      <alignment horizontal="center"/>
    </xf>
    <xf numFmtId="0" fontId="48" fillId="0" borderId="0" xfId="2516" applyFont="1" applyAlignment="1">
      <alignment horizontal="center" vertical="top" textRotation="90"/>
    </xf>
    <xf numFmtId="0" fontId="48" fillId="0" borderId="0" xfId="2516" applyFont="1" applyAlignment="1">
      <alignment horizontal="right" vertical="top" textRotation="90"/>
    </xf>
    <xf numFmtId="0" fontId="48" fillId="29" borderId="0" xfId="2516" applyFont="1" applyFill="1"/>
    <xf numFmtId="0" fontId="48" fillId="30" borderId="0" xfId="2516" applyFont="1" applyFill="1"/>
    <xf numFmtId="0" fontId="5" fillId="3" borderId="0" xfId="2516" applyFont="1" applyFill="1"/>
    <xf numFmtId="0" fontId="65" fillId="30" borderId="0" xfId="2516" applyFont="1" applyFill="1"/>
    <xf numFmtId="0" fontId="11" fillId="3" borderId="0" xfId="2516" applyFont="1" applyFill="1"/>
    <xf numFmtId="0" fontId="48" fillId="31" borderId="6" xfId="2516" applyFont="1" applyFill="1" applyBorder="1"/>
    <xf numFmtId="0" fontId="11" fillId="31" borderId="0" xfId="2516" applyFont="1" applyFill="1"/>
    <xf numFmtId="0" fontId="5" fillId="31" borderId="0" xfId="2516" applyFont="1" applyFill="1"/>
    <xf numFmtId="0" fontId="5" fillId="31" borderId="0" xfId="2516" applyFont="1" applyFill="1" applyAlignment="1">
      <alignment horizontal="center"/>
    </xf>
    <xf numFmtId="0" fontId="5" fillId="32" borderId="0" xfId="2516" applyFont="1" applyFill="1" applyAlignment="1">
      <alignment horizontal="center"/>
    </xf>
    <xf numFmtId="0" fontId="55" fillId="0" borderId="0" xfId="2516" applyFont="1"/>
    <xf numFmtId="0" fontId="65" fillId="0" borderId="0" xfId="2516" applyFont="1"/>
    <xf numFmtId="0" fontId="5" fillId="34" borderId="4" xfId="2516" applyFont="1" applyFill="1" applyBorder="1" applyAlignment="1">
      <alignment horizontal="center"/>
    </xf>
    <xf numFmtId="0" fontId="5" fillId="34" borderId="5" xfId="2516" applyFont="1" applyFill="1" applyBorder="1" applyAlignment="1">
      <alignment horizontal="center"/>
    </xf>
    <xf numFmtId="0" fontId="48" fillId="0" borderId="66" xfId="2516" applyFont="1" applyBorder="1"/>
    <xf numFmtId="0" fontId="48" fillId="0" borderId="67" xfId="2516" applyFont="1" applyBorder="1"/>
    <xf numFmtId="0" fontId="0" fillId="0" borderId="0" xfId="2516" applyFont="1" applyAlignment="1">
      <alignment horizontal="center"/>
    </xf>
    <xf numFmtId="0" fontId="4" fillId="0" borderId="0" xfId="2516" applyAlignment="1">
      <alignment horizontal="center"/>
    </xf>
    <xf numFmtId="0" fontId="4" fillId="0" borderId="0" xfId="2516"/>
    <xf numFmtId="17" fontId="48" fillId="0" borderId="0" xfId="2516" applyNumberFormat="1" applyFont="1" applyAlignment="1">
      <alignment horizontal="center" vertical="top" textRotation="90"/>
    </xf>
    <xf numFmtId="0" fontId="48" fillId="0" borderId="6" xfId="2516" applyFont="1" applyBorder="1"/>
    <xf numFmtId="0" fontId="48" fillId="0" borderId="68" xfId="2516" applyFont="1" applyBorder="1"/>
    <xf numFmtId="0" fontId="48" fillId="0" borderId="69" xfId="2516" applyFont="1" applyBorder="1"/>
    <xf numFmtId="0" fontId="48" fillId="0" borderId="0" xfId="2516" applyFont="1" applyAlignment="1">
      <alignment vertical="center"/>
    </xf>
    <xf numFmtId="0" fontId="80" fillId="0" borderId="0" xfId="2516" applyFont="1"/>
    <xf numFmtId="0" fontId="55" fillId="0" borderId="69" xfId="2516" applyFont="1" applyBorder="1"/>
    <xf numFmtId="0" fontId="11" fillId="0" borderId="0" xfId="2516" applyFont="1" applyAlignment="1">
      <alignment vertical="center"/>
    </xf>
    <xf numFmtId="0" fontId="48" fillId="0" borderId="70" xfId="2516" applyFont="1" applyBorder="1"/>
    <xf numFmtId="0" fontId="121" fillId="0" borderId="0" xfId="0" applyFont="1"/>
    <xf numFmtId="0" fontId="119" fillId="0" borderId="0" xfId="0" applyFont="1"/>
    <xf numFmtId="0" fontId="119" fillId="0" borderId="6" xfId="0" applyFont="1" applyBorder="1"/>
    <xf numFmtId="0" fontId="121" fillId="0" borderId="6" xfId="0" applyFont="1" applyBorder="1"/>
    <xf numFmtId="0" fontId="121" fillId="30" borderId="10" xfId="0" applyFont="1" applyFill="1" applyBorder="1" applyAlignment="1">
      <alignment vertical="center" wrapText="1"/>
    </xf>
    <xf numFmtId="0" fontId="119" fillId="0" borderId="0" xfId="0" applyFont="1" applyAlignment="1">
      <alignment horizontal="left" vertical="center" textRotation="180" wrapText="1"/>
    </xf>
    <xf numFmtId="0" fontId="119" fillId="0" borderId="0" xfId="0" applyFont="1" applyAlignment="1">
      <alignment horizontal="left" vertical="center" textRotation="180"/>
    </xf>
    <xf numFmtId="0" fontId="119" fillId="0" borderId="0" xfId="0" applyFont="1" applyAlignment="1">
      <alignment vertical="center" textRotation="180"/>
    </xf>
    <xf numFmtId="0" fontId="119" fillId="0" borderId="12" xfId="0" applyFont="1" applyBorder="1" applyAlignment="1">
      <alignment horizontal="right" vertical="center" textRotation="178"/>
    </xf>
    <xf numFmtId="0" fontId="119" fillId="0" borderId="0" xfId="0" applyFont="1" applyAlignment="1">
      <alignment vertical="center" textRotation="90" wrapText="1"/>
    </xf>
    <xf numFmtId="0" fontId="119" fillId="0" borderId="3" xfId="0" applyFont="1" applyBorder="1"/>
    <xf numFmtId="0" fontId="119" fillId="0" borderId="9" xfId="0" applyFont="1" applyBorder="1"/>
    <xf numFmtId="0" fontId="119" fillId="0" borderId="25" xfId="0" applyFont="1" applyBorder="1"/>
    <xf numFmtId="0" fontId="121" fillId="0" borderId="25" xfId="0" applyFont="1" applyBorder="1"/>
    <xf numFmtId="0" fontId="119" fillId="0" borderId="8" xfId="0" applyFont="1" applyBorder="1"/>
    <xf numFmtId="0" fontId="119" fillId="0" borderId="25" xfId="0" applyFont="1" applyBorder="1" applyAlignment="1">
      <alignment vertical="center"/>
    </xf>
    <xf numFmtId="0" fontId="119" fillId="0" borderId="25" xfId="0" applyFont="1" applyBorder="1" applyAlignment="1">
      <alignment horizontal="center" vertical="center" wrapText="1"/>
    </xf>
    <xf numFmtId="0" fontId="119" fillId="0" borderId="0" xfId="0" applyFont="1" applyAlignment="1">
      <alignment horizontal="right" vertical="center" textRotation="180"/>
    </xf>
    <xf numFmtId="0" fontId="119" fillId="0" borderId="15" xfId="0" applyFont="1" applyBorder="1"/>
    <xf numFmtId="0" fontId="119" fillId="0" borderId="0" xfId="3753" applyFont="1" applyAlignment="1">
      <alignment vertical="center"/>
    </xf>
    <xf numFmtId="0" fontId="119" fillId="0" borderId="0" xfId="3753" applyFont="1" applyAlignment="1">
      <alignment horizontal="justify" vertical="justify" wrapText="1"/>
    </xf>
    <xf numFmtId="0" fontId="119" fillId="0" borderId="0" xfId="2468"/>
    <xf numFmtId="0" fontId="119" fillId="0" borderId="0" xfId="3753" applyFont="1" applyAlignment="1">
      <alignment horizontal="center" vertical="center"/>
    </xf>
    <xf numFmtId="0" fontId="119" fillId="0" borderId="0" xfId="3753" applyFont="1" applyAlignment="1">
      <alignment horizontal="center" vertical="center" wrapText="1"/>
    </xf>
    <xf numFmtId="0" fontId="119" fillId="0" borderId="0" xfId="3753" applyFont="1" applyAlignment="1">
      <alignment horizontal="center" vertical="top"/>
    </xf>
    <xf numFmtId="0" fontId="119" fillId="0" borderId="0" xfId="3753" applyFont="1" applyAlignment="1">
      <alignment vertical="top"/>
    </xf>
    <xf numFmtId="0" fontId="121" fillId="0" borderId="0" xfId="2079" applyFont="1"/>
    <xf numFmtId="0" fontId="124" fillId="0" borderId="0" xfId="2079" applyFont="1"/>
    <xf numFmtId="0" fontId="119" fillId="0" borderId="0" xfId="3753" applyFont="1"/>
    <xf numFmtId="0" fontId="123" fillId="0" borderId="0" xfId="3753" applyFont="1" applyAlignment="1">
      <alignment vertical="center"/>
    </xf>
    <xf numFmtId="0" fontId="238" fillId="0" borderId="0" xfId="3753" applyFont="1" applyAlignment="1">
      <alignment vertical="center"/>
    </xf>
    <xf numFmtId="0" fontId="121" fillId="0" borderId="0" xfId="3753" applyFont="1" applyAlignment="1">
      <alignment horizontal="center"/>
    </xf>
    <xf numFmtId="0" fontId="119" fillId="0" borderId="0" xfId="3753" applyFont="1" applyAlignment="1">
      <alignment horizontal="left" wrapText="1"/>
    </xf>
    <xf numFmtId="0" fontId="119" fillId="0" borderId="0" xfId="3753" applyFont="1" applyAlignment="1">
      <alignment horizontal="left" vertical="center"/>
    </xf>
    <xf numFmtId="0" fontId="119" fillId="0" borderId="79" xfId="3753" applyFont="1" applyBorder="1" applyAlignment="1">
      <alignment horizontal="center" vertical="center"/>
    </xf>
    <xf numFmtId="0" fontId="119" fillId="0" borderId="0" xfId="3753" applyFont="1" applyAlignment="1">
      <alignment horizontal="left" vertical="top" wrapText="1"/>
    </xf>
    <xf numFmtId="0" fontId="119" fillId="0" borderId="79" xfId="3753" applyFont="1" applyBorder="1" applyAlignment="1">
      <alignment horizontal="center" vertical="center" wrapText="1"/>
    </xf>
    <xf numFmtId="0" fontId="121" fillId="0" borderId="0" xfId="3753" applyFont="1"/>
    <xf numFmtId="0" fontId="119" fillId="0" borderId="0" xfId="2468" applyAlignment="1">
      <alignment horizontal="center" vertical="center" wrapText="1"/>
    </xf>
    <xf numFmtId="0" fontId="119" fillId="0" borderId="79" xfId="2468" applyBorder="1" applyAlignment="1">
      <alignment horizontal="center" vertical="center" wrapText="1"/>
    </xf>
    <xf numFmtId="0" fontId="119" fillId="0" borderId="79" xfId="2468" applyBorder="1" applyAlignment="1">
      <alignment horizontal="center" vertical="center"/>
    </xf>
    <xf numFmtId="1" fontId="119" fillId="0" borderId="79" xfId="2468" applyNumberFormat="1" applyBorder="1" applyAlignment="1">
      <alignment horizontal="center" vertical="center" wrapText="1"/>
    </xf>
    <xf numFmtId="0" fontId="120" fillId="3" borderId="79" xfId="2468" applyFont="1" applyFill="1" applyBorder="1" applyAlignment="1">
      <alignment horizontal="center" vertical="center" wrapText="1"/>
    </xf>
    <xf numFmtId="1" fontId="239" fillId="0" borderId="79" xfId="2468" applyNumberFormat="1" applyFont="1" applyBorder="1" applyAlignment="1">
      <alignment horizontal="center" vertical="center"/>
    </xf>
    <xf numFmtId="0" fontId="121" fillId="0" borderId="0" xfId="2468" applyFont="1" applyAlignment="1">
      <alignment horizontal="center" vertical="center" wrapText="1"/>
    </xf>
    <xf numFmtId="1" fontId="119" fillId="0" borderId="0" xfId="2468" applyNumberFormat="1"/>
    <xf numFmtId="1" fontId="119" fillId="0" borderId="0" xfId="2468" applyNumberFormat="1" applyAlignment="1">
      <alignment horizontal="center" vertical="center" wrapText="1"/>
    </xf>
    <xf numFmtId="0" fontId="121" fillId="0" borderId="0" xfId="3753" applyFont="1" applyAlignment="1">
      <alignment horizontal="center" vertical="center"/>
    </xf>
    <xf numFmtId="0" fontId="119" fillId="0" borderId="1" xfId="3753" applyFont="1" applyBorder="1" applyAlignment="1">
      <alignment horizontal="center" vertical="center" wrapText="1"/>
    </xf>
    <xf numFmtId="0" fontId="119" fillId="0" borderId="1" xfId="3753" applyFont="1" applyBorder="1" applyAlignment="1">
      <alignment horizontal="center" vertical="center"/>
    </xf>
    <xf numFmtId="9" fontId="119" fillId="0" borderId="7" xfId="2809" applyFont="1" applyFill="1" applyBorder="1" applyAlignment="1" applyProtection="1">
      <alignment vertical="center" wrapText="1"/>
    </xf>
    <xf numFmtId="0" fontId="240" fillId="0" borderId="0" xfId="3753" applyFont="1" applyAlignment="1">
      <alignment horizontal="left" vertical="top" wrapText="1"/>
    </xf>
    <xf numFmtId="0" fontId="240" fillId="0" borderId="0" xfId="3753" applyFont="1" applyAlignment="1">
      <alignment horizontal="center" vertical="top" wrapText="1"/>
    </xf>
    <xf numFmtId="1" fontId="119" fillId="0" borderId="0" xfId="3753" applyNumberFormat="1" applyFont="1" applyAlignment="1">
      <alignment horizontal="center" vertical="top"/>
    </xf>
    <xf numFmtId="0" fontId="121" fillId="0" borderId="0" xfId="3753" applyFont="1" applyAlignment="1">
      <alignment vertical="center"/>
    </xf>
    <xf numFmtId="0" fontId="119" fillId="0" borderId="1" xfId="3753" applyFont="1" applyBorder="1" applyAlignment="1">
      <alignment horizontal="center" vertical="top"/>
    </xf>
    <xf numFmtId="0" fontId="119" fillId="3" borderId="1" xfId="3753" applyFont="1" applyFill="1" applyBorder="1" applyAlignment="1">
      <alignment horizontal="center" vertical="top" wrapText="1"/>
    </xf>
    <xf numFmtId="0" fontId="119" fillId="3" borderId="1" xfId="3753" applyFont="1" applyFill="1" applyBorder="1" applyAlignment="1">
      <alignment horizontal="center" vertical="center" wrapText="1"/>
    </xf>
    <xf numFmtId="0" fontId="121" fillId="0" borderId="1" xfId="3753" applyFont="1" applyBorder="1" applyAlignment="1">
      <alignment horizontal="center" vertical="center"/>
    </xf>
    <xf numFmtId="0" fontId="121" fillId="0" borderId="1" xfId="3753" applyFont="1" applyBorder="1" applyAlignment="1">
      <alignment horizontal="center" vertical="center" wrapText="1"/>
    </xf>
    <xf numFmtId="0" fontId="119" fillId="0" borderId="0" xfId="3745" applyFont="1" applyAlignment="1">
      <alignment horizontal="left" vertical="top" wrapText="1"/>
    </xf>
    <xf numFmtId="0" fontId="119" fillId="0" borderId="0" xfId="3753" applyFont="1" applyAlignment="1">
      <alignment horizontal="center"/>
    </xf>
    <xf numFmtId="0" fontId="119" fillId="0" borderId="0" xfId="3753" applyFont="1" applyAlignment="1">
      <alignment horizontal="justify" vertical="top" wrapText="1"/>
    </xf>
    <xf numFmtId="1" fontId="119" fillId="0" borderId="79" xfId="2468" applyNumberFormat="1" applyBorder="1"/>
    <xf numFmtId="0" fontId="238" fillId="0" borderId="0" xfId="3753" applyFont="1"/>
    <xf numFmtId="2" fontId="123" fillId="0" borderId="0" xfId="3753" applyNumberFormat="1" applyFont="1" applyAlignment="1">
      <alignment vertical="center"/>
    </xf>
    <xf numFmtId="0" fontId="119" fillId="0" borderId="0" xfId="3753" applyFont="1" applyAlignment="1">
      <alignment vertical="top" wrapText="1"/>
    </xf>
    <xf numFmtId="0" fontId="238" fillId="0" borderId="0" xfId="3755" applyFont="1" applyAlignment="1">
      <alignment vertical="center" wrapText="1"/>
    </xf>
    <xf numFmtId="0" fontId="119" fillId="0" borderId="0" xfId="3753" applyFont="1" applyAlignment="1">
      <alignment horizontal="justify" vertical="top"/>
    </xf>
    <xf numFmtId="0" fontId="119" fillId="0" borderId="0" xfId="3753" applyFont="1" applyAlignment="1">
      <alignment horizontal="left" vertical="top"/>
    </xf>
    <xf numFmtId="0" fontId="121" fillId="0" borderId="0" xfId="3753" applyFont="1" applyAlignment="1">
      <alignment horizontal="center" vertical="top"/>
    </xf>
    <xf numFmtId="0" fontId="119" fillId="0" borderId="0" xfId="3753" applyFont="1" applyAlignment="1">
      <alignment horizontal="right" vertical="top"/>
    </xf>
    <xf numFmtId="0" fontId="238" fillId="0" borderId="0" xfId="3753" applyFont="1" applyAlignment="1">
      <alignment horizontal="justify" vertical="top" wrapText="1"/>
    </xf>
    <xf numFmtId="0" fontId="121" fillId="13" borderId="0" xfId="2079" applyFont="1" applyFill="1"/>
    <xf numFmtId="0" fontId="124" fillId="13" borderId="0" xfId="2079" applyFont="1" applyFill="1"/>
    <xf numFmtId="0" fontId="245" fillId="0" borderId="0" xfId="0" applyFont="1" applyAlignment="1">
      <alignment vertical="center"/>
    </xf>
    <xf numFmtId="0" fontId="245" fillId="0" borderId="0" xfId="0" applyFont="1" applyAlignment="1">
      <alignment vertical="top"/>
    </xf>
    <xf numFmtId="0" fontId="245" fillId="0" borderId="0" xfId="0" applyFont="1" applyAlignment="1">
      <alignment vertical="top" wrapText="1"/>
    </xf>
    <xf numFmtId="0" fontId="245" fillId="0" borderId="0" xfId="0" applyFont="1"/>
    <xf numFmtId="0" fontId="245" fillId="0" borderId="0" xfId="0" applyFont="1" applyAlignment="1">
      <alignment horizontal="center"/>
    </xf>
    <xf numFmtId="0" fontId="247" fillId="0" borderId="0" xfId="0" applyFont="1" applyAlignment="1">
      <alignment horizontal="center"/>
    </xf>
    <xf numFmtId="0" fontId="248" fillId="0" borderId="0" xfId="0" applyFont="1" applyAlignment="1">
      <alignment horizontal="center" vertical="center"/>
    </xf>
    <xf numFmtId="0" fontId="245" fillId="0" borderId="0" xfId="0" applyFont="1" applyAlignment="1">
      <alignment horizontal="center" vertical="center"/>
    </xf>
    <xf numFmtId="0" fontId="248" fillId="0" borderId="0" xfId="0" applyFont="1" applyAlignment="1">
      <alignment horizontal="center" vertical="top"/>
    </xf>
    <xf numFmtId="0" fontId="245" fillId="0" borderId="0" xfId="0" applyFont="1" applyAlignment="1">
      <alignment horizontal="center" vertical="top"/>
    </xf>
    <xf numFmtId="0" fontId="248" fillId="0" borderId="0" xfId="0" applyFont="1" applyAlignment="1">
      <alignment horizontal="center"/>
    </xf>
    <xf numFmtId="2" fontId="245" fillId="0" borderId="0" xfId="0" applyNumberFormat="1" applyFont="1" applyAlignment="1">
      <alignment horizontal="center"/>
    </xf>
    <xf numFmtId="2" fontId="245" fillId="0" borderId="0" xfId="0" applyNumberFormat="1" applyFont="1" applyAlignment="1">
      <alignment horizontal="left"/>
    </xf>
    <xf numFmtId="0" fontId="248" fillId="0" borderId="0" xfId="0" applyFont="1" applyAlignment="1">
      <alignment horizontal="center" vertical="top" wrapText="1"/>
    </xf>
    <xf numFmtId="0" fontId="246" fillId="0" borderId="0" xfId="0" applyFont="1"/>
    <xf numFmtId="0" fontId="249" fillId="0" borderId="0" xfId="598" applyFont="1" applyAlignment="1">
      <alignment vertical="top"/>
    </xf>
    <xf numFmtId="0" fontId="110" fillId="0" borderId="0" xfId="598" applyFont="1" applyAlignment="1">
      <alignment vertical="top"/>
    </xf>
    <xf numFmtId="0" fontId="249" fillId="0" borderId="0" xfId="598" applyFont="1" applyAlignment="1">
      <alignment vertical="top" wrapText="1"/>
    </xf>
    <xf numFmtId="0" fontId="24" fillId="4" borderId="0" xfId="3751" applyFont="1" applyFill="1" applyAlignment="1">
      <alignment horizontal="center" vertical="center"/>
    </xf>
    <xf numFmtId="0" fontId="249" fillId="0" borderId="0" xfId="598" applyFont="1" applyAlignment="1">
      <alignment vertical="center"/>
    </xf>
    <xf numFmtId="0" fontId="110" fillId="0" borderId="0" xfId="598" applyFont="1" applyAlignment="1">
      <alignment vertical="center"/>
    </xf>
    <xf numFmtId="0" fontId="110" fillId="3" borderId="0" xfId="598" applyFont="1" applyFill="1" applyAlignment="1">
      <alignment vertical="top"/>
    </xf>
    <xf numFmtId="0" fontId="250" fillId="0" borderId="0" xfId="598" applyFont="1" applyAlignment="1">
      <alignment vertical="top"/>
    </xf>
    <xf numFmtId="0" fontId="251" fillId="0" borderId="0" xfId="598" applyFont="1" applyAlignment="1">
      <alignment vertical="top"/>
    </xf>
    <xf numFmtId="0" fontId="249" fillId="0" borderId="0" xfId="598" applyFont="1" applyAlignment="1">
      <alignment horizontal="center" vertical="top"/>
    </xf>
    <xf numFmtId="0" fontId="249" fillId="0" borderId="7" xfId="598" applyFont="1" applyBorder="1" applyAlignment="1">
      <alignment horizontal="center" vertical="top"/>
    </xf>
    <xf numFmtId="0" fontId="249" fillId="0" borderId="8" xfId="598" applyFont="1" applyBorder="1" applyAlignment="1">
      <alignment horizontal="center" vertical="top"/>
    </xf>
    <xf numFmtId="0" fontId="180" fillId="0" borderId="5" xfId="598" applyFont="1" applyBorder="1" applyAlignment="1">
      <alignment vertical="top" wrapText="1"/>
    </xf>
    <xf numFmtId="0" fontId="110" fillId="0" borderId="8" xfId="598" applyFont="1" applyBorder="1" applyAlignment="1">
      <alignment horizontal="center" vertical="top"/>
    </xf>
    <xf numFmtId="0" fontId="253" fillId="0" borderId="6" xfId="598" applyFont="1" applyBorder="1" applyAlignment="1">
      <alignment horizontal="left" vertical="top"/>
    </xf>
    <xf numFmtId="0" fontId="180" fillId="0" borderId="2" xfId="598" applyFont="1" applyBorder="1" applyAlignment="1">
      <alignment horizontal="left" vertical="top"/>
    </xf>
    <xf numFmtId="0" fontId="180" fillId="0" borderId="1" xfId="598" applyFont="1" applyBorder="1" applyAlignment="1">
      <alignment horizontal="center" vertical="top"/>
    </xf>
    <xf numFmtId="0" fontId="249" fillId="0" borderId="4" xfId="598" applyFont="1" applyBorder="1" applyAlignment="1">
      <alignment horizontal="left" vertical="top"/>
    </xf>
    <xf numFmtId="0" fontId="249" fillId="0" borderId="10" xfId="598" applyFont="1" applyBorder="1" applyAlignment="1">
      <alignment horizontal="left" vertical="top"/>
    </xf>
    <xf numFmtId="0" fontId="249" fillId="0" borderId="5" xfId="598" applyFont="1" applyBorder="1" applyAlignment="1">
      <alignment horizontal="left" vertical="top"/>
    </xf>
    <xf numFmtId="0" fontId="180" fillId="0" borderId="7" xfId="598" applyFont="1" applyBorder="1" applyAlignment="1">
      <alignment horizontal="center" vertical="top"/>
    </xf>
    <xf numFmtId="0" fontId="249" fillId="4" borderId="1" xfId="598" applyFont="1" applyFill="1" applyBorder="1" applyAlignment="1">
      <alignment horizontal="center" vertical="top" wrapText="1"/>
    </xf>
    <xf numFmtId="0" fontId="249" fillId="4" borderId="3" xfId="598" applyFont="1" applyFill="1" applyBorder="1" applyAlignment="1">
      <alignment vertical="top" wrapText="1"/>
    </xf>
    <xf numFmtId="0" fontId="249" fillId="4" borderId="9" xfId="598" applyFont="1" applyFill="1" applyBorder="1" applyAlignment="1">
      <alignment vertical="top" wrapText="1"/>
    </xf>
    <xf numFmtId="0" fontId="249" fillId="4" borderId="1" xfId="598" applyFont="1" applyFill="1" applyBorder="1" applyAlignment="1">
      <alignment horizontal="center" vertical="center"/>
    </xf>
    <xf numFmtId="0" fontId="180" fillId="4" borderId="1" xfId="598" applyFont="1" applyFill="1" applyBorder="1" applyAlignment="1">
      <alignment horizontal="center" vertical="center"/>
    </xf>
    <xf numFmtId="0" fontId="249" fillId="4" borderId="4" xfId="598" applyFont="1" applyFill="1" applyBorder="1" applyAlignment="1">
      <alignment horizontal="center" vertical="center" wrapText="1"/>
    </xf>
    <xf numFmtId="0" fontId="249" fillId="4" borderId="1" xfId="598" applyFont="1" applyFill="1" applyBorder="1" applyAlignment="1">
      <alignment horizontal="center" vertical="center" wrapText="1"/>
    </xf>
    <xf numFmtId="0" fontId="249" fillId="4" borderId="1" xfId="598" applyFont="1" applyFill="1" applyBorder="1" applyAlignment="1">
      <alignment horizontal="center" vertical="top"/>
    </xf>
    <xf numFmtId="0" fontId="180" fillId="4" borderId="1" xfId="598" applyFont="1" applyFill="1" applyBorder="1" applyAlignment="1">
      <alignment horizontal="center" vertical="top"/>
    </xf>
    <xf numFmtId="0" fontId="177" fillId="4" borderId="3" xfId="598" applyFont="1" applyFill="1" applyBorder="1" applyAlignment="1">
      <alignment horizontal="center" vertical="center"/>
    </xf>
    <xf numFmtId="0" fontId="177" fillId="4" borderId="4" xfId="598" applyFont="1" applyFill="1" applyBorder="1" applyAlignment="1">
      <alignment vertical="center"/>
    </xf>
    <xf numFmtId="0" fontId="177" fillId="4" borderId="10" xfId="598" applyFont="1" applyFill="1" applyBorder="1" applyAlignment="1">
      <alignment vertical="center"/>
    </xf>
    <xf numFmtId="0" fontId="177" fillId="4" borderId="1" xfId="598" applyFont="1" applyFill="1" applyBorder="1" applyAlignment="1">
      <alignment vertical="center"/>
    </xf>
    <xf numFmtId="3" fontId="177" fillId="4" borderId="1" xfId="598" applyNumberFormat="1" applyFont="1" applyFill="1" applyBorder="1" applyAlignment="1">
      <alignment vertical="center"/>
    </xf>
    <xf numFmtId="0" fontId="256" fillId="4" borderId="11" xfId="598" applyFont="1" applyFill="1" applyBorder="1" applyAlignment="1">
      <alignment vertical="center"/>
    </xf>
    <xf numFmtId="0" fontId="256" fillId="4" borderId="12" xfId="598" applyFont="1" applyFill="1" applyBorder="1" applyAlignment="1">
      <alignment vertical="center"/>
    </xf>
    <xf numFmtId="0" fontId="256" fillId="4" borderId="6" xfId="598" applyFont="1" applyFill="1" applyBorder="1" applyAlignment="1">
      <alignment vertical="center"/>
    </xf>
    <xf numFmtId="0" fontId="256" fillId="4" borderId="0" xfId="598" applyFont="1" applyFill="1" applyAlignment="1">
      <alignment vertical="center"/>
    </xf>
    <xf numFmtId="0" fontId="256" fillId="4" borderId="3" xfId="598" applyFont="1" applyFill="1" applyBorder="1" applyAlignment="1">
      <alignment vertical="center"/>
    </xf>
    <xf numFmtId="0" fontId="256" fillId="4" borderId="9" xfId="598" applyFont="1" applyFill="1" applyBorder="1" applyAlignment="1">
      <alignment vertical="center"/>
    </xf>
    <xf numFmtId="0" fontId="24" fillId="4" borderId="1" xfId="3751" applyFont="1" applyFill="1" applyBorder="1" applyAlignment="1">
      <alignment horizontal="center" vertical="center"/>
    </xf>
    <xf numFmtId="0" fontId="257" fillId="0" borderId="1" xfId="0" applyFont="1" applyBorder="1" applyAlignment="1">
      <alignment horizontal="center" vertical="center" wrapText="1"/>
    </xf>
    <xf numFmtId="0" fontId="257" fillId="0" borderId="1" xfId="0" applyFont="1" applyBorder="1" applyAlignment="1">
      <alignment vertical="center" wrapText="1"/>
    </xf>
    <xf numFmtId="0" fontId="122" fillId="0" borderId="1" xfId="0" applyFont="1" applyBorder="1" applyAlignment="1">
      <alignment vertical="center" wrapText="1"/>
    </xf>
    <xf numFmtId="0" fontId="257" fillId="0" borderId="1" xfId="0" applyFont="1" applyBorder="1" applyAlignment="1">
      <alignment vertical="center"/>
    </xf>
    <xf numFmtId="0" fontId="257" fillId="0" borderId="4" xfId="0" applyFont="1" applyBorder="1" applyAlignment="1">
      <alignment vertical="center" wrapText="1"/>
    </xf>
    <xf numFmtId="0" fontId="122" fillId="0" borderId="4" xfId="0" applyFont="1" applyBorder="1" applyAlignment="1">
      <alignment vertical="center" wrapText="1"/>
    </xf>
    <xf numFmtId="0" fontId="5" fillId="4" borderId="1" xfId="3751" applyFont="1" applyFill="1" applyBorder="1" applyAlignment="1">
      <alignment vertical="center" wrapText="1"/>
    </xf>
    <xf numFmtId="0" fontId="180" fillId="4" borderId="3" xfId="598" applyFont="1" applyFill="1" applyBorder="1" applyAlignment="1">
      <alignment horizontal="center" vertical="center"/>
    </xf>
    <xf numFmtId="9" fontId="249" fillId="0" borderId="0" xfId="598" applyNumberFormat="1" applyFont="1" applyAlignment="1">
      <alignment vertical="top"/>
    </xf>
    <xf numFmtId="9" fontId="249" fillId="4" borderId="1" xfId="598" applyNumberFormat="1" applyFont="1" applyFill="1" applyBorder="1" applyAlignment="1">
      <alignment horizontal="center" vertical="center" wrapText="1"/>
    </xf>
    <xf numFmtId="0" fontId="180" fillId="0" borderId="4" xfId="598" applyFont="1" applyBorder="1" applyAlignment="1">
      <alignment horizontal="left" vertical="center"/>
    </xf>
    <xf numFmtId="0" fontId="258" fillId="0" borderId="1" xfId="598" applyFont="1" applyBorder="1" applyAlignment="1">
      <alignment horizontal="center" vertical="center" wrapText="1"/>
    </xf>
    <xf numFmtId="0" fontId="259" fillId="0" borderId="0" xfId="598" applyFont="1" applyAlignment="1">
      <alignment vertical="top"/>
    </xf>
    <xf numFmtId="0" fontId="180" fillId="0" borderId="4" xfId="598" applyFont="1" applyBorder="1" applyAlignment="1">
      <alignment vertical="top"/>
    </xf>
    <xf numFmtId="14" fontId="177" fillId="0" borderId="8" xfId="598" applyNumberFormat="1" applyFont="1" applyBorder="1" applyAlignment="1">
      <alignment vertical="top"/>
    </xf>
    <xf numFmtId="0" fontId="249" fillId="0" borderId="88" xfId="598" applyFont="1" applyBorder="1" applyAlignment="1">
      <alignment horizontal="center" vertical="top" wrapText="1"/>
    </xf>
    <xf numFmtId="0" fontId="164" fillId="0" borderId="19" xfId="982" applyFont="1" applyBorder="1" applyAlignment="1">
      <alignment horizontal="left" vertical="top"/>
    </xf>
    <xf numFmtId="0" fontId="249" fillId="0" borderId="14" xfId="598" applyFont="1" applyBorder="1" applyAlignment="1">
      <alignment vertical="top"/>
    </xf>
    <xf numFmtId="0" fontId="249" fillId="0" borderId="21" xfId="598" applyFont="1" applyBorder="1" applyAlignment="1">
      <alignment vertical="top"/>
    </xf>
    <xf numFmtId="0" fontId="249" fillId="0" borderId="28" xfId="598" applyFont="1" applyBorder="1" applyAlignment="1">
      <alignment vertical="top"/>
    </xf>
    <xf numFmtId="0" fontId="249" fillId="0" borderId="5" xfId="598" applyFont="1" applyBorder="1" applyAlignment="1">
      <alignment horizontal="center" vertical="top" wrapText="1"/>
    </xf>
    <xf numFmtId="207" fontId="164" fillId="0" borderId="2" xfId="598" applyNumberFormat="1" applyFont="1" applyBorder="1" applyAlignment="1">
      <alignment horizontal="left" vertical="top"/>
    </xf>
    <xf numFmtId="0" fontId="180" fillId="0" borderId="2" xfId="598" applyFont="1" applyBorder="1" applyAlignment="1">
      <alignment horizontal="center" vertical="top"/>
    </xf>
    <xf numFmtId="0" fontId="164" fillId="0" borderId="1" xfId="598" applyFont="1" applyBorder="1" applyAlignment="1">
      <alignment vertical="top"/>
    </xf>
    <xf numFmtId="0" fontId="177" fillId="0" borderId="1" xfId="598" applyFont="1" applyBorder="1" applyAlignment="1">
      <alignment horizontal="center" vertical="top"/>
    </xf>
    <xf numFmtId="0" fontId="164" fillId="0" borderId="1" xfId="598" applyFont="1" applyBorder="1" applyAlignment="1">
      <alignment horizontal="left" vertical="top"/>
    </xf>
    <xf numFmtId="0" fontId="249" fillId="0" borderId="1" xfId="598" applyFont="1" applyBorder="1" applyAlignment="1">
      <alignment vertical="top" wrapText="1"/>
    </xf>
    <xf numFmtId="165" fontId="164" fillId="0" borderId="4" xfId="598" applyNumberFormat="1" applyFont="1" applyBorder="1" applyAlignment="1">
      <alignment horizontal="left" vertical="top"/>
    </xf>
    <xf numFmtId="0" fontId="110" fillId="0" borderId="5" xfId="598" applyFont="1" applyBorder="1" applyAlignment="1">
      <alignment horizontal="center" vertical="top" wrapText="1"/>
    </xf>
    <xf numFmtId="0" fontId="260" fillId="0" borderId="1" xfId="598" applyFont="1" applyBorder="1" applyAlignment="1">
      <alignment horizontal="left" vertical="top"/>
    </xf>
    <xf numFmtId="0" fontId="110" fillId="0" borderId="7" xfId="598" applyFont="1" applyBorder="1" applyAlignment="1">
      <alignment vertical="top" wrapText="1"/>
    </xf>
    <xf numFmtId="165" fontId="260" fillId="0" borderId="11" xfId="598" applyNumberFormat="1" applyFont="1" applyBorder="1" applyAlignment="1">
      <alignment horizontal="left" vertical="top"/>
    </xf>
    <xf numFmtId="0" fontId="141" fillId="0" borderId="7" xfId="598" applyFont="1" applyBorder="1" applyAlignment="1">
      <alignment horizontal="left" vertical="top"/>
    </xf>
    <xf numFmtId="0" fontId="249" fillId="0" borderId="1" xfId="598" applyFont="1" applyBorder="1" applyAlignment="1">
      <alignment horizontal="center" vertical="top" wrapText="1"/>
    </xf>
    <xf numFmtId="0" fontId="249" fillId="0" borderId="7" xfId="598" applyFont="1" applyBorder="1" applyAlignment="1">
      <alignment vertical="top" wrapText="1"/>
    </xf>
    <xf numFmtId="208" fontId="164" fillId="0" borderId="11" xfId="598" applyNumberFormat="1" applyFont="1" applyBorder="1" applyAlignment="1">
      <alignment horizontal="left" vertical="top"/>
    </xf>
    <xf numFmtId="0" fontId="164" fillId="0" borderId="7" xfId="598" applyFont="1" applyBorder="1" applyAlignment="1">
      <alignment vertical="top"/>
    </xf>
    <xf numFmtId="0" fontId="249" fillId="0" borderId="7" xfId="598" applyFont="1" applyBorder="1" applyAlignment="1">
      <alignment vertical="top"/>
    </xf>
    <xf numFmtId="0" fontId="164" fillId="0" borderId="4" xfId="598" applyFont="1" applyBorder="1" applyAlignment="1">
      <alignment horizontal="left" vertical="top"/>
    </xf>
    <xf numFmtId="0" fontId="252" fillId="0" borderId="11" xfId="187" applyFont="1" applyBorder="1" applyAlignment="1">
      <alignment horizontal="right" vertical="top" wrapText="1"/>
    </xf>
    <xf numFmtId="0" fontId="177" fillId="0" borderId="12" xfId="598" applyFont="1" applyBorder="1" applyAlignment="1">
      <alignment vertical="top"/>
    </xf>
    <xf numFmtId="0" fontId="252" fillId="0" borderId="12" xfId="187" applyFont="1" applyBorder="1" applyAlignment="1">
      <alignment vertical="top" wrapText="1"/>
    </xf>
    <xf numFmtId="207" fontId="164" fillId="0" borderId="4" xfId="598" applyNumberFormat="1" applyFont="1" applyBorder="1" applyAlignment="1">
      <alignment horizontal="center" vertical="top"/>
    </xf>
    <xf numFmtId="0" fontId="180" fillId="0" borderId="6" xfId="598" applyFont="1" applyBorder="1" applyAlignment="1">
      <alignment horizontal="right" vertical="top"/>
    </xf>
    <xf numFmtId="0" fontId="261" fillId="0" borderId="0" xfId="598" applyFont="1" applyAlignment="1">
      <alignment vertical="top" wrapText="1"/>
    </xf>
    <xf numFmtId="0" fontId="180" fillId="0" borderId="5" xfId="598" applyFont="1" applyBorder="1" applyAlignment="1">
      <alignment horizontal="center" vertical="top" wrapText="1"/>
    </xf>
    <xf numFmtId="2" fontId="164" fillId="3" borderId="4" xfId="598" applyNumberFormat="1" applyFont="1" applyFill="1" applyBorder="1" applyAlignment="1">
      <alignment horizontal="center" vertical="top"/>
    </xf>
    <xf numFmtId="0" fontId="180" fillId="0" borderId="6" xfId="598" applyFont="1" applyBorder="1" applyAlignment="1">
      <alignment vertical="top"/>
    </xf>
    <xf numFmtId="0" fontId="177" fillId="0" borderId="0" xfId="598" applyFont="1" applyAlignment="1">
      <alignment horizontal="center" vertical="top"/>
    </xf>
    <xf numFmtId="0" fontId="180" fillId="0" borderId="1" xfId="598" applyFont="1" applyBorder="1" applyAlignment="1">
      <alignment horizontal="center" vertical="top" wrapText="1"/>
    </xf>
    <xf numFmtId="2" fontId="164" fillId="0" borderId="4" xfId="598" applyNumberFormat="1" applyFont="1" applyBorder="1" applyAlignment="1">
      <alignment horizontal="center" vertical="top"/>
    </xf>
    <xf numFmtId="2" fontId="185" fillId="0" borderId="1" xfId="598" applyNumberFormat="1" applyFont="1" applyBorder="1" applyAlignment="1">
      <alignment horizontal="center" vertical="top"/>
    </xf>
    <xf numFmtId="0" fontId="258" fillId="0" borderId="0" xfId="598" applyFont="1" applyAlignment="1">
      <alignment vertical="top" wrapText="1"/>
    </xf>
    <xf numFmtId="2" fontId="262" fillId="0" borderId="0" xfId="598" applyNumberFormat="1" applyFont="1" applyAlignment="1">
      <alignment horizontal="center" vertical="top"/>
    </xf>
    <xf numFmtId="0" fontId="261" fillId="0" borderId="1" xfId="598" applyFont="1" applyBorder="1" applyAlignment="1">
      <alignment horizontal="center" vertical="top"/>
    </xf>
    <xf numFmtId="2" fontId="181" fillId="0" borderId="0" xfId="598" applyNumberFormat="1" applyFont="1" applyAlignment="1">
      <alignment vertical="top" wrapText="1"/>
    </xf>
    <xf numFmtId="4" fontId="259" fillId="0" borderId="0" xfId="1509" applyNumberFormat="1" applyFont="1" applyAlignment="1">
      <alignment horizontal="center" vertical="center" wrapText="1"/>
    </xf>
    <xf numFmtId="0" fontId="249" fillId="0" borderId="0" xfId="598" applyFont="1" applyAlignment="1">
      <alignment horizontal="center" vertical="top" wrapText="1"/>
    </xf>
    <xf numFmtId="0" fontId="251" fillId="0" borderId="0" xfId="187" applyFont="1" applyAlignment="1">
      <alignment vertical="top" wrapText="1"/>
    </xf>
    <xf numFmtId="0" fontId="164" fillId="0" borderId="0" xfId="598" applyFont="1" applyAlignment="1">
      <alignment horizontal="center" vertical="top" wrapText="1"/>
    </xf>
    <xf numFmtId="0" fontId="180" fillId="0" borderId="5" xfId="598" applyFont="1" applyBorder="1" applyAlignment="1">
      <alignment horizontal="left" vertical="top"/>
    </xf>
    <xf numFmtId="0" fontId="250" fillId="3" borderId="4" xfId="598" applyFont="1" applyFill="1" applyBorder="1" applyAlignment="1">
      <alignment horizontal="left" vertical="top"/>
    </xf>
    <xf numFmtId="0" fontId="177" fillId="3" borderId="1" xfId="598" applyFont="1" applyFill="1" applyBorder="1" applyAlignment="1">
      <alignment horizontal="left" vertical="top"/>
    </xf>
    <xf numFmtId="0" fontId="177" fillId="3" borderId="4" xfId="598" applyFont="1" applyFill="1" applyBorder="1" applyAlignment="1">
      <alignment horizontal="left" vertical="top"/>
    </xf>
    <xf numFmtId="0" fontId="177" fillId="3" borderId="10" xfId="598" applyFont="1" applyFill="1" applyBorder="1" applyAlignment="1">
      <alignment horizontal="left" vertical="top"/>
    </xf>
    <xf numFmtId="0" fontId="249" fillId="0" borderId="1" xfId="2833" applyFont="1" applyBorder="1" applyAlignment="1">
      <alignment horizontal="center" vertical="center" wrapText="1"/>
    </xf>
    <xf numFmtId="0" fontId="249" fillId="0" borderId="1" xfId="2833" applyFont="1" applyBorder="1" applyAlignment="1">
      <alignment horizontal="left" vertical="center" wrapText="1"/>
    </xf>
    <xf numFmtId="0" fontId="249" fillId="0" borderId="1" xfId="2833" applyFont="1" applyBorder="1" applyAlignment="1">
      <alignment horizontal="center" vertical="center"/>
    </xf>
    <xf numFmtId="0" fontId="249" fillId="0" borderId="1" xfId="2833" applyFont="1" applyBorder="1" applyAlignment="1">
      <alignment horizontal="left" vertical="center"/>
    </xf>
    <xf numFmtId="0" fontId="249" fillId="0" borderId="0" xfId="2833" applyFont="1" applyAlignment="1">
      <alignment horizontal="center" vertical="center"/>
    </xf>
    <xf numFmtId="0" fontId="249" fillId="0" borderId="0" xfId="2833" applyFont="1" applyAlignment="1">
      <alignment horizontal="left" vertical="center"/>
    </xf>
    <xf numFmtId="1" fontId="249" fillId="0" borderId="0" xfId="598" applyNumberFormat="1" applyFont="1" applyAlignment="1">
      <alignment horizontal="center" vertical="top"/>
    </xf>
    <xf numFmtId="9" fontId="249" fillId="0" borderId="0" xfId="598" applyNumberFormat="1" applyFont="1" applyAlignment="1">
      <alignment horizontal="center" vertical="top"/>
    </xf>
    <xf numFmtId="0" fontId="180" fillId="0" borderId="0" xfId="2833" applyFont="1"/>
    <xf numFmtId="0" fontId="180" fillId="0" borderId="0" xfId="2833" applyFont="1" applyAlignment="1">
      <alignment wrapText="1"/>
    </xf>
    <xf numFmtId="0" fontId="249" fillId="0" borderId="4" xfId="2833" applyFont="1" applyBorder="1" applyAlignment="1">
      <alignment vertical="center" wrapText="1"/>
    </xf>
    <xf numFmtId="0" fontId="249" fillId="0" borderId="10" xfId="2833" applyFont="1" applyBorder="1" applyAlignment="1">
      <alignment vertical="center" wrapText="1"/>
    </xf>
    <xf numFmtId="0" fontId="249" fillId="0" borderId="5" xfId="2833" applyFont="1" applyBorder="1" applyAlignment="1">
      <alignment vertical="center" wrapText="1"/>
    </xf>
    <xf numFmtId="0" fontId="249" fillId="0" borderId="1" xfId="2833" applyFont="1" applyBorder="1" applyAlignment="1">
      <alignment horizontal="left" vertical="justify"/>
    </xf>
    <xf numFmtId="0" fontId="51" fillId="0" borderId="0" xfId="598" applyFont="1" applyAlignment="1">
      <alignment horizontal="center" vertical="top" wrapText="1"/>
    </xf>
    <xf numFmtId="0" fontId="0" fillId="0" borderId="10" xfId="2833" applyFont="1" applyBorder="1" applyAlignment="1">
      <alignment horizontal="left" vertical="justify"/>
    </xf>
    <xf numFmtId="0" fontId="8" fillId="0" borderId="10" xfId="2833" applyFont="1" applyBorder="1" applyAlignment="1">
      <alignment horizontal="left" vertical="justify"/>
    </xf>
    <xf numFmtId="0" fontId="8" fillId="0" borderId="10" xfId="2833" applyFont="1" applyBorder="1" applyAlignment="1">
      <alignment horizontal="center" vertical="justify"/>
    </xf>
    <xf numFmtId="0" fontId="249" fillId="0" borderId="10" xfId="2833" applyFont="1" applyBorder="1" applyAlignment="1">
      <alignment horizontal="left" vertical="justify"/>
    </xf>
    <xf numFmtId="0" fontId="180" fillId="0" borderId="10" xfId="2833" applyFont="1" applyBorder="1" applyAlignment="1">
      <alignment horizontal="left" vertical="justify"/>
    </xf>
    <xf numFmtId="0" fontId="180" fillId="0" borderId="10" xfId="2833" applyFont="1" applyBorder="1" applyAlignment="1">
      <alignment horizontal="center" vertical="justify"/>
    </xf>
    <xf numFmtId="0" fontId="256" fillId="4" borderId="24" xfId="598" applyFont="1" applyFill="1" applyBorder="1" applyAlignment="1">
      <alignment vertical="center"/>
    </xf>
    <xf numFmtId="0" fontId="256" fillId="4" borderId="25" xfId="598" applyFont="1" applyFill="1" applyBorder="1" applyAlignment="1">
      <alignment vertical="center"/>
    </xf>
    <xf numFmtId="0" fontId="256" fillId="4" borderId="15" xfId="598" applyFont="1" applyFill="1" applyBorder="1" applyAlignment="1">
      <alignment vertical="center"/>
    </xf>
    <xf numFmtId="0" fontId="122" fillId="0" borderId="12" xfId="0" applyFont="1" applyBorder="1" applyAlignment="1">
      <alignment vertical="center" wrapText="1"/>
    </xf>
    <xf numFmtId="0" fontId="257" fillId="0" borderId="5" xfId="0" applyFont="1" applyBorder="1" applyAlignment="1">
      <alignment vertical="center" wrapText="1"/>
    </xf>
    <xf numFmtId="0" fontId="257" fillId="0" borderId="10" xfId="0" applyFont="1" applyBorder="1" applyAlignment="1">
      <alignment vertical="center" wrapText="1"/>
    </xf>
    <xf numFmtId="0" fontId="122" fillId="0" borderId="10" xfId="0" applyFont="1" applyBorder="1" applyAlignment="1">
      <alignment vertical="center" wrapText="1"/>
    </xf>
    <xf numFmtId="0" fontId="122" fillId="0" borderId="5" xfId="0" applyFont="1" applyBorder="1" applyAlignment="1">
      <alignment vertical="center" wrapText="1"/>
    </xf>
    <xf numFmtId="0" fontId="5" fillId="4" borderId="4" xfId="3751" applyFont="1" applyFill="1" applyBorder="1" applyAlignment="1">
      <alignment vertical="center" wrapText="1"/>
    </xf>
    <xf numFmtId="0" fontId="5" fillId="4" borderId="10" xfId="3751" applyFont="1" applyFill="1" applyBorder="1" applyAlignment="1">
      <alignment vertical="center" wrapText="1"/>
    </xf>
    <xf numFmtId="0" fontId="249" fillId="3" borderId="5" xfId="2833" applyFont="1" applyFill="1" applyBorder="1" applyAlignment="1">
      <alignment horizontal="center" vertical="center" wrapText="1"/>
    </xf>
    <xf numFmtId="0" fontId="263" fillId="3" borderId="1" xfId="2833" applyFont="1" applyFill="1" applyBorder="1" applyAlignment="1">
      <alignment horizontal="center" vertical="center" wrapText="1"/>
    </xf>
    <xf numFmtId="0" fontId="264" fillId="3" borderId="1" xfId="2833" applyFont="1" applyFill="1" applyBorder="1" applyAlignment="1">
      <alignment horizontal="center" vertical="center" wrapText="1"/>
    </xf>
    <xf numFmtId="0" fontId="249" fillId="3" borderId="1" xfId="2833" applyFont="1" applyFill="1" applyBorder="1" applyAlignment="1">
      <alignment horizontal="center" vertical="center" wrapText="1"/>
    </xf>
    <xf numFmtId="0" fontId="263" fillId="3" borderId="10" xfId="2833" applyFont="1" applyFill="1" applyBorder="1" applyAlignment="1">
      <alignment horizontal="center" vertical="center" wrapText="1"/>
    </xf>
    <xf numFmtId="0" fontId="263" fillId="3" borderId="5" xfId="2833" applyFont="1" applyFill="1" applyBorder="1" applyAlignment="1">
      <alignment horizontal="center" vertical="center" wrapText="1"/>
    </xf>
    <xf numFmtId="0" fontId="249" fillId="0" borderId="4" xfId="2833" applyFont="1" applyBorder="1" applyAlignment="1">
      <alignment horizontal="left" vertical="center" wrapText="1"/>
    </xf>
    <xf numFmtId="0" fontId="263" fillId="0" borderId="10" xfId="2833" applyFont="1" applyBorder="1" applyAlignment="1">
      <alignment horizontal="left" vertical="center" wrapText="1"/>
    </xf>
    <xf numFmtId="0" fontId="263" fillId="0" borderId="5" xfId="2833" applyFont="1" applyBorder="1" applyAlignment="1">
      <alignment horizontal="left" vertical="center" wrapText="1"/>
    </xf>
    <xf numFmtId="10" fontId="249" fillId="0" borderId="1" xfId="2812" applyNumberFormat="1" applyFont="1" applyFill="1" applyBorder="1" applyAlignment="1">
      <alignment horizontal="center" vertical="center" wrapText="1"/>
    </xf>
    <xf numFmtId="0" fontId="249" fillId="0" borderId="0" xfId="598" applyFont="1" applyAlignment="1">
      <alignment horizontal="center" vertical="center" wrapText="1"/>
    </xf>
    <xf numFmtId="0" fontId="249" fillId="0" borderId="10" xfId="598" applyFont="1" applyBorder="1" applyAlignment="1">
      <alignment vertical="top"/>
    </xf>
    <xf numFmtId="0" fontId="180" fillId="0" borderId="5" xfId="598" applyFont="1" applyBorder="1" applyAlignment="1">
      <alignment vertical="top"/>
    </xf>
    <xf numFmtId="0" fontId="249" fillId="0" borderId="2" xfId="598" applyFont="1" applyBorder="1" applyAlignment="1">
      <alignment vertical="top"/>
    </xf>
    <xf numFmtId="14" fontId="177" fillId="0" borderId="2" xfId="598" applyNumberFormat="1" applyFont="1" applyBorder="1" applyAlignment="1">
      <alignment vertical="top"/>
    </xf>
    <xf numFmtId="1" fontId="164" fillId="0" borderId="1" xfId="598" applyNumberFormat="1" applyFont="1" applyBorder="1" applyAlignment="1">
      <alignment horizontal="center" vertical="top"/>
    </xf>
    <xf numFmtId="0" fontId="177" fillId="0" borderId="7" xfId="598" applyFont="1" applyBorder="1" applyAlignment="1">
      <alignment vertical="top"/>
    </xf>
    <xf numFmtId="0" fontId="249" fillId="0" borderId="12" xfId="598" applyFont="1" applyBorder="1" applyAlignment="1">
      <alignment vertical="top"/>
    </xf>
    <xf numFmtId="0" fontId="177" fillId="0" borderId="0" xfId="598" applyFont="1" applyAlignment="1">
      <alignment vertical="top"/>
    </xf>
    <xf numFmtId="0" fontId="180" fillId="0" borderId="0" xfId="598" applyFont="1" applyAlignment="1">
      <alignment vertical="top"/>
    </xf>
    <xf numFmtId="0" fontId="185" fillId="0" borderId="0" xfId="598" applyFont="1" applyAlignment="1">
      <alignment vertical="top"/>
    </xf>
    <xf numFmtId="0" fontId="249" fillId="3" borderId="1" xfId="598" applyFont="1" applyFill="1" applyBorder="1" applyAlignment="1">
      <alignment horizontal="left" vertical="top"/>
    </xf>
    <xf numFmtId="0" fontId="249" fillId="4" borderId="1" xfId="2833" applyFont="1" applyFill="1" applyBorder="1" applyAlignment="1">
      <alignment horizontal="center" vertical="center" wrapText="1"/>
    </xf>
    <xf numFmtId="0" fontId="249" fillId="4" borderId="1" xfId="2833" applyFont="1" applyFill="1" applyBorder="1" applyAlignment="1">
      <alignment horizontal="center" vertical="center"/>
    </xf>
    <xf numFmtId="0" fontId="249" fillId="4" borderId="0" xfId="2833" applyFont="1" applyFill="1" applyAlignment="1">
      <alignment horizontal="center" vertical="center"/>
    </xf>
    <xf numFmtId="0" fontId="249" fillId="0" borderId="10" xfId="2833" applyFont="1" applyBorder="1" applyAlignment="1">
      <alignment horizontal="center" vertical="justify"/>
    </xf>
    <xf numFmtId="0" fontId="0" fillId="0" borderId="10" xfId="2833" applyFont="1" applyBorder="1" applyAlignment="1">
      <alignment horizontal="center" vertical="justify"/>
    </xf>
    <xf numFmtId="0" fontId="122" fillId="0" borderId="24" xfId="0" applyFont="1" applyBorder="1" applyAlignment="1">
      <alignment vertical="center" wrapText="1"/>
    </xf>
    <xf numFmtId="0" fontId="24" fillId="4" borderId="0" xfId="3751" applyFont="1" applyFill="1" applyAlignment="1">
      <alignment vertical="center" wrapText="1"/>
    </xf>
    <xf numFmtId="0" fontId="5" fillId="4" borderId="5" xfId="3751" applyFont="1" applyFill="1" applyBorder="1" applyAlignment="1">
      <alignment vertical="center" wrapText="1"/>
    </xf>
    <xf numFmtId="0" fontId="252" fillId="3" borderId="1" xfId="2833" applyFont="1" applyFill="1" applyBorder="1" applyAlignment="1">
      <alignment horizontal="center" vertical="center" wrapText="1"/>
    </xf>
    <xf numFmtId="0" fontId="249" fillId="0" borderId="10" xfId="3759" applyFont="1" applyBorder="1" applyAlignment="1">
      <alignment horizontal="left" vertical="top" wrapText="1"/>
    </xf>
    <xf numFmtId="0" fontId="249" fillId="0" borderId="5" xfId="3759" applyFont="1" applyBorder="1" applyAlignment="1">
      <alignment horizontal="left" vertical="top" wrapText="1"/>
    </xf>
    <xf numFmtId="0" fontId="249" fillId="0" borderId="0" xfId="3759" applyFont="1" applyAlignment="1">
      <alignment horizontal="left" vertical="top" wrapText="1"/>
    </xf>
    <xf numFmtId="0" fontId="249" fillId="0" borderId="0" xfId="187" applyFont="1" applyAlignment="1">
      <alignment horizontal="left" vertical="top" wrapText="1"/>
    </xf>
    <xf numFmtId="0" fontId="51" fillId="0" borderId="0" xfId="187" applyFont="1" applyAlignment="1">
      <alignment horizontal="left" vertical="top" wrapText="1"/>
    </xf>
    <xf numFmtId="1" fontId="180" fillId="0" borderId="1" xfId="2833" applyNumberFormat="1" applyFont="1" applyBorder="1" applyAlignment="1">
      <alignment horizontal="center" vertical="center"/>
    </xf>
    <xf numFmtId="0" fontId="258" fillId="0" borderId="1" xfId="598" applyFont="1" applyBorder="1" applyAlignment="1">
      <alignment horizontal="center" vertical="center"/>
    </xf>
    <xf numFmtId="0" fontId="251" fillId="0" borderId="1" xfId="598" applyFont="1" applyBorder="1" applyAlignment="1">
      <alignment horizontal="center" vertical="top"/>
    </xf>
    <xf numFmtId="2" fontId="251" fillId="0" borderId="1" xfId="598" applyNumberFormat="1" applyFont="1" applyBorder="1" applyAlignment="1">
      <alignment horizontal="right" vertical="center"/>
    </xf>
    <xf numFmtId="2" fontId="251" fillId="0" borderId="1" xfId="598" applyNumberFormat="1" applyFont="1" applyBorder="1" applyAlignment="1">
      <alignment vertical="center"/>
    </xf>
    <xf numFmtId="0" fontId="265" fillId="0" borderId="1" xfId="598" applyFont="1" applyBorder="1" applyAlignment="1">
      <alignment horizontal="center" vertical="top"/>
    </xf>
    <xf numFmtId="2" fontId="265" fillId="0" borderId="1" xfId="598" applyNumberFormat="1" applyFont="1" applyBorder="1" applyAlignment="1">
      <alignment horizontal="right" vertical="top"/>
    </xf>
    <xf numFmtId="2" fontId="265" fillId="0" borderId="4" xfId="598" applyNumberFormat="1" applyFont="1" applyBorder="1" applyAlignment="1">
      <alignment vertical="top"/>
    </xf>
    <xf numFmtId="0" fontId="251" fillId="0" borderId="1" xfId="598" applyFont="1" applyBorder="1" applyAlignment="1">
      <alignment horizontal="center" vertical="center"/>
    </xf>
    <xf numFmtId="0" fontId="251" fillId="0" borderId="4" xfId="598" applyFont="1" applyBorder="1" applyAlignment="1">
      <alignment vertical="top" wrapText="1"/>
    </xf>
    <xf numFmtId="0" fontId="251" fillId="0" borderId="10" xfId="598" applyFont="1" applyBorder="1" applyAlignment="1">
      <alignment vertical="top" wrapText="1"/>
    </xf>
    <xf numFmtId="0" fontId="251" fillId="0" borderId="5" xfId="598" applyFont="1" applyBorder="1" applyAlignment="1">
      <alignment vertical="top" wrapText="1"/>
    </xf>
    <xf numFmtId="2" fontId="251" fillId="0" borderId="1" xfId="598" applyNumberFormat="1" applyFont="1" applyBorder="1" applyAlignment="1">
      <alignment horizontal="right" vertical="top"/>
    </xf>
    <xf numFmtId="2" fontId="251" fillId="0" borderId="4" xfId="598" applyNumberFormat="1" applyFont="1" applyBorder="1" applyAlignment="1">
      <alignment vertical="top"/>
    </xf>
    <xf numFmtId="2" fontId="258" fillId="0" borderId="1" xfId="598" applyNumberFormat="1" applyFont="1" applyBorder="1" applyAlignment="1">
      <alignment vertical="center"/>
    </xf>
    <xf numFmtId="0" fontId="258" fillId="0" borderId="1" xfId="598" applyFont="1" applyBorder="1" applyAlignment="1">
      <alignment vertical="center" wrapText="1"/>
    </xf>
    <xf numFmtId="1" fontId="251" fillId="0" borderId="4" xfId="598" applyNumberFormat="1" applyFont="1" applyBorder="1" applyAlignment="1">
      <alignment vertical="top" wrapText="1"/>
    </xf>
    <xf numFmtId="0" fontId="2" fillId="0" borderId="1" xfId="598" applyFont="1" applyBorder="1" applyAlignment="1">
      <alignment horizontal="center" vertical="center"/>
    </xf>
    <xf numFmtId="2" fontId="2" fillId="0" borderId="1" xfId="598" applyNumberFormat="1" applyFont="1" applyBorder="1" applyAlignment="1">
      <alignment vertical="center"/>
    </xf>
    <xf numFmtId="0" fontId="251" fillId="0" borderId="1" xfId="598" applyFont="1" applyBorder="1" applyAlignment="1">
      <alignment vertical="center" wrapText="1"/>
    </xf>
    <xf numFmtId="1" fontId="251" fillId="0" borderId="1" xfId="598" applyNumberFormat="1" applyFont="1" applyBorder="1" applyAlignment="1">
      <alignment vertical="center"/>
    </xf>
    <xf numFmtId="1" fontId="258" fillId="0" borderId="1" xfId="598" applyNumberFormat="1" applyFont="1" applyBorder="1" applyAlignment="1">
      <alignment vertical="center"/>
    </xf>
    <xf numFmtId="2" fontId="258" fillId="0" borderId="1" xfId="1547" applyNumberFormat="1" applyFont="1" applyBorder="1" applyAlignment="1">
      <alignment horizontal="right" vertical="center" wrapText="1"/>
    </xf>
    <xf numFmtId="43" fontId="258" fillId="0" borderId="1" xfId="1547" applyFont="1" applyBorder="1" applyAlignment="1">
      <alignment vertical="center" wrapText="1"/>
    </xf>
    <xf numFmtId="0" fontId="2" fillId="0" borderId="11" xfId="598" applyFont="1" applyBorder="1" applyAlignment="1">
      <alignment horizontal="center" vertical="top"/>
    </xf>
    <xf numFmtId="0" fontId="266" fillId="0" borderId="12" xfId="598" applyFont="1" applyBorder="1" applyAlignment="1">
      <alignment vertical="top" wrapText="1"/>
    </xf>
    <xf numFmtId="2" fontId="266" fillId="0" borderId="12" xfId="598" applyNumberFormat="1" applyFont="1" applyBorder="1" applyAlignment="1">
      <alignment vertical="top" wrapText="1"/>
    </xf>
    <xf numFmtId="1" fontId="266" fillId="0" borderId="12" xfId="598" applyNumberFormat="1" applyFont="1" applyBorder="1" applyAlignment="1">
      <alignment horizontal="center" vertical="top"/>
    </xf>
    <xf numFmtId="0" fontId="2" fillId="0" borderId="0" xfId="598" applyFont="1" applyAlignment="1">
      <alignment horizontal="center" vertical="top"/>
    </xf>
    <xf numFmtId="2" fontId="266" fillId="0" borderId="0" xfId="598" applyNumberFormat="1" applyFont="1" applyAlignment="1">
      <alignment horizontal="right" vertical="top" wrapText="1"/>
    </xf>
    <xf numFmtId="1" fontId="266" fillId="0" borderId="0" xfId="598" applyNumberFormat="1" applyFont="1" applyAlignment="1">
      <alignment horizontal="center" vertical="top"/>
    </xf>
    <xf numFmtId="1" fontId="266" fillId="0" borderId="0" xfId="598" applyNumberFormat="1" applyFont="1" applyAlignment="1">
      <alignment horizontal="right" vertical="top"/>
    </xf>
    <xf numFmtId="2" fontId="266" fillId="0" borderId="47" xfId="598" applyNumberFormat="1" applyFont="1" applyBorder="1" applyAlignment="1">
      <alignment horizontal="right" vertical="top" wrapText="1"/>
    </xf>
    <xf numFmtId="0" fontId="2" fillId="0" borderId="6" xfId="598" applyFont="1" applyBorder="1" applyAlignment="1">
      <alignment horizontal="center" vertical="top"/>
    </xf>
    <xf numFmtId="0" fontId="249" fillId="0" borderId="11" xfId="598" applyFont="1" applyBorder="1" applyAlignment="1">
      <alignment horizontal="center" vertical="top"/>
    </xf>
    <xf numFmtId="0" fontId="249" fillId="0" borderId="3" xfId="598" applyFont="1" applyBorder="1" applyAlignment="1">
      <alignment horizontal="center" vertical="top"/>
    </xf>
    <xf numFmtId="0" fontId="180" fillId="0" borderId="4" xfId="598" applyFont="1" applyBorder="1" applyAlignment="1">
      <alignment horizontal="center" vertical="center"/>
    </xf>
    <xf numFmtId="0" fontId="180" fillId="0" borderId="10" xfId="598" applyFont="1" applyBorder="1" applyAlignment="1">
      <alignment vertical="center"/>
    </xf>
    <xf numFmtId="0" fontId="180" fillId="0" borderId="1" xfId="598" applyFont="1" applyBorder="1" applyAlignment="1">
      <alignment vertical="top" wrapText="1"/>
    </xf>
    <xf numFmtId="0" fontId="249" fillId="0" borderId="1" xfId="598" applyFont="1" applyBorder="1" applyAlignment="1">
      <alignment horizontal="center" vertical="top"/>
    </xf>
    <xf numFmtId="49" fontId="249" fillId="0" borderId="1" xfId="598" applyNumberFormat="1" applyFont="1" applyBorder="1" applyAlignment="1">
      <alignment horizontal="center" vertical="top"/>
    </xf>
    <xf numFmtId="209" fontId="259" fillId="0" borderId="1" xfId="598" applyNumberFormat="1" applyFont="1" applyBorder="1" applyAlignment="1">
      <alignment horizontal="center" vertical="top"/>
    </xf>
    <xf numFmtId="0" fontId="249" fillId="0" borderId="0" xfId="598" applyFont="1" applyAlignment="1">
      <alignment horizontal="justify" vertical="top" wrapText="1"/>
    </xf>
    <xf numFmtId="0" fontId="249" fillId="0" borderId="1" xfId="187" applyFont="1" applyBorder="1" applyAlignment="1">
      <alignment horizontal="center" vertical="top" shrinkToFit="1"/>
    </xf>
    <xf numFmtId="2" fontId="249" fillId="0" borderId="1" xfId="187" applyNumberFormat="1" applyFont="1" applyBorder="1" applyAlignment="1">
      <alignment horizontal="center" vertical="center" shrinkToFit="1"/>
    </xf>
    <xf numFmtId="0" fontId="249" fillId="0" borderId="0" xfId="187" applyFont="1" applyAlignment="1">
      <alignment horizontal="center" vertical="top" shrinkToFit="1"/>
    </xf>
    <xf numFmtId="2" fontId="0" fillId="0" borderId="1" xfId="187" applyNumberFormat="1" applyFont="1" applyBorder="1" applyAlignment="1">
      <alignment horizontal="center" vertical="center" shrinkToFit="1"/>
    </xf>
    <xf numFmtId="0" fontId="267" fillId="0" borderId="0" xfId="187" applyFont="1" applyAlignment="1">
      <alignment horizontal="center" vertical="top" shrinkToFit="1"/>
    </xf>
    <xf numFmtId="2" fontId="267" fillId="0" borderId="1" xfId="187" applyNumberFormat="1" applyFont="1" applyBorder="1" applyAlignment="1">
      <alignment horizontal="center" vertical="center" shrinkToFit="1"/>
    </xf>
    <xf numFmtId="0" fontId="251" fillId="3" borderId="1" xfId="187" applyFont="1" applyFill="1" applyBorder="1" applyAlignment="1">
      <alignment horizontal="center" vertical="top" wrapText="1"/>
    </xf>
    <xf numFmtId="2" fontId="251" fillId="3" borderId="1" xfId="187" applyNumberFormat="1" applyFont="1" applyFill="1" applyBorder="1" applyAlignment="1">
      <alignment horizontal="center" vertical="top" wrapText="1"/>
    </xf>
    <xf numFmtId="0" fontId="110" fillId="0" borderId="0" xfId="598" applyFont="1" applyAlignment="1">
      <alignment vertical="center" wrapText="1"/>
    </xf>
    <xf numFmtId="0" fontId="2" fillId="3" borderId="1" xfId="187" applyFill="1" applyBorder="1" applyAlignment="1">
      <alignment horizontal="center" vertical="center" wrapText="1"/>
    </xf>
    <xf numFmtId="2" fontId="2" fillId="3" borderId="1" xfId="187" applyNumberFormat="1" applyFill="1" applyBorder="1" applyAlignment="1">
      <alignment horizontal="center" vertical="center" wrapText="1"/>
    </xf>
    <xf numFmtId="2" fontId="164" fillId="0" borderId="0" xfId="598" applyNumberFormat="1" applyFont="1" applyAlignment="1">
      <alignment horizontal="center" vertical="top" wrapText="1"/>
    </xf>
    <xf numFmtId="43" fontId="251" fillId="0" borderId="0" xfId="598" applyNumberFormat="1" applyFont="1" applyAlignment="1">
      <alignment vertical="top" wrapText="1"/>
    </xf>
    <xf numFmtId="43" fontId="266" fillId="0" borderId="12" xfId="1547" applyFont="1" applyBorder="1" applyAlignment="1">
      <alignment vertical="top" wrapText="1"/>
    </xf>
    <xf numFmtId="43" fontId="266" fillId="0" borderId="24" xfId="1547" applyFont="1" applyBorder="1" applyAlignment="1">
      <alignment vertical="top" wrapText="1"/>
    </xf>
    <xf numFmtId="43" fontId="2" fillId="0" borderId="0" xfId="598" applyNumberFormat="1" applyFont="1" applyAlignment="1">
      <alignment vertical="top" wrapText="1"/>
    </xf>
    <xf numFmtId="43" fontId="266" fillId="0" borderId="0" xfId="1547" applyFont="1" applyBorder="1" applyAlignment="1">
      <alignment horizontal="right" vertical="top" wrapText="1"/>
    </xf>
    <xf numFmtId="0" fontId="258" fillId="0" borderId="24" xfId="598" applyFont="1" applyBorder="1" applyAlignment="1">
      <alignment horizontal="center" vertical="top" wrapText="1"/>
    </xf>
    <xf numFmtId="0" fontId="258" fillId="0" borderId="15" xfId="598" applyFont="1" applyBorder="1" applyAlignment="1">
      <alignment horizontal="center" vertical="top" wrapText="1"/>
    </xf>
    <xf numFmtId="0" fontId="258" fillId="0" borderId="5" xfId="598" applyFont="1" applyBorder="1" applyAlignment="1">
      <alignment horizontal="center" vertical="center" wrapText="1"/>
    </xf>
    <xf numFmtId="0" fontId="249" fillId="0" borderId="0" xfId="598" applyFont="1" applyAlignment="1">
      <alignment vertical="center" wrapText="1"/>
    </xf>
    <xf numFmtId="0" fontId="249" fillId="0" borderId="1" xfId="187" applyFont="1" applyBorder="1" applyAlignment="1">
      <alignment vertical="center"/>
    </xf>
    <xf numFmtId="0" fontId="259" fillId="0" borderId="1" xfId="187" applyFont="1" applyBorder="1" applyAlignment="1">
      <alignment vertical="center"/>
    </xf>
    <xf numFmtId="0" fontId="164" fillId="0" borderId="1" xfId="187" applyFont="1" applyBorder="1" applyAlignment="1">
      <alignment horizontal="center" vertical="center"/>
    </xf>
    <xf numFmtId="0" fontId="185" fillId="0" borderId="0" xfId="0" applyFont="1" applyAlignment="1" applyProtection="1">
      <alignment horizontal="left"/>
      <protection locked="0"/>
    </xf>
    <xf numFmtId="0" fontId="177" fillId="0" borderId="0" xfId="0" applyFont="1" applyAlignment="1" applyProtection="1">
      <alignment horizontal="left" vertical="center"/>
      <protection locked="0"/>
    </xf>
    <xf numFmtId="0" fontId="177" fillId="0" borderId="0" xfId="0" applyFont="1" applyAlignment="1">
      <alignment horizontal="left" vertical="center"/>
    </xf>
    <xf numFmtId="0" fontId="177" fillId="0" borderId="0" xfId="0" applyFont="1" applyAlignment="1" applyProtection="1">
      <alignment horizontal="left" vertical="center" wrapText="1"/>
      <protection locked="0"/>
    </xf>
    <xf numFmtId="0" fontId="249" fillId="0" borderId="1" xfId="187" applyFont="1" applyBorder="1" applyAlignment="1">
      <alignment vertical="center" wrapText="1"/>
    </xf>
    <xf numFmtId="9" fontId="164" fillId="0" borderId="1" xfId="187" applyNumberFormat="1" applyFont="1" applyBorder="1" applyAlignment="1">
      <alignment horizontal="center" vertical="center"/>
    </xf>
    <xf numFmtId="0" fontId="180" fillId="0" borderId="0" xfId="2192" applyFont="1" applyAlignment="1">
      <alignment vertical="center" wrapText="1"/>
    </xf>
    <xf numFmtId="0" fontId="180" fillId="0" borderId="0" xfId="2192" applyFont="1" applyAlignment="1">
      <alignment vertical="center"/>
    </xf>
    <xf numFmtId="0" fontId="249" fillId="0" borderId="0" xfId="187" applyFont="1" applyAlignment="1">
      <alignment vertical="center" wrapText="1"/>
    </xf>
    <xf numFmtId="0" fontId="177" fillId="0" borderId="0" xfId="187" applyFont="1" applyAlignment="1">
      <alignment horizontal="center" vertical="center"/>
    </xf>
    <xf numFmtId="0" fontId="249" fillId="0" borderId="1" xfId="598" applyFont="1" applyBorder="1" applyAlignment="1">
      <alignment vertical="top"/>
    </xf>
    <xf numFmtId="0" fontId="185" fillId="0" borderId="0" xfId="0" applyFont="1" applyAlignment="1" applyProtection="1">
      <alignment horizontal="center" vertical="center"/>
      <protection locked="0"/>
    </xf>
    <xf numFmtId="0" fontId="268" fillId="0" borderId="0" xfId="2192" applyFont="1" applyAlignment="1">
      <alignment horizontal="center" vertical="center"/>
    </xf>
    <xf numFmtId="0" fontId="177" fillId="0" borderId="0" xfId="2192" applyFont="1" applyAlignment="1">
      <alignment horizontal="center" vertical="center"/>
    </xf>
    <xf numFmtId="0" fontId="110" fillId="0" borderId="0" xfId="598" applyFont="1" applyAlignment="1">
      <alignment horizontal="justify" vertical="top" wrapText="1"/>
    </xf>
    <xf numFmtId="0" fontId="252" fillId="0" borderId="0" xfId="598" applyFont="1" applyAlignment="1">
      <alignment vertical="top"/>
    </xf>
    <xf numFmtId="2" fontId="180" fillId="0" borderId="0" xfId="598" applyNumberFormat="1" applyFont="1" applyAlignment="1">
      <alignment vertical="top" wrapText="1"/>
    </xf>
    <xf numFmtId="2" fontId="249" fillId="0" borderId="0" xfId="598" applyNumberFormat="1" applyFont="1" applyAlignment="1">
      <alignment vertical="top" wrapText="1"/>
    </xf>
    <xf numFmtId="0" fontId="180" fillId="0" borderId="1" xfId="598" applyFont="1" applyBorder="1" applyAlignment="1">
      <alignment horizontal="center" vertical="center" wrapText="1"/>
    </xf>
    <xf numFmtId="0" fontId="180" fillId="0" borderId="0" xfId="598" applyFont="1" applyAlignment="1">
      <alignment vertical="top" wrapText="1"/>
    </xf>
    <xf numFmtId="0" fontId="249" fillId="0" borderId="1" xfId="598" applyFont="1" applyBorder="1" applyAlignment="1">
      <alignment horizontal="center" vertical="center" wrapText="1"/>
    </xf>
    <xf numFmtId="2" fontId="249" fillId="0" borderId="0" xfId="598" applyNumberFormat="1" applyFont="1" applyAlignment="1">
      <alignment vertical="top"/>
    </xf>
    <xf numFmtId="0" fontId="110" fillId="0" borderId="0" xfId="598" applyFont="1" applyAlignment="1">
      <alignment horizontal="center" vertical="top"/>
    </xf>
    <xf numFmtId="0" fontId="110" fillId="0" borderId="1" xfId="598" applyFont="1" applyBorder="1" applyAlignment="1">
      <alignment horizontal="center" vertical="center" wrapText="1"/>
    </xf>
    <xf numFmtId="2" fontId="110" fillId="0" borderId="0" xfId="598" applyNumberFormat="1" applyFont="1" applyAlignment="1">
      <alignment vertical="top"/>
    </xf>
    <xf numFmtId="2" fontId="180" fillId="0" borderId="0" xfId="598" applyNumberFormat="1" applyFont="1" applyAlignment="1">
      <alignment vertical="top"/>
    </xf>
    <xf numFmtId="0" fontId="249" fillId="0" borderId="4" xfId="598" applyFont="1" applyBorder="1" applyAlignment="1">
      <alignment vertical="top" wrapText="1"/>
    </xf>
    <xf numFmtId="0" fontId="249" fillId="0" borderId="4" xfId="598" applyFont="1" applyBorder="1" applyAlignment="1">
      <alignment horizontal="center" vertical="top" wrapText="1"/>
    </xf>
    <xf numFmtId="49" fontId="251" fillId="0" borderId="1" xfId="598" applyNumberFormat="1" applyFont="1" applyBorder="1" applyAlignment="1">
      <alignment horizontal="center" vertical="top" wrapText="1"/>
    </xf>
    <xf numFmtId="2" fontId="249" fillId="0" borderId="4" xfId="598" applyNumberFormat="1" applyFont="1" applyBorder="1" applyAlignment="1">
      <alignment vertical="top"/>
    </xf>
    <xf numFmtId="2" fontId="249" fillId="0" borderId="1" xfId="598" applyNumberFormat="1" applyFont="1" applyBorder="1" applyAlignment="1">
      <alignment vertical="top"/>
    </xf>
    <xf numFmtId="43" fontId="249" fillId="0" borderId="4" xfId="1547" applyFont="1" applyBorder="1" applyAlignment="1">
      <alignment horizontal="center" textRotation="90"/>
    </xf>
    <xf numFmtId="0" fontId="51" fillId="0" borderId="0" xfId="598" applyFont="1" applyAlignment="1">
      <alignment horizontal="center" vertical="top"/>
    </xf>
    <xf numFmtId="0" fontId="51" fillId="0" borderId="0" xfId="598" applyFont="1" applyAlignment="1">
      <alignment horizontal="justify" vertical="top" wrapText="1"/>
    </xf>
    <xf numFmtId="0" fontId="249" fillId="0" borderId="0" xfId="598" applyFont="1" applyAlignment="1">
      <alignment horizontal="left" vertical="top" wrapText="1"/>
    </xf>
    <xf numFmtId="0" fontId="258" fillId="0" borderId="0" xfId="187" applyFont="1" applyAlignment="1">
      <alignment horizontal="center" vertical="top"/>
    </xf>
    <xf numFmtId="0" fontId="258" fillId="0" borderId="0" xfId="187" applyFont="1" applyAlignment="1">
      <alignment horizontal="right" vertical="top"/>
    </xf>
    <xf numFmtId="0" fontId="251" fillId="0" borderId="0" xfId="187" applyFont="1" applyAlignment="1">
      <alignment horizontal="justify" vertical="top" wrapText="1"/>
    </xf>
    <xf numFmtId="0" fontId="251" fillId="0" borderId="0" xfId="187" applyFont="1" applyAlignment="1">
      <alignment vertical="top"/>
    </xf>
    <xf numFmtId="0" fontId="265" fillId="0" borderId="0" xfId="187" applyFont="1" applyAlignment="1">
      <alignment vertical="top"/>
    </xf>
    <xf numFmtId="0" fontId="251" fillId="0" borderId="0" xfId="187" applyFont="1" applyAlignment="1">
      <alignment horizontal="center" vertical="center"/>
    </xf>
    <xf numFmtId="0" fontId="251" fillId="0" borderId="0" xfId="187" applyFont="1" applyAlignment="1">
      <alignment horizontal="right" vertical="top"/>
    </xf>
    <xf numFmtId="165" fontId="164" fillId="0" borderId="1" xfId="598" applyNumberFormat="1" applyFont="1" applyBorder="1" applyAlignment="1">
      <alignment vertical="top"/>
    </xf>
    <xf numFmtId="0" fontId="110" fillId="0" borderId="0" xfId="598" applyFont="1" applyAlignment="1">
      <alignment vertical="top" wrapText="1"/>
    </xf>
    <xf numFmtId="0" fontId="251" fillId="0" borderId="0" xfId="187" applyFont="1"/>
    <xf numFmtId="0" fontId="270" fillId="0" borderId="0" xfId="187" applyFont="1" applyAlignment="1">
      <alignment vertical="top"/>
    </xf>
    <xf numFmtId="2" fontId="164" fillId="0" borderId="0" xfId="598" applyNumberFormat="1" applyFont="1" applyAlignment="1">
      <alignment horizontal="center" vertical="top"/>
    </xf>
    <xf numFmtId="0" fontId="271" fillId="0" borderId="0" xfId="187" applyFont="1" applyAlignment="1">
      <alignment horizontal="center" vertical="top" wrapText="1"/>
    </xf>
    <xf numFmtId="0" fontId="250" fillId="0" borderId="0" xfId="598" applyFont="1" applyAlignment="1">
      <alignment horizontal="center" vertical="top"/>
    </xf>
    <xf numFmtId="0" fontId="249" fillId="0" borderId="0" xfId="187" applyFont="1" applyAlignment="1">
      <alignment vertical="top"/>
    </xf>
    <xf numFmtId="0" fontId="251" fillId="0" borderId="0" xfId="598" applyFont="1" applyAlignment="1">
      <alignment horizontal="center" vertical="top"/>
    </xf>
    <xf numFmtId="0" fontId="180" fillId="0" borderId="0" xfId="187" applyFont="1" applyAlignment="1">
      <alignment vertical="top"/>
    </xf>
    <xf numFmtId="0" fontId="271" fillId="0" borderId="0" xfId="187" applyFont="1" applyAlignment="1">
      <alignment horizontal="center" vertical="top"/>
    </xf>
    <xf numFmtId="0" fontId="264" fillId="0" borderId="0" xfId="598" applyFont="1" applyAlignment="1">
      <alignment vertical="top"/>
    </xf>
    <xf numFmtId="0" fontId="250" fillId="0" borderId="0" xfId="187" applyFont="1" applyAlignment="1">
      <alignment vertical="top"/>
    </xf>
    <xf numFmtId="0" fontId="251" fillId="0" borderId="0" xfId="598" applyFont="1" applyAlignment="1">
      <alignment vertical="top" wrapText="1"/>
    </xf>
    <xf numFmtId="0" fontId="272" fillId="0" borderId="0" xfId="2357" applyFont="1"/>
    <xf numFmtId="0" fontId="273" fillId="0" borderId="0" xfId="2357" applyFont="1"/>
    <xf numFmtId="0" fontId="136" fillId="0" borderId="0" xfId="2357" applyFont="1"/>
    <xf numFmtId="0" fontId="274" fillId="0" borderId="0" xfId="2357" applyFont="1" applyAlignment="1">
      <alignment horizontal="center" vertical="center"/>
    </xf>
    <xf numFmtId="0" fontId="276" fillId="0" borderId="0" xfId="2357" applyFont="1" applyAlignment="1">
      <alignment horizontal="center" vertical="center" wrapText="1"/>
    </xf>
    <xf numFmtId="0" fontId="277" fillId="0" borderId="0" xfId="2357" applyFont="1" applyAlignment="1">
      <alignment horizontal="center" vertical="center" wrapText="1"/>
    </xf>
    <xf numFmtId="0" fontId="278" fillId="0" borderId="0" xfId="2357" applyFont="1" applyAlignment="1">
      <alignment horizontal="center" vertical="top" wrapText="1"/>
    </xf>
    <xf numFmtId="0" fontId="278" fillId="0" borderId="0" xfId="2357" applyFont="1" applyAlignment="1">
      <alignment vertical="top" wrapText="1"/>
    </xf>
    <xf numFmtId="0" fontId="278" fillId="0" borderId="0" xfId="2357" applyFont="1" applyAlignment="1">
      <alignment vertical="top"/>
    </xf>
    <xf numFmtId="0" fontId="279" fillId="0" borderId="0" xfId="2357" applyFont="1" applyAlignment="1">
      <alignment vertical="top" wrapText="1"/>
    </xf>
    <xf numFmtId="0" fontId="279" fillId="0" borderId="0" xfId="2357" applyFont="1" applyAlignment="1">
      <alignment vertical="top"/>
    </xf>
    <xf numFmtId="0" fontId="136" fillId="0" borderId="0" xfId="0" applyFont="1"/>
    <xf numFmtId="0" fontId="280" fillId="0" borderId="0" xfId="2357" applyFont="1" applyAlignment="1">
      <alignment horizontal="center" vertical="center" wrapText="1"/>
    </xf>
    <xf numFmtId="0" fontId="98" fillId="0" borderId="0" xfId="2357" applyFont="1" applyAlignment="1">
      <alignment horizontal="right"/>
    </xf>
    <xf numFmtId="0" fontId="281" fillId="0" borderId="0" xfId="2357" applyFont="1" applyAlignment="1">
      <alignment horizontal="left" vertical="center"/>
    </xf>
    <xf numFmtId="0" fontId="281" fillId="0" borderId="0" xfId="2357" applyFont="1" applyAlignment="1">
      <alignment horizontal="center" vertical="center"/>
    </xf>
    <xf numFmtId="0" fontId="282" fillId="0" borderId="0" xfId="2357" applyFont="1" applyAlignment="1">
      <alignment horizontal="center" vertical="center"/>
    </xf>
    <xf numFmtId="184" fontId="136" fillId="0" borderId="0" xfId="2357" applyNumberFormat="1" applyFont="1"/>
    <xf numFmtId="0" fontId="283" fillId="0" borderId="0" xfId="2357" applyFont="1" applyAlignment="1">
      <alignment horizontal="center" vertical="center"/>
    </xf>
    <xf numFmtId="0" fontId="275" fillId="0" borderId="0" xfId="2357" applyFont="1" applyAlignment="1">
      <alignment horizontal="center" vertical="center" wrapText="1"/>
    </xf>
    <xf numFmtId="0" fontId="196" fillId="0" borderId="0" xfId="2357" applyFont="1" applyAlignment="1">
      <alignment horizontal="center"/>
    </xf>
    <xf numFmtId="0" fontId="196" fillId="0" borderId="0" xfId="2357" applyFont="1"/>
    <xf numFmtId="0" fontId="280" fillId="0" borderId="0" xfId="2357" applyFont="1"/>
    <xf numFmtId="0" fontId="280" fillId="0" borderId="0" xfId="0" applyFont="1"/>
    <xf numFmtId="0" fontId="98" fillId="0" borderId="0" xfId="2357" applyFont="1" applyAlignment="1">
      <alignment horizontal="center"/>
    </xf>
    <xf numFmtId="0" fontId="98" fillId="0" borderId="0" xfId="2357" applyFont="1" applyAlignment="1">
      <alignment horizontal="left"/>
    </xf>
    <xf numFmtId="0" fontId="195" fillId="0" borderId="0" xfId="2357" applyFont="1"/>
    <xf numFmtId="0" fontId="284" fillId="0" borderId="0" xfId="2357" applyFont="1" applyAlignment="1">
      <alignment horizontal="center" vertical="center" wrapText="1"/>
    </xf>
    <xf numFmtId="0" fontId="285" fillId="0" borderId="0" xfId="2357" applyFont="1" applyAlignment="1">
      <alignment horizontal="center" vertical="center" wrapText="1"/>
    </xf>
    <xf numFmtId="0" fontId="286" fillId="0" borderId="0" xfId="2357" applyFont="1" applyAlignment="1">
      <alignment horizontal="center" vertical="center" wrapText="1"/>
    </xf>
    <xf numFmtId="0" fontId="117" fillId="0" borderId="0" xfId="2357" applyFont="1" applyAlignment="1">
      <alignment horizontal="left"/>
    </xf>
    <xf numFmtId="0" fontId="157" fillId="0" borderId="0" xfId="2357" applyFont="1"/>
    <xf numFmtId="0" fontId="136" fillId="0" borderId="0" xfId="2357" applyFont="1" applyAlignment="1">
      <alignment wrapText="1"/>
    </xf>
    <xf numFmtId="0" fontId="98" fillId="0" borderId="0" xfId="0" applyFont="1" applyAlignment="1" applyProtection="1">
      <alignment horizontal="center" vertical="center"/>
      <protection locked="0"/>
    </xf>
    <xf numFmtId="0" fontId="98" fillId="0" borderId="0" xfId="0" applyFont="1" applyAlignment="1" applyProtection="1">
      <alignment vertical="center"/>
      <protection locked="0"/>
    </xf>
    <xf numFmtId="0" fontId="98" fillId="0" borderId="1" xfId="0" applyFont="1" applyBorder="1" applyAlignment="1" applyProtection="1">
      <alignment horizontal="center" vertical="center"/>
      <protection locked="0"/>
    </xf>
    <xf numFmtId="0" fontId="288" fillId="0" borderId="1" xfId="2357" applyFont="1" applyBorder="1" applyAlignment="1" applyProtection="1">
      <alignment vertical="center"/>
      <protection locked="0"/>
    </xf>
    <xf numFmtId="0" fontId="98" fillId="0" borderId="0" xfId="0" applyFont="1" applyAlignment="1" applyProtection="1">
      <alignment horizontal="left" vertical="center" wrapText="1"/>
      <protection locked="0"/>
    </xf>
    <xf numFmtId="0" fontId="97" fillId="0" borderId="1" xfId="2357" applyFont="1" applyBorder="1" applyAlignment="1" applyProtection="1">
      <alignment vertical="center" wrapText="1"/>
      <protection locked="0"/>
    </xf>
    <xf numFmtId="0" fontId="291" fillId="0" borderId="1" xfId="0" applyFont="1" applyBorder="1" applyAlignment="1" applyProtection="1">
      <alignment horizontal="center" vertical="center" wrapText="1"/>
      <protection locked="0"/>
    </xf>
    <xf numFmtId="0" fontId="98" fillId="0" borderId="1" xfId="0" applyFont="1" applyBorder="1" applyAlignment="1" applyProtection="1">
      <alignment horizontal="left"/>
      <protection locked="0"/>
    </xf>
    <xf numFmtId="0" fontId="97" fillId="35" borderId="1" xfId="0" applyFont="1" applyFill="1" applyBorder="1" applyProtection="1">
      <protection locked="0"/>
    </xf>
    <xf numFmtId="210" fontId="292" fillId="35" borderId="1" xfId="206" applyNumberFormat="1" applyFont="1" applyFill="1" applyBorder="1" applyAlignment="1" applyProtection="1">
      <alignment horizontal="center"/>
      <protection locked="0"/>
    </xf>
    <xf numFmtId="0" fontId="97" fillId="0" borderId="1" xfId="0" applyFont="1" applyBorder="1" applyAlignment="1">
      <alignment horizontal="center"/>
    </xf>
    <xf numFmtId="14" fontId="294" fillId="0" borderId="0" xfId="206" applyNumberFormat="1" applyFont="1" applyAlignment="1" applyProtection="1">
      <alignment horizontal="center"/>
      <protection locked="0"/>
    </xf>
    <xf numFmtId="0" fontId="97" fillId="0" borderId="1" xfId="0" applyFont="1" applyBorder="1" applyAlignment="1" applyProtection="1">
      <alignment horizontal="left" wrapText="1"/>
      <protection locked="0"/>
    </xf>
    <xf numFmtId="14" fontId="97" fillId="0" borderId="1" xfId="206" applyNumberFormat="1" applyFont="1" applyBorder="1" applyAlignment="1" applyProtection="1">
      <alignment horizontal="center" vertical="center"/>
      <protection locked="0"/>
    </xf>
    <xf numFmtId="14" fontId="97" fillId="0" borderId="0" xfId="206" applyNumberFormat="1" applyFont="1" applyAlignment="1" applyProtection="1">
      <alignment horizontal="center"/>
      <protection locked="0"/>
    </xf>
    <xf numFmtId="0" fontId="287" fillId="0" borderId="1" xfId="0" applyFont="1" applyBorder="1" applyAlignment="1" applyProtection="1">
      <alignment horizontal="left"/>
      <protection locked="0"/>
    </xf>
    <xf numFmtId="9" fontId="289" fillId="0" borderId="1" xfId="0" applyNumberFormat="1" applyFont="1" applyBorder="1" applyAlignment="1" applyProtection="1">
      <alignment horizontal="center"/>
      <protection locked="0"/>
    </xf>
    <xf numFmtId="0" fontId="98" fillId="0" borderId="2" xfId="0" applyFont="1" applyBorder="1" applyAlignment="1" applyProtection="1">
      <alignment horizontal="center"/>
      <protection locked="0"/>
    </xf>
    <xf numFmtId="0" fontId="97" fillId="0" borderId="1" xfId="0" applyFont="1" applyBorder="1" applyAlignment="1">
      <alignment vertical="center" wrapText="1"/>
    </xf>
    <xf numFmtId="199" fontId="289" fillId="0" borderId="1" xfId="0" applyNumberFormat="1" applyFont="1" applyBorder="1" applyAlignment="1">
      <alignment horizontal="center" vertical="center"/>
    </xf>
    <xf numFmtId="10" fontId="289" fillId="0" borderId="1" xfId="0" applyNumberFormat="1" applyFont="1" applyBorder="1" applyAlignment="1">
      <alignment horizontal="center" vertical="center"/>
    </xf>
    <xf numFmtId="0" fontId="293" fillId="0" borderId="1" xfId="0" applyFont="1" applyBorder="1" applyAlignment="1" applyProtection="1">
      <alignment horizontal="left" vertical="center" wrapText="1"/>
      <protection locked="0"/>
    </xf>
    <xf numFmtId="199" fontId="98" fillId="0" borderId="0" xfId="0" applyNumberFormat="1" applyFont="1" applyAlignment="1" applyProtection="1">
      <alignment horizontal="center" vertical="center"/>
      <protection locked="0"/>
    </xf>
    <xf numFmtId="2" fontId="97" fillId="0" borderId="0" xfId="0" applyNumberFormat="1" applyFont="1"/>
    <xf numFmtId="1" fontId="10" fillId="0" borderId="1" xfId="0" applyNumberFormat="1" applyFont="1" applyBorder="1" applyAlignment="1" applyProtection="1">
      <alignment horizontal="center" vertical="center"/>
      <protection locked="0"/>
    </xf>
    <xf numFmtId="0" fontId="97" fillId="0" borderId="1" xfId="2357" applyFont="1" applyBorder="1" applyAlignment="1" applyProtection="1">
      <alignment horizontal="center" vertical="center"/>
      <protection locked="0"/>
    </xf>
    <xf numFmtId="2" fontId="98" fillId="0" borderId="1" xfId="0" applyNumberFormat="1" applyFont="1" applyBorder="1" applyAlignment="1" applyProtection="1">
      <alignment horizontal="center" vertical="center"/>
      <protection locked="0"/>
    </xf>
    <xf numFmtId="1" fontId="287" fillId="0" borderId="1" xfId="0" applyNumberFormat="1" applyFont="1" applyBorder="1" applyAlignment="1" applyProtection="1">
      <alignment horizontal="left" vertical="center"/>
      <protection locked="0"/>
    </xf>
    <xf numFmtId="0" fontId="287" fillId="0" borderId="1" xfId="2357" applyFont="1" applyBorder="1" applyAlignment="1" applyProtection="1">
      <alignment horizontal="center" vertical="center"/>
      <protection locked="0"/>
    </xf>
    <xf numFmtId="184" fontId="295" fillId="0" borderId="7" xfId="0" applyNumberFormat="1" applyFont="1" applyBorder="1" applyAlignment="1" applyProtection="1">
      <alignment horizontal="left" vertical="center"/>
      <protection locked="0"/>
    </xf>
    <xf numFmtId="2" fontId="98" fillId="0" borderId="7" xfId="0" applyNumberFormat="1" applyFont="1" applyBorder="1" applyAlignment="1" applyProtection="1">
      <alignment horizontal="center" vertical="center" wrapText="1"/>
      <protection locked="0"/>
    </xf>
    <xf numFmtId="1" fontId="287" fillId="0" borderId="7" xfId="0" applyNumberFormat="1" applyFont="1" applyBorder="1" applyAlignment="1" applyProtection="1">
      <alignment horizontal="center" vertical="center"/>
      <protection locked="0"/>
    </xf>
    <xf numFmtId="0" fontId="287" fillId="3" borderId="1" xfId="598" applyFont="1" applyFill="1" applyBorder="1" applyAlignment="1">
      <alignment vertical="top"/>
    </xf>
    <xf numFmtId="1" fontId="287" fillId="3" borderId="10" xfId="0" applyNumberFormat="1" applyFont="1" applyFill="1" applyBorder="1" applyAlignment="1" applyProtection="1">
      <alignment horizontal="center" vertical="center"/>
      <protection locked="0"/>
    </xf>
    <xf numFmtId="1" fontId="287" fillId="3" borderId="5" xfId="0" applyNumberFormat="1" applyFont="1" applyFill="1" applyBorder="1" applyAlignment="1" applyProtection="1">
      <alignment horizontal="center" vertical="center"/>
      <protection locked="0"/>
    </xf>
    <xf numFmtId="0" fontId="98" fillId="0" borderId="1" xfId="598" applyFont="1" applyBorder="1" applyAlignment="1">
      <alignment vertical="top"/>
    </xf>
    <xf numFmtId="0" fontId="288" fillId="0" borderId="0" xfId="2357" applyFont="1" applyAlignment="1">
      <alignment vertical="center"/>
    </xf>
    <xf numFmtId="0" fontId="289" fillId="0" borderId="2" xfId="0" applyFont="1" applyBorder="1" applyAlignment="1" applyProtection="1">
      <alignment horizontal="center" vertical="center" wrapText="1"/>
      <protection locked="0"/>
    </xf>
    <xf numFmtId="0" fontId="287" fillId="0" borderId="1" xfId="598" applyFont="1" applyBorder="1" applyAlignment="1">
      <alignment vertical="top"/>
    </xf>
    <xf numFmtId="0" fontId="289" fillId="0" borderId="0" xfId="0" applyFont="1" applyAlignment="1" applyProtection="1">
      <alignment horizontal="center" vertical="center"/>
      <protection locked="0"/>
    </xf>
    <xf numFmtId="2" fontId="290" fillId="35" borderId="1" xfId="0" applyNumberFormat="1" applyFont="1" applyFill="1" applyBorder="1" applyAlignment="1" applyProtection="1">
      <alignment horizontal="center"/>
      <protection locked="0"/>
    </xf>
    <xf numFmtId="2" fontId="289" fillId="0" borderId="0" xfId="0" applyNumberFormat="1" applyFont="1" applyAlignment="1" applyProtection="1">
      <alignment horizontal="center"/>
      <protection locked="0"/>
    </xf>
    <xf numFmtId="2" fontId="294" fillId="0" borderId="0" xfId="0" applyNumberFormat="1" applyFont="1" applyAlignment="1" applyProtection="1">
      <alignment horizontal="center"/>
      <protection locked="0"/>
    </xf>
    <xf numFmtId="0" fontId="114" fillId="0" borderId="0" xfId="0" applyFont="1"/>
    <xf numFmtId="0" fontId="287" fillId="0" borderId="0" xfId="0" applyFont="1" applyProtection="1">
      <protection locked="0"/>
    </xf>
    <xf numFmtId="0" fontId="114" fillId="0" borderId="0" xfId="0" applyFont="1" applyAlignment="1" applyProtection="1">
      <alignment vertical="center"/>
      <protection locked="0"/>
    </xf>
    <xf numFmtId="0" fontId="98" fillId="0" borderId="0" xfId="0" applyFont="1" applyAlignment="1">
      <alignment horizontal="center" vertical="center"/>
    </xf>
    <xf numFmtId="14" fontId="97" fillId="0" borderId="0" xfId="0" applyNumberFormat="1" applyFont="1" applyAlignment="1">
      <alignment vertical="center"/>
    </xf>
    <xf numFmtId="0" fontId="4" fillId="0" borderId="0" xfId="2438" applyAlignment="1">
      <alignment horizontal="center"/>
    </xf>
    <xf numFmtId="0" fontId="3" fillId="2" borderId="1" xfId="2438" applyFont="1" applyFill="1" applyBorder="1" applyAlignment="1">
      <alignment horizontal="right" vertical="center" wrapText="1"/>
    </xf>
    <xf numFmtId="2" fontId="3" fillId="2" borderId="1" xfId="2438" applyNumberFormat="1" applyFont="1" applyFill="1" applyBorder="1" applyAlignment="1">
      <alignment horizontal="center" vertical="center" wrapText="1"/>
    </xf>
    <xf numFmtId="0" fontId="3" fillId="0" borderId="2" xfId="2438" applyFont="1" applyBorder="1" applyAlignment="1">
      <alignment horizontal="right" wrapText="1"/>
    </xf>
    <xf numFmtId="2" fontId="296" fillId="2" borderId="2" xfId="2438" applyNumberFormat="1" applyFont="1" applyFill="1" applyBorder="1"/>
    <xf numFmtId="0" fontId="4" fillId="0" borderId="0" xfId="2438" applyAlignment="1">
      <alignment horizontal="center" wrapText="1"/>
    </xf>
    <xf numFmtId="4" fontId="9" fillId="0" borderId="0" xfId="2438" applyNumberFormat="1" applyFont="1" applyAlignment="1">
      <alignment horizontal="center" vertical="center" wrapText="1"/>
    </xf>
    <xf numFmtId="4" fontId="7" fillId="0" borderId="0" xfId="2438" applyNumberFormat="1" applyFont="1" applyAlignment="1">
      <alignment horizontal="center" vertical="center" wrapText="1"/>
    </xf>
    <xf numFmtId="4" fontId="4" fillId="0" borderId="0" xfId="2438" applyNumberFormat="1" applyAlignment="1">
      <alignment wrapText="1"/>
    </xf>
    <xf numFmtId="0" fontId="5" fillId="0" borderId="0" xfId="2438" applyFont="1" applyAlignment="1">
      <alignment vertical="center" wrapText="1"/>
    </xf>
    <xf numFmtId="1" fontId="297" fillId="0" borderId="0" xfId="2438" applyNumberFormat="1" applyFont="1" applyAlignment="1">
      <alignment horizontal="center" vertical="center" wrapText="1"/>
    </xf>
    <xf numFmtId="4" fontId="5" fillId="3" borderId="0" xfId="2438" applyNumberFormat="1" applyFont="1" applyFill="1" applyAlignment="1">
      <alignment vertical="center" wrapText="1"/>
    </xf>
    <xf numFmtId="0" fontId="11" fillId="0" borderId="0" xfId="2438" applyFont="1" applyAlignment="1">
      <alignment vertical="center" wrapText="1"/>
    </xf>
    <xf numFmtId="1" fontId="7" fillId="0" borderId="0" xfId="2438" applyNumberFormat="1" applyFont="1" applyAlignment="1">
      <alignment horizontal="center" wrapText="1"/>
    </xf>
    <xf numFmtId="196" fontId="5" fillId="0" borderId="1" xfId="2438" applyNumberFormat="1" applyFont="1" applyBorder="1" applyAlignment="1">
      <alignment horizontal="center" vertical="center" wrapText="1"/>
    </xf>
    <xf numFmtId="2" fontId="5" fillId="0" borderId="1" xfId="2438" applyNumberFormat="1" applyFont="1" applyBorder="1" applyAlignment="1">
      <alignment horizontal="center" vertical="center" wrapText="1"/>
    </xf>
    <xf numFmtId="2" fontId="4" fillId="0" borderId="1" xfId="2438" applyNumberFormat="1" applyBorder="1" applyAlignment="1">
      <alignment horizontal="center" vertical="center" wrapText="1"/>
    </xf>
    <xf numFmtId="0" fontId="238" fillId="0" borderId="0" xfId="2438" applyFont="1"/>
    <xf numFmtId="43" fontId="7" fillId="0" borderId="0" xfId="1151" applyFont="1" applyAlignment="1">
      <alignment horizontal="center"/>
    </xf>
    <xf numFmtId="43" fontId="9" fillId="0" borderId="1" xfId="1151" applyFont="1" applyBorder="1" applyAlignment="1">
      <alignment horizontal="center"/>
    </xf>
    <xf numFmtId="1" fontId="4" fillId="0" borderId="0" xfId="2438" applyNumberFormat="1" applyAlignment="1">
      <alignment horizontal="center"/>
    </xf>
    <xf numFmtId="0" fontId="4" fillId="0" borderId="1" xfId="2438" applyBorder="1" applyAlignment="1">
      <alignment horizontal="left"/>
    </xf>
    <xf numFmtId="0" fontId="36" fillId="0" borderId="91" xfId="0" applyFont="1" applyBorder="1"/>
    <xf numFmtId="0" fontId="36" fillId="0" borderId="91" xfId="0" applyFont="1" applyBorder="1" applyAlignment="1">
      <alignment vertical="center"/>
    </xf>
    <xf numFmtId="0" fontId="24" fillId="0" borderId="91" xfId="0" applyFont="1" applyBorder="1" applyAlignment="1">
      <alignment vertical="center"/>
    </xf>
    <xf numFmtId="0" fontId="298" fillId="3" borderId="91" xfId="0" applyFont="1" applyFill="1" applyBorder="1" applyAlignment="1">
      <alignment vertical="center"/>
    </xf>
    <xf numFmtId="0" fontId="36" fillId="0" borderId="91" xfId="0" applyFont="1" applyBorder="1" applyAlignment="1">
      <alignment horizontal="left" vertical="center"/>
    </xf>
    <xf numFmtId="171" fontId="36" fillId="0" borderId="91" xfId="0" applyNumberFormat="1" applyFont="1" applyBorder="1" applyAlignment="1">
      <alignment vertical="center"/>
    </xf>
    <xf numFmtId="2" fontId="95" fillId="0" borderId="91" xfId="0" applyNumberFormat="1" applyFont="1" applyBorder="1" applyAlignment="1">
      <alignment horizontal="left" vertical="center"/>
    </xf>
    <xf numFmtId="2" fontId="36" fillId="0" borderId="91" xfId="0" applyNumberFormat="1" applyFont="1" applyBorder="1" applyAlignment="1">
      <alignment vertical="center"/>
    </xf>
    <xf numFmtId="2" fontId="36" fillId="0" borderId="91" xfId="0" applyNumberFormat="1" applyFont="1" applyBorder="1" applyAlignment="1">
      <alignment horizontal="left" vertical="center"/>
    </xf>
    <xf numFmtId="0" fontId="36" fillId="0" borderId="1" xfId="0" applyFont="1" applyBorder="1" applyAlignment="1">
      <alignment horizontal="left" vertical="center"/>
    </xf>
    <xf numFmtId="0" fontId="90" fillId="0" borderId="91" xfId="0" applyFont="1" applyBorder="1" applyAlignment="1" applyProtection="1">
      <alignment horizontal="left" vertical="top"/>
      <protection hidden="1"/>
    </xf>
    <xf numFmtId="0" fontId="36" fillId="0" borderId="91" xfId="0" applyFont="1" applyBorder="1" applyAlignment="1" applyProtection="1">
      <alignment horizontal="left" vertical="top"/>
      <protection hidden="1"/>
    </xf>
    <xf numFmtId="0" fontId="36" fillId="0" borderId="91" xfId="0" applyFont="1" applyBorder="1" applyAlignment="1" applyProtection="1">
      <alignment horizontal="center"/>
      <protection hidden="1"/>
    </xf>
    <xf numFmtId="0" fontId="95" fillId="0" borderId="91" xfId="0" applyFont="1" applyBorder="1" applyAlignment="1" applyProtection="1">
      <alignment horizontal="left" vertical="center"/>
      <protection hidden="1"/>
    </xf>
    <xf numFmtId="2" fontId="95" fillId="0" borderId="93" xfId="0" applyNumberFormat="1" applyFont="1" applyBorder="1" applyAlignment="1" applyProtection="1">
      <alignment vertical="center"/>
      <protection hidden="1"/>
    </xf>
    <xf numFmtId="2" fontId="95" fillId="0" borderId="94" xfId="0" applyNumberFormat="1" applyFont="1" applyBorder="1" applyAlignment="1" applyProtection="1">
      <alignment vertical="center"/>
      <protection hidden="1"/>
    </xf>
    <xf numFmtId="2" fontId="95" fillId="0" borderId="95" xfId="0" applyNumberFormat="1" applyFont="1" applyBorder="1" applyAlignment="1" applyProtection="1">
      <alignment vertical="center"/>
      <protection hidden="1"/>
    </xf>
    <xf numFmtId="2" fontId="36" fillId="0" borderId="91" xfId="0" applyNumberFormat="1" applyFont="1" applyBorder="1" applyAlignment="1" applyProtection="1">
      <alignment horizontal="center"/>
      <protection hidden="1"/>
    </xf>
    <xf numFmtId="0" fontId="95" fillId="0" borderId="91" xfId="0" applyFont="1" applyBorder="1" applyAlignment="1" applyProtection="1">
      <alignment horizontal="center"/>
      <protection hidden="1"/>
    </xf>
    <xf numFmtId="184" fontId="36" fillId="0" borderId="91" xfId="0" applyNumberFormat="1" applyFont="1" applyBorder="1" applyAlignment="1" applyProtection="1">
      <alignment horizontal="center"/>
      <protection hidden="1"/>
    </xf>
    <xf numFmtId="2" fontId="36" fillId="0" borderId="91" xfId="0" applyNumberFormat="1" applyFont="1" applyBorder="1" applyAlignment="1" applyProtection="1">
      <alignment horizontal="left" vertical="center"/>
      <protection hidden="1"/>
    </xf>
    <xf numFmtId="2" fontId="36" fillId="0" borderId="91" xfId="0" applyNumberFormat="1" applyFont="1" applyBorder="1" applyAlignment="1">
      <alignment horizontal="center" vertical="center"/>
    </xf>
    <xf numFmtId="9" fontId="36" fillId="0" borderId="91" xfId="0" applyNumberFormat="1" applyFont="1" applyBorder="1" applyAlignment="1">
      <alignment horizontal="right" vertical="center"/>
    </xf>
    <xf numFmtId="0" fontId="300" fillId="0" borderId="91" xfId="0" applyFont="1" applyBorder="1" applyAlignment="1" applyProtection="1">
      <alignment horizontal="left" vertical="center"/>
      <protection hidden="1"/>
    </xf>
    <xf numFmtId="2" fontId="24" fillId="0" borderId="91" xfId="0" applyNumberFormat="1" applyFont="1" applyBorder="1" applyAlignment="1" applyProtection="1">
      <alignment horizontal="left" vertical="center" wrapText="1"/>
      <protection hidden="1"/>
    </xf>
    <xf numFmtId="2" fontId="36" fillId="0" borderId="91" xfId="0" applyNumberFormat="1" applyFont="1" applyBorder="1" applyAlignment="1">
      <alignment horizontal="right" vertical="center"/>
    </xf>
    <xf numFmtId="10" fontId="36" fillId="0" borderId="91" xfId="0" applyNumberFormat="1" applyFont="1" applyBorder="1" applyAlignment="1">
      <alignment horizontal="right" vertical="center"/>
    </xf>
    <xf numFmtId="2" fontId="36" fillId="0" borderId="91" xfId="0" applyNumberFormat="1" applyFont="1" applyBorder="1" applyAlignment="1" applyProtection="1">
      <alignment horizontal="center" vertical="top"/>
      <protection hidden="1"/>
    </xf>
    <xf numFmtId="2" fontId="301" fillId="0" borderId="91" xfId="0" applyNumberFormat="1" applyFont="1" applyBorder="1" applyAlignment="1" applyProtection="1">
      <alignment horizontal="center" vertical="top"/>
      <protection hidden="1"/>
    </xf>
    <xf numFmtId="0" fontId="36" fillId="0" borderId="91" xfId="0" applyFont="1" applyBorder="1" applyAlignment="1" applyProtection="1">
      <alignment horizontal="left" vertical="center"/>
      <protection hidden="1"/>
    </xf>
    <xf numFmtId="0" fontId="36" fillId="0" borderId="91" xfId="0" applyFont="1" applyBorder="1" applyAlignment="1">
      <alignment horizontal="left" vertical="top"/>
    </xf>
    <xf numFmtId="0" fontId="95" fillId="0" borderId="91" xfId="0" applyFont="1" applyBorder="1" applyAlignment="1">
      <alignment horizontal="left" vertical="top"/>
    </xf>
    <xf numFmtId="0" fontId="95" fillId="0" borderId="91" xfId="0" applyFont="1" applyBorder="1" applyAlignment="1">
      <alignment horizontal="center" vertical="center"/>
    </xf>
    <xf numFmtId="0" fontId="95" fillId="0" borderId="91" xfId="0" applyFont="1" applyBorder="1" applyAlignment="1">
      <alignment horizontal="left" vertical="center"/>
    </xf>
    <xf numFmtId="0" fontId="95" fillId="0" borderId="91" xfId="0" applyFont="1" applyBorder="1" applyAlignment="1">
      <alignment horizontal="center" vertical="center" wrapText="1"/>
    </xf>
    <xf numFmtId="0" fontId="95" fillId="0" borderId="91" xfId="0" applyFont="1" applyBorder="1" applyAlignment="1">
      <alignment horizontal="right" vertical="center"/>
    </xf>
    <xf numFmtId="0" fontId="36" fillId="0" borderId="91" xfId="0" applyFont="1" applyBorder="1" applyAlignment="1">
      <alignment horizontal="center" vertical="center"/>
    </xf>
    <xf numFmtId="2" fontId="36" fillId="0" borderId="91" xfId="0" applyNumberFormat="1" applyFont="1" applyBorder="1" applyAlignment="1">
      <alignment horizontal="right" vertical="center" wrapText="1"/>
    </xf>
    <xf numFmtId="2" fontId="36" fillId="0" borderId="91" xfId="0" applyNumberFormat="1" applyFont="1" applyBorder="1" applyAlignment="1">
      <alignment horizontal="left" vertical="center" wrapText="1"/>
    </xf>
    <xf numFmtId="2" fontId="36" fillId="0" borderId="91" xfId="0" applyNumberFormat="1" applyFont="1" applyBorder="1" applyAlignment="1">
      <alignment horizontal="center" vertical="center" wrapText="1"/>
    </xf>
    <xf numFmtId="0" fontId="36" fillId="0" borderId="91" xfId="0" applyFont="1" applyBorder="1" applyAlignment="1">
      <alignment horizontal="left" vertical="center" wrapText="1"/>
    </xf>
    <xf numFmtId="0" fontId="95" fillId="0" borderId="91" xfId="0" applyFont="1" applyBorder="1" applyAlignment="1">
      <alignment horizontal="center" vertical="top"/>
    </xf>
    <xf numFmtId="2" fontId="95" fillId="0" borderId="91" xfId="0" applyNumberFormat="1" applyFont="1" applyBorder="1" applyAlignment="1">
      <alignment vertical="center"/>
    </xf>
    <xf numFmtId="171" fontId="95" fillId="0" borderId="1" xfId="0" applyNumberFormat="1" applyFont="1" applyBorder="1" applyAlignment="1">
      <alignment horizontal="center" vertical="center" wrapText="1"/>
    </xf>
    <xf numFmtId="0" fontId="36" fillId="0" borderId="95" xfId="0" applyFont="1" applyBorder="1" applyAlignment="1">
      <alignment vertical="center"/>
    </xf>
    <xf numFmtId="0" fontId="36" fillId="0" borderId="91" xfId="0" applyFont="1" applyBorder="1" applyAlignment="1" applyProtection="1">
      <alignment horizontal="right"/>
      <protection hidden="1"/>
    </xf>
    <xf numFmtId="2" fontId="36" fillId="0" borderId="91" xfId="0" applyNumberFormat="1" applyFont="1" applyBorder="1" applyAlignment="1" applyProtection="1">
      <alignment horizontal="right"/>
      <protection hidden="1"/>
    </xf>
    <xf numFmtId="2" fontId="95" fillId="0" borderId="91" xfId="0" applyNumberFormat="1" applyFont="1" applyBorder="1" applyAlignment="1" applyProtection="1">
      <alignment horizontal="center"/>
      <protection hidden="1"/>
    </xf>
    <xf numFmtId="2" fontId="95" fillId="0" borderId="91" xfId="0" applyNumberFormat="1" applyFont="1" applyBorder="1" applyAlignment="1" applyProtection="1">
      <alignment horizontal="right"/>
      <protection hidden="1"/>
    </xf>
    <xf numFmtId="0" fontId="36" fillId="0" borderId="91" xfId="0" applyFont="1" applyBorder="1" applyAlignment="1" applyProtection="1">
      <alignment horizontal="center" vertical="top"/>
      <protection hidden="1"/>
    </xf>
    <xf numFmtId="2" fontId="36" fillId="0" borderId="91" xfId="0" applyNumberFormat="1" applyFont="1" applyBorder="1" applyAlignment="1" applyProtection="1">
      <alignment horizontal="right" vertical="top"/>
      <protection hidden="1"/>
    </xf>
    <xf numFmtId="2" fontId="95" fillId="0" borderId="91" xfId="0" applyNumberFormat="1" applyFont="1" applyBorder="1" applyAlignment="1" applyProtection="1">
      <alignment horizontal="right" vertical="top"/>
      <protection hidden="1"/>
    </xf>
    <xf numFmtId="0" fontId="95" fillId="0" borderId="91" xfId="0" applyFont="1" applyBorder="1" applyAlignment="1">
      <alignment horizontal="right" vertical="center" wrapText="1"/>
    </xf>
    <xf numFmtId="2" fontId="95" fillId="0" borderId="91" xfId="0" applyNumberFormat="1" applyFont="1" applyBorder="1" applyAlignment="1">
      <alignment horizontal="right" vertical="center"/>
    </xf>
    <xf numFmtId="0" fontId="36" fillId="0" borderId="91" xfId="0" applyFont="1" applyBorder="1" applyAlignment="1">
      <alignment horizontal="right" vertical="center"/>
    </xf>
    <xf numFmtId="2" fontId="36" fillId="0" borderId="91" xfId="0" applyNumberFormat="1" applyFont="1" applyBorder="1" applyAlignment="1">
      <alignment horizontal="right"/>
    </xf>
    <xf numFmtId="2" fontId="96" fillId="0" borderId="91" xfId="0" applyNumberFormat="1" applyFont="1" applyBorder="1" applyAlignment="1">
      <alignment horizontal="right" vertical="center"/>
    </xf>
    <xf numFmtId="1" fontId="95" fillId="0" borderId="91" xfId="0" applyNumberFormat="1" applyFont="1" applyBorder="1" applyAlignment="1">
      <alignment horizontal="right" vertical="center"/>
    </xf>
    <xf numFmtId="2" fontId="298" fillId="0" borderId="91" xfId="0" applyNumberFormat="1" applyFont="1" applyBorder="1" applyAlignment="1">
      <alignment horizontal="center" vertical="center"/>
    </xf>
    <xf numFmtId="2" fontId="298" fillId="0" borderId="91" xfId="0" applyNumberFormat="1" applyFont="1" applyBorder="1" applyAlignment="1">
      <alignment horizontal="right" vertical="center"/>
    </xf>
    <xf numFmtId="2" fontId="36" fillId="0" borderId="94" xfId="0" applyNumberFormat="1" applyFont="1" applyBorder="1" applyAlignment="1">
      <alignment horizontal="center" vertical="center"/>
    </xf>
    <xf numFmtId="2" fontId="95" fillId="0" borderId="91" xfId="0" applyNumberFormat="1" applyFont="1" applyBorder="1" applyAlignment="1">
      <alignment horizontal="center" vertical="center"/>
    </xf>
    <xf numFmtId="2" fontId="96" fillId="0" borderId="91" xfId="0" applyNumberFormat="1" applyFont="1" applyBorder="1" applyAlignment="1">
      <alignment horizontal="center" vertical="center"/>
    </xf>
    <xf numFmtId="211" fontId="36" fillId="0" borderId="91" xfId="0" applyNumberFormat="1" applyFont="1" applyBorder="1" applyAlignment="1">
      <alignment horizontal="right" vertical="center"/>
    </xf>
    <xf numFmtId="0" fontId="24" fillId="0" borderId="91" xfId="0" applyFont="1" applyBorder="1" applyAlignment="1">
      <alignment horizontal="left" vertical="top"/>
    </xf>
    <xf numFmtId="0" fontId="24" fillId="0" borderId="91" xfId="0" applyFont="1" applyBorder="1" applyAlignment="1">
      <alignment horizontal="left" vertical="center"/>
    </xf>
    <xf numFmtId="2" fontId="24" fillId="0" borderId="91" xfId="0" applyNumberFormat="1" applyFont="1" applyBorder="1" applyAlignment="1">
      <alignment vertical="center"/>
    </xf>
    <xf numFmtId="0" fontId="3" fillId="0" borderId="91" xfId="0" applyFont="1" applyBorder="1" applyAlignment="1">
      <alignment horizontal="left" vertical="center"/>
    </xf>
    <xf numFmtId="2" fontId="230" fillId="0" borderId="91" xfId="0" applyNumberFormat="1" applyFont="1" applyBorder="1" applyAlignment="1">
      <alignment vertical="center"/>
    </xf>
    <xf numFmtId="0" fontId="3" fillId="0" borderId="91" xfId="0" applyFont="1" applyBorder="1" applyAlignment="1">
      <alignment horizontal="right" vertical="center"/>
    </xf>
    <xf numFmtId="2" fontId="3" fillId="0" borderId="91" xfId="0" applyNumberFormat="1" applyFont="1" applyBorder="1" applyAlignment="1">
      <alignment vertical="center"/>
    </xf>
    <xf numFmtId="2" fontId="24" fillId="0" borderId="91" xfId="0" applyNumberFormat="1" applyFont="1" applyBorder="1" applyAlignment="1">
      <alignment horizontal="right" vertical="center"/>
    </xf>
    <xf numFmtId="2" fontId="24" fillId="0" borderId="91" xfId="0" applyNumberFormat="1" applyFont="1" applyBorder="1" applyAlignment="1">
      <alignment horizontal="center" vertical="center"/>
    </xf>
    <xf numFmtId="9" fontId="24" fillId="0" borderId="91" xfId="0" applyNumberFormat="1" applyFont="1" applyBorder="1" applyAlignment="1">
      <alignment horizontal="right" vertical="center"/>
    </xf>
    <xf numFmtId="2" fontId="24" fillId="0" borderId="91" xfId="0" applyNumberFormat="1" applyFont="1" applyBorder="1" applyAlignment="1">
      <alignment horizontal="left" vertical="center"/>
    </xf>
    <xf numFmtId="211" fontId="24" fillId="0" borderId="91" xfId="0" applyNumberFormat="1" applyFont="1" applyBorder="1" applyAlignment="1">
      <alignment horizontal="right" vertical="center"/>
    </xf>
    <xf numFmtId="0" fontId="24" fillId="0" borderId="91" xfId="0" applyFont="1" applyBorder="1" applyAlignment="1">
      <alignment horizontal="center" vertical="center"/>
    </xf>
    <xf numFmtId="2" fontId="3" fillId="0" borderId="91" xfId="0" applyNumberFormat="1" applyFont="1" applyBorder="1" applyAlignment="1">
      <alignment horizontal="center" vertical="center"/>
    </xf>
    <xf numFmtId="2" fontId="230" fillId="0" borderId="91" xfId="0" applyNumberFormat="1" applyFont="1" applyBorder="1" applyAlignment="1">
      <alignment horizontal="center" vertical="center"/>
    </xf>
    <xf numFmtId="0" fontId="36" fillId="0" borderId="91" xfId="0" applyFont="1" applyBorder="1" applyAlignment="1">
      <alignment horizontal="left" vertical="top" wrapText="1"/>
    </xf>
    <xf numFmtId="2" fontId="36" fillId="0" borderId="91" xfId="0" applyNumberFormat="1" applyFont="1" applyBorder="1" applyAlignment="1">
      <alignment vertical="center" shrinkToFit="1"/>
    </xf>
    <xf numFmtId="0" fontId="36" fillId="3" borderId="91" xfId="0" applyFont="1" applyFill="1" applyBorder="1" applyAlignment="1">
      <alignment horizontal="left" vertical="center"/>
    </xf>
    <xf numFmtId="0" fontId="36" fillId="3" borderId="91" xfId="0" applyFont="1" applyFill="1" applyBorder="1" applyAlignment="1">
      <alignment vertical="center"/>
    </xf>
    <xf numFmtId="2" fontId="36" fillId="3" borderId="91" xfId="0" applyNumberFormat="1" applyFont="1" applyFill="1" applyBorder="1" applyAlignment="1">
      <alignment vertical="center"/>
    </xf>
    <xf numFmtId="2" fontId="36" fillId="3" borderId="91" xfId="0" applyNumberFormat="1" applyFont="1" applyFill="1" applyBorder="1" applyAlignment="1">
      <alignment horizontal="center" vertical="center"/>
    </xf>
    <xf numFmtId="2" fontId="95" fillId="3" borderId="91" xfId="0" applyNumberFormat="1" applyFont="1" applyFill="1" applyBorder="1" applyAlignment="1">
      <alignment horizontal="center" vertical="center"/>
    </xf>
    <xf numFmtId="184" fontId="36" fillId="0" borderId="91" xfId="0" applyNumberFormat="1" applyFont="1" applyBorder="1" applyAlignment="1">
      <alignment horizontal="right" vertical="center"/>
    </xf>
    <xf numFmtId="0" fontId="36" fillId="0" borderId="93" xfId="0" applyFont="1" applyBorder="1" applyAlignment="1">
      <alignment vertical="center"/>
    </xf>
    <xf numFmtId="0" fontId="36" fillId="0" borderId="94" xfId="0" applyFont="1" applyBorder="1" applyAlignment="1">
      <alignment vertical="center"/>
    </xf>
    <xf numFmtId="2" fontId="36" fillId="0" borderId="94" xfId="0" applyNumberFormat="1" applyFont="1" applyBorder="1" applyAlignment="1">
      <alignment vertical="center"/>
    </xf>
    <xf numFmtId="1" fontId="95" fillId="0" borderId="91" xfId="0" applyNumberFormat="1" applyFont="1" applyBorder="1" applyAlignment="1">
      <alignment horizontal="center" vertical="center"/>
    </xf>
    <xf numFmtId="2" fontId="95" fillId="0" borderId="95" xfId="0" applyNumberFormat="1" applyFont="1" applyBorder="1" applyAlignment="1">
      <alignment horizontal="center" vertical="center"/>
    </xf>
    <xf numFmtId="0" fontId="298" fillId="0" borderId="91" xfId="0" applyFont="1" applyBorder="1" applyAlignment="1">
      <alignment horizontal="left" vertical="center"/>
    </xf>
    <xf numFmtId="0" fontId="36" fillId="0" borderId="91" xfId="0" applyFont="1" applyBorder="1" applyAlignment="1">
      <alignment horizontal="left"/>
    </xf>
    <xf numFmtId="2" fontId="95" fillId="0" borderId="91" xfId="0" applyNumberFormat="1" applyFont="1" applyBorder="1" applyAlignment="1" applyProtection="1">
      <alignment horizontal="left" vertical="center"/>
      <protection hidden="1"/>
    </xf>
    <xf numFmtId="0" fontId="36" fillId="0" borderId="91" xfId="0" applyFont="1" applyBorder="1" applyAlignment="1" applyProtection="1">
      <alignment horizontal="left"/>
      <protection hidden="1"/>
    </xf>
    <xf numFmtId="2" fontId="36" fillId="0" borderId="91" xfId="0" applyNumberFormat="1" applyFont="1" applyBorder="1" applyAlignment="1" applyProtection="1">
      <alignment horizontal="left"/>
      <protection hidden="1"/>
    </xf>
    <xf numFmtId="0" fontId="95" fillId="0" borderId="91" xfId="0" applyFont="1" applyBorder="1" applyAlignment="1" applyProtection="1">
      <alignment horizontal="left"/>
      <protection hidden="1"/>
    </xf>
    <xf numFmtId="2" fontId="36" fillId="0" borderId="91" xfId="0" applyNumberFormat="1" applyFont="1" applyBorder="1" applyAlignment="1" applyProtection="1">
      <alignment horizontal="left" vertical="top"/>
      <protection hidden="1"/>
    </xf>
    <xf numFmtId="0" fontId="95" fillId="0" borderId="91" xfId="0" applyFont="1" applyBorder="1" applyAlignment="1" applyProtection="1">
      <alignment horizontal="center" vertical="center"/>
      <protection hidden="1"/>
    </xf>
    <xf numFmtId="2" fontId="36" fillId="0" borderId="93" xfId="0" applyNumberFormat="1" applyFont="1" applyBorder="1" applyAlignment="1" applyProtection="1">
      <alignment horizontal="center"/>
      <protection hidden="1"/>
    </xf>
    <xf numFmtId="2" fontId="36" fillId="0" borderId="94" xfId="0" applyNumberFormat="1" applyFont="1" applyBorder="1" applyAlignment="1" applyProtection="1">
      <alignment horizontal="center"/>
      <protection hidden="1"/>
    </xf>
    <xf numFmtId="0" fontId="95" fillId="0" borderId="94" xfId="0" applyFont="1" applyBorder="1" applyAlignment="1" applyProtection="1">
      <alignment horizontal="center" vertical="center"/>
      <protection hidden="1"/>
    </xf>
    <xf numFmtId="2" fontId="36" fillId="0" borderId="94" xfId="0" applyNumberFormat="1" applyFont="1" applyBorder="1" applyAlignment="1" applyProtection="1">
      <alignment horizontal="center" vertical="top"/>
      <protection hidden="1"/>
    </xf>
    <xf numFmtId="0" fontId="24" fillId="0" borderId="91" xfId="0" applyFont="1" applyBorder="1" applyAlignment="1" applyProtection="1">
      <alignment horizontal="left" vertical="top" wrapText="1"/>
      <protection hidden="1"/>
    </xf>
    <xf numFmtId="0" fontId="24" fillId="0" borderId="91" xfId="0" applyFont="1" applyBorder="1" applyAlignment="1" applyProtection="1">
      <alignment horizontal="left" vertical="top"/>
      <protection hidden="1"/>
    </xf>
    <xf numFmtId="0" fontId="24" fillId="0" borderId="91" xfId="0" applyFont="1" applyBorder="1" applyAlignment="1" applyProtection="1">
      <alignment horizontal="center"/>
      <protection hidden="1"/>
    </xf>
    <xf numFmtId="0" fontId="3" fillId="0" borderId="91" xfId="0" applyFont="1" applyBorder="1" applyAlignment="1" applyProtection="1">
      <alignment horizontal="left" vertical="center"/>
      <protection hidden="1"/>
    </xf>
    <xf numFmtId="2" fontId="3" fillId="0" borderId="91" xfId="0" applyNumberFormat="1" applyFont="1" applyBorder="1" applyAlignment="1" applyProtection="1">
      <alignment horizontal="left" vertical="center"/>
      <protection hidden="1"/>
    </xf>
    <xf numFmtId="2" fontId="95" fillId="0" borderId="91" xfId="0" applyNumberFormat="1" applyFont="1" applyBorder="1" applyAlignment="1" applyProtection="1">
      <alignment horizontal="center" vertical="top"/>
      <protection hidden="1"/>
    </xf>
    <xf numFmtId="2" fontId="95" fillId="0" borderId="95" xfId="0" applyNumberFormat="1" applyFont="1" applyBorder="1" applyAlignment="1" applyProtection="1">
      <alignment horizontal="right"/>
      <protection hidden="1"/>
    </xf>
    <xf numFmtId="0" fontId="3" fillId="0" borderId="91" xfId="0" applyFont="1" applyBorder="1" applyAlignment="1" applyProtection="1">
      <alignment horizontal="center"/>
      <protection hidden="1"/>
    </xf>
    <xf numFmtId="2" fontId="3" fillId="0" borderId="91" xfId="0" applyNumberFormat="1" applyFont="1" applyBorder="1" applyAlignment="1" applyProtection="1">
      <alignment horizontal="right"/>
      <protection hidden="1"/>
    </xf>
    <xf numFmtId="0" fontId="24" fillId="0" borderId="91" xfId="0" applyFont="1" applyBorder="1" applyAlignment="1" applyProtection="1">
      <alignment horizontal="right"/>
      <protection hidden="1"/>
    </xf>
    <xf numFmtId="9" fontId="95" fillId="0" borderId="91" xfId="0" applyNumberFormat="1" applyFont="1" applyBorder="1" applyAlignment="1">
      <alignment horizontal="right" vertical="center"/>
    </xf>
    <xf numFmtId="2" fontId="36" fillId="0" borderId="91" xfId="0" applyNumberFormat="1" applyFont="1" applyBorder="1" applyAlignment="1">
      <alignment horizontal="left" vertical="top"/>
    </xf>
    <xf numFmtId="0" fontId="298" fillId="0" borderId="91" xfId="0" applyFont="1" applyBorder="1" applyAlignment="1" applyProtection="1">
      <alignment horizontal="center"/>
      <protection hidden="1"/>
    </xf>
    <xf numFmtId="0" fontId="298" fillId="0" borderId="91" xfId="0" applyFont="1" applyBorder="1" applyAlignment="1" applyProtection="1">
      <alignment horizontal="right"/>
      <protection hidden="1"/>
    </xf>
    <xf numFmtId="2" fontId="36" fillId="36" borderId="91" xfId="0" applyNumberFormat="1" applyFont="1" applyFill="1" applyBorder="1" applyAlignment="1" applyProtection="1">
      <alignment horizontal="center"/>
      <protection hidden="1"/>
    </xf>
    <xf numFmtId="2" fontId="36" fillId="36" borderId="91" xfId="0" applyNumberFormat="1" applyFont="1" applyFill="1" applyBorder="1" applyAlignment="1" applyProtection="1">
      <alignment horizontal="center" vertical="top"/>
      <protection hidden="1"/>
    </xf>
    <xf numFmtId="2" fontId="95" fillId="36" borderId="91" xfId="0" applyNumberFormat="1" applyFont="1" applyFill="1" applyBorder="1" applyAlignment="1" applyProtection="1">
      <alignment horizontal="right"/>
      <protection hidden="1"/>
    </xf>
    <xf numFmtId="0" fontId="36" fillId="0" borderId="91" xfId="0" applyFont="1" applyBorder="1" applyAlignment="1" applyProtection="1">
      <alignment horizontal="left" vertical="top" wrapText="1"/>
      <protection hidden="1"/>
    </xf>
    <xf numFmtId="0" fontId="95" fillId="0" borderId="91" xfId="0" applyFont="1" applyBorder="1" applyAlignment="1" applyProtection="1">
      <alignment horizontal="left" vertical="top"/>
      <protection hidden="1"/>
    </xf>
    <xf numFmtId="171" fontId="301" fillId="0" borderId="91" xfId="0" applyNumberFormat="1" applyFont="1" applyBorder="1" applyAlignment="1" applyProtection="1">
      <alignment horizontal="center" vertical="top"/>
      <protection hidden="1"/>
    </xf>
    <xf numFmtId="0" fontId="301" fillId="0" borderId="91" xfId="0" applyFont="1" applyBorder="1" applyAlignment="1" applyProtection="1">
      <alignment horizontal="left" vertical="center" wrapText="1"/>
      <protection hidden="1"/>
    </xf>
    <xf numFmtId="2" fontId="300" fillId="0" borderId="91" xfId="0" applyNumberFormat="1" applyFont="1" applyBorder="1" applyAlignment="1" applyProtection="1">
      <alignment horizontal="left" vertical="center"/>
      <protection hidden="1"/>
    </xf>
    <xf numFmtId="2" fontId="95" fillId="0" borderId="96" xfId="0" applyNumberFormat="1" applyFont="1" applyBorder="1" applyAlignment="1" applyProtection="1">
      <alignment horizontal="center"/>
      <protection hidden="1"/>
    </xf>
    <xf numFmtId="0" fontId="95" fillId="0" borderId="93" xfId="0" applyFont="1" applyBorder="1" applyAlignment="1" applyProtection="1">
      <alignment vertical="center"/>
      <protection hidden="1"/>
    </xf>
    <xf numFmtId="0" fontId="95" fillId="0" borderId="94" xfId="0" applyFont="1" applyBorder="1" applyAlignment="1" applyProtection="1">
      <alignment vertical="center"/>
      <protection hidden="1"/>
    </xf>
    <xf numFmtId="0" fontId="95" fillId="0" borderId="95" xfId="0" applyFont="1" applyBorder="1" applyAlignment="1" applyProtection="1">
      <alignment vertical="center"/>
      <protection hidden="1"/>
    </xf>
    <xf numFmtId="0" fontId="95" fillId="0" borderId="91" xfId="0" applyFont="1" applyBorder="1" applyAlignment="1" applyProtection="1">
      <alignment horizontal="center" vertical="top"/>
      <protection hidden="1"/>
    </xf>
    <xf numFmtId="181" fontId="36" fillId="0" borderId="91" xfId="0" applyNumberFormat="1" applyFont="1" applyBorder="1" applyAlignment="1" applyProtection="1">
      <alignment horizontal="center"/>
      <protection hidden="1"/>
    </xf>
    <xf numFmtId="0" fontId="300" fillId="0" borderId="93" xfId="0" applyFont="1" applyBorder="1" applyAlignment="1" applyProtection="1">
      <alignment vertical="center"/>
      <protection hidden="1"/>
    </xf>
    <xf numFmtId="0" fontId="300" fillId="0" borderId="94" xfId="0" applyFont="1" applyBorder="1" applyAlignment="1" applyProtection="1">
      <alignment vertical="center"/>
      <protection hidden="1"/>
    </xf>
    <xf numFmtId="0" fontId="300" fillId="0" borderId="95" xfId="0" applyFont="1" applyBorder="1" applyAlignment="1" applyProtection="1">
      <alignment vertical="center"/>
      <protection hidden="1"/>
    </xf>
    <xf numFmtId="0" fontId="95" fillId="0" borderId="93" xfId="0" applyFont="1" applyBorder="1" applyProtection="1">
      <protection hidden="1"/>
    </xf>
    <xf numFmtId="0" fontId="95" fillId="0" borderId="94" xfId="0" applyFont="1" applyBorder="1" applyProtection="1">
      <protection hidden="1"/>
    </xf>
    <xf numFmtId="0" fontId="95" fillId="0" borderId="95" xfId="0" applyFont="1" applyBorder="1" applyProtection="1">
      <protection hidden="1"/>
    </xf>
    <xf numFmtId="184" fontId="298" fillId="0" borderId="91" xfId="0" applyNumberFormat="1" applyFont="1" applyBorder="1" applyAlignment="1">
      <alignment horizontal="right" vertical="center"/>
    </xf>
    <xf numFmtId="2" fontId="298" fillId="0" borderId="91" xfId="0" applyNumberFormat="1" applyFont="1" applyBorder="1" applyAlignment="1">
      <alignment horizontal="center" vertical="center" wrapText="1"/>
    </xf>
    <xf numFmtId="0" fontId="4" fillId="0" borderId="2" xfId="2438" quotePrefix="1" applyBorder="1" applyAlignment="1">
      <alignment horizontal="center" wrapText="1"/>
    </xf>
    <xf numFmtId="171" fontId="105" fillId="0" borderId="8" xfId="2477" quotePrefix="1" applyNumberFormat="1" applyFont="1" applyBorder="1" applyAlignment="1">
      <alignment horizontal="center" vertical="center" wrapText="1"/>
    </xf>
    <xf numFmtId="2" fontId="106" fillId="0" borderId="1" xfId="3771" quotePrefix="1" applyNumberFormat="1" applyFont="1" applyBorder="1" applyAlignment="1">
      <alignment horizontal="center" vertical="top"/>
    </xf>
    <xf numFmtId="14" fontId="73" fillId="0" borderId="1" xfId="598" quotePrefix="1" applyNumberFormat="1" applyFont="1" applyBorder="1" applyAlignment="1">
      <alignment horizontal="center" vertical="top" wrapText="1"/>
    </xf>
    <xf numFmtId="3" fontId="97" fillId="0" borderId="1" xfId="0" applyNumberFormat="1" applyFont="1" applyBorder="1" applyAlignment="1" applyProtection="1">
      <alignment horizontal="center" vertical="center"/>
      <protection locked="0"/>
    </xf>
    <xf numFmtId="173" fontId="346" fillId="0" borderId="1" xfId="0" applyNumberFormat="1" applyFont="1" applyBorder="1" applyAlignment="1" applyProtection="1">
      <alignment horizontal="center" vertical="top"/>
      <protection locked="0"/>
    </xf>
    <xf numFmtId="202" fontId="346" fillId="0" borderId="1" xfId="0" applyNumberFormat="1" applyFont="1" applyBorder="1" applyAlignment="1" applyProtection="1">
      <alignment horizontal="center" vertical="top"/>
      <protection locked="0"/>
    </xf>
    <xf numFmtId="3" fontId="347" fillId="0" borderId="1" xfId="0" applyNumberFormat="1" applyFont="1" applyBorder="1" applyAlignment="1" applyProtection="1">
      <alignment horizontal="center" vertical="center"/>
      <protection locked="0"/>
    </xf>
    <xf numFmtId="0" fontId="346" fillId="0" borderId="1" xfId="0" applyFont="1" applyBorder="1" applyAlignment="1" applyProtection="1">
      <alignment horizontal="left" vertical="top"/>
      <protection locked="0"/>
    </xf>
    <xf numFmtId="0" fontId="346" fillId="0" borderId="1" xfId="0" applyFont="1" applyBorder="1" applyAlignment="1">
      <alignment vertical="center"/>
    </xf>
    <xf numFmtId="0" fontId="347" fillId="0" borderId="1" xfId="0" applyFont="1" applyBorder="1" applyAlignment="1" applyProtection="1">
      <alignment horizontal="left" vertical="top"/>
      <protection locked="0"/>
    </xf>
    <xf numFmtId="0" fontId="105" fillId="0" borderId="1" xfId="3468" applyFont="1" applyBorder="1" applyAlignment="1">
      <alignment horizontal="center" vertical="top"/>
    </xf>
    <xf numFmtId="1" fontId="105" fillId="0" borderId="1" xfId="3468" applyNumberFormat="1" applyFont="1" applyBorder="1" applyAlignment="1">
      <alignment horizontal="center" vertical="top" wrapText="1"/>
    </xf>
    <xf numFmtId="0" fontId="362" fillId="0" borderId="1" xfId="1587" applyFont="1" applyBorder="1" applyAlignment="1">
      <alignment horizontal="center" vertical="center" wrapText="1"/>
    </xf>
    <xf numFmtId="0" fontId="394" fillId="0" borderId="0" xfId="4534" applyFont="1" applyAlignment="1">
      <alignment horizontal="center" vertical="top"/>
    </xf>
    <xf numFmtId="0" fontId="394" fillId="4" borderId="0" xfId="4534" applyFont="1" applyFill="1" applyAlignment="1">
      <alignment horizontal="center" vertical="top"/>
    </xf>
    <xf numFmtId="1" fontId="10" fillId="3" borderId="1" xfId="0" applyNumberFormat="1" applyFont="1" applyFill="1" applyBorder="1" applyAlignment="1" applyProtection="1">
      <alignment horizontal="center" vertical="center"/>
      <protection locked="0"/>
    </xf>
    <xf numFmtId="1" fontId="10" fillId="4" borderId="1" xfId="0" applyNumberFormat="1" applyFont="1" applyFill="1" applyBorder="1" applyAlignment="1" applyProtection="1">
      <alignment horizontal="center" vertical="center"/>
      <protection locked="0"/>
    </xf>
    <xf numFmtId="0" fontId="97" fillId="4" borderId="1" xfId="0" applyFont="1" applyFill="1" applyBorder="1" applyProtection="1">
      <protection locked="0"/>
    </xf>
    <xf numFmtId="0" fontId="289" fillId="3" borderId="1" xfId="0" applyFont="1" applyFill="1" applyBorder="1" applyAlignment="1" applyProtection="1">
      <alignment horizontal="left"/>
      <protection locked="0"/>
    </xf>
    <xf numFmtId="0" fontId="287" fillId="3" borderId="1" xfId="0" applyFont="1" applyFill="1" applyBorder="1" applyAlignment="1" applyProtection="1">
      <alignment horizontal="left" vertical="center"/>
      <protection locked="0"/>
    </xf>
    <xf numFmtId="0" fontId="287" fillId="3" borderId="1" xfId="0" applyFont="1" applyFill="1" applyBorder="1" applyAlignment="1">
      <alignment horizontal="left" vertical="center"/>
    </xf>
    <xf numFmtId="0" fontId="402" fillId="3" borderId="1" xfId="0" applyFont="1" applyFill="1" applyBorder="1" applyAlignment="1">
      <alignment horizontal="left" vertical="center"/>
    </xf>
    <xf numFmtId="0" fontId="287" fillId="3" borderId="1" xfId="0" applyFont="1" applyFill="1" applyBorder="1" applyAlignment="1" applyProtection="1">
      <alignment horizontal="left" vertical="center" wrapText="1"/>
      <protection locked="0"/>
    </xf>
    <xf numFmtId="0" fontId="289" fillId="3" borderId="1" xfId="2349" applyFont="1" applyFill="1" applyBorder="1" applyAlignment="1" applyProtection="1">
      <alignment vertical="center"/>
      <protection locked="0"/>
    </xf>
    <xf numFmtId="0" fontId="290" fillId="3" borderId="1" xfId="0" applyFont="1" applyFill="1" applyBorder="1" applyAlignment="1">
      <alignment horizontal="center" vertical="center"/>
    </xf>
    <xf numFmtId="9" fontId="98" fillId="4" borderId="1" xfId="0" applyNumberFormat="1" applyFont="1" applyFill="1" applyBorder="1" applyAlignment="1" applyProtection="1">
      <alignment horizontal="center" vertical="center"/>
      <protection locked="0"/>
    </xf>
    <xf numFmtId="2" fontId="287" fillId="3" borderId="1" xfId="0" applyNumberFormat="1" applyFont="1" applyFill="1" applyBorder="1" applyAlignment="1" applyProtection="1">
      <alignment horizontal="center" vertical="center"/>
      <protection locked="0"/>
    </xf>
    <xf numFmtId="184" fontId="287" fillId="3" borderId="1" xfId="0" applyNumberFormat="1" applyFont="1" applyFill="1" applyBorder="1" applyAlignment="1" applyProtection="1">
      <alignment horizontal="center" vertical="center"/>
      <protection locked="0"/>
    </xf>
    <xf numFmtId="2" fontId="98" fillId="3" borderId="1" xfId="0" applyNumberFormat="1" applyFont="1" applyFill="1" applyBorder="1" applyAlignment="1" applyProtection="1">
      <alignment horizontal="center" vertical="center" wrapText="1"/>
      <protection locked="0"/>
    </xf>
    <xf numFmtId="2" fontId="403" fillId="0" borderId="1" xfId="0" applyNumberFormat="1" applyFont="1" applyBorder="1" applyAlignment="1" applyProtection="1">
      <alignment horizontal="center" vertical="center"/>
      <protection locked="0"/>
    </xf>
    <xf numFmtId="0" fontId="24" fillId="0" borderId="1" xfId="0" applyFont="1" applyBorder="1" applyAlignment="1">
      <alignment horizontal="center"/>
    </xf>
    <xf numFmtId="0" fontId="101" fillId="4" borderId="1" xfId="0" applyFont="1" applyFill="1" applyBorder="1" applyAlignment="1">
      <alignment horizontal="justify" vertical="center" wrapText="1"/>
    </xf>
    <xf numFmtId="2" fontId="404" fillId="3" borderId="1" xfId="0" applyNumberFormat="1" applyFont="1" applyFill="1" applyBorder="1" applyAlignment="1">
      <alignment horizontal="center" wrapText="1"/>
    </xf>
    <xf numFmtId="2" fontId="404" fillId="0" borderId="1" xfId="0" applyNumberFormat="1" applyFont="1" applyBorder="1" applyAlignment="1">
      <alignment horizontal="center" wrapText="1"/>
    </xf>
    <xf numFmtId="2" fontId="405" fillId="3" borderId="1" xfId="0" applyNumberFormat="1" applyFont="1" applyFill="1" applyBorder="1" applyAlignment="1">
      <alignment horizontal="center" wrapText="1"/>
    </xf>
    <xf numFmtId="2" fontId="405" fillId="0" borderId="1" xfId="0" applyNumberFormat="1" applyFont="1" applyBorder="1" applyAlignment="1">
      <alignment horizontal="center"/>
    </xf>
    <xf numFmtId="2" fontId="404" fillId="4" borderId="1" xfId="0" applyNumberFormat="1" applyFont="1" applyFill="1" applyBorder="1" applyAlignment="1">
      <alignment horizontal="center"/>
    </xf>
    <xf numFmtId="2" fontId="404" fillId="0" borderId="1" xfId="0" applyNumberFormat="1" applyFont="1" applyBorder="1" applyAlignment="1">
      <alignment horizontal="center"/>
    </xf>
    <xf numFmtId="2" fontId="404" fillId="3" borderId="1" xfId="0" applyNumberFormat="1" applyFont="1" applyFill="1" applyBorder="1" applyAlignment="1">
      <alignment horizontal="center"/>
    </xf>
    <xf numFmtId="2" fontId="406" fillId="0" borderId="1" xfId="0" applyNumberFormat="1" applyFont="1" applyBorder="1" applyAlignment="1">
      <alignment horizontal="center"/>
    </xf>
    <xf numFmtId="2" fontId="404" fillId="81" borderId="1" xfId="0" applyNumberFormat="1" applyFont="1" applyFill="1" applyBorder="1" applyAlignment="1">
      <alignment horizontal="center"/>
    </xf>
    <xf numFmtId="2" fontId="407" fillId="0" borderId="1" xfId="0" applyNumberFormat="1" applyFont="1" applyBorder="1" applyAlignment="1">
      <alignment horizontal="center"/>
    </xf>
    <xf numFmtId="2" fontId="408" fillId="3" borderId="1" xfId="0" applyNumberFormat="1" applyFont="1" applyFill="1" applyBorder="1" applyAlignment="1">
      <alignment horizontal="center"/>
    </xf>
    <xf numFmtId="2" fontId="404" fillId="82" borderId="1" xfId="0" applyNumberFormat="1" applyFont="1" applyFill="1" applyBorder="1" applyAlignment="1">
      <alignment horizontal="center"/>
    </xf>
    <xf numFmtId="2" fontId="405" fillId="82" borderId="1" xfId="0" applyNumberFormat="1" applyFont="1" applyFill="1" applyBorder="1" applyAlignment="1">
      <alignment horizontal="center"/>
    </xf>
    <xf numFmtId="2" fontId="405" fillId="83" borderId="1" xfId="0" applyNumberFormat="1" applyFont="1" applyFill="1" applyBorder="1" applyAlignment="1">
      <alignment horizontal="center"/>
    </xf>
    <xf numFmtId="2" fontId="404" fillId="5" borderId="1" xfId="0" applyNumberFormat="1" applyFont="1" applyFill="1" applyBorder="1" applyAlignment="1">
      <alignment horizontal="center"/>
    </xf>
    <xf numFmtId="2" fontId="404" fillId="83" borderId="0" xfId="0" applyNumberFormat="1" applyFont="1" applyFill="1" applyAlignment="1">
      <alignment horizontal="center"/>
    </xf>
    <xf numFmtId="2" fontId="404" fillId="5" borderId="0" xfId="0" applyNumberFormat="1" applyFont="1" applyFill="1" applyAlignment="1">
      <alignment horizontal="center"/>
    </xf>
    <xf numFmtId="2" fontId="405" fillId="5" borderId="0" xfId="0" applyNumberFormat="1" applyFont="1" applyFill="1" applyAlignment="1">
      <alignment horizontal="center"/>
    </xf>
    <xf numFmtId="2" fontId="404" fillId="0" borderId="1" xfId="0" applyNumberFormat="1" applyFont="1" applyBorder="1" applyAlignment="1" applyProtection="1">
      <alignment horizontal="right" vertical="center" wrapText="1"/>
      <protection locked="0"/>
    </xf>
    <xf numFmtId="210" fontId="409" fillId="4" borderId="1" xfId="206" applyNumberFormat="1" applyFont="1" applyFill="1" applyBorder="1" applyAlignment="1" applyProtection="1">
      <alignment horizontal="center"/>
      <protection locked="0"/>
    </xf>
    <xf numFmtId="17" fontId="290" fillId="0" borderId="1" xfId="0" applyNumberFormat="1" applyFont="1" applyBorder="1" applyAlignment="1" applyProtection="1">
      <alignment horizontal="center" vertical="center"/>
      <protection locked="0"/>
    </xf>
    <xf numFmtId="2" fontId="404" fillId="81" borderId="1" xfId="0" applyNumberFormat="1" applyFont="1" applyFill="1" applyBorder="1" applyAlignment="1">
      <alignment horizontal="center" vertical="center" wrapText="1"/>
    </xf>
    <xf numFmtId="2" fontId="404" fillId="7" borderId="1" xfId="0" applyNumberFormat="1" applyFont="1" applyFill="1" applyBorder="1" applyAlignment="1">
      <alignment horizontal="center"/>
    </xf>
    <xf numFmtId="2" fontId="410" fillId="0" borderId="1" xfId="3748" applyNumberFormat="1" applyFont="1" applyFill="1" applyAlignment="1">
      <alignment vertical="top" wrapText="1" shrinkToFit="1"/>
    </xf>
    <xf numFmtId="2" fontId="411" fillId="0" borderId="1" xfId="3748" applyNumberFormat="1" applyFont="1" applyFill="1" applyAlignment="1">
      <alignment vertical="top" wrapText="1" shrinkToFit="1"/>
    </xf>
    <xf numFmtId="0" fontId="48" fillId="0" borderId="0" xfId="2516" applyNumberFormat="1" applyFont="1" applyAlignment="1">
      <alignment horizontal="left" textRotation="90"/>
    </xf>
    <xf numFmtId="0" fontId="258" fillId="0" borderId="11" xfId="598" applyFont="1" applyBorder="1" applyAlignment="1">
      <alignment horizontal="center" vertical="center" wrapText="1"/>
    </xf>
    <xf numFmtId="0" fontId="258" fillId="0" borderId="24" xfId="598" applyFont="1" applyBorder="1" applyAlignment="1">
      <alignment horizontal="center" vertical="center" wrapText="1"/>
    </xf>
    <xf numFmtId="2" fontId="105" fillId="0" borderId="1" xfId="0" applyNumberFormat="1" applyFont="1" applyBorder="1" applyAlignment="1">
      <alignment vertical="top"/>
    </xf>
    <xf numFmtId="2" fontId="134" fillId="0" borderId="1" xfId="0" applyNumberFormat="1" applyFont="1" applyBorder="1" applyAlignment="1">
      <alignment horizontal="center" vertical="top"/>
    </xf>
    <xf numFmtId="2" fontId="110" fillId="0" borderId="1" xfId="0" applyNumberFormat="1" applyFont="1" applyBorder="1" applyAlignment="1">
      <alignment horizontal="justify" vertical="top" wrapText="1"/>
    </xf>
    <xf numFmtId="2" fontId="289" fillId="4" borderId="1" xfId="0" applyNumberFormat="1" applyFont="1" applyFill="1" applyBorder="1" applyAlignment="1" applyProtection="1">
      <alignment horizontal="center"/>
      <protection locked="0"/>
    </xf>
    <xf numFmtId="210" fontId="293" fillId="4" borderId="1" xfId="206" applyNumberFormat="1" applyFont="1" applyFill="1" applyBorder="1" applyAlignment="1" applyProtection="1">
      <alignment horizontal="center"/>
      <protection locked="0"/>
    </xf>
    <xf numFmtId="0" fontId="139" fillId="0" borderId="1" xfId="0" applyFont="1" applyBorder="1" applyAlignment="1">
      <alignment horizontal="justify" vertical="top" wrapText="1"/>
    </xf>
    <xf numFmtId="0" fontId="139" fillId="0" borderId="0" xfId="0" applyFont="1" applyAlignment="1">
      <alignment horizontal="justify" vertical="top" wrapText="1"/>
    </xf>
    <xf numFmtId="0" fontId="412" fillId="0" borderId="107" xfId="0" applyNumberFormat="1" applyFont="1" applyFill="1" applyBorder="1" applyAlignment="1" applyProtection="1">
      <alignment horizontal="center" vertical="center"/>
      <protection locked="0"/>
    </xf>
    <xf numFmtId="2" fontId="95" fillId="0" borderId="91" xfId="0" applyNumberFormat="1" applyFont="1" applyBorder="1" applyAlignment="1">
      <alignment horizontal="center" vertical="center" wrapText="1"/>
    </xf>
    <xf numFmtId="0" fontId="36" fillId="0" borderId="91" xfId="0" applyFont="1" applyBorder="1" applyAlignment="1">
      <alignment horizontal="center" vertical="center" wrapText="1"/>
    </xf>
    <xf numFmtId="0" fontId="95" fillId="0" borderId="1" xfId="0" applyFont="1" applyBorder="1" applyAlignment="1">
      <alignment horizontal="center" vertical="center" wrapText="1"/>
    </xf>
    <xf numFmtId="0" fontId="95" fillId="0" borderId="1" xfId="0" applyFont="1" applyBorder="1" applyAlignment="1">
      <alignment horizontal="center" vertical="center"/>
    </xf>
    <xf numFmtId="0" fontId="299" fillId="0" borderId="92" xfId="0" applyFont="1" applyBorder="1" applyAlignment="1">
      <alignment horizontal="center" vertical="center"/>
    </xf>
    <xf numFmtId="0" fontId="36" fillId="0" borderId="93" xfId="0" applyFont="1" applyBorder="1" applyAlignment="1" applyProtection="1">
      <alignment horizontal="justify" vertical="top" wrapText="1"/>
      <protection hidden="1"/>
    </xf>
    <xf numFmtId="0" fontId="36" fillId="0" borderId="94" xfId="0" applyFont="1" applyBorder="1" applyAlignment="1" applyProtection="1">
      <alignment horizontal="justify" vertical="top" wrapText="1"/>
      <protection hidden="1"/>
    </xf>
    <xf numFmtId="0" fontId="36" fillId="0" borderId="95" xfId="0" applyFont="1" applyBorder="1" applyAlignment="1" applyProtection="1">
      <alignment horizontal="justify" vertical="top" wrapText="1"/>
      <protection hidden="1"/>
    </xf>
    <xf numFmtId="0" fontId="95" fillId="0" borderId="91" xfId="0" applyFont="1" applyBorder="1" applyAlignment="1" applyProtection="1">
      <alignment horizontal="left" vertical="center"/>
      <protection hidden="1"/>
    </xf>
    <xf numFmtId="2" fontId="36" fillId="0" borderId="91" xfId="0" applyNumberFormat="1" applyFont="1" applyBorder="1" applyAlignment="1" applyProtection="1">
      <alignment horizontal="left" vertical="center"/>
      <protection hidden="1"/>
    </xf>
    <xf numFmtId="0" fontId="300" fillId="0" borderId="91" xfId="0" applyFont="1" applyBorder="1" applyAlignment="1" applyProtection="1">
      <alignment horizontal="left" vertical="center"/>
      <protection hidden="1"/>
    </xf>
    <xf numFmtId="2" fontId="24" fillId="0" borderId="91" xfId="0" applyNumberFormat="1" applyFont="1" applyBorder="1" applyAlignment="1" applyProtection="1">
      <alignment horizontal="left" vertical="center" wrapText="1"/>
      <protection hidden="1"/>
    </xf>
    <xf numFmtId="0" fontId="36" fillId="0" borderId="91" xfId="0" applyFont="1" applyBorder="1" applyAlignment="1" applyProtection="1">
      <alignment horizontal="left" vertical="center"/>
      <protection hidden="1"/>
    </xf>
    <xf numFmtId="0" fontId="36" fillId="0" borderId="91" xfId="0" applyFont="1" applyBorder="1" applyAlignment="1">
      <alignment horizontal="justify" vertical="top" wrapText="1"/>
    </xf>
    <xf numFmtId="0" fontId="95" fillId="0" borderId="91" xfId="0" applyFont="1" applyBorder="1" applyAlignment="1">
      <alignment horizontal="left" vertical="center" wrapText="1"/>
    </xf>
    <xf numFmtId="0" fontId="36" fillId="0" borderId="93" xfId="0" applyFont="1" applyBorder="1" applyAlignment="1">
      <alignment horizontal="left" vertical="center" wrapText="1"/>
    </xf>
    <xf numFmtId="0" fontId="36" fillId="0" borderId="94" xfId="0" applyFont="1" applyBorder="1" applyAlignment="1">
      <alignment horizontal="left" vertical="center" wrapText="1"/>
    </xf>
    <xf numFmtId="0" fontId="36" fillId="0" borderId="95" xfId="0" applyFont="1" applyBorder="1" applyAlignment="1">
      <alignment horizontal="left" vertical="center" wrapText="1"/>
    </xf>
    <xf numFmtId="0" fontId="36" fillId="0" borderId="91" xfId="0" applyFont="1" applyBorder="1" applyAlignment="1">
      <alignment horizontal="left" vertical="center" wrapText="1"/>
    </xf>
    <xf numFmtId="2" fontId="36" fillId="0" borderId="93" xfId="0" applyNumberFormat="1" applyFont="1" applyBorder="1" applyAlignment="1">
      <alignment horizontal="center" vertical="center"/>
    </xf>
    <xf numFmtId="2" fontId="36" fillId="0" borderId="94" xfId="0" applyNumberFormat="1" applyFont="1" applyBorder="1" applyAlignment="1">
      <alignment horizontal="center" vertical="center"/>
    </xf>
    <xf numFmtId="2" fontId="36" fillId="0" borderId="95" xfId="0" applyNumberFormat="1" applyFont="1" applyBorder="1" applyAlignment="1">
      <alignment horizontal="center" vertical="center"/>
    </xf>
    <xf numFmtId="2" fontId="36" fillId="0" borderId="93" xfId="0" applyNumberFormat="1" applyFont="1" applyBorder="1" applyAlignment="1">
      <alignment horizontal="center" vertical="center" wrapText="1"/>
    </xf>
    <xf numFmtId="2" fontId="36" fillId="0" borderId="94" xfId="0" applyNumberFormat="1" applyFont="1" applyBorder="1" applyAlignment="1">
      <alignment horizontal="center" vertical="center" wrapText="1"/>
    </xf>
    <xf numFmtId="2" fontId="36" fillId="0" borderId="95" xfId="0" applyNumberFormat="1" applyFont="1" applyBorder="1" applyAlignment="1">
      <alignment horizontal="center" vertical="center" wrapText="1"/>
    </xf>
    <xf numFmtId="0" fontId="24" fillId="0" borderId="91" xfId="0" applyFont="1" applyBorder="1" applyAlignment="1">
      <alignment horizontal="justify" vertical="top" wrapText="1"/>
    </xf>
    <xf numFmtId="2" fontId="95" fillId="0" borderId="91" xfId="0" applyNumberFormat="1" applyFont="1" applyBorder="1" applyAlignment="1">
      <alignment vertical="center" shrinkToFit="1"/>
    </xf>
    <xf numFmtId="0" fontId="95" fillId="0" borderId="91" xfId="0" applyFont="1" applyBorder="1" applyAlignment="1">
      <alignment vertical="center"/>
    </xf>
    <xf numFmtId="0" fontId="24" fillId="0" borderId="93" xfId="0" applyFont="1" applyBorder="1" applyAlignment="1" applyProtection="1">
      <alignment horizontal="left" vertical="top" wrapText="1"/>
      <protection locked="0"/>
    </xf>
    <xf numFmtId="0" fontId="24" fillId="0" borderId="94" xfId="0" applyFont="1" applyBorder="1" applyAlignment="1" applyProtection="1">
      <alignment horizontal="left" vertical="top" wrapText="1"/>
      <protection locked="0"/>
    </xf>
    <xf numFmtId="0" fontId="24" fillId="0" borderId="95" xfId="0" applyFont="1" applyBorder="1" applyAlignment="1" applyProtection="1">
      <alignment horizontal="left" vertical="top" wrapText="1"/>
      <protection locked="0"/>
    </xf>
    <xf numFmtId="2" fontId="298" fillId="0" borderId="91" xfId="0" applyNumberFormat="1" applyFont="1" applyBorder="1" applyAlignment="1">
      <alignment horizontal="left" vertical="center" wrapText="1"/>
    </xf>
    <xf numFmtId="2" fontId="36" fillId="0" borderId="91" xfId="0" applyNumberFormat="1" applyFont="1" applyBorder="1" applyAlignment="1">
      <alignment horizontal="left" vertical="center" wrapText="1"/>
    </xf>
    <xf numFmtId="0" fontId="36" fillId="0" borderId="91" xfId="0" applyFont="1" applyBorder="1" applyAlignment="1" applyProtection="1">
      <alignment horizontal="justify" vertical="top" wrapText="1"/>
      <protection hidden="1"/>
    </xf>
    <xf numFmtId="0" fontId="95" fillId="0" borderId="91" xfId="0" applyFont="1" applyBorder="1" applyAlignment="1" applyProtection="1">
      <alignment horizontal="center" vertical="center"/>
      <protection hidden="1"/>
    </xf>
    <xf numFmtId="2" fontId="95" fillId="0" borderId="91" xfId="0" applyNumberFormat="1" applyFont="1" applyBorder="1" applyAlignment="1" applyProtection="1">
      <alignment horizontal="left" vertical="center"/>
      <protection hidden="1"/>
    </xf>
    <xf numFmtId="2" fontId="36" fillId="0" borderId="93" xfId="0" applyNumberFormat="1" applyFont="1" applyBorder="1" applyAlignment="1" applyProtection="1">
      <alignment horizontal="left" vertical="center" wrapText="1"/>
      <protection hidden="1"/>
    </xf>
    <xf numFmtId="2" fontId="36" fillId="0" borderId="94" xfId="0" applyNumberFormat="1" applyFont="1" applyBorder="1" applyAlignment="1" applyProtection="1">
      <alignment horizontal="left" vertical="center" wrapText="1"/>
      <protection hidden="1"/>
    </xf>
    <xf numFmtId="2" fontId="36" fillId="0" borderId="95" xfId="0" applyNumberFormat="1" applyFont="1" applyBorder="1" applyAlignment="1" applyProtection="1">
      <alignment horizontal="left" vertical="center" wrapText="1"/>
      <protection hidden="1"/>
    </xf>
    <xf numFmtId="0" fontId="24" fillId="0" borderId="93" xfId="0" applyFont="1" applyBorder="1" applyAlignment="1" applyProtection="1">
      <alignment horizontal="justify" vertical="top" wrapText="1"/>
      <protection hidden="1"/>
    </xf>
    <xf numFmtId="0" fontId="24" fillId="0" borderId="94" xfId="0" applyFont="1" applyBorder="1" applyAlignment="1" applyProtection="1">
      <alignment horizontal="justify" vertical="top" wrapText="1"/>
      <protection hidden="1"/>
    </xf>
    <xf numFmtId="0" fontId="24" fillId="0" borderId="95" xfId="0" applyFont="1" applyBorder="1" applyAlignment="1" applyProtection="1">
      <alignment horizontal="justify" vertical="top" wrapText="1"/>
      <protection hidden="1"/>
    </xf>
    <xf numFmtId="0" fontId="3" fillId="0" borderId="91" xfId="0" applyFont="1" applyBorder="1" applyAlignment="1" applyProtection="1">
      <alignment horizontal="left" vertical="center"/>
      <protection hidden="1"/>
    </xf>
    <xf numFmtId="2" fontId="3" fillId="0" borderId="91" xfId="0" applyNumberFormat="1" applyFont="1" applyBorder="1" applyAlignment="1" applyProtection="1">
      <alignment horizontal="left" vertical="center"/>
      <protection hidden="1"/>
    </xf>
    <xf numFmtId="2" fontId="95" fillId="0" borderId="93" xfId="0" applyNumberFormat="1" applyFont="1" applyBorder="1" applyAlignment="1">
      <alignment horizontal="left" vertical="center" shrinkToFit="1"/>
    </xf>
    <xf numFmtId="2" fontId="95" fillId="0" borderId="94" xfId="0" applyNumberFormat="1" applyFont="1" applyBorder="1" applyAlignment="1">
      <alignment horizontal="left" vertical="center" shrinkToFit="1"/>
    </xf>
    <xf numFmtId="2" fontId="95" fillId="0" borderId="95" xfId="0" applyNumberFormat="1" applyFont="1" applyBorder="1" applyAlignment="1">
      <alignment horizontal="left" vertical="center" shrinkToFit="1"/>
    </xf>
    <xf numFmtId="0" fontId="36" fillId="0" borderId="91" xfId="0" applyFont="1" applyBorder="1" applyAlignment="1" applyProtection="1">
      <alignment horizontal="left" vertical="top" wrapText="1"/>
      <protection hidden="1"/>
    </xf>
    <xf numFmtId="0" fontId="302" fillId="0" borderId="91" xfId="0" applyFont="1" applyBorder="1" applyAlignment="1" applyProtection="1">
      <alignment horizontal="center" vertical="center"/>
      <protection hidden="1"/>
    </xf>
    <xf numFmtId="2" fontId="36" fillId="0" borderId="91" xfId="0" applyNumberFormat="1" applyFont="1" applyBorder="1" applyAlignment="1" applyProtection="1">
      <alignment horizontal="left" vertical="center" wrapText="1"/>
      <protection hidden="1"/>
    </xf>
    <xf numFmtId="0" fontId="36" fillId="0" borderId="93" xfId="0" applyFont="1" applyBorder="1" applyAlignment="1" applyProtection="1">
      <alignment horizontal="left" vertical="center" wrapText="1"/>
      <protection hidden="1"/>
    </xf>
    <xf numFmtId="0" fontId="36" fillId="0" borderId="94" xfId="0" applyFont="1" applyBorder="1" applyAlignment="1" applyProtection="1">
      <alignment horizontal="left" vertical="center" wrapText="1"/>
      <protection hidden="1"/>
    </xf>
    <xf numFmtId="0" fontId="36" fillId="0" borderId="95" xfId="0" applyFont="1" applyBorder="1" applyAlignment="1" applyProtection="1">
      <alignment horizontal="left" vertical="center" wrapText="1"/>
      <protection hidden="1"/>
    </xf>
    <xf numFmtId="0" fontId="36" fillId="0" borderId="93" xfId="0" applyFont="1" applyBorder="1" applyAlignment="1" applyProtection="1">
      <alignment horizontal="center" vertical="center" wrapText="1"/>
      <protection hidden="1"/>
    </xf>
    <xf numFmtId="0" fontId="36" fillId="0" borderId="94" xfId="0" applyFont="1" applyBorder="1" applyAlignment="1" applyProtection="1">
      <alignment horizontal="center" vertical="center" wrapText="1"/>
      <protection hidden="1"/>
    </xf>
    <xf numFmtId="0" fontId="36" fillId="0" borderId="95" xfId="0" applyFont="1" applyBorder="1" applyAlignment="1" applyProtection="1">
      <alignment horizontal="center" vertical="center" wrapText="1"/>
      <protection hidden="1"/>
    </xf>
    <xf numFmtId="0" fontId="36" fillId="0" borderId="91" xfId="0" applyFont="1" applyBorder="1" applyAlignment="1" applyProtection="1">
      <alignment horizontal="left" vertical="center" wrapText="1"/>
      <protection hidden="1"/>
    </xf>
    <xf numFmtId="0" fontId="95" fillId="36" borderId="91" xfId="0" applyFont="1" applyFill="1" applyBorder="1" applyAlignment="1" applyProtection="1">
      <alignment horizontal="center" vertical="center"/>
      <protection hidden="1"/>
    </xf>
    <xf numFmtId="2" fontId="95" fillId="0" borderId="93" xfId="0" applyNumberFormat="1" applyFont="1" applyBorder="1" applyAlignment="1" applyProtection="1">
      <alignment horizontal="center" vertical="center" wrapText="1"/>
      <protection hidden="1"/>
    </xf>
    <xf numFmtId="2" fontId="95" fillId="0" borderId="94" xfId="0" applyNumberFormat="1" applyFont="1" applyBorder="1" applyAlignment="1" applyProtection="1">
      <alignment horizontal="center" vertical="center" wrapText="1"/>
      <protection hidden="1"/>
    </xf>
    <xf numFmtId="2" fontId="95" fillId="0" borderId="95" xfId="0" applyNumberFormat="1" applyFont="1" applyBorder="1" applyAlignment="1" applyProtection="1">
      <alignment horizontal="center" vertical="center" wrapText="1"/>
      <protection hidden="1"/>
    </xf>
    <xf numFmtId="0" fontId="301" fillId="0" borderId="91" xfId="0" applyFont="1" applyBorder="1" applyAlignment="1" applyProtection="1">
      <alignment horizontal="left" vertical="center" wrapText="1"/>
      <protection hidden="1"/>
    </xf>
    <xf numFmtId="2" fontId="300" fillId="0" borderId="91" xfId="0" applyNumberFormat="1" applyFont="1" applyBorder="1" applyAlignment="1" applyProtection="1">
      <alignment horizontal="left" vertical="center"/>
      <protection hidden="1"/>
    </xf>
    <xf numFmtId="0" fontId="36" fillId="0" borderId="93" xfId="0" applyFont="1" applyBorder="1" applyAlignment="1" applyProtection="1">
      <alignment horizontal="left" vertical="center"/>
      <protection hidden="1"/>
    </xf>
    <xf numFmtId="0" fontId="36" fillId="0" borderId="94" xfId="0" applyFont="1" applyBorder="1" applyAlignment="1" applyProtection="1">
      <alignment horizontal="left" vertical="center"/>
      <protection hidden="1"/>
    </xf>
    <xf numFmtId="0" fontId="36" fillId="0" borderId="95" xfId="0" applyFont="1" applyBorder="1" applyAlignment="1" applyProtection="1">
      <alignment horizontal="left" vertical="center"/>
      <protection hidden="1"/>
    </xf>
    <xf numFmtId="2" fontId="24" fillId="0" borderId="91" xfId="0" applyNumberFormat="1" applyFont="1" applyBorder="1" applyAlignment="1">
      <alignment horizontal="left" vertical="center" wrapText="1"/>
    </xf>
    <xf numFmtId="0" fontId="36" fillId="0" borderId="91" xfId="0" applyFont="1" applyBorder="1" applyAlignment="1" applyProtection="1">
      <alignment horizontal="left" vertical="top" wrapText="1"/>
      <protection locked="0"/>
    </xf>
    <xf numFmtId="1" fontId="95" fillId="0" borderId="91" xfId="0" applyNumberFormat="1" applyFont="1" applyBorder="1" applyAlignment="1">
      <alignment horizontal="left" vertical="top" wrapText="1"/>
    </xf>
    <xf numFmtId="1" fontId="36" fillId="0" borderId="91" xfId="0" applyNumberFormat="1" applyFont="1" applyBorder="1" applyAlignment="1">
      <alignment horizontal="left" vertical="top" wrapText="1"/>
    </xf>
    <xf numFmtId="0" fontId="3" fillId="2" borderId="1" xfId="2438" applyFont="1" applyFill="1" applyBorder="1" applyAlignment="1">
      <alignment horizontal="center" vertical="center" wrapText="1"/>
    </xf>
    <xf numFmtId="0" fontId="98" fillId="0" borderId="4" xfId="0" applyFont="1" applyBorder="1" applyAlignment="1" applyProtection="1">
      <alignment horizontal="center" vertical="center"/>
      <protection locked="0"/>
    </xf>
    <xf numFmtId="0" fontId="97" fillId="0" borderId="5" xfId="0" applyFont="1" applyBorder="1" applyAlignment="1" applyProtection="1">
      <alignment vertical="center"/>
      <protection locked="0"/>
    </xf>
    <xf numFmtId="0" fontId="98" fillId="22" borderId="1" xfId="0" applyFont="1" applyFill="1" applyBorder="1" applyAlignment="1" applyProtection="1">
      <alignment horizontal="center"/>
      <protection locked="0"/>
    </xf>
    <xf numFmtId="0" fontId="98" fillId="0" borderId="7" xfId="0" applyFont="1" applyBorder="1" applyAlignment="1" applyProtection="1">
      <alignment horizontal="center" vertical="center" wrapText="1"/>
      <protection locked="0"/>
    </xf>
    <xf numFmtId="0" fontId="98" fillId="0" borderId="2" xfId="0" applyFont="1" applyBorder="1" applyAlignment="1" applyProtection="1">
      <alignment horizontal="center" vertical="center" wrapText="1"/>
      <protection locked="0"/>
    </xf>
    <xf numFmtId="0" fontId="98" fillId="0" borderId="0" xfId="0" applyFont="1" applyAlignment="1" applyProtection="1">
      <alignment horizontal="center" vertical="center"/>
      <protection locked="0"/>
    </xf>
    <xf numFmtId="0" fontId="287" fillId="3" borderId="19" xfId="0" applyFont="1" applyFill="1" applyBorder="1" applyAlignment="1" applyProtection="1">
      <alignment horizontal="left" vertical="center" wrapText="1"/>
      <protection locked="0"/>
    </xf>
    <xf numFmtId="0" fontId="287" fillId="3" borderId="14" xfId="0" applyFont="1" applyFill="1" applyBorder="1" applyAlignment="1" applyProtection="1">
      <alignment horizontal="left" vertical="center" wrapText="1"/>
      <protection locked="0"/>
    </xf>
    <xf numFmtId="0" fontId="287" fillId="3" borderId="31" xfId="0" applyFont="1" applyFill="1" applyBorder="1" applyAlignment="1" applyProtection="1">
      <alignment horizontal="left" vertical="center" wrapText="1"/>
      <protection locked="0"/>
    </xf>
    <xf numFmtId="0" fontId="295" fillId="0" borderId="1" xfId="0" applyFont="1" applyBorder="1" applyAlignment="1" applyProtection="1">
      <alignment horizontal="center" vertical="center" wrapText="1"/>
      <protection locked="0"/>
    </xf>
    <xf numFmtId="0" fontId="98" fillId="22" borderId="4" xfId="0" applyFont="1" applyFill="1" applyBorder="1" applyAlignment="1" applyProtection="1">
      <alignment horizontal="center"/>
      <protection locked="0"/>
    </xf>
    <xf numFmtId="0" fontId="98" fillId="22" borderId="10" xfId="0" applyFont="1" applyFill="1" applyBorder="1" applyAlignment="1" applyProtection="1">
      <alignment horizontal="center"/>
      <protection locked="0"/>
    </xf>
    <xf numFmtId="0" fontId="98" fillId="22" borderId="5" xfId="0" applyFont="1" applyFill="1" applyBorder="1" applyAlignment="1" applyProtection="1">
      <alignment horizontal="center"/>
      <protection locked="0"/>
    </xf>
    <xf numFmtId="0" fontId="281" fillId="0" borderId="0" xfId="2357" applyFont="1" applyAlignment="1">
      <alignment horizontal="left" vertical="center"/>
    </xf>
    <xf numFmtId="0" fontId="196" fillId="0" borderId="0" xfId="2357" applyFont="1" applyAlignment="1">
      <alignment horizontal="left"/>
    </xf>
    <xf numFmtId="2" fontId="196" fillId="0" borderId="0" xfId="2357" applyNumberFormat="1" applyFont="1" applyAlignment="1">
      <alignment horizontal="center"/>
    </xf>
    <xf numFmtId="0" fontId="275" fillId="0" borderId="0" xfId="2357" applyFont="1" applyAlignment="1">
      <alignment horizontal="center" vertical="center" wrapText="1"/>
    </xf>
    <xf numFmtId="0" fontId="275" fillId="0" borderId="0" xfId="2357" applyFont="1" applyAlignment="1">
      <alignment horizontal="center" vertical="top" wrapText="1"/>
    </xf>
    <xf numFmtId="1" fontId="279" fillId="0" borderId="0" xfId="2357" applyNumberFormat="1" applyFont="1" applyAlignment="1">
      <alignment horizontal="justify" vertical="top" wrapText="1"/>
    </xf>
    <xf numFmtId="0" fontId="278" fillId="0" borderId="0" xfId="2357" applyFont="1" applyAlignment="1">
      <alignment horizontal="center" vertical="top" wrapText="1"/>
    </xf>
    <xf numFmtId="0" fontId="278" fillId="0" borderId="0" xfId="2357" applyFont="1" applyAlignment="1">
      <alignment horizontal="right" vertical="top"/>
    </xf>
    <xf numFmtId="184" fontId="278" fillId="0" borderId="0" xfId="2357" applyNumberFormat="1" applyFont="1" applyAlignment="1">
      <alignment horizontal="left" vertical="top"/>
    </xf>
    <xf numFmtId="0" fontId="278" fillId="0" borderId="0" xfId="2357" applyFont="1" applyAlignment="1">
      <alignment horizontal="left" vertical="top"/>
    </xf>
    <xf numFmtId="0" fontId="249" fillId="0" borderId="1" xfId="598" applyFont="1" applyBorder="1" applyAlignment="1">
      <alignment horizontal="left" vertical="top"/>
    </xf>
    <xf numFmtId="0" fontId="249" fillId="0" borderId="1" xfId="598" applyFont="1" applyBorder="1" applyAlignment="1">
      <alignment horizontal="left" vertical="top" wrapText="1"/>
    </xf>
    <xf numFmtId="0" fontId="252" fillId="0" borderId="6" xfId="187" applyFont="1" applyBorder="1" applyAlignment="1">
      <alignment horizontal="left" vertical="top" wrapText="1"/>
    </xf>
    <xf numFmtId="0" fontId="252" fillId="0" borderId="0" xfId="187" applyFont="1" applyAlignment="1">
      <alignment horizontal="left" vertical="top" wrapText="1"/>
    </xf>
    <xf numFmtId="0" fontId="252" fillId="0" borderId="25" xfId="187" applyFont="1" applyBorder="1" applyAlignment="1">
      <alignment horizontal="left" vertical="top" wrapText="1"/>
    </xf>
    <xf numFmtId="0" fontId="101" fillId="0" borderId="86" xfId="0" applyFont="1" applyBorder="1" applyAlignment="1">
      <alignment horizontal="left" vertical="top" wrapText="1"/>
    </xf>
    <xf numFmtId="0" fontId="249" fillId="0" borderId="87" xfId="0" applyFont="1" applyBorder="1" applyAlignment="1">
      <alignment horizontal="left"/>
    </xf>
    <xf numFmtId="0" fontId="249" fillId="0" borderId="90" xfId="0" applyFont="1" applyBorder="1" applyAlignment="1">
      <alignment horizontal="left"/>
    </xf>
    <xf numFmtId="0" fontId="249" fillId="0" borderId="4" xfId="598" applyFont="1" applyBorder="1" applyAlignment="1">
      <alignment horizontal="left" vertical="top"/>
    </xf>
    <xf numFmtId="0" fontId="249" fillId="0" borderId="10" xfId="598" applyFont="1" applyBorder="1" applyAlignment="1">
      <alignment horizontal="left" vertical="top"/>
    </xf>
    <xf numFmtId="0" fontId="249" fillId="0" borderId="5" xfId="598" applyFont="1" applyBorder="1" applyAlignment="1">
      <alignment horizontal="left" vertical="top"/>
    </xf>
    <xf numFmtId="0" fontId="180" fillId="0" borderId="0" xfId="598" applyFont="1" applyAlignment="1">
      <alignment horizontal="center" vertical="top"/>
    </xf>
    <xf numFmtId="0" fontId="180" fillId="0" borderId="5" xfId="598" applyFont="1" applyBorder="1" applyAlignment="1">
      <alignment horizontal="center" vertical="center"/>
    </xf>
    <xf numFmtId="0" fontId="180" fillId="0" borderId="1" xfId="598" applyFont="1" applyBorder="1" applyAlignment="1">
      <alignment horizontal="center" vertical="center"/>
    </xf>
    <xf numFmtId="0" fontId="252" fillId="0" borderId="5" xfId="598" applyFont="1" applyBorder="1" applyAlignment="1">
      <alignment horizontal="center" vertical="top"/>
    </xf>
    <xf numFmtId="0" fontId="252" fillId="0" borderId="1" xfId="598" applyFont="1" applyBorder="1" applyAlignment="1">
      <alignment horizontal="center" vertical="top"/>
    </xf>
    <xf numFmtId="184" fontId="249" fillId="0" borderId="1" xfId="598" applyNumberFormat="1" applyFont="1" applyBorder="1" applyAlignment="1">
      <alignment horizontal="justify" vertical="top" wrapText="1"/>
    </xf>
    <xf numFmtId="0" fontId="249" fillId="0" borderId="1" xfId="598" applyFont="1" applyBorder="1" applyAlignment="1">
      <alignment horizontal="justify" vertical="top" wrapText="1"/>
    </xf>
    <xf numFmtId="0" fontId="249" fillId="0" borderId="1" xfId="598" applyFont="1" applyBorder="1" applyAlignment="1">
      <alignment vertical="center" wrapText="1"/>
    </xf>
    <xf numFmtId="0" fontId="180" fillId="0" borderId="1" xfId="598" applyFont="1" applyBorder="1" applyAlignment="1">
      <alignment horizontal="left" vertical="top"/>
    </xf>
    <xf numFmtId="0" fontId="249" fillId="0" borderId="84" xfId="0" applyFont="1" applyBorder="1" applyAlignment="1">
      <alignment vertical="center" wrapText="1"/>
    </xf>
    <xf numFmtId="0" fontId="254" fillId="0" borderId="85" xfId="0" applyFont="1" applyBorder="1"/>
    <xf numFmtId="0" fontId="254" fillId="0" borderId="89" xfId="0" applyFont="1" applyBorder="1"/>
    <xf numFmtId="0" fontId="249" fillId="0" borderId="11" xfId="598" applyFont="1" applyBorder="1" applyAlignment="1">
      <alignment horizontal="center" vertical="top" wrapText="1"/>
    </xf>
    <xf numFmtId="0" fontId="249" fillId="0" borderId="12" xfId="598" applyFont="1" applyBorder="1" applyAlignment="1">
      <alignment horizontal="center" vertical="top" wrapText="1"/>
    </xf>
    <xf numFmtId="0" fontId="249" fillId="0" borderId="12" xfId="598" quotePrefix="1" applyFont="1" applyBorder="1" applyAlignment="1">
      <alignment horizontal="center" vertical="top" wrapText="1"/>
    </xf>
    <xf numFmtId="0" fontId="249" fillId="0" borderId="24" xfId="598" applyFont="1" applyBorder="1" applyAlignment="1">
      <alignment horizontal="center" vertical="top" wrapText="1"/>
    </xf>
    <xf numFmtId="207" fontId="249" fillId="0" borderId="1" xfId="598" applyNumberFormat="1" applyFont="1" applyBorder="1" applyAlignment="1">
      <alignment horizontal="left" vertical="top"/>
    </xf>
    <xf numFmtId="0" fontId="249" fillId="0" borderId="7" xfId="598" applyFont="1" applyBorder="1" applyAlignment="1">
      <alignment horizontal="left" vertical="top"/>
    </xf>
    <xf numFmtId="165" fontId="249" fillId="0" borderId="7" xfId="598" applyNumberFormat="1" applyFont="1" applyBorder="1" applyAlignment="1">
      <alignment horizontal="left" vertical="top"/>
    </xf>
    <xf numFmtId="0" fontId="180" fillId="0" borderId="4" xfId="598" applyFont="1" applyBorder="1" applyAlignment="1">
      <alignment horizontal="left" vertical="top"/>
    </xf>
    <xf numFmtId="0" fontId="180" fillId="0" borderId="10" xfId="598" applyFont="1" applyBorder="1" applyAlignment="1">
      <alignment horizontal="left" vertical="top"/>
    </xf>
    <xf numFmtId="0" fontId="180" fillId="0" borderId="5" xfId="598" applyFont="1" applyBorder="1" applyAlignment="1">
      <alignment horizontal="left" vertical="top"/>
    </xf>
    <xf numFmtId="0" fontId="249" fillId="4" borderId="11" xfId="598" applyFont="1" applyFill="1" applyBorder="1" applyAlignment="1">
      <alignment horizontal="center" vertical="top" wrapText="1"/>
    </xf>
    <xf numFmtId="0" fontId="249" fillId="4" borderId="12" xfId="598" applyFont="1" applyFill="1" applyBorder="1" applyAlignment="1">
      <alignment horizontal="center" vertical="top" wrapText="1"/>
    </xf>
    <xf numFmtId="0" fontId="249" fillId="4" borderId="4" xfId="598" applyFont="1" applyFill="1" applyBorder="1" applyAlignment="1">
      <alignment horizontal="center" vertical="top" wrapText="1"/>
    </xf>
    <xf numFmtId="0" fontId="249" fillId="4" borderId="10" xfId="598" applyFont="1" applyFill="1" applyBorder="1" applyAlignment="1">
      <alignment horizontal="center" vertical="top" wrapText="1"/>
    </xf>
    <xf numFmtId="0" fontId="249" fillId="4" borderId="5" xfId="598" applyFont="1" applyFill="1" applyBorder="1" applyAlignment="1">
      <alignment horizontal="center" vertical="top" wrapText="1"/>
    </xf>
    <xf numFmtId="0" fontId="249" fillId="0" borderId="1" xfId="2833" applyFont="1" applyBorder="1" applyAlignment="1">
      <alignment horizontal="left" vertical="center" wrapText="1"/>
    </xf>
    <xf numFmtId="0" fontId="249" fillId="4" borderId="1" xfId="2833" applyFont="1" applyFill="1" applyBorder="1" applyAlignment="1">
      <alignment horizontal="center" vertical="center" wrapText="1"/>
    </xf>
    <xf numFmtId="0" fontId="249" fillId="0" borderId="1" xfId="2833" applyFont="1" applyBorder="1" applyAlignment="1">
      <alignment horizontal="center" vertical="center" wrapText="1"/>
    </xf>
    <xf numFmtId="0" fontId="249" fillId="4" borderId="1" xfId="598" applyFont="1" applyFill="1" applyBorder="1" applyAlignment="1">
      <alignment horizontal="center" vertical="center"/>
    </xf>
    <xf numFmtId="0" fontId="249" fillId="4" borderId="1" xfId="598" applyFont="1" applyFill="1" applyBorder="1" applyAlignment="1">
      <alignment horizontal="center" vertical="top" wrapText="1"/>
    </xf>
    <xf numFmtId="0" fontId="249" fillId="4" borderId="4" xfId="598" applyFont="1" applyFill="1" applyBorder="1" applyAlignment="1">
      <alignment horizontal="center" vertical="top"/>
    </xf>
    <xf numFmtId="0" fontId="249" fillId="4" borderId="10" xfId="598" applyFont="1" applyFill="1" applyBorder="1" applyAlignment="1">
      <alignment horizontal="center" vertical="top"/>
    </xf>
    <xf numFmtId="0" fontId="249" fillId="4" borderId="5" xfId="598" applyFont="1" applyFill="1" applyBorder="1" applyAlignment="1">
      <alignment horizontal="center" vertical="top"/>
    </xf>
    <xf numFmtId="0" fontId="180" fillId="4" borderId="4" xfId="598" applyFont="1" applyFill="1" applyBorder="1" applyAlignment="1">
      <alignment horizontal="center" vertical="center"/>
    </xf>
    <xf numFmtId="0" fontId="180" fillId="4" borderId="5" xfId="598" applyFont="1" applyFill="1" applyBorder="1" applyAlignment="1">
      <alignment horizontal="center" vertical="center"/>
    </xf>
    <xf numFmtId="0" fontId="249" fillId="3" borderId="4" xfId="598" applyFont="1" applyFill="1" applyBorder="1" applyAlignment="1">
      <alignment horizontal="justify" vertical="top" wrapText="1"/>
    </xf>
    <xf numFmtId="0" fontId="249" fillId="3" borderId="10" xfId="598" applyFont="1" applyFill="1" applyBorder="1" applyAlignment="1">
      <alignment horizontal="justify" vertical="top" wrapText="1"/>
    </xf>
    <xf numFmtId="0" fontId="249" fillId="3" borderId="5" xfId="598" applyFont="1" applyFill="1" applyBorder="1" applyAlignment="1">
      <alignment horizontal="justify" vertical="top" wrapText="1"/>
    </xf>
    <xf numFmtId="0" fontId="180" fillId="4" borderId="1" xfId="598" applyFont="1" applyFill="1" applyBorder="1" applyAlignment="1">
      <alignment horizontal="center" vertical="center"/>
    </xf>
    <xf numFmtId="0" fontId="249" fillId="4" borderId="4" xfId="598" applyFont="1" applyFill="1" applyBorder="1" applyAlignment="1">
      <alignment horizontal="center" vertical="center" wrapText="1"/>
    </xf>
    <xf numFmtId="0" fontId="249" fillId="4" borderId="10" xfId="598" applyFont="1" applyFill="1" applyBorder="1" applyAlignment="1">
      <alignment horizontal="center" vertical="center" wrapText="1"/>
    </xf>
    <xf numFmtId="0" fontId="249" fillId="4" borderId="5" xfId="598" applyFont="1" applyFill="1" applyBorder="1" applyAlignment="1">
      <alignment horizontal="center" vertical="center" wrapText="1"/>
    </xf>
    <xf numFmtId="0" fontId="249" fillId="4" borderId="1" xfId="598" applyFont="1" applyFill="1" applyBorder="1" applyAlignment="1">
      <alignment vertical="top"/>
    </xf>
    <xf numFmtId="0" fontId="249" fillId="4" borderId="1" xfId="598" applyFont="1" applyFill="1" applyBorder="1" applyAlignment="1">
      <alignment horizontal="center" vertical="top"/>
    </xf>
    <xf numFmtId="0" fontId="180" fillId="0" borderId="1" xfId="2833" applyFont="1" applyBorder="1" applyAlignment="1">
      <alignment horizontal="left" vertical="justify"/>
    </xf>
    <xf numFmtId="0" fontId="180" fillId="0" borderId="1" xfId="2833" applyFont="1" applyBorder="1" applyAlignment="1">
      <alignment horizontal="center" vertical="justify"/>
    </xf>
    <xf numFmtId="0" fontId="249" fillId="0" borderId="4" xfId="2833" applyFont="1" applyBorder="1" applyAlignment="1">
      <alignment horizontal="center" vertical="justify"/>
    </xf>
    <xf numFmtId="0" fontId="249" fillId="0" borderId="10" xfId="2833" applyFont="1" applyBorder="1" applyAlignment="1">
      <alignment horizontal="center" vertical="justify"/>
    </xf>
    <xf numFmtId="0" fontId="249" fillId="0" borderId="5" xfId="2833" applyFont="1" applyBorder="1" applyAlignment="1">
      <alignment horizontal="center" vertical="justify"/>
    </xf>
    <xf numFmtId="0" fontId="255" fillId="3" borderId="1" xfId="598" applyFont="1" applyFill="1" applyBorder="1" applyAlignment="1">
      <alignment horizontal="center" vertical="top"/>
    </xf>
    <xf numFmtId="0" fontId="177" fillId="4" borderId="4" xfId="598" applyFont="1" applyFill="1" applyBorder="1" applyAlignment="1">
      <alignment horizontal="left" vertical="center" wrapText="1"/>
    </xf>
    <xf numFmtId="0" fontId="177" fillId="4" borderId="10" xfId="598" applyFont="1" applyFill="1" applyBorder="1" applyAlignment="1">
      <alignment horizontal="left" vertical="center" wrapText="1"/>
    </xf>
    <xf numFmtId="0" fontId="177" fillId="4" borderId="5" xfId="598" applyFont="1" applyFill="1" applyBorder="1" applyAlignment="1">
      <alignment horizontal="left" vertical="center" wrapText="1"/>
    </xf>
    <xf numFmtId="0" fontId="122" fillId="0" borderId="1" xfId="0" applyFont="1" applyBorder="1" applyAlignment="1">
      <alignment horizontal="center" vertical="center" wrapText="1"/>
    </xf>
    <xf numFmtId="0" fontId="257" fillId="0" borderId="1" xfId="0" applyFont="1" applyBorder="1" applyAlignment="1">
      <alignment horizontal="center" vertical="center" wrapText="1"/>
    </xf>
    <xf numFmtId="0" fontId="257" fillId="0" borderId="4" xfId="0" applyFont="1" applyBorder="1" applyAlignment="1">
      <alignment horizontal="center" vertical="center" wrapText="1"/>
    </xf>
    <xf numFmtId="0" fontId="257" fillId="0" borderId="5" xfId="0" applyFont="1" applyBorder="1" applyAlignment="1">
      <alignment horizontal="center" vertical="center" wrapText="1"/>
    </xf>
    <xf numFmtId="0" fontId="24" fillId="4" borderId="0" xfId="3751" applyFont="1" applyFill="1" applyAlignment="1">
      <alignment horizontal="center" vertical="center" wrapText="1"/>
    </xf>
    <xf numFmtId="1" fontId="3" fillId="4" borderId="1" xfId="3751" applyNumberFormat="1" applyFont="1" applyFill="1" applyBorder="1" applyAlignment="1">
      <alignment horizontal="center" vertical="center" wrapText="1"/>
    </xf>
    <xf numFmtId="0" fontId="180" fillId="4" borderId="4" xfId="598" applyFont="1" applyFill="1" applyBorder="1" applyAlignment="1">
      <alignment horizontal="left" vertical="center"/>
    </xf>
    <xf numFmtId="0" fontId="180" fillId="4" borderId="10" xfId="598" applyFont="1" applyFill="1" applyBorder="1" applyAlignment="1">
      <alignment horizontal="left" vertical="center"/>
    </xf>
    <xf numFmtId="0" fontId="180" fillId="4" borderId="5" xfId="598" applyFont="1" applyFill="1" applyBorder="1" applyAlignment="1">
      <alignment horizontal="left" vertical="center"/>
    </xf>
    <xf numFmtId="0" fontId="249" fillId="4" borderId="4" xfId="598" applyFont="1" applyFill="1" applyBorder="1" applyAlignment="1">
      <alignment horizontal="center" vertical="center"/>
    </xf>
    <xf numFmtId="0" fontId="249" fillId="4" borderId="10" xfId="598" applyFont="1" applyFill="1" applyBorder="1" applyAlignment="1">
      <alignment horizontal="center" vertical="center"/>
    </xf>
    <xf numFmtId="0" fontId="249" fillId="4" borderId="5" xfId="598" applyFont="1" applyFill="1" applyBorder="1" applyAlignment="1">
      <alignment horizontal="center" vertical="center"/>
    </xf>
    <xf numFmtId="1" fontId="249" fillId="4" borderId="4" xfId="598" applyNumberFormat="1" applyFont="1" applyFill="1" applyBorder="1" applyAlignment="1">
      <alignment horizontal="left" vertical="center" wrapText="1"/>
    </xf>
    <xf numFmtId="0" fontId="249" fillId="4" borderId="5" xfId="598" applyFont="1" applyFill="1" applyBorder="1" applyAlignment="1">
      <alignment horizontal="left" vertical="center" wrapText="1"/>
    </xf>
    <xf numFmtId="0" fontId="249" fillId="4" borderId="1" xfId="598" applyFont="1" applyFill="1" applyBorder="1" applyAlignment="1">
      <alignment horizontal="center" vertical="center" wrapText="1"/>
    </xf>
    <xf numFmtId="0" fontId="180" fillId="0" borderId="10" xfId="598" applyFont="1" applyBorder="1" applyAlignment="1">
      <alignment horizontal="left" vertical="center" wrapText="1"/>
    </xf>
    <xf numFmtId="0" fontId="180" fillId="0" borderId="5" xfId="598" applyFont="1" applyBorder="1" applyAlignment="1">
      <alignment horizontal="left" vertical="center" wrapText="1"/>
    </xf>
    <xf numFmtId="0" fontId="180" fillId="0" borderId="0" xfId="2833" applyFont="1" applyAlignment="1">
      <alignment horizontal="left" vertical="center"/>
    </xf>
    <xf numFmtId="0" fontId="180" fillId="0" borderId="0" xfId="2833" applyFont="1" applyAlignment="1">
      <alignment horizontal="center" vertical="center"/>
    </xf>
    <xf numFmtId="0" fontId="249" fillId="0" borderId="0" xfId="2833" applyFont="1" applyAlignment="1">
      <alignment horizontal="center" vertical="center"/>
    </xf>
    <xf numFmtId="0" fontId="258" fillId="0" borderId="11" xfId="598" applyFont="1" applyBorder="1" applyAlignment="1">
      <alignment horizontal="center" vertical="center" wrapText="1"/>
    </xf>
    <xf numFmtId="0" fontId="258" fillId="0" borderId="12" xfId="598" applyFont="1" applyBorder="1" applyAlignment="1">
      <alignment horizontal="center" vertical="center" wrapText="1"/>
    </xf>
    <xf numFmtId="0" fontId="258" fillId="0" borderId="24" xfId="598" applyFont="1" applyBorder="1" applyAlignment="1">
      <alignment horizontal="center" vertical="center" wrapText="1"/>
    </xf>
    <xf numFmtId="0" fontId="258" fillId="0" borderId="1" xfId="598" applyFont="1" applyBorder="1" applyAlignment="1">
      <alignment horizontal="center" vertical="center" wrapText="1"/>
    </xf>
    <xf numFmtId="0" fontId="258" fillId="0" borderId="3" xfId="598" applyFont="1" applyBorder="1" applyAlignment="1">
      <alignment horizontal="center" vertical="center" wrapText="1"/>
    </xf>
    <xf numFmtId="0" fontId="258" fillId="0" borderId="9" xfId="598" applyFont="1" applyBorder="1" applyAlignment="1">
      <alignment horizontal="center" vertical="center" wrapText="1"/>
    </xf>
    <xf numFmtId="0" fontId="258" fillId="0" borderId="15" xfId="598" applyFont="1" applyBorder="1" applyAlignment="1">
      <alignment horizontal="center" vertical="center" wrapText="1"/>
    </xf>
    <xf numFmtId="0" fontId="251" fillId="0" borderId="4" xfId="598" applyFont="1" applyBorder="1" applyAlignment="1">
      <alignment horizontal="left" vertical="top" wrapText="1"/>
    </xf>
    <xf numFmtId="0" fontId="251" fillId="0" borderId="10" xfId="598" applyFont="1" applyBorder="1" applyAlignment="1">
      <alignment horizontal="left" vertical="top" wrapText="1"/>
    </xf>
    <xf numFmtId="0" fontId="251" fillId="0" borderId="5" xfId="598" applyFont="1" applyBorder="1" applyAlignment="1">
      <alignment horizontal="left" vertical="top" wrapText="1"/>
    </xf>
    <xf numFmtId="0" fontId="2" fillId="0" borderId="4" xfId="598" applyFont="1" applyBorder="1" applyAlignment="1">
      <alignment horizontal="left" vertical="top" wrapText="1"/>
    </xf>
    <xf numFmtId="0" fontId="2" fillId="0" borderId="10" xfId="598" applyFont="1" applyBorder="1" applyAlignment="1">
      <alignment horizontal="left" vertical="top" wrapText="1"/>
    </xf>
    <xf numFmtId="0" fontId="2" fillId="0" borderId="5" xfId="598" applyFont="1" applyBorder="1" applyAlignment="1">
      <alignment horizontal="left" vertical="top" wrapText="1"/>
    </xf>
    <xf numFmtId="0" fontId="266" fillId="0" borderId="11" xfId="598" applyFont="1" applyBorder="1" applyAlignment="1">
      <alignment horizontal="center" vertical="center" wrapText="1"/>
    </xf>
    <xf numFmtId="0" fontId="266" fillId="0" borderId="24" xfId="598" applyFont="1" applyBorder="1" applyAlignment="1">
      <alignment horizontal="center" vertical="center" wrapText="1"/>
    </xf>
    <xf numFmtId="0" fontId="258" fillId="0" borderId="4" xfId="598" applyFont="1" applyBorder="1" applyAlignment="1">
      <alignment horizontal="left" vertical="top" wrapText="1"/>
    </xf>
    <xf numFmtId="0" fontId="258" fillId="0" borderId="10" xfId="598" applyFont="1" applyBorder="1" applyAlignment="1">
      <alignment horizontal="left" vertical="top" wrapText="1"/>
    </xf>
    <xf numFmtId="0" fontId="258" fillId="0" borderId="5" xfId="598" applyFont="1" applyBorder="1" applyAlignment="1">
      <alignment horizontal="left" vertical="top" wrapText="1"/>
    </xf>
    <xf numFmtId="2" fontId="2" fillId="0" borderId="1" xfId="598" applyNumberFormat="1" applyFont="1" applyBorder="1" applyAlignment="1">
      <alignment horizontal="left" vertical="center" wrapText="1"/>
    </xf>
    <xf numFmtId="0" fontId="258" fillId="0" borderId="4" xfId="598" applyFont="1" applyBorder="1" applyAlignment="1">
      <alignment horizontal="center" vertical="center"/>
    </xf>
    <xf numFmtId="0" fontId="258" fillId="0" borderId="10" xfId="598" applyFont="1" applyBorder="1" applyAlignment="1">
      <alignment horizontal="center" vertical="center"/>
    </xf>
    <xf numFmtId="0" fontId="258" fillId="0" borderId="5" xfId="598" applyFont="1" applyBorder="1" applyAlignment="1">
      <alignment horizontal="center" vertical="center"/>
    </xf>
    <xf numFmtId="0" fontId="251" fillId="0" borderId="4" xfId="598" applyFont="1" applyBorder="1" applyAlignment="1">
      <alignment horizontal="left" vertical="center" wrapText="1"/>
    </xf>
    <xf numFmtId="0" fontId="251" fillId="0" borderId="10" xfId="598" applyFont="1" applyBorder="1" applyAlignment="1">
      <alignment horizontal="left" vertical="center" wrapText="1"/>
    </xf>
    <xf numFmtId="0" fontId="251" fillId="0" borderId="5" xfId="598" applyFont="1" applyBorder="1" applyAlignment="1">
      <alignment horizontal="left" vertical="center" wrapText="1"/>
    </xf>
    <xf numFmtId="1" fontId="258" fillId="0" borderId="4" xfId="598" applyNumberFormat="1" applyFont="1" applyBorder="1" applyAlignment="1">
      <alignment horizontal="center" vertical="center"/>
    </xf>
    <xf numFmtId="1" fontId="258" fillId="0" borderId="10" xfId="598" applyNumberFormat="1" applyFont="1" applyBorder="1" applyAlignment="1">
      <alignment horizontal="center" vertical="center"/>
    </xf>
    <xf numFmtId="1" fontId="258" fillId="0" borderId="5" xfId="598" applyNumberFormat="1" applyFont="1" applyBorder="1" applyAlignment="1">
      <alignment horizontal="center" vertical="center"/>
    </xf>
    <xf numFmtId="0" fontId="266" fillId="0" borderId="0" xfId="598" applyFont="1" applyAlignment="1">
      <alignment horizontal="right" vertical="top" wrapText="1"/>
    </xf>
    <xf numFmtId="0" fontId="141" fillId="0" borderId="0" xfId="598" applyFont="1" applyAlignment="1">
      <alignment horizontal="left" vertical="center" wrapText="1"/>
    </xf>
    <xf numFmtId="0" fontId="141" fillId="0" borderId="25" xfId="598" applyFont="1" applyBorder="1" applyAlignment="1">
      <alignment horizontal="left" vertical="center" wrapText="1"/>
    </xf>
    <xf numFmtId="0" fontId="249" fillId="0" borderId="12" xfId="598" applyFont="1" applyBorder="1" applyAlignment="1">
      <alignment horizontal="left" vertical="top" wrapText="1"/>
    </xf>
    <xf numFmtId="0" fontId="249" fillId="0" borderId="9" xfId="598" applyFont="1" applyBorder="1" applyAlignment="1">
      <alignment horizontal="left" vertical="top"/>
    </xf>
    <xf numFmtId="0" fontId="102" fillId="0" borderId="9" xfId="598" applyFont="1" applyBorder="1" applyAlignment="1">
      <alignment horizontal="center" vertical="top"/>
    </xf>
    <xf numFmtId="0" fontId="180" fillId="0" borderId="9" xfId="598" applyFont="1" applyBorder="1" applyAlignment="1">
      <alignment horizontal="center" vertical="top"/>
    </xf>
    <xf numFmtId="0" fontId="180" fillId="0" borderId="1" xfId="598" applyFont="1" applyBorder="1" applyAlignment="1">
      <alignment horizontal="center" vertical="top"/>
    </xf>
    <xf numFmtId="49" fontId="258" fillId="0" borderId="1" xfId="598" applyNumberFormat="1" applyFont="1" applyBorder="1" applyAlignment="1">
      <alignment horizontal="center" vertical="top" wrapText="1"/>
    </xf>
    <xf numFmtId="2" fontId="249" fillId="0" borderId="1" xfId="598" applyNumberFormat="1" applyFont="1" applyBorder="1" applyAlignment="1">
      <alignment horizontal="center" vertical="top"/>
    </xf>
    <xf numFmtId="0" fontId="249" fillId="0" borderId="1" xfId="598" applyFont="1" applyBorder="1" applyAlignment="1">
      <alignment horizontal="center" vertical="top"/>
    </xf>
    <xf numFmtId="2" fontId="249" fillId="0" borderId="4" xfId="598" applyNumberFormat="1" applyFont="1" applyBorder="1" applyAlignment="1">
      <alignment horizontal="center" vertical="top" wrapText="1"/>
    </xf>
    <xf numFmtId="0" fontId="249" fillId="0" borderId="5" xfId="598" applyFont="1" applyBorder="1" applyAlignment="1">
      <alignment horizontal="center" vertical="top" wrapText="1"/>
    </xf>
    <xf numFmtId="0" fontId="249" fillId="0" borderId="4" xfId="598" applyFont="1" applyBorder="1" applyAlignment="1">
      <alignment horizontal="left" vertical="top" wrapText="1"/>
    </xf>
    <xf numFmtId="0" fontId="249" fillId="0" borderId="10" xfId="598" applyFont="1" applyBorder="1" applyAlignment="1">
      <alignment horizontal="left" vertical="top" wrapText="1"/>
    </xf>
    <xf numFmtId="0" fontId="249" fillId="0" borderId="5" xfId="598" applyFont="1" applyBorder="1" applyAlignment="1">
      <alignment horizontal="left" vertical="top" wrapText="1"/>
    </xf>
    <xf numFmtId="0" fontId="251" fillId="0" borderId="1" xfId="598" applyFont="1" applyBorder="1" applyAlignment="1">
      <alignment horizontal="left" vertical="top"/>
    </xf>
    <xf numFmtId="168" fontId="249" fillId="0" borderId="4" xfId="598" applyNumberFormat="1" applyFont="1" applyBorder="1" applyAlignment="1">
      <alignment horizontal="center" vertical="top" wrapText="1"/>
    </xf>
    <xf numFmtId="168" fontId="249" fillId="0" borderId="5" xfId="598" applyNumberFormat="1" applyFont="1" applyBorder="1" applyAlignment="1">
      <alignment horizontal="center" vertical="top" wrapText="1"/>
    </xf>
    <xf numFmtId="2" fontId="249" fillId="0" borderId="4" xfId="598" quotePrefix="1" applyNumberFormat="1" applyFont="1" applyBorder="1" applyAlignment="1">
      <alignment horizontal="center" vertical="top" wrapText="1"/>
    </xf>
    <xf numFmtId="0" fontId="249" fillId="0" borderId="1" xfId="598" quotePrefix="1" applyFont="1" applyBorder="1" applyAlignment="1">
      <alignment horizontal="center" vertical="top"/>
    </xf>
    <xf numFmtId="209" fontId="249" fillId="0" borderId="4" xfId="598" applyNumberFormat="1" applyFont="1" applyBorder="1" applyAlignment="1">
      <alignment horizontal="left" vertical="top"/>
    </xf>
    <xf numFmtId="209" fontId="249" fillId="0" borderId="5" xfId="598" applyNumberFormat="1" applyFont="1" applyBorder="1" applyAlignment="1">
      <alignment horizontal="left" vertical="top"/>
    </xf>
    <xf numFmtId="9" fontId="249" fillId="0" borderId="1" xfId="3185" applyFont="1" applyBorder="1" applyAlignment="1">
      <alignment horizontal="center" vertical="top"/>
    </xf>
    <xf numFmtId="0" fontId="249" fillId="0" borderId="12" xfId="598" applyFont="1" applyBorder="1" applyAlignment="1">
      <alignment horizontal="justify" vertical="top" wrapText="1"/>
    </xf>
    <xf numFmtId="0" fontId="249" fillId="0" borderId="24" xfId="598" applyFont="1" applyBorder="1" applyAlignment="1">
      <alignment horizontal="justify" vertical="top" wrapText="1"/>
    </xf>
    <xf numFmtId="0" fontId="249" fillId="0" borderId="0" xfId="598" applyFont="1" applyAlignment="1">
      <alignment horizontal="justify" vertical="top" wrapText="1"/>
    </xf>
    <xf numFmtId="0" fontId="394" fillId="4" borderId="0" xfId="4534" applyFont="1" applyFill="1" applyAlignment="1">
      <alignment horizontal="justify" vertical="top" wrapText="1"/>
    </xf>
    <xf numFmtId="0" fontId="394" fillId="0" borderId="0" xfId="4534" applyFont="1" applyAlignment="1">
      <alignment horizontal="justify" vertical="top" wrapText="1"/>
    </xf>
    <xf numFmtId="0" fontId="394" fillId="4" borderId="0" xfId="4534" applyFont="1" applyFill="1" applyAlignment="1">
      <alignment horizontal="left" vertical="top" wrapText="1"/>
    </xf>
    <xf numFmtId="2" fontId="249" fillId="0" borderId="0" xfId="598" applyNumberFormat="1" applyFont="1" applyAlignment="1">
      <alignment horizontal="justify" vertical="top" wrapText="1"/>
    </xf>
    <xf numFmtId="0" fontId="249" fillId="0" borderId="0" xfId="598" applyFont="1" applyAlignment="1">
      <alignment horizontal="justify" vertical="center" wrapText="1"/>
    </xf>
    <xf numFmtId="0" fontId="180" fillId="0" borderId="0" xfId="598" applyFont="1" applyAlignment="1">
      <alignment horizontal="left" vertical="top" wrapText="1"/>
    </xf>
    <xf numFmtId="0" fontId="249" fillId="0" borderId="0" xfId="598" applyFont="1" applyAlignment="1">
      <alignment horizontal="left" vertical="top" wrapText="1"/>
    </xf>
    <xf numFmtId="0" fontId="249" fillId="0" borderId="9" xfId="598" applyFont="1" applyBorder="1" applyAlignment="1">
      <alignment horizontal="right" vertical="top" wrapText="1"/>
    </xf>
    <xf numFmtId="0" fontId="180" fillId="0" borderId="1" xfId="598" applyFont="1" applyBorder="1" applyAlignment="1">
      <alignment horizontal="center" vertical="center" wrapText="1"/>
    </xf>
    <xf numFmtId="0" fontId="249" fillId="0" borderId="1" xfId="598" applyFont="1" applyBorder="1" applyAlignment="1">
      <alignment horizontal="left" vertical="center" wrapText="1"/>
    </xf>
    <xf numFmtId="2" fontId="251" fillId="0" borderId="1" xfId="598" applyNumberFormat="1" applyFont="1" applyBorder="1" applyAlignment="1">
      <alignment horizontal="right" vertical="center"/>
    </xf>
    <xf numFmtId="0" fontId="110" fillId="0" borderId="4" xfId="598" applyFont="1" applyBorder="1" applyAlignment="1">
      <alignment horizontal="left" vertical="center" wrapText="1"/>
    </xf>
    <xf numFmtId="0" fontId="110" fillId="0" borderId="10" xfId="598" applyFont="1" applyBorder="1" applyAlignment="1">
      <alignment horizontal="left" vertical="center" wrapText="1"/>
    </xf>
    <xf numFmtId="0" fontId="110" fillId="0" borderId="5" xfId="598" applyFont="1" applyBorder="1" applyAlignment="1">
      <alignment horizontal="left" vertical="center" wrapText="1"/>
    </xf>
    <xf numFmtId="2" fontId="269" fillId="0" borderId="1" xfId="598" applyNumberFormat="1" applyFont="1" applyBorder="1" applyAlignment="1">
      <alignment horizontal="right" vertical="center"/>
    </xf>
    <xf numFmtId="0" fontId="180" fillId="0" borderId="4" xfId="598" applyFont="1" applyBorder="1" applyAlignment="1">
      <alignment horizontal="right" vertical="center" wrapText="1"/>
    </xf>
    <xf numFmtId="0" fontId="180" fillId="0" borderId="10" xfId="598" applyFont="1" applyBorder="1" applyAlignment="1">
      <alignment horizontal="right" vertical="center" wrapText="1"/>
    </xf>
    <xf numFmtId="0" fontId="180" fillId="0" borderId="5" xfId="598" applyFont="1" applyBorder="1" applyAlignment="1">
      <alignment horizontal="right" vertical="center" wrapText="1"/>
    </xf>
    <xf numFmtId="2" fontId="258" fillId="0" borderId="1" xfId="598" applyNumberFormat="1" applyFont="1" applyBorder="1" applyAlignment="1">
      <alignment horizontal="right" vertical="center"/>
    </xf>
    <xf numFmtId="0" fontId="249" fillId="0" borderId="8" xfId="598" applyFont="1" applyBorder="1" applyAlignment="1">
      <alignment horizontal="center" vertical="top"/>
    </xf>
    <xf numFmtId="0" fontId="180" fillId="0" borderId="7" xfId="598" applyFont="1" applyBorder="1" applyAlignment="1">
      <alignment horizontal="left" vertical="top"/>
    </xf>
    <xf numFmtId="0" fontId="180" fillId="0" borderId="8" xfId="598" applyFont="1" applyBorder="1" applyAlignment="1">
      <alignment horizontal="left" vertical="top"/>
    </xf>
    <xf numFmtId="0" fontId="251" fillId="0" borderId="0" xfId="187" applyFont="1" applyAlignment="1">
      <alignment horizontal="justify" vertical="top" wrapText="1"/>
    </xf>
    <xf numFmtId="0" fontId="251" fillId="0" borderId="0" xfId="187" applyFont="1" applyAlignment="1">
      <alignment horizontal="justify" vertical="center" wrapText="1"/>
    </xf>
    <xf numFmtId="0" fontId="265" fillId="0" borderId="0" xfId="187" applyFont="1" applyAlignment="1">
      <alignment horizontal="justify" vertical="top" wrapText="1"/>
    </xf>
    <xf numFmtId="49" fontId="251" fillId="4" borderId="1" xfId="598" applyNumberFormat="1" applyFont="1" applyFill="1" applyBorder="1" applyAlignment="1">
      <alignment horizontal="center" vertical="top" wrapText="1"/>
    </xf>
    <xf numFmtId="43" fontId="249" fillId="0" borderId="1" xfId="1547" applyFont="1" applyBorder="1" applyAlignment="1">
      <alignment horizontal="center" vertical="top"/>
    </xf>
    <xf numFmtId="0" fontId="101" fillId="0" borderId="0" xfId="598" applyFont="1" applyAlignment="1">
      <alignment horizontal="justify" vertical="top" wrapText="1"/>
    </xf>
    <xf numFmtId="0" fontId="258" fillId="0" borderId="0" xfId="187" applyFont="1" applyAlignment="1">
      <alignment horizontal="center" vertical="center"/>
    </xf>
    <xf numFmtId="0" fontId="258" fillId="0" borderId="0" xfId="187" applyFont="1" applyAlignment="1">
      <alignment horizontal="center" vertical="top"/>
    </xf>
    <xf numFmtId="0" fontId="0" fillId="4" borderId="0" xfId="3751" applyFont="1" applyFill="1" applyAlignment="1">
      <alignment horizontal="center" vertical="center" wrapText="1"/>
    </xf>
    <xf numFmtId="0" fontId="249" fillId="4" borderId="24" xfId="598" applyFont="1" applyFill="1" applyBorder="1" applyAlignment="1">
      <alignment horizontal="center" vertical="top" wrapText="1"/>
    </xf>
    <xf numFmtId="0" fontId="249" fillId="4" borderId="3" xfId="598" applyFont="1" applyFill="1" applyBorder="1" applyAlignment="1">
      <alignment horizontal="center" vertical="top" wrapText="1"/>
    </xf>
    <xf numFmtId="0" fontId="249" fillId="4" borderId="15" xfId="598" applyFont="1" applyFill="1" applyBorder="1" applyAlignment="1">
      <alignment horizontal="center" vertical="top" wrapText="1"/>
    </xf>
    <xf numFmtId="10" fontId="251" fillId="4" borderId="0" xfId="187" applyNumberFormat="1" applyFont="1" applyFill="1" applyAlignment="1">
      <alignment horizontal="justify" vertical="top" wrapText="1"/>
    </xf>
    <xf numFmtId="0" fontId="249" fillId="0" borderId="9" xfId="598" applyFont="1" applyBorder="1" applyAlignment="1">
      <alignment horizontal="left" vertical="top" wrapText="1"/>
    </xf>
    <xf numFmtId="0" fontId="392" fillId="0" borderId="1" xfId="0" applyFont="1" applyBorder="1" applyAlignment="1">
      <alignment horizontal="center" vertical="center"/>
    </xf>
    <xf numFmtId="0" fontId="196" fillId="0" borderId="1" xfId="0" applyFont="1" applyBorder="1" applyAlignment="1">
      <alignment horizontal="center" vertical="center"/>
    </xf>
    <xf numFmtId="1" fontId="196" fillId="0" borderId="1" xfId="0" applyNumberFormat="1" applyFont="1" applyBorder="1" applyAlignment="1">
      <alignment horizontal="left" vertical="center" wrapText="1"/>
    </xf>
    <xf numFmtId="0" fontId="196" fillId="0" borderId="1" xfId="0" applyFont="1" applyBorder="1" applyAlignment="1">
      <alignment horizontal="left" vertical="center" wrapText="1"/>
    </xf>
    <xf numFmtId="2" fontId="196" fillId="0" borderId="4" xfId="0" applyNumberFormat="1" applyFont="1" applyBorder="1" applyAlignment="1">
      <alignment horizontal="center" vertical="center" wrapText="1"/>
    </xf>
    <xf numFmtId="2" fontId="196" fillId="0" borderId="5" xfId="0" applyNumberFormat="1" applyFont="1" applyBorder="1" applyAlignment="1">
      <alignment horizontal="center" vertical="center" wrapText="1"/>
    </xf>
    <xf numFmtId="0" fontId="195" fillId="0" borderId="1" xfId="0" applyFont="1" applyBorder="1" applyAlignment="1">
      <alignment horizontal="center" vertical="center"/>
    </xf>
    <xf numFmtId="0" fontId="196" fillId="0" borderId="4" xfId="0" applyFont="1" applyBorder="1" applyAlignment="1">
      <alignment horizontal="center" vertical="center"/>
    </xf>
    <xf numFmtId="0" fontId="196" fillId="0" borderId="10" xfId="0" applyFont="1" applyBorder="1" applyAlignment="1">
      <alignment horizontal="center" vertical="center"/>
    </xf>
    <xf numFmtId="0" fontId="196" fillId="0" borderId="5" xfId="0" applyFont="1" applyBorder="1" applyAlignment="1">
      <alignment horizontal="center" vertical="center"/>
    </xf>
    <xf numFmtId="0" fontId="196" fillId="0" borderId="1" xfId="0" applyFont="1" applyBorder="1" applyAlignment="1">
      <alignment horizontal="left" vertical="center"/>
    </xf>
    <xf numFmtId="0" fontId="196" fillId="0" borderId="1" xfId="0" applyFont="1" applyBorder="1" applyAlignment="1">
      <alignment horizontal="right" vertical="center"/>
    </xf>
    <xf numFmtId="0" fontId="196" fillId="0" borderId="0" xfId="0" applyFont="1" applyAlignment="1">
      <alignment horizontal="left" vertical="top" wrapText="1"/>
    </xf>
    <xf numFmtId="14" fontId="195" fillId="0" borderId="0" xfId="0" applyNumberFormat="1" applyFont="1" applyAlignment="1">
      <alignment horizontal="center" vertical="center" wrapText="1"/>
    </xf>
    <xf numFmtId="0" fontId="195" fillId="0" borderId="0" xfId="0" applyFont="1" applyAlignment="1">
      <alignment horizontal="center" vertical="center" wrapText="1"/>
    </xf>
    <xf numFmtId="0" fontId="195" fillId="0" borderId="0" xfId="0" applyFont="1" applyAlignment="1">
      <alignment vertical="center" wrapText="1"/>
    </xf>
    <xf numFmtId="0" fontId="246" fillId="0" borderId="0" xfId="0" applyFont="1" applyAlignment="1">
      <alignment horizontal="center"/>
    </xf>
    <xf numFmtId="0" fontId="245" fillId="0" borderId="0" xfId="0" applyFont="1" applyAlignment="1">
      <alignment horizontal="left" vertical="center"/>
    </xf>
    <xf numFmtId="0" fontId="245" fillId="0" borderId="0" xfId="0" applyFont="1" applyAlignment="1">
      <alignment horizontal="center" vertical="center"/>
    </xf>
    <xf numFmtId="0" fontId="245" fillId="0" borderId="0" xfId="0" applyFont="1" applyAlignment="1">
      <alignment horizontal="left" vertical="top"/>
    </xf>
    <xf numFmtId="0" fontId="247" fillId="0" borderId="0" xfId="0" applyFont="1" applyAlignment="1">
      <alignment horizontal="left" vertical="top" wrapText="1"/>
    </xf>
    <xf numFmtId="0" fontId="245" fillId="0" borderId="0" xfId="0" applyFont="1"/>
    <xf numFmtId="0" fontId="245" fillId="0" borderId="0" xfId="0" applyFont="1" applyAlignment="1">
      <alignment horizontal="right"/>
    </xf>
    <xf numFmtId="0" fontId="245" fillId="0" borderId="0" xfId="0" applyFont="1" applyAlignment="1">
      <alignment horizontal="left" vertical="top" wrapText="1"/>
    </xf>
    <xf numFmtId="0" fontId="245" fillId="0" borderId="0" xfId="0" applyFont="1" applyAlignment="1">
      <alignment horizontal="left"/>
    </xf>
    <xf numFmtId="0" fontId="245" fillId="0" borderId="0" xfId="0" applyFont="1" applyAlignment="1">
      <alignment horizontal="justify" vertical="top" wrapText="1"/>
    </xf>
    <xf numFmtId="0" fontId="2" fillId="0" borderId="0" xfId="0" applyFont="1" applyAlignment="1">
      <alignment horizontal="left" vertical="center"/>
    </xf>
    <xf numFmtId="0" fontId="237" fillId="0" borderId="0" xfId="3753" applyFont="1" applyAlignment="1">
      <alignment horizontal="center" vertical="center"/>
    </xf>
    <xf numFmtId="0" fontId="123" fillId="0" borderId="0" xfId="3753" applyFont="1" applyAlignment="1">
      <alignment horizontal="right" vertical="center"/>
    </xf>
    <xf numFmtId="0" fontId="123" fillId="0" borderId="0" xfId="3753" applyFont="1" applyAlignment="1">
      <alignment horizontal="left" vertical="center" wrapText="1"/>
    </xf>
    <xf numFmtId="2" fontId="123" fillId="0" borderId="0" xfId="3753" applyNumberFormat="1" applyFont="1" applyAlignment="1">
      <alignment horizontal="center" vertical="center"/>
    </xf>
    <xf numFmtId="0" fontId="119" fillId="4" borderId="0" xfId="3753" applyFont="1" applyFill="1" applyAlignment="1">
      <alignment horizontal="justify" vertical="justify" wrapText="1"/>
    </xf>
    <xf numFmtId="0" fontId="119" fillId="0" borderId="0" xfId="3753" applyFont="1" applyAlignment="1">
      <alignment horizontal="justify" vertical="center" wrapText="1"/>
    </xf>
    <xf numFmtId="0" fontId="119" fillId="3" borderId="0" xfId="3753" applyFont="1" applyFill="1" applyAlignment="1">
      <alignment horizontal="justify" vertical="center" wrapText="1"/>
    </xf>
    <xf numFmtId="0" fontId="121" fillId="0" borderId="0" xfId="3753" applyFont="1" applyAlignment="1">
      <alignment horizontal="left" wrapText="1"/>
    </xf>
    <xf numFmtId="0" fontId="119" fillId="0" borderId="0" xfId="3753" applyFont="1" applyAlignment="1">
      <alignment horizontal="left" wrapText="1"/>
    </xf>
    <xf numFmtId="0" fontId="119" fillId="0" borderId="79" xfId="3753" applyFont="1" applyBorder="1" applyAlignment="1">
      <alignment horizontal="center" vertical="center"/>
    </xf>
    <xf numFmtId="0" fontId="119" fillId="0" borderId="80" xfId="3753" applyFont="1" applyBorder="1" applyAlignment="1">
      <alignment horizontal="center" vertical="center"/>
    </xf>
    <xf numFmtId="0" fontId="119" fillId="0" borderId="82" xfId="3753" applyFont="1" applyBorder="1" applyAlignment="1">
      <alignment horizontal="center" vertical="center"/>
    </xf>
    <xf numFmtId="0" fontId="119" fillId="0" borderId="81" xfId="3753" applyFont="1" applyBorder="1" applyAlignment="1">
      <alignment horizontal="center" vertical="center"/>
    </xf>
    <xf numFmtId="0" fontId="119" fillId="3" borderId="79" xfId="3753" applyFont="1" applyFill="1" applyBorder="1" applyAlignment="1">
      <alignment horizontal="left" vertical="center"/>
    </xf>
    <xf numFmtId="0" fontId="119" fillId="3" borderId="80" xfId="3753" applyFont="1" applyFill="1" applyBorder="1" applyAlignment="1">
      <alignment horizontal="center" vertical="center" wrapText="1"/>
    </xf>
    <xf numFmtId="0" fontId="119" fillId="3" borderId="81" xfId="3753" applyFont="1" applyFill="1" applyBorder="1" applyAlignment="1">
      <alignment horizontal="center" vertical="center" wrapText="1"/>
    </xf>
    <xf numFmtId="0" fontId="119" fillId="3" borderId="82" xfId="3753" applyFont="1" applyFill="1" applyBorder="1" applyAlignment="1">
      <alignment horizontal="center" vertical="center" wrapText="1"/>
    </xf>
    <xf numFmtId="0" fontId="119" fillId="3" borderId="79" xfId="3753" applyFont="1" applyFill="1" applyBorder="1" applyAlignment="1">
      <alignment horizontal="center" vertical="center"/>
    </xf>
    <xf numFmtId="0" fontId="119" fillId="3" borderId="80" xfId="3753" applyFont="1" applyFill="1" applyBorder="1" applyAlignment="1">
      <alignment horizontal="center" vertical="center"/>
    </xf>
    <xf numFmtId="0" fontId="119" fillId="3" borderId="81" xfId="3753" applyFont="1" applyFill="1" applyBorder="1" applyAlignment="1">
      <alignment horizontal="center" vertical="center"/>
    </xf>
    <xf numFmtId="0" fontId="119" fillId="3" borderId="82" xfId="3753" applyFont="1" applyFill="1" applyBorder="1" applyAlignment="1">
      <alignment horizontal="center" vertical="center"/>
    </xf>
    <xf numFmtId="0" fontId="119" fillId="0" borderId="79" xfId="3753" applyFont="1" applyBorder="1" applyAlignment="1">
      <alignment horizontal="left" vertical="center"/>
    </xf>
    <xf numFmtId="0" fontId="121" fillId="0" borderId="79" xfId="3753" applyFont="1" applyBorder="1" applyAlignment="1">
      <alignment horizontal="left" vertical="center"/>
    </xf>
    <xf numFmtId="0" fontId="121" fillId="0" borderId="79" xfId="3753" applyFont="1" applyBorder="1" applyAlignment="1">
      <alignment horizontal="center" vertical="center"/>
    </xf>
    <xf numFmtId="0" fontId="121" fillId="0" borderId="80" xfId="3753" applyFont="1" applyBorder="1" applyAlignment="1">
      <alignment horizontal="center" vertical="center"/>
    </xf>
    <xf numFmtId="0" fontId="121" fillId="0" borderId="81" xfId="3753" applyFont="1" applyBorder="1" applyAlignment="1">
      <alignment horizontal="center" vertical="center"/>
    </xf>
    <xf numFmtId="0" fontId="121" fillId="0" borderId="82" xfId="3753" applyFont="1" applyBorder="1" applyAlignment="1">
      <alignment horizontal="center" vertical="center"/>
    </xf>
    <xf numFmtId="0" fontId="121" fillId="0" borderId="83" xfId="3753" applyFont="1" applyBorder="1" applyAlignment="1">
      <alignment horizontal="center" vertical="center"/>
    </xf>
    <xf numFmtId="0" fontId="121" fillId="0" borderId="0" xfId="3753" applyFont="1" applyAlignment="1">
      <alignment horizontal="center" vertical="center"/>
    </xf>
    <xf numFmtId="0" fontId="119" fillId="0" borderId="0" xfId="3753" applyFont="1" applyAlignment="1">
      <alignment horizontal="left" vertical="top" wrapText="1"/>
    </xf>
    <xf numFmtId="0" fontId="119" fillId="0" borderId="79" xfId="3753" applyFont="1" applyBorder="1" applyAlignment="1">
      <alignment horizontal="center" vertical="center" wrapText="1"/>
    </xf>
    <xf numFmtId="0" fontId="119" fillId="0" borderId="80" xfId="3753" applyFont="1" applyBorder="1" applyAlignment="1">
      <alignment horizontal="center" vertical="center" wrapText="1"/>
    </xf>
    <xf numFmtId="0" fontId="119" fillId="0" borderId="1" xfId="3753" applyFont="1" applyBorder="1" applyAlignment="1">
      <alignment horizontal="center" vertical="center" wrapText="1"/>
    </xf>
    <xf numFmtId="0" fontId="119" fillId="0" borderId="81" xfId="3753" applyFont="1" applyBorder="1" applyAlignment="1">
      <alignment horizontal="center" vertical="center" wrapText="1"/>
    </xf>
    <xf numFmtId="0" fontId="119" fillId="0" borderId="82" xfId="3753" applyFont="1" applyBorder="1" applyAlignment="1">
      <alignment horizontal="center" vertical="center" wrapText="1"/>
    </xf>
    <xf numFmtId="195" fontId="119" fillId="0" borderId="80" xfId="3753" applyNumberFormat="1" applyFont="1" applyBorder="1" applyAlignment="1">
      <alignment horizontal="center" vertical="center" wrapText="1"/>
    </xf>
    <xf numFmtId="195" fontId="119" fillId="0" borderId="81" xfId="3753" applyNumberFormat="1" applyFont="1" applyBorder="1" applyAlignment="1">
      <alignment horizontal="center" vertical="center" wrapText="1"/>
    </xf>
    <xf numFmtId="0" fontId="119" fillId="0" borderId="4" xfId="3753" applyFont="1" applyBorder="1" applyAlignment="1">
      <alignment horizontal="left" vertical="center" wrapText="1"/>
    </xf>
    <xf numFmtId="0" fontId="119" fillId="0" borderId="10" xfId="3753" applyFont="1" applyBorder="1" applyAlignment="1">
      <alignment horizontal="left" vertical="center" wrapText="1"/>
    </xf>
    <xf numFmtId="0" fontId="119" fillId="0" borderId="5" xfId="3753" applyFont="1" applyBorder="1" applyAlignment="1">
      <alignment horizontal="left" vertical="center" wrapText="1"/>
    </xf>
    <xf numFmtId="0" fontId="121" fillId="0" borderId="79" xfId="3753" applyFont="1" applyBorder="1" applyAlignment="1">
      <alignment horizontal="center" vertical="center" wrapText="1"/>
    </xf>
    <xf numFmtId="195" fontId="121" fillId="0" borderId="79" xfId="3753" applyNumberFormat="1" applyFont="1" applyBorder="1" applyAlignment="1">
      <alignment horizontal="center" vertical="center" wrapText="1"/>
    </xf>
    <xf numFmtId="195" fontId="121" fillId="0" borderId="80" xfId="3753" applyNumberFormat="1" applyFont="1" applyBorder="1" applyAlignment="1">
      <alignment horizontal="center" vertical="center" wrapText="1"/>
    </xf>
    <xf numFmtId="0" fontId="119" fillId="0" borderId="79" xfId="2468" applyBorder="1" applyAlignment="1">
      <alignment horizontal="center" vertical="center"/>
    </xf>
    <xf numFmtId="0" fontId="119" fillId="0" borderId="79" xfId="2468" applyBorder="1" applyAlignment="1">
      <alignment horizontal="center" vertical="center" wrapText="1"/>
    </xf>
    <xf numFmtId="0" fontId="119" fillId="0" borderId="80" xfId="2468" applyBorder="1" applyAlignment="1">
      <alignment horizontal="center" vertical="center" wrapText="1"/>
    </xf>
    <xf numFmtId="0" fontId="119" fillId="0" borderId="82" xfId="2468" applyBorder="1" applyAlignment="1">
      <alignment horizontal="center" vertical="center" wrapText="1"/>
    </xf>
    <xf numFmtId="1" fontId="119" fillId="0" borderId="79" xfId="2468" applyNumberFormat="1" applyBorder="1" applyAlignment="1">
      <alignment horizontal="center"/>
    </xf>
    <xf numFmtId="1" fontId="119" fillId="0" borderId="80" xfId="2468" applyNumberFormat="1" applyBorder="1" applyAlignment="1">
      <alignment horizontal="center"/>
    </xf>
    <xf numFmtId="1" fontId="119" fillId="0" borderId="82" xfId="2468" applyNumberFormat="1" applyBorder="1" applyAlignment="1">
      <alignment horizontal="center"/>
    </xf>
    <xf numFmtId="1" fontId="239" fillId="0" borderId="79" xfId="2468" applyNumberFormat="1" applyFont="1" applyBorder="1" applyAlignment="1">
      <alignment horizontal="center" vertical="center"/>
    </xf>
    <xf numFmtId="1" fontId="239" fillId="0" borderId="80" xfId="2468" applyNumberFormat="1" applyFont="1" applyBorder="1" applyAlignment="1">
      <alignment horizontal="center" vertical="center"/>
    </xf>
    <xf numFmtId="1" fontId="239" fillId="0" borderId="82" xfId="2468" applyNumberFormat="1" applyFont="1" applyBorder="1" applyAlignment="1">
      <alignment horizontal="center" vertical="center"/>
    </xf>
    <xf numFmtId="0" fontId="121" fillId="0" borderId="0" xfId="3753" applyFont="1" applyAlignment="1">
      <alignment horizontal="left" vertical="center" wrapText="1"/>
    </xf>
    <xf numFmtId="0" fontId="242" fillId="0" borderId="1" xfId="3753" applyFont="1" applyBorder="1" applyAlignment="1">
      <alignment horizontal="center" vertical="center" wrapText="1"/>
    </xf>
    <xf numFmtId="0" fontId="119" fillId="0" borderId="0" xfId="3753" applyFont="1" applyAlignment="1">
      <alignment horizontal="center" vertical="center" wrapText="1"/>
    </xf>
    <xf numFmtId="0" fontId="169" fillId="0" borderId="1" xfId="3753" applyFont="1" applyBorder="1" applyAlignment="1">
      <alignment horizontal="center" vertical="center" wrapText="1"/>
    </xf>
    <xf numFmtId="0" fontId="119" fillId="0" borderId="11" xfId="3753" applyFont="1" applyBorder="1" applyAlignment="1">
      <alignment horizontal="center" vertical="center" wrapText="1"/>
    </xf>
    <xf numFmtId="0" fontId="119" fillId="0" borderId="12" xfId="3753" applyFont="1" applyBorder="1" applyAlignment="1">
      <alignment horizontal="center" vertical="center" wrapText="1"/>
    </xf>
    <xf numFmtId="0" fontId="119" fillId="0" borderId="24" xfId="3753" applyFont="1" applyBorder="1" applyAlignment="1">
      <alignment horizontal="center" vertical="center" wrapText="1"/>
    </xf>
    <xf numFmtId="0" fontId="119" fillId="0" borderId="4" xfId="3753" applyFont="1" applyBorder="1" applyAlignment="1">
      <alignment horizontal="center" vertical="center"/>
    </xf>
    <xf numFmtId="0" fontId="119" fillId="0" borderId="10" xfId="3753" applyFont="1" applyBorder="1" applyAlignment="1">
      <alignment horizontal="center" vertical="center"/>
    </xf>
    <xf numFmtId="0" fontId="119" fillId="0" borderId="5" xfId="3753" applyFont="1" applyBorder="1" applyAlignment="1">
      <alignment horizontal="center" vertical="center"/>
    </xf>
    <xf numFmtId="0" fontId="240" fillId="0" borderId="0" xfId="3753" applyFont="1" applyAlignment="1">
      <alignment horizontal="left" vertical="top" wrapText="1"/>
    </xf>
    <xf numFmtId="0" fontId="119" fillId="3" borderId="4" xfId="2192" applyFill="1" applyBorder="1" applyAlignment="1">
      <alignment horizontal="center" vertical="top" wrapText="1"/>
    </xf>
    <xf numFmtId="0" fontId="119" fillId="3" borderId="10" xfId="2192" applyFill="1" applyBorder="1" applyAlignment="1">
      <alignment horizontal="center" vertical="top" wrapText="1"/>
    </xf>
    <xf numFmtId="0" fontId="119" fillId="3" borderId="5" xfId="2192" applyFill="1" applyBorder="1" applyAlignment="1">
      <alignment horizontal="center" vertical="top" wrapText="1"/>
    </xf>
    <xf numFmtId="0" fontId="119" fillId="3" borderId="1" xfId="2833" applyFont="1" applyFill="1" applyBorder="1" applyAlignment="1">
      <alignment horizontal="center" vertical="top" wrapText="1"/>
    </xf>
    <xf numFmtId="0" fontId="119" fillId="3" borderId="1" xfId="3753" applyFont="1" applyFill="1" applyBorder="1" applyAlignment="1">
      <alignment horizontal="center" vertical="top" wrapText="1"/>
    </xf>
    <xf numFmtId="0" fontId="119" fillId="3" borderId="1" xfId="3753" applyFont="1" applyFill="1" applyBorder="1" applyAlignment="1">
      <alignment vertical="top" wrapText="1"/>
    </xf>
    <xf numFmtId="0" fontId="238" fillId="3" borderId="4" xfId="2192" applyFont="1" applyFill="1" applyBorder="1" applyAlignment="1">
      <alignment horizontal="center" vertical="top" wrapText="1"/>
    </xf>
    <xf numFmtId="0" fontId="238" fillId="3" borderId="10" xfId="2192" applyFont="1" applyFill="1" applyBorder="1" applyAlignment="1">
      <alignment horizontal="center" vertical="top" wrapText="1"/>
    </xf>
    <xf numFmtId="0" fontId="238" fillId="3" borderId="5" xfId="2192" applyFont="1" applyFill="1" applyBorder="1" applyAlignment="1">
      <alignment horizontal="center" vertical="top" wrapText="1"/>
    </xf>
    <xf numFmtId="0" fontId="119" fillId="3" borderId="1" xfId="2833" applyFont="1" applyFill="1" applyBorder="1" applyAlignment="1">
      <alignment horizontal="center" vertical="center" wrapText="1"/>
    </xf>
    <xf numFmtId="0" fontId="119" fillId="3" borderId="1" xfId="3753" applyFont="1" applyFill="1" applyBorder="1" applyAlignment="1">
      <alignment horizontal="center" vertical="center" wrapText="1"/>
    </xf>
    <xf numFmtId="0" fontId="119" fillId="3" borderId="1" xfId="3753" applyFont="1" applyFill="1" applyBorder="1" applyAlignment="1">
      <alignment vertical="center" wrapText="1"/>
    </xf>
    <xf numFmtId="0" fontId="121" fillId="0" borderId="1" xfId="3753" applyFont="1" applyBorder="1" applyAlignment="1">
      <alignment horizontal="center" vertical="center" wrapText="1"/>
    </xf>
    <xf numFmtId="0" fontId="241" fillId="0" borderId="0" xfId="3745" applyFont="1" applyAlignment="1">
      <alignment horizontal="left" vertical="top" wrapText="1"/>
    </xf>
    <xf numFmtId="0" fontId="119" fillId="0" borderId="0" xfId="3745" applyFont="1" applyAlignment="1">
      <alignment horizontal="left" vertical="top" wrapText="1"/>
    </xf>
    <xf numFmtId="0" fontId="119" fillId="0" borderId="0" xfId="3753" applyFont="1" applyAlignment="1">
      <alignment horizontal="left" vertical="top"/>
    </xf>
    <xf numFmtId="0" fontId="243" fillId="0" borderId="0" xfId="2079" applyFont="1" applyAlignment="1">
      <alignment horizontal="center" vertical="top"/>
    </xf>
    <xf numFmtId="0" fontId="121" fillId="0" borderId="0" xfId="3753" applyFont="1" applyAlignment="1">
      <alignment horizontal="left" vertical="top" wrapText="1"/>
    </xf>
    <xf numFmtId="0" fontId="244" fillId="0" borderId="0" xfId="2079" applyFont="1" applyAlignment="1">
      <alignment horizontal="center" vertical="top"/>
    </xf>
    <xf numFmtId="2" fontId="243" fillId="0" borderId="0" xfId="2079" applyNumberFormat="1" applyFont="1" applyAlignment="1">
      <alignment horizontal="center" vertical="top"/>
    </xf>
    <xf numFmtId="0" fontId="119" fillId="0" borderId="71" xfId="3753" applyFont="1" applyBorder="1" applyAlignment="1">
      <alignment horizontal="center" vertical="center"/>
    </xf>
    <xf numFmtId="0" fontId="119" fillId="0" borderId="75" xfId="3753" applyFont="1" applyBorder="1" applyAlignment="1">
      <alignment horizontal="center" vertical="center"/>
    </xf>
    <xf numFmtId="0" fontId="119" fillId="0" borderId="71" xfId="2468" applyBorder="1" applyAlignment="1">
      <alignment horizontal="center" vertical="center" wrapText="1"/>
    </xf>
    <xf numFmtId="0" fontId="119" fillId="0" borderId="75" xfId="2468" applyBorder="1" applyAlignment="1">
      <alignment horizontal="center" vertical="center" wrapText="1"/>
    </xf>
    <xf numFmtId="0" fontId="119" fillId="0" borderId="72" xfId="3753" applyFont="1" applyBorder="1" applyAlignment="1">
      <alignment horizontal="center" vertical="center" wrapText="1"/>
    </xf>
    <xf numFmtId="0" fontId="119" fillId="0" borderId="73" xfId="3753" applyFont="1" applyBorder="1" applyAlignment="1">
      <alignment horizontal="center" vertical="center" wrapText="1"/>
    </xf>
    <xf numFmtId="0" fontId="119" fillId="0" borderId="74" xfId="3753" applyFont="1" applyBorder="1" applyAlignment="1">
      <alignment horizontal="center" vertical="center" wrapText="1"/>
    </xf>
    <xf numFmtId="0" fontId="119" fillId="0" borderId="76" xfId="3753" applyFont="1" applyBorder="1" applyAlignment="1">
      <alignment horizontal="center" vertical="center" wrapText="1"/>
    </xf>
    <xf numFmtId="0" fontId="119" fillId="0" borderId="77" xfId="3753" applyFont="1" applyBorder="1" applyAlignment="1">
      <alignment horizontal="center" vertical="center" wrapText="1"/>
    </xf>
    <xf numFmtId="0" fontId="119" fillId="0" borderId="78" xfId="3753" applyFont="1" applyBorder="1" applyAlignment="1">
      <alignment horizontal="center" vertical="center" wrapText="1"/>
    </xf>
    <xf numFmtId="0" fontId="119" fillId="0" borderId="72" xfId="3753" applyFont="1" applyBorder="1" applyAlignment="1">
      <alignment horizontal="center" vertical="center"/>
    </xf>
    <xf numFmtId="0" fontId="119" fillId="0" borderId="73" xfId="3753" applyFont="1" applyBorder="1" applyAlignment="1">
      <alignment horizontal="center" vertical="center"/>
    </xf>
    <xf numFmtId="0" fontId="119" fillId="0" borderId="74" xfId="3753" applyFont="1" applyBorder="1" applyAlignment="1">
      <alignment horizontal="center" vertical="center"/>
    </xf>
    <xf numFmtId="0" fontId="119" fillId="0" borderId="76" xfId="3753" applyFont="1" applyBorder="1" applyAlignment="1">
      <alignment horizontal="center" vertical="center"/>
    </xf>
    <xf numFmtId="0" fontId="119" fillId="0" borderId="77" xfId="3753" applyFont="1" applyBorder="1" applyAlignment="1">
      <alignment horizontal="center" vertical="center"/>
    </xf>
    <xf numFmtId="0" fontId="119" fillId="0" borderId="78" xfId="3753" applyFont="1" applyBorder="1" applyAlignment="1">
      <alignment horizontal="center" vertical="center"/>
    </xf>
    <xf numFmtId="0" fontId="240" fillId="0" borderId="1" xfId="3753" applyFont="1" applyBorder="1" applyAlignment="1">
      <alignment horizontal="center" vertical="center" wrapText="1"/>
    </xf>
    <xf numFmtId="0" fontId="236" fillId="0" borderId="11" xfId="0" applyFont="1" applyBorder="1" applyAlignment="1">
      <alignment horizontal="center" vertical="center"/>
    </xf>
    <xf numFmtId="0" fontId="236" fillId="0" borderId="12" xfId="0" applyFont="1" applyBorder="1" applyAlignment="1">
      <alignment horizontal="center" vertical="center"/>
    </xf>
    <xf numFmtId="0" fontId="236" fillId="0" borderId="24" xfId="0" applyFont="1" applyBorder="1" applyAlignment="1">
      <alignment horizontal="center" vertical="center"/>
    </xf>
    <xf numFmtId="0" fontId="121" fillId="31" borderId="10" xfId="0" applyFont="1" applyFill="1" applyBorder="1" applyAlignment="1">
      <alignment horizontal="center" vertical="center" wrapText="1"/>
    </xf>
    <xf numFmtId="0" fontId="119" fillId="0" borderId="0" xfId="0" applyFont="1" applyAlignment="1">
      <alignment horizontal="center"/>
    </xf>
    <xf numFmtId="0" fontId="119" fillId="0" borderId="0" xfId="0" applyFont="1" applyAlignment="1">
      <alignment horizontal="center" vertical="center" textRotation="90"/>
    </xf>
    <xf numFmtId="0" fontId="119" fillId="0" borderId="0" xfId="0" applyFont="1" applyAlignment="1">
      <alignment horizontal="center" vertical="center" textRotation="180"/>
    </xf>
    <xf numFmtId="0" fontId="119" fillId="0" borderId="8" xfId="0" applyFont="1" applyBorder="1" applyAlignment="1">
      <alignment horizontal="center" textRotation="90"/>
    </xf>
    <xf numFmtId="0" fontId="119" fillId="0" borderId="8" xfId="0" applyFont="1" applyBorder="1" applyAlignment="1">
      <alignment horizontal="center" vertical="center" textRotation="180" wrapText="1"/>
    </xf>
    <xf numFmtId="0" fontId="5" fillId="33" borderId="4" xfId="2516" applyFont="1" applyFill="1" applyBorder="1" applyAlignment="1">
      <alignment horizontal="center"/>
    </xf>
    <xf numFmtId="0" fontId="5" fillId="33" borderId="5" xfId="2516" applyFont="1" applyFill="1" applyBorder="1" applyAlignment="1">
      <alignment horizontal="center"/>
    </xf>
    <xf numFmtId="0" fontId="235" fillId="0" borderId="22" xfId="2516" applyFont="1" applyBorder="1" applyAlignment="1">
      <alignment horizontal="center"/>
    </xf>
    <xf numFmtId="0" fontId="235" fillId="0" borderId="0" xfId="2516" applyFont="1" applyAlignment="1">
      <alignment horizontal="center"/>
    </xf>
    <xf numFmtId="0" fontId="64" fillId="0" borderId="0" xfId="2516" applyFont="1" applyAlignment="1">
      <alignment horizontal="left"/>
    </xf>
    <xf numFmtId="0" fontId="5" fillId="31" borderId="0" xfId="2516" applyFont="1" applyFill="1" applyAlignment="1">
      <alignment horizontal="center"/>
    </xf>
    <xf numFmtId="0" fontId="230" fillId="0" borderId="0" xfId="1587" applyFont="1" applyAlignment="1">
      <alignment horizontal="center"/>
    </xf>
    <xf numFmtId="0" fontId="215" fillId="0" borderId="0" xfId="1587" applyFont="1" applyAlignment="1">
      <alignment horizontal="center"/>
    </xf>
    <xf numFmtId="0" fontId="5" fillId="0" borderId="1" xfId="1587" applyFont="1" applyBorder="1" applyAlignment="1">
      <alignment horizontal="center"/>
    </xf>
    <xf numFmtId="0" fontId="4" fillId="0" borderId="11" xfId="1587" applyBorder="1" applyAlignment="1">
      <alignment horizontal="center"/>
    </xf>
    <xf numFmtId="0" fontId="4" fillId="0" borderId="12" xfId="1587" applyBorder="1" applyAlignment="1">
      <alignment horizontal="center"/>
    </xf>
    <xf numFmtId="0" fontId="4" fillId="0" borderId="24" xfId="1587" applyBorder="1" applyAlignment="1">
      <alignment horizontal="center"/>
    </xf>
    <xf numFmtId="0" fontId="5" fillId="0" borderId="11" xfId="1587" applyFont="1" applyBorder="1" applyAlignment="1">
      <alignment horizontal="center"/>
    </xf>
    <xf numFmtId="0" fontId="5" fillId="0" borderId="12" xfId="1587" applyFont="1" applyBorder="1" applyAlignment="1">
      <alignment horizontal="center"/>
    </xf>
    <xf numFmtId="0" fontId="5" fillId="0" borderId="24" xfId="1587" applyFont="1" applyBorder="1" applyAlignment="1">
      <alignment horizontal="center"/>
    </xf>
    <xf numFmtId="0" fontId="0" fillId="0" borderId="11" xfId="1587" applyFont="1" applyBorder="1" applyAlignment="1">
      <alignment horizontal="center"/>
    </xf>
    <xf numFmtId="0" fontId="0" fillId="0" borderId="12" xfId="1587" applyFont="1" applyBorder="1" applyAlignment="1">
      <alignment horizontal="center"/>
    </xf>
    <xf numFmtId="0" fontId="0" fillId="0" borderId="20" xfId="1587" applyFont="1" applyBorder="1" applyAlignment="1">
      <alignment horizontal="center"/>
    </xf>
    <xf numFmtId="0" fontId="0" fillId="0" borderId="21" xfId="1587" applyFont="1" applyBorder="1" applyAlignment="1">
      <alignment horizontal="center"/>
    </xf>
    <xf numFmtId="0" fontId="0" fillId="0" borderId="28" xfId="1587" applyFont="1" applyBorder="1" applyAlignment="1">
      <alignment horizontal="center"/>
    </xf>
    <xf numFmtId="0" fontId="5" fillId="0" borderId="1" xfId="1587" applyFont="1" applyBorder="1" applyAlignment="1">
      <alignment horizontal="center" vertical="center"/>
    </xf>
    <xf numFmtId="0" fontId="5" fillId="0" borderId="24" xfId="1587" applyFont="1" applyBorder="1" applyAlignment="1">
      <alignment horizontal="center" vertical="center" wrapText="1"/>
    </xf>
    <xf numFmtId="0" fontId="5" fillId="0" borderId="15" xfId="1587" applyFont="1" applyBorder="1" applyAlignment="1">
      <alignment horizontal="center" vertical="center" wrapText="1"/>
    </xf>
    <xf numFmtId="0" fontId="8" fillId="0" borderId="4" xfId="1587" applyFont="1" applyBorder="1" applyAlignment="1">
      <alignment horizontal="center" vertical="center" wrapText="1"/>
    </xf>
    <xf numFmtId="0" fontId="8" fillId="0" borderId="10" xfId="1587" applyFont="1" applyBorder="1" applyAlignment="1">
      <alignment horizontal="center" vertical="center" wrapText="1"/>
    </xf>
    <xf numFmtId="0" fontId="8" fillId="0" borderId="5" xfId="1587" applyFont="1" applyBorder="1" applyAlignment="1">
      <alignment horizontal="center" vertical="center" wrapText="1"/>
    </xf>
    <xf numFmtId="0" fontId="8" fillId="0" borderId="1" xfId="1587" applyFont="1" applyBorder="1" applyAlignment="1">
      <alignment horizontal="center" vertical="center" wrapText="1"/>
    </xf>
    <xf numFmtId="0" fontId="4" fillId="0" borderId="0" xfId="1587" applyAlignment="1">
      <alignment horizontal="right"/>
    </xf>
    <xf numFmtId="0" fontId="232" fillId="0" borderId="0" xfId="1587" applyFont="1" applyAlignment="1">
      <alignment horizontal="right"/>
    </xf>
    <xf numFmtId="3" fontId="29" fillId="0" borderId="19" xfId="1587" applyNumberFormat="1" applyFont="1" applyBorder="1" applyAlignment="1">
      <alignment horizontal="center"/>
    </xf>
    <xf numFmtId="3" fontId="29" fillId="0" borderId="31" xfId="1587" applyNumberFormat="1" applyFont="1" applyBorder="1" applyAlignment="1">
      <alignment horizontal="center"/>
    </xf>
    <xf numFmtId="0" fontId="163" fillId="0" borderId="19" xfId="196" applyFont="1" applyBorder="1" applyAlignment="1" applyProtection="1">
      <alignment horizontal="center" vertical="center"/>
      <protection locked="0"/>
    </xf>
    <xf numFmtId="0" fontId="163" fillId="0" borderId="31" xfId="196" applyFont="1" applyBorder="1" applyAlignment="1" applyProtection="1">
      <alignment horizontal="center" vertical="center"/>
      <protection locked="0"/>
    </xf>
    <xf numFmtId="0" fontId="163" fillId="0" borderId="1" xfId="196" applyFont="1" applyBorder="1" applyAlignment="1">
      <alignment horizontal="center" vertical="center"/>
    </xf>
    <xf numFmtId="0" fontId="163" fillId="0" borderId="4" xfId="196" applyFont="1" applyBorder="1" applyAlignment="1" applyProtection="1">
      <alignment horizontal="center" vertical="center" wrapText="1"/>
      <protection locked="0"/>
    </xf>
    <xf numFmtId="0" fontId="163" fillId="0" borderId="57" xfId="196" applyFont="1" applyBorder="1" applyAlignment="1" applyProtection="1">
      <alignment horizontal="center" vertical="center" wrapText="1"/>
      <protection locked="0"/>
    </xf>
    <xf numFmtId="0" fontId="163" fillId="0" borderId="11" xfId="196" applyFont="1" applyBorder="1" applyAlignment="1" applyProtection="1">
      <alignment horizontal="center" vertical="center" wrapText="1"/>
      <protection locked="0"/>
    </xf>
    <xf numFmtId="0" fontId="163" fillId="0" borderId="12" xfId="196" applyFont="1" applyBorder="1" applyAlignment="1" applyProtection="1">
      <alignment horizontal="center" vertical="center" wrapText="1"/>
      <protection locked="0"/>
    </xf>
    <xf numFmtId="0" fontId="163" fillId="0" borderId="1" xfId="196" applyFont="1" applyBorder="1" applyAlignment="1" applyProtection="1">
      <alignment horizontal="center" vertical="center" wrapText="1"/>
      <protection locked="0"/>
    </xf>
    <xf numFmtId="0" fontId="163" fillId="0" borderId="7" xfId="196" applyFont="1" applyBorder="1" applyAlignment="1" applyProtection="1">
      <alignment horizontal="center" vertical="center" wrapText="1"/>
      <protection locked="0"/>
    </xf>
    <xf numFmtId="0" fontId="163" fillId="0" borderId="1" xfId="196" applyFont="1" applyBorder="1" applyAlignment="1" applyProtection="1">
      <alignment horizontal="center" wrapText="1"/>
      <protection locked="0"/>
    </xf>
    <xf numFmtId="0" fontId="163" fillId="0" borderId="4" xfId="196" applyFont="1" applyBorder="1" applyAlignment="1">
      <alignment horizontal="center" vertical="center"/>
    </xf>
    <xf numFmtId="0" fontId="163" fillId="0" borderId="10" xfId="196" applyFont="1" applyBorder="1" applyAlignment="1">
      <alignment horizontal="center" vertical="center"/>
    </xf>
    <xf numFmtId="0" fontId="163" fillId="0" borderId="1" xfId="196" applyFont="1" applyBorder="1" applyAlignment="1">
      <alignment horizontal="center" vertical="center" wrapText="1"/>
    </xf>
    <xf numFmtId="0" fontId="163" fillId="0" borderId="4" xfId="196" applyFont="1" applyBorder="1" applyAlignment="1">
      <alignment horizontal="center" vertical="center" wrapText="1"/>
    </xf>
    <xf numFmtId="0" fontId="163" fillId="0" borderId="10" xfId="196" applyFont="1" applyBorder="1" applyAlignment="1" applyProtection="1">
      <alignment horizontal="center" vertical="center" wrapText="1"/>
      <protection locked="0"/>
    </xf>
    <xf numFmtId="0" fontId="163" fillId="0" borderId="19" xfId="196" applyFont="1" applyBorder="1" applyAlignment="1" applyProtection="1">
      <alignment horizontal="center" vertical="center" wrapText="1"/>
      <protection locked="0"/>
    </xf>
    <xf numFmtId="0" fontId="163" fillId="0" borderId="14" xfId="196" applyFont="1" applyBorder="1" applyAlignment="1" applyProtection="1">
      <alignment horizontal="center" vertical="center" wrapText="1"/>
      <protection locked="0"/>
    </xf>
    <xf numFmtId="0" fontId="163" fillId="0" borderId="31" xfId="196" applyFont="1" applyBorder="1" applyAlignment="1" applyProtection="1">
      <alignment horizontal="center" vertical="center" wrapText="1"/>
      <protection locked="0"/>
    </xf>
    <xf numFmtId="0" fontId="163" fillId="26" borderId="55" xfId="196" applyFont="1" applyFill="1" applyBorder="1" applyAlignment="1">
      <alignment horizontal="center" vertical="center"/>
    </xf>
    <xf numFmtId="0" fontId="163" fillId="26" borderId="8" xfId="196" applyFont="1" applyFill="1" applyBorder="1" applyAlignment="1">
      <alignment horizontal="center" vertical="center"/>
    </xf>
    <xf numFmtId="0" fontId="163" fillId="26" borderId="6" xfId="196" applyFont="1" applyFill="1" applyBorder="1" applyAlignment="1">
      <alignment horizontal="center" vertical="center"/>
    </xf>
    <xf numFmtId="0" fontId="176" fillId="27" borderId="27" xfId="196" applyFont="1" applyFill="1" applyBorder="1" applyAlignment="1">
      <alignment horizontal="center" vertical="center"/>
    </xf>
    <xf numFmtId="0" fontId="176" fillId="27" borderId="50" xfId="196" applyFont="1" applyFill="1" applyBorder="1" applyAlignment="1">
      <alignment horizontal="center" vertical="center"/>
    </xf>
    <xf numFmtId="0" fontId="176" fillId="27" borderId="62" xfId="196" applyFont="1" applyFill="1" applyBorder="1" applyAlignment="1">
      <alignment horizontal="center" vertical="center"/>
    </xf>
    <xf numFmtId="0" fontId="163" fillId="0" borderId="1" xfId="196" applyFont="1" applyBorder="1" applyAlignment="1" applyProtection="1">
      <alignment horizontal="center" vertical="center"/>
      <protection locked="0"/>
    </xf>
    <xf numFmtId="0" fontId="163" fillId="0" borderId="61" xfId="196" applyFont="1" applyBorder="1" applyAlignment="1" applyProtection="1">
      <alignment horizontal="center" vertical="center"/>
      <protection locked="0"/>
    </xf>
    <xf numFmtId="0" fontId="163" fillId="28" borderId="27" xfId="196" applyFont="1" applyFill="1" applyBorder="1" applyAlignment="1">
      <alignment horizontal="center" vertical="center"/>
    </xf>
    <xf numFmtId="0" fontId="163" fillId="28" borderId="50" xfId="196" applyFont="1" applyFill="1" applyBorder="1" applyAlignment="1">
      <alignment horizontal="center" vertical="center"/>
    </xf>
    <xf numFmtId="0" fontId="163" fillId="28" borderId="62" xfId="196" applyFont="1" applyFill="1" applyBorder="1" applyAlignment="1">
      <alignment horizontal="center" vertical="center"/>
    </xf>
    <xf numFmtId="0" fontId="163" fillId="0" borderId="0" xfId="196" applyFont="1" applyAlignment="1" applyProtection="1">
      <alignment horizontal="left" vertical="center" wrapText="1"/>
      <protection locked="0"/>
    </xf>
    <xf numFmtId="0" fontId="4" fillId="0" borderId="0" xfId="2079" applyAlignment="1" applyProtection="1">
      <alignment horizontal="center"/>
      <protection locked="0"/>
    </xf>
    <xf numFmtId="0" fontId="5" fillId="0" borderId="0" xfId="2079" applyFont="1" applyAlignment="1" applyProtection="1">
      <alignment horizontal="center"/>
      <protection locked="0"/>
    </xf>
    <xf numFmtId="0" fontId="2" fillId="0" borderId="29" xfId="196" applyBorder="1" applyAlignment="1" applyProtection="1">
      <alignment horizontal="center"/>
      <protection locked="0"/>
    </xf>
    <xf numFmtId="0" fontId="2" fillId="0" borderId="55" xfId="196" applyBorder="1" applyAlignment="1" applyProtection="1">
      <alignment horizontal="center"/>
      <protection locked="0"/>
    </xf>
    <xf numFmtId="0" fontId="2" fillId="0" borderId="60" xfId="196" applyBorder="1" applyAlignment="1" applyProtection="1">
      <alignment horizontal="center"/>
      <protection locked="0"/>
    </xf>
    <xf numFmtId="0" fontId="163" fillId="0" borderId="4" xfId="196" applyFont="1" applyBorder="1" applyAlignment="1" applyProtection="1">
      <alignment horizontal="center"/>
      <protection locked="0"/>
    </xf>
    <xf numFmtId="0" fontId="163" fillId="0" borderId="10" xfId="196" applyFont="1" applyBorder="1" applyAlignment="1" applyProtection="1">
      <alignment horizontal="center"/>
      <protection locked="0"/>
    </xf>
    <xf numFmtId="0" fontId="2" fillId="0" borderId="27" xfId="196" applyBorder="1" applyAlignment="1">
      <alignment horizontal="center" vertical="center"/>
    </xf>
    <xf numFmtId="0" fontId="2" fillId="0" borderId="50" xfId="196" applyBorder="1" applyAlignment="1">
      <alignment horizontal="center" vertical="center"/>
    </xf>
    <xf numFmtId="0" fontId="2" fillId="0" borderId="62" xfId="196" applyBorder="1" applyAlignment="1">
      <alignment horizontal="center" vertical="center"/>
    </xf>
    <xf numFmtId="0" fontId="163" fillId="0" borderId="2" xfId="196" applyFont="1" applyBorder="1" applyAlignment="1" applyProtection="1">
      <alignment horizontal="center"/>
      <protection locked="0"/>
    </xf>
    <xf numFmtId="0" fontId="163" fillId="0" borderId="3" xfId="196" applyFont="1" applyBorder="1" applyAlignment="1" applyProtection="1">
      <alignment horizontal="center"/>
      <protection locked="0"/>
    </xf>
    <xf numFmtId="0" fontId="163" fillId="0" borderId="1" xfId="196" applyFont="1" applyBorder="1" applyAlignment="1" applyProtection="1">
      <alignment horizontal="center"/>
      <protection locked="0"/>
    </xf>
    <xf numFmtId="0" fontId="163" fillId="0" borderId="0" xfId="196" applyFont="1" applyAlignment="1">
      <alignment horizontal="center"/>
    </xf>
    <xf numFmtId="0" fontId="163" fillId="0" borderId="25" xfId="196" applyFont="1" applyBorder="1" applyAlignment="1">
      <alignment horizontal="center"/>
    </xf>
    <xf numFmtId="0" fontId="163" fillId="25" borderId="27" xfId="196" applyFont="1" applyFill="1" applyBorder="1" applyAlignment="1">
      <alignment horizontal="center" vertical="center" wrapText="1"/>
    </xf>
    <xf numFmtId="0" fontId="163" fillId="25" borderId="50" xfId="196" applyFont="1" applyFill="1" applyBorder="1" applyAlignment="1">
      <alignment horizontal="center" vertical="center" wrapText="1"/>
    </xf>
    <xf numFmtId="0" fontId="163" fillId="25" borderId="62" xfId="196" applyFont="1" applyFill="1" applyBorder="1" applyAlignment="1">
      <alignment horizontal="center" vertical="center" wrapText="1"/>
    </xf>
    <xf numFmtId="0" fontId="163" fillId="0" borderId="1" xfId="250" applyFont="1" applyBorder="1" applyAlignment="1">
      <alignment horizontal="center" vertical="center" wrapText="1"/>
    </xf>
    <xf numFmtId="0" fontId="2" fillId="0" borderId="1" xfId="250" applyBorder="1" applyAlignment="1">
      <alignment horizontal="center" vertical="center"/>
    </xf>
    <xf numFmtId="0" fontId="2" fillId="0" borderId="4" xfId="250" applyBorder="1" applyAlignment="1">
      <alignment horizontal="center" vertical="center"/>
    </xf>
    <xf numFmtId="0" fontId="2" fillId="0" borderId="10" xfId="250" applyBorder="1" applyAlignment="1">
      <alignment horizontal="center" vertical="center"/>
    </xf>
    <xf numFmtId="0" fontId="2" fillId="0" borderId="5" xfId="250" applyBorder="1" applyAlignment="1">
      <alignment horizontal="center" vertical="center"/>
    </xf>
    <xf numFmtId="0" fontId="163" fillId="0" borderId="7" xfId="250" applyFont="1" applyBorder="1" applyAlignment="1">
      <alignment horizontal="center" vertical="center" wrapText="1"/>
    </xf>
    <xf numFmtId="0" fontId="163" fillId="0" borderId="2" xfId="250" applyFont="1" applyBorder="1" applyAlignment="1">
      <alignment horizontal="center" vertical="center" wrapText="1"/>
    </xf>
    <xf numFmtId="0" fontId="2" fillId="0" borderId="7" xfId="250" applyBorder="1" applyAlignment="1">
      <alignment horizontal="center" vertical="center" wrapText="1"/>
    </xf>
    <xf numFmtId="0" fontId="2" fillId="0" borderId="2" xfId="250" applyBorder="1" applyAlignment="1">
      <alignment horizontal="center" vertical="center" wrapText="1"/>
    </xf>
    <xf numFmtId="0" fontId="2" fillId="0" borderId="1" xfId="250" applyBorder="1" applyAlignment="1">
      <alignment horizontal="center"/>
    </xf>
    <xf numFmtId="0" fontId="2" fillId="0" borderId="1" xfId="250" applyBorder="1" applyAlignment="1">
      <alignment horizontal="right"/>
    </xf>
    <xf numFmtId="0" fontId="2" fillId="0" borderId="4" xfId="250" applyBorder="1" applyAlignment="1">
      <alignment horizontal="right"/>
    </xf>
    <xf numFmtId="0" fontId="2" fillId="0" borderId="10" xfId="250" applyBorder="1" applyAlignment="1">
      <alignment horizontal="right"/>
    </xf>
    <xf numFmtId="0" fontId="2" fillId="0" borderId="5" xfId="250" applyBorder="1" applyAlignment="1">
      <alignment horizontal="right"/>
    </xf>
    <xf numFmtId="0" fontId="163" fillId="0" borderId="0" xfId="250" applyFont="1" applyAlignment="1">
      <alignment horizontal="center"/>
    </xf>
    <xf numFmtId="0" fontId="2" fillId="0" borderId="20" xfId="250" applyBorder="1" applyAlignment="1">
      <alignment horizontal="center"/>
    </xf>
    <xf numFmtId="0" fontId="2" fillId="0" borderId="21" xfId="250" applyBorder="1" applyAlignment="1">
      <alignment horizontal="center"/>
    </xf>
    <xf numFmtId="0" fontId="2" fillId="0" borderId="28" xfId="250" applyBorder="1" applyAlignment="1">
      <alignment horizontal="center"/>
    </xf>
    <xf numFmtId="0" fontId="163" fillId="15" borderId="27" xfId="250" applyFont="1" applyFill="1" applyBorder="1" applyAlignment="1">
      <alignment horizontal="center" vertical="center" wrapText="1"/>
    </xf>
    <xf numFmtId="0" fontId="163" fillId="15" borderId="50" xfId="250" applyFont="1" applyFill="1" applyBorder="1" applyAlignment="1">
      <alignment horizontal="center" vertical="center" wrapText="1"/>
    </xf>
    <xf numFmtId="0" fontId="163" fillId="15" borderId="51" xfId="250" applyFont="1" applyFill="1" applyBorder="1" applyAlignment="1">
      <alignment horizontal="center" vertical="center" wrapText="1"/>
    </xf>
    <xf numFmtId="0" fontId="163" fillId="20" borderId="55" xfId="250" applyFont="1" applyFill="1" applyBorder="1" applyAlignment="1">
      <alignment horizontal="center" vertical="center"/>
    </xf>
    <xf numFmtId="0" fontId="163" fillId="20" borderId="8" xfId="250" applyFont="1" applyFill="1" applyBorder="1" applyAlignment="1">
      <alignment horizontal="center" vertical="center"/>
    </xf>
    <xf numFmtId="0" fontId="163" fillId="20" borderId="56" xfId="250" applyFont="1" applyFill="1" applyBorder="1" applyAlignment="1">
      <alignment horizontal="center" vertical="center"/>
    </xf>
    <xf numFmtId="0" fontId="163" fillId="22" borderId="27" xfId="250" applyFont="1" applyFill="1" applyBorder="1" applyAlignment="1">
      <alignment horizontal="center" vertical="center"/>
    </xf>
    <xf numFmtId="0" fontId="163" fillId="22" borderId="50" xfId="250" applyFont="1" applyFill="1" applyBorder="1" applyAlignment="1">
      <alignment horizontal="center" vertical="center"/>
    </xf>
    <xf numFmtId="0" fontId="163" fillId="22" borderId="51" xfId="250" applyFont="1" applyFill="1" applyBorder="1" applyAlignment="1">
      <alignment horizontal="center" vertical="center"/>
    </xf>
    <xf numFmtId="0" fontId="2" fillId="0" borderId="1" xfId="250" applyBorder="1" applyAlignment="1">
      <alignment horizontal="center" vertical="center" wrapText="1"/>
    </xf>
    <xf numFmtId="0" fontId="163" fillId="0" borderId="1" xfId="250" applyFont="1" applyBorder="1" applyAlignment="1">
      <alignment horizontal="center" vertical="center"/>
    </xf>
    <xf numFmtId="0" fontId="163" fillId="0" borderId="5" xfId="250" applyFont="1" applyBorder="1" applyAlignment="1">
      <alignment horizontal="center" vertical="center" wrapText="1"/>
    </xf>
    <xf numFmtId="0" fontId="163" fillId="0" borderId="24" xfId="250" applyFont="1" applyBorder="1" applyAlignment="1">
      <alignment horizontal="center" vertical="center" wrapText="1"/>
    </xf>
    <xf numFmtId="0" fontId="163" fillId="0" borderId="25" xfId="250" applyFont="1" applyBorder="1" applyAlignment="1">
      <alignment horizontal="center" vertical="center" wrapText="1"/>
    </xf>
    <xf numFmtId="0" fontId="163" fillId="0" borderId="15" xfId="250" applyFont="1" applyBorder="1" applyAlignment="1">
      <alignment horizontal="center" vertical="center" wrapText="1"/>
    </xf>
    <xf numFmtId="0" fontId="163" fillId="0" borderId="4" xfId="250" applyFont="1" applyBorder="1" applyAlignment="1">
      <alignment horizontal="center" vertical="center"/>
    </xf>
    <xf numFmtId="0" fontId="163" fillId="0" borderId="10" xfId="250" applyFont="1" applyBorder="1" applyAlignment="1">
      <alignment horizontal="center" vertical="center"/>
    </xf>
    <xf numFmtId="0" fontId="2" fillId="0" borderId="5" xfId="250" applyBorder="1" applyAlignment="1">
      <alignment horizontal="center" vertical="center" wrapText="1"/>
    </xf>
    <xf numFmtId="0" fontId="2" fillId="0" borderId="0" xfId="250" applyAlignment="1">
      <alignment horizontal="center" vertical="center" wrapText="1"/>
    </xf>
    <xf numFmtId="0" fontId="163" fillId="23" borderId="27" xfId="250" applyFont="1" applyFill="1" applyBorder="1" applyAlignment="1">
      <alignment horizontal="center" vertical="center"/>
    </xf>
    <xf numFmtId="0" fontId="163" fillId="23" borderId="50" xfId="250" applyFont="1" applyFill="1" applyBorder="1" applyAlignment="1">
      <alignment horizontal="center" vertical="center"/>
    </xf>
    <xf numFmtId="0" fontId="163" fillId="23" borderId="51" xfId="250" applyFont="1" applyFill="1" applyBorder="1" applyAlignment="1">
      <alignment horizontal="center" vertical="center"/>
    </xf>
    <xf numFmtId="0" fontId="163" fillId="0" borderId="27" xfId="250" applyFont="1" applyBorder="1" applyAlignment="1">
      <alignment horizontal="center" vertical="center"/>
    </xf>
    <xf numFmtId="0" fontId="163" fillId="0" borderId="50" xfId="250" applyFont="1" applyBorder="1" applyAlignment="1">
      <alignment horizontal="center" vertical="center"/>
    </xf>
    <xf numFmtId="0" fontId="163" fillId="0" borderId="51" xfId="250" applyFont="1" applyBorder="1" applyAlignment="1">
      <alignment horizontal="center" vertical="center"/>
    </xf>
    <xf numFmtId="0" fontId="163" fillId="0" borderId="19" xfId="250" applyFont="1" applyBorder="1" applyAlignment="1">
      <alignment horizontal="right"/>
    </xf>
    <xf numFmtId="0" fontId="163" fillId="0" borderId="14" xfId="250" applyFont="1" applyBorder="1" applyAlignment="1">
      <alignment horizontal="right"/>
    </xf>
    <xf numFmtId="0" fontId="226" fillId="0" borderId="1" xfId="250" applyFont="1" applyBorder="1" applyAlignment="1">
      <alignment horizontal="center"/>
    </xf>
    <xf numFmtId="0" fontId="2" fillId="0" borderId="4" xfId="250" applyBorder="1" applyAlignment="1">
      <alignment horizontal="center"/>
    </xf>
    <xf numFmtId="0" fontId="2" fillId="0" borderId="10" xfId="250" applyBorder="1" applyAlignment="1">
      <alignment horizontal="center"/>
    </xf>
    <xf numFmtId="0" fontId="2" fillId="0" borderId="5" xfId="250" applyBorder="1" applyAlignment="1">
      <alignment horizontal="center"/>
    </xf>
    <xf numFmtId="0" fontId="2" fillId="0" borderId="7" xfId="250" applyBorder="1" applyAlignment="1">
      <alignment horizontal="center" vertical="center"/>
    </xf>
    <xf numFmtId="0" fontId="2" fillId="0" borderId="2" xfId="250" applyBorder="1" applyAlignment="1">
      <alignment horizontal="center" vertical="center"/>
    </xf>
    <xf numFmtId="0" fontId="2" fillId="0" borderId="1" xfId="196" applyBorder="1" applyAlignment="1">
      <alignment horizontal="center" vertical="center" wrapText="1"/>
    </xf>
    <xf numFmtId="0" fontId="2" fillId="0" borderId="20" xfId="196" applyBorder="1" applyAlignment="1">
      <alignment horizontal="center" vertical="center" wrapText="1"/>
    </xf>
    <xf numFmtId="0" fontId="2" fillId="0" borderId="21" xfId="196" applyBorder="1" applyAlignment="1">
      <alignment horizontal="center" vertical="center" wrapText="1"/>
    </xf>
    <xf numFmtId="0" fontId="2" fillId="0" borderId="28" xfId="196" applyBorder="1" applyAlignment="1">
      <alignment horizontal="center" vertical="center" wrapText="1"/>
    </xf>
    <xf numFmtId="0" fontId="2" fillId="0" borderId="23" xfId="196" applyBorder="1" applyAlignment="1">
      <alignment horizontal="center" vertical="center" wrapText="1"/>
    </xf>
    <xf numFmtId="0" fontId="2" fillId="0" borderId="13" xfId="196" applyBorder="1" applyAlignment="1">
      <alignment horizontal="center" vertical="center" wrapText="1"/>
    </xf>
    <xf numFmtId="0" fontId="2" fillId="0" borderId="26" xfId="196" applyBorder="1" applyAlignment="1">
      <alignment horizontal="center" vertical="center" wrapText="1"/>
    </xf>
    <xf numFmtId="0" fontId="212" fillId="0" borderId="0" xfId="2357" applyFont="1" applyAlignment="1">
      <alignment horizontal="left" vertical="center"/>
    </xf>
    <xf numFmtId="0" fontId="203" fillId="0" borderId="0" xfId="2357" applyFont="1" applyAlignment="1">
      <alignment horizontal="center" wrapText="1"/>
    </xf>
    <xf numFmtId="0" fontId="206" fillId="0" borderId="0" xfId="2357" applyFont="1" applyAlignment="1">
      <alignment horizontal="center" vertical="top" wrapText="1"/>
    </xf>
    <xf numFmtId="1" fontId="209" fillId="0" borderId="0" xfId="2357" applyNumberFormat="1" applyFont="1" applyAlignment="1">
      <alignment horizontal="center" vertical="top" wrapText="1"/>
    </xf>
    <xf numFmtId="0" fontId="209" fillId="0" borderId="0" xfId="2357" applyFont="1" applyAlignment="1">
      <alignment horizontal="center" vertical="top" wrapText="1"/>
    </xf>
    <xf numFmtId="0" fontId="207" fillId="0" borderId="0" xfId="2357" applyFont="1" applyAlignment="1">
      <alignment horizontal="center" vertical="top" wrapText="1"/>
    </xf>
    <xf numFmtId="0" fontId="29" fillId="0" borderId="0" xfId="2357" applyFont="1" applyAlignment="1">
      <alignment horizontal="left"/>
    </xf>
    <xf numFmtId="2" fontId="29" fillId="0" borderId="0" xfId="2357" applyNumberFormat="1" applyFont="1" applyAlignment="1">
      <alignment horizontal="center"/>
    </xf>
    <xf numFmtId="0" fontId="141" fillId="0" borderId="0" xfId="0" applyFont="1" applyAlignment="1">
      <alignment horizontal="center" vertical="top"/>
    </xf>
    <xf numFmtId="0" fontId="141" fillId="0" borderId="0" xfId="0" applyFont="1" applyAlignment="1">
      <alignment horizontal="left" vertical="top" wrapText="1"/>
    </xf>
    <xf numFmtId="1" fontId="141" fillId="0" borderId="1" xfId="0" applyNumberFormat="1" applyFont="1" applyBorder="1" applyAlignment="1">
      <alignment horizontal="center" vertical="top"/>
    </xf>
    <xf numFmtId="0" fontId="110" fillId="0" borderId="1" xfId="0" applyFont="1" applyBorder="1" applyAlignment="1">
      <alignment horizontal="justify" vertical="top" wrapText="1"/>
    </xf>
    <xf numFmtId="0" fontId="141" fillId="0" borderId="0" xfId="908" applyFont="1" applyAlignment="1">
      <alignment horizontal="center" vertical="top"/>
    </xf>
    <xf numFmtId="0" fontId="110" fillId="0" borderId="1" xfId="0" applyFont="1" applyBorder="1" applyAlignment="1">
      <alignment horizontal="left" vertical="top" wrapText="1"/>
    </xf>
    <xf numFmtId="14" fontId="160" fillId="0" borderId="0" xfId="908" applyNumberFormat="1" applyFont="1" applyAlignment="1">
      <alignment horizontal="center" vertical="top"/>
    </xf>
    <xf numFmtId="0" fontId="141" fillId="0" borderId="0" xfId="1925" applyFont="1" applyAlignment="1">
      <alignment horizontal="center"/>
    </xf>
    <xf numFmtId="0" fontId="145" fillId="0" borderId="0" xfId="1925" applyFont="1" applyAlignment="1">
      <alignment horizontal="center" vertical="top" wrapText="1"/>
    </xf>
    <xf numFmtId="0" fontId="110" fillId="0" borderId="1" xfId="3758" applyFont="1" applyBorder="1" applyAlignment="1">
      <alignment horizontal="left" vertical="center" wrapText="1"/>
    </xf>
    <xf numFmtId="0" fontId="141" fillId="0" borderId="4" xfId="3758" applyFont="1" applyBorder="1" applyAlignment="1">
      <alignment horizontal="right" vertical="center" wrapText="1"/>
    </xf>
    <xf numFmtId="0" fontId="141" fillId="0" borderId="5" xfId="3758" applyFont="1" applyBorder="1" applyAlignment="1">
      <alignment horizontal="right" vertical="center" wrapText="1"/>
    </xf>
    <xf numFmtId="0" fontId="110" fillId="0" borderId="0" xfId="1925" applyFont="1" applyAlignment="1">
      <alignment horizontal="justify" vertical="top" wrapText="1"/>
    </xf>
    <xf numFmtId="0" fontId="156" fillId="0" borderId="19" xfId="41" applyFont="1" applyBorder="1" applyAlignment="1">
      <alignment horizontal="center" vertical="center"/>
    </xf>
    <xf numFmtId="0" fontId="156" fillId="0" borderId="14" xfId="41" applyFont="1" applyBorder="1" applyAlignment="1">
      <alignment horizontal="center" vertical="center"/>
    </xf>
    <xf numFmtId="0" fontId="156" fillId="0" borderId="31" xfId="41" applyFont="1" applyBorder="1" applyAlignment="1">
      <alignment horizontal="center" vertical="center"/>
    </xf>
    <xf numFmtId="0" fontId="155" fillId="0" borderId="19" xfId="1925" applyFont="1" applyBorder="1" applyAlignment="1">
      <alignment horizontal="justify" vertical="top" wrapText="1"/>
    </xf>
    <xf numFmtId="0" fontId="155" fillId="0" borderId="14" xfId="1925" applyFont="1" applyBorder="1" applyAlignment="1">
      <alignment horizontal="justify" vertical="top" wrapText="1"/>
    </xf>
    <xf numFmtId="0" fontId="155" fillId="0" borderId="31" xfId="1925" applyFont="1" applyBorder="1" applyAlignment="1">
      <alignment horizontal="justify" vertical="top" wrapText="1"/>
    </xf>
    <xf numFmtId="14" fontId="155" fillId="0" borderId="0" xfId="1925" applyNumberFormat="1" applyFont="1" applyAlignment="1">
      <alignment horizontal="center"/>
    </xf>
    <xf numFmtId="0" fontId="101" fillId="0" borderId="0" xfId="0" applyFont="1" applyAlignment="1">
      <alignment horizontal="center" vertical="center" wrapText="1"/>
    </xf>
    <xf numFmtId="0" fontId="360" fillId="0" borderId="0" xfId="0" applyFont="1" applyAlignment="1">
      <alignment horizontal="center" vertical="center" wrapText="1"/>
    </xf>
    <xf numFmtId="0" fontId="101" fillId="0" borderId="0" xfId="0" applyFont="1" applyAlignment="1">
      <alignment vertical="center" wrapText="1"/>
    </xf>
    <xf numFmtId="1" fontId="102" fillId="0" borderId="0" xfId="0" applyNumberFormat="1" applyFont="1" applyAlignment="1">
      <alignment horizontal="right" vertical="top" wrapText="1"/>
    </xf>
    <xf numFmtId="1" fontId="102" fillId="0" borderId="9" xfId="0" applyNumberFormat="1" applyFont="1" applyBorder="1" applyAlignment="1">
      <alignment horizontal="left" vertical="top" wrapText="1"/>
    </xf>
    <xf numFmtId="0" fontId="101" fillId="0" borderId="4" xfId="0" applyFont="1" applyBorder="1" applyAlignment="1">
      <alignment horizontal="center" vertical="center" wrapText="1"/>
    </xf>
    <xf numFmtId="0" fontId="101" fillId="0" borderId="10" xfId="0" applyFont="1" applyBorder="1" applyAlignment="1">
      <alignment horizontal="center" vertical="center" wrapText="1"/>
    </xf>
    <xf numFmtId="0" fontId="101" fillId="0" borderId="5" xfId="0" applyFont="1" applyBorder="1" applyAlignment="1">
      <alignment horizontal="center" vertical="center" wrapText="1"/>
    </xf>
    <xf numFmtId="0" fontId="101" fillId="0" borderId="1" xfId="0" applyFont="1" applyBorder="1" applyAlignment="1">
      <alignment horizontal="center" vertical="center"/>
    </xf>
    <xf numFmtId="0" fontId="101" fillId="4" borderId="1" xfId="0" applyFont="1" applyFill="1" applyBorder="1" applyAlignment="1">
      <alignment horizontal="justify" vertical="top" wrapText="1"/>
    </xf>
    <xf numFmtId="0" fontId="101" fillId="4" borderId="1" xfId="0" applyFont="1" applyFill="1" applyBorder="1" applyAlignment="1">
      <alignment horizontal="justify" vertical="center" wrapText="1"/>
    </xf>
    <xf numFmtId="0" fontId="101" fillId="0" borderId="0" xfId="2192" applyFont="1" applyAlignment="1">
      <alignment horizontal="center" vertical="center"/>
    </xf>
    <xf numFmtId="0" fontId="101" fillId="0" borderId="0" xfId="2192" applyFont="1" applyAlignment="1">
      <alignment horizontal="center" vertical="center" wrapText="1"/>
    </xf>
    <xf numFmtId="2" fontId="101" fillId="0" borderId="0" xfId="1238" applyNumberFormat="1" applyFont="1" applyAlignment="1">
      <alignment horizontal="center"/>
    </xf>
    <xf numFmtId="0" fontId="360" fillId="0" borderId="0" xfId="2192" applyFont="1" applyAlignment="1">
      <alignment horizontal="center" vertical="center" wrapText="1"/>
    </xf>
    <xf numFmtId="0" fontId="102" fillId="0" borderId="0" xfId="2192" applyFont="1" applyAlignment="1">
      <alignment horizontal="center" vertical="center" wrapText="1"/>
    </xf>
    <xf numFmtId="1" fontId="102" fillId="0" borderId="0" xfId="2192" applyNumberFormat="1" applyFont="1" applyAlignment="1">
      <alignment horizontal="center" vertical="center" wrapText="1"/>
    </xf>
    <xf numFmtId="0" fontId="29" fillId="0" borderId="1" xfId="2062" applyFont="1" applyBorder="1" applyAlignment="1">
      <alignment horizontal="center" vertical="top"/>
    </xf>
    <xf numFmtId="0" fontId="29" fillId="0" borderId="1" xfId="2062" applyFont="1" applyBorder="1" applyAlignment="1">
      <alignment horizontal="center" vertical="top" wrapText="1"/>
    </xf>
    <xf numFmtId="0" fontId="186" fillId="0" borderId="1" xfId="206" applyFont="1" applyBorder="1" applyAlignment="1">
      <alignment vertical="top"/>
    </xf>
    <xf numFmtId="0" fontId="35" fillId="0" borderId="1" xfId="2062" applyFont="1" applyBorder="1" applyAlignment="1">
      <alignment horizontal="left" vertical="top" wrapText="1"/>
    </xf>
    <xf numFmtId="2" fontId="163" fillId="0" borderId="1" xfId="1822" applyNumberFormat="1" applyFont="1" applyBorder="1" applyAlignment="1">
      <alignment horizontal="center" vertical="top" wrapText="1"/>
    </xf>
    <xf numFmtId="0" fontId="4" fillId="0" borderId="1" xfId="2062" applyBorder="1" applyAlignment="1">
      <alignment horizontal="center" vertical="top"/>
    </xf>
    <xf numFmtId="0" fontId="5" fillId="0" borderId="1" xfId="2062" applyFont="1" applyBorder="1" applyAlignment="1">
      <alignment horizontal="center" vertical="top"/>
    </xf>
    <xf numFmtId="0" fontId="162" fillId="0" borderId="1" xfId="206" applyFont="1" applyBorder="1" applyAlignment="1">
      <alignment horizontal="center" vertical="center" wrapText="1"/>
    </xf>
    <xf numFmtId="0" fontId="163" fillId="6" borderId="1" xfId="206" applyFont="1" applyFill="1" applyBorder="1" applyAlignment="1">
      <alignment horizontal="center" vertical="center" wrapText="1"/>
    </xf>
    <xf numFmtId="0" fontId="163" fillId="0" borderId="1" xfId="206" applyFont="1" applyBorder="1" applyAlignment="1">
      <alignment horizontal="center" vertical="center" wrapText="1"/>
    </xf>
    <xf numFmtId="0" fontId="4" fillId="0" borderId="1" xfId="206" applyBorder="1" applyAlignment="1">
      <alignment horizontal="left" vertical="top" wrapText="1"/>
    </xf>
    <xf numFmtId="0" fontId="167" fillId="0" borderId="4" xfId="206" applyFont="1" applyBorder="1" applyAlignment="1">
      <alignment horizontal="center" wrapText="1"/>
    </xf>
    <xf numFmtId="0" fontId="167" fillId="0" borderId="10" xfId="206" applyFont="1" applyBorder="1" applyAlignment="1">
      <alignment horizontal="center" wrapText="1"/>
    </xf>
    <xf numFmtId="0" fontId="167" fillId="0" borderId="5" xfId="206" applyFont="1" applyBorder="1" applyAlignment="1">
      <alignment horizontal="center" wrapText="1"/>
    </xf>
    <xf numFmtId="0" fontId="121" fillId="0" borderId="1" xfId="206" applyFont="1" applyBorder="1" applyAlignment="1">
      <alignment horizontal="center"/>
    </xf>
    <xf numFmtId="0" fontId="179" fillId="0" borderId="1" xfId="206" applyFont="1" applyBorder="1" applyAlignment="1">
      <alignment horizontal="center"/>
    </xf>
    <xf numFmtId="0" fontId="4" fillId="14" borderId="4" xfId="206" applyFill="1" applyBorder="1" applyAlignment="1">
      <alignment horizontal="center" vertical="center" wrapText="1"/>
    </xf>
    <xf numFmtId="0" fontId="4" fillId="14" borderId="10" xfId="206" applyFill="1" applyBorder="1" applyAlignment="1">
      <alignment horizontal="center" vertical="center" wrapText="1"/>
    </xf>
    <xf numFmtId="0" fontId="4" fillId="14" borderId="5" xfId="206" applyFill="1" applyBorder="1" applyAlignment="1">
      <alignment horizontal="center" vertical="center" wrapText="1"/>
    </xf>
    <xf numFmtId="0" fontId="4" fillId="0" borderId="1" xfId="206" applyBorder="1"/>
    <xf numFmtId="0" fontId="122" fillId="0" borderId="4" xfId="206" applyFont="1" applyBorder="1" applyAlignment="1">
      <alignment horizontal="center" vertical="center" wrapText="1"/>
    </xf>
    <xf numFmtId="0" fontId="122" fillId="0" borderId="10" xfId="206" applyFont="1" applyBorder="1" applyAlignment="1">
      <alignment horizontal="center" vertical="center" wrapText="1"/>
    </xf>
    <xf numFmtId="0" fontId="122" fillId="0" borderId="15" xfId="206" applyFont="1" applyBorder="1" applyAlignment="1">
      <alignment horizontal="center" vertical="center" wrapText="1"/>
    </xf>
    <xf numFmtId="0" fontId="4" fillId="0" borderId="1" xfId="206" applyBorder="1" applyAlignment="1">
      <alignment horizontal="center" vertical="center" wrapText="1"/>
    </xf>
    <xf numFmtId="2" fontId="163" fillId="14" borderId="1" xfId="206" applyNumberFormat="1" applyFont="1" applyFill="1" applyBorder="1" applyAlignment="1">
      <alignment horizontal="center" vertical="center" wrapText="1"/>
    </xf>
    <xf numFmtId="0" fontId="163" fillId="14" borderId="1" xfId="206" applyFont="1" applyFill="1" applyBorder="1" applyAlignment="1">
      <alignment horizontal="center" vertical="center" wrapText="1"/>
    </xf>
    <xf numFmtId="0" fontId="172" fillId="0" borderId="1" xfId="206" applyFont="1" applyBorder="1" applyAlignment="1">
      <alignment horizontal="center" vertical="center" wrapText="1"/>
    </xf>
    <xf numFmtId="171" fontId="163" fillId="0" borderId="1" xfId="206" applyNumberFormat="1" applyFont="1" applyBorder="1" applyAlignment="1">
      <alignment horizontal="center" vertical="center" wrapText="1"/>
    </xf>
    <xf numFmtId="0" fontId="4" fillId="13" borderId="1" xfId="206" applyFill="1" applyBorder="1" applyAlignment="1">
      <alignment horizontal="center" vertical="center" wrapText="1"/>
    </xf>
    <xf numFmtId="0" fontId="163" fillId="0" borderId="1" xfId="206" applyFont="1" applyBorder="1" applyAlignment="1">
      <alignment horizontal="center" wrapText="1"/>
    </xf>
    <xf numFmtId="171" fontId="4" fillId="0" borderId="1" xfId="206" applyNumberFormat="1" applyBorder="1" applyAlignment="1">
      <alignment horizontal="center" vertical="center" wrapText="1"/>
    </xf>
    <xf numFmtId="0" fontId="120" fillId="0" borderId="1" xfId="206" applyFont="1" applyBorder="1" applyAlignment="1">
      <alignment horizontal="center" vertical="center" wrapText="1"/>
    </xf>
    <xf numFmtId="1" fontId="120" fillId="0" borderId="1" xfId="206" applyNumberFormat="1" applyFont="1" applyBorder="1" applyAlignment="1">
      <alignment horizontal="center" vertical="center" wrapText="1"/>
    </xf>
    <xf numFmtId="0" fontId="183" fillId="0" borderId="1" xfId="206" applyFont="1" applyBorder="1" applyAlignment="1">
      <alignment horizontal="center" vertical="center" wrapText="1"/>
    </xf>
    <xf numFmtId="2" fontId="4" fillId="0" borderId="1" xfId="206" applyNumberFormat="1" applyBorder="1" applyAlignment="1">
      <alignment horizontal="center" vertical="center" wrapText="1"/>
    </xf>
    <xf numFmtId="184" fontId="4" fillId="0" borderId="1" xfId="206" applyNumberFormat="1" applyBorder="1" applyAlignment="1">
      <alignment horizontal="center" vertical="center" wrapText="1"/>
    </xf>
    <xf numFmtId="184" fontId="120" fillId="0" borderId="1" xfId="206" applyNumberFormat="1" applyFont="1" applyBorder="1" applyAlignment="1">
      <alignment horizontal="center" vertical="center" wrapText="1"/>
    </xf>
    <xf numFmtId="0" fontId="0" fillId="0" borderId="1" xfId="206" applyFont="1" applyBorder="1" applyAlignment="1">
      <alignment horizontal="center" vertical="center" wrapText="1"/>
    </xf>
    <xf numFmtId="184" fontId="4" fillId="0" borderId="7" xfId="206" applyNumberFormat="1" applyBorder="1" applyAlignment="1">
      <alignment horizontal="right" vertical="center" wrapText="1"/>
    </xf>
    <xf numFmtId="184" fontId="4" fillId="0" borderId="8" xfId="206" applyNumberFormat="1" applyBorder="1" applyAlignment="1">
      <alignment horizontal="right" vertical="center" wrapText="1"/>
    </xf>
    <xf numFmtId="184" fontId="4" fillId="0" borderId="2" xfId="206" applyNumberFormat="1" applyBorder="1" applyAlignment="1">
      <alignment horizontal="right" vertical="center" wrapText="1"/>
    </xf>
    <xf numFmtId="0" fontId="182" fillId="0" borderId="0" xfId="206" applyFont="1" applyAlignment="1">
      <alignment horizontal="center" vertical="center" wrapText="1"/>
    </xf>
    <xf numFmtId="0" fontId="162" fillId="0" borderId="1" xfId="206" applyFont="1" applyBorder="1" applyAlignment="1">
      <alignment horizontal="center" wrapText="1"/>
    </xf>
    <xf numFmtId="0" fontId="184" fillId="0" borderId="1" xfId="206" applyFont="1" applyBorder="1" applyAlignment="1">
      <alignment horizontal="center" wrapText="1"/>
    </xf>
    <xf numFmtId="0" fontId="121" fillId="0" borderId="1" xfId="206" applyFont="1" applyBorder="1" applyAlignment="1">
      <alignment horizontal="center" vertical="center" wrapText="1"/>
    </xf>
    <xf numFmtId="0" fontId="153" fillId="3" borderId="35" xfId="0" applyFont="1" applyFill="1" applyBorder="1" applyAlignment="1">
      <alignment horizontal="center" vertical="top" wrapText="1"/>
    </xf>
    <xf numFmtId="0" fontId="50" fillId="12" borderId="35" xfId="539" applyFont="1" applyFill="1" applyBorder="1" applyAlignment="1">
      <alignment horizontal="center" vertical="top" wrapText="1"/>
    </xf>
    <xf numFmtId="2" fontId="48" fillId="12" borderId="35" xfId="539" applyNumberFormat="1" applyFont="1" applyFill="1" applyBorder="1" applyAlignment="1">
      <alignment horizontal="left" vertical="top" wrapText="1"/>
    </xf>
    <xf numFmtId="2" fontId="48" fillId="12" borderId="35" xfId="539" applyNumberFormat="1" applyFont="1" applyFill="1" applyBorder="1" applyAlignment="1">
      <alignment horizontal="center" vertical="center" wrapText="1"/>
    </xf>
    <xf numFmtId="0" fontId="48" fillId="12" borderId="0" xfId="539" applyFont="1" applyFill="1" applyAlignment="1">
      <alignment horizontal="center" vertical="center" wrapText="1"/>
    </xf>
    <xf numFmtId="2" fontId="48" fillId="12" borderId="0" xfId="539" applyNumberFormat="1" applyFont="1" applyFill="1" applyAlignment="1">
      <alignment vertical="center" wrapText="1"/>
    </xf>
    <xf numFmtId="2" fontId="50" fillId="12" borderId="35" xfId="539" applyNumberFormat="1" applyFont="1" applyFill="1" applyBorder="1" applyAlignment="1">
      <alignment horizontal="left" vertical="top" wrapText="1"/>
    </xf>
    <xf numFmtId="2" fontId="50" fillId="12" borderId="35" xfId="539" applyNumberFormat="1" applyFont="1" applyFill="1" applyBorder="1" applyAlignment="1">
      <alignment horizontal="left" vertical="center" wrapText="1"/>
    </xf>
    <xf numFmtId="0" fontId="48" fillId="0" borderId="35" xfId="0" applyFont="1" applyBorder="1" applyAlignment="1">
      <alignment horizontal="center" vertical="top" wrapText="1"/>
    </xf>
    <xf numFmtId="2" fontId="50" fillId="0" borderId="35" xfId="539" applyNumberFormat="1" applyFont="1" applyBorder="1" applyAlignment="1">
      <alignment horizontal="left" vertical="top" wrapText="1"/>
    </xf>
    <xf numFmtId="0" fontId="50" fillId="0" borderId="35" xfId="0" applyFont="1" applyBorder="1" applyAlignment="1">
      <alignment horizontal="center" vertical="top" wrapText="1"/>
    </xf>
    <xf numFmtId="0" fontId="48" fillId="0" borderId="43" xfId="0" applyFont="1" applyBorder="1" applyAlignment="1">
      <alignment horizontal="left" vertical="top" wrapText="1"/>
    </xf>
    <xf numFmtId="0" fontId="48" fillId="0" borderId="44" xfId="0" applyFont="1" applyBorder="1" applyAlignment="1">
      <alignment horizontal="left" vertical="top" wrapText="1"/>
    </xf>
    <xf numFmtId="0" fontId="48" fillId="0" borderId="45" xfId="0" applyFont="1" applyBorder="1" applyAlignment="1">
      <alignment horizontal="left" vertical="top" wrapText="1"/>
    </xf>
    <xf numFmtId="185" fontId="48" fillId="0" borderId="35" xfId="0" applyNumberFormat="1" applyFont="1" applyBorder="1" applyAlignment="1">
      <alignment horizontal="center" vertical="center" wrapText="1"/>
    </xf>
    <xf numFmtId="199" fontId="50" fillId="0" borderId="35" xfId="0" applyNumberFormat="1" applyFont="1" applyBorder="1" applyAlignment="1">
      <alignment horizontal="center" vertical="center" wrapText="1"/>
    </xf>
    <xf numFmtId="0" fontId="48" fillId="0" borderId="43" xfId="0" applyFont="1" applyBorder="1" applyAlignment="1">
      <alignment horizontal="justify" vertical="top" wrapText="1"/>
    </xf>
    <xf numFmtId="0" fontId="48" fillId="0" borderId="44" xfId="0" applyFont="1" applyBorder="1" applyAlignment="1">
      <alignment horizontal="justify" vertical="top" wrapText="1"/>
    </xf>
    <xf numFmtId="0" fontId="48" fillId="0" borderId="45" xfId="0" applyFont="1" applyBorder="1" applyAlignment="1">
      <alignment horizontal="justify" vertical="top" wrapText="1"/>
    </xf>
    <xf numFmtId="2" fontId="50" fillId="0" borderId="35" xfId="0" applyNumberFormat="1" applyFont="1" applyBorder="1" applyAlignment="1">
      <alignment horizontal="center" vertical="center" wrapText="1"/>
    </xf>
    <xf numFmtId="2" fontId="48" fillId="0" borderId="35" xfId="0" applyNumberFormat="1" applyFont="1" applyBorder="1" applyAlignment="1">
      <alignment horizontal="center" vertical="center" wrapText="1"/>
    </xf>
    <xf numFmtId="0" fontId="50" fillId="0" borderId="35" xfId="0" applyFont="1" applyBorder="1" applyAlignment="1">
      <alignment vertical="top" wrapText="1"/>
    </xf>
    <xf numFmtId="0" fontId="48" fillId="0" borderId="35" xfId="0" applyFont="1" applyBorder="1" applyAlignment="1">
      <alignment horizontal="left" vertical="center" wrapText="1"/>
    </xf>
    <xf numFmtId="0" fontId="48" fillId="0" borderId="35" xfId="0" applyFont="1" applyBorder="1" applyAlignment="1">
      <alignment horizontal="center" vertical="center" wrapText="1"/>
    </xf>
    <xf numFmtId="0" fontId="50" fillId="0" borderId="35" xfId="0" applyFont="1" applyBorder="1" applyAlignment="1">
      <alignment horizontal="left" vertical="center" wrapText="1"/>
    </xf>
    <xf numFmtId="2" fontId="48" fillId="0" borderId="43" xfId="0" applyNumberFormat="1" applyFont="1" applyBorder="1" applyAlignment="1">
      <alignment horizontal="justify" vertical="top" wrapText="1"/>
    </xf>
    <xf numFmtId="2" fontId="48" fillId="0" borderId="44" xfId="0" applyNumberFormat="1" applyFont="1" applyBorder="1" applyAlignment="1">
      <alignment horizontal="justify" vertical="top" wrapText="1"/>
    </xf>
    <xf numFmtId="2" fontId="48" fillId="0" borderId="45" xfId="0" applyNumberFormat="1" applyFont="1" applyBorder="1" applyAlignment="1">
      <alignment horizontal="justify" vertical="top" wrapText="1"/>
    </xf>
    <xf numFmtId="0" fontId="50" fillId="0" borderId="35" xfId="0" applyFont="1" applyBorder="1" applyAlignment="1">
      <alignment vertical="center" wrapText="1"/>
    </xf>
    <xf numFmtId="2" fontId="48" fillId="0" borderId="35" xfId="3756" applyNumberFormat="1" applyFont="1" applyBorder="1" applyAlignment="1">
      <alignment horizontal="left" vertical="center" wrapText="1"/>
    </xf>
    <xf numFmtId="0" fontId="50" fillId="0" borderId="43" xfId="1238" applyFont="1" applyBorder="1" applyAlignment="1">
      <alignment horizontal="left" vertical="top" wrapText="1"/>
    </xf>
    <xf numFmtId="0" fontId="50" fillId="0" borderId="44" xfId="1238" applyFont="1" applyBorder="1" applyAlignment="1">
      <alignment horizontal="left" vertical="top" wrapText="1"/>
    </xf>
    <xf numFmtId="0" fontId="50" fillId="0" borderId="45" xfId="1238" applyFont="1" applyBorder="1" applyAlignment="1">
      <alignment horizontal="left" vertical="top" wrapText="1"/>
    </xf>
    <xf numFmtId="2" fontId="48" fillId="0" borderId="43" xfId="1238" applyNumberFormat="1" applyFont="1" applyBorder="1" applyAlignment="1">
      <alignment horizontal="left" vertical="top" wrapText="1"/>
    </xf>
    <xf numFmtId="2" fontId="48" fillId="0" borderId="44" xfId="1238" applyNumberFormat="1" applyFont="1" applyBorder="1" applyAlignment="1">
      <alignment horizontal="left" vertical="top" wrapText="1"/>
    </xf>
    <xf numFmtId="2" fontId="48" fillId="0" borderId="45" xfId="1238" applyNumberFormat="1" applyFont="1" applyBorder="1" applyAlignment="1">
      <alignment horizontal="left" vertical="top" wrapText="1"/>
    </xf>
    <xf numFmtId="0" fontId="48" fillId="0" borderId="35" xfId="2637" applyFont="1" applyBorder="1" applyAlignment="1">
      <alignment horizontal="center" vertical="center" wrapText="1"/>
    </xf>
    <xf numFmtId="2" fontId="50" fillId="0" borderId="43" xfId="2637" applyNumberFormat="1" applyFont="1" applyBorder="1" applyAlignment="1">
      <alignment horizontal="left" vertical="center" wrapText="1"/>
    </xf>
    <xf numFmtId="2" fontId="50" fillId="0" borderId="44" xfId="2637" applyNumberFormat="1" applyFont="1" applyBorder="1" applyAlignment="1">
      <alignment horizontal="left" vertical="center" wrapText="1"/>
    </xf>
    <xf numFmtId="2" fontId="50" fillId="0" borderId="45" xfId="2637" applyNumberFormat="1" applyFont="1" applyBorder="1" applyAlignment="1">
      <alignment horizontal="left" vertical="center" wrapText="1"/>
    </xf>
    <xf numFmtId="171" fontId="48" fillId="0" borderId="43" xfId="2637" applyNumberFormat="1" applyFont="1" applyBorder="1" applyAlignment="1">
      <alignment horizontal="left" vertical="center" wrapText="1"/>
    </xf>
    <xf numFmtId="171" fontId="48" fillId="0" borderId="44" xfId="2637" applyNumberFormat="1" applyFont="1" applyBorder="1" applyAlignment="1">
      <alignment horizontal="left" vertical="center" wrapText="1"/>
    </xf>
    <xf numFmtId="171" fontId="48" fillId="0" borderId="45" xfId="2637" applyNumberFormat="1" applyFont="1" applyBorder="1" applyAlignment="1">
      <alignment horizontal="left" vertical="center" wrapText="1"/>
    </xf>
    <xf numFmtId="171" fontId="50" fillId="0" borderId="43" xfId="2637" applyNumberFormat="1" applyFont="1" applyBorder="1" applyAlignment="1">
      <alignment horizontal="left" vertical="top" wrapText="1"/>
    </xf>
    <xf numFmtId="171" fontId="50" fillId="0" borderId="44" xfId="2637" applyNumberFormat="1" applyFont="1" applyBorder="1" applyAlignment="1">
      <alignment horizontal="left" vertical="top" wrapText="1"/>
    </xf>
    <xf numFmtId="171" fontId="50" fillId="0" borderId="45" xfId="2637" applyNumberFormat="1" applyFont="1" applyBorder="1" applyAlignment="1">
      <alignment horizontal="left" vertical="top" wrapText="1"/>
    </xf>
    <xf numFmtId="200" fontId="48" fillId="0" borderId="35" xfId="2637" applyNumberFormat="1" applyFont="1" applyBorder="1" applyAlignment="1">
      <alignment horizontal="center" vertical="center" wrapText="1"/>
    </xf>
    <xf numFmtId="200" fontId="119" fillId="0" borderId="0" xfId="2595" applyNumberFormat="1" applyFont="1" applyAlignment="1">
      <alignment horizontal="center" vertical="center" wrapText="1"/>
    </xf>
    <xf numFmtId="0" fontId="122" fillId="0" borderId="0" xfId="2595" applyFont="1" applyAlignment="1">
      <alignment horizontal="center" vertical="center" wrapText="1"/>
    </xf>
    <xf numFmtId="200" fontId="119" fillId="0" borderId="0" xfId="2595" applyNumberFormat="1" applyFont="1" applyAlignment="1">
      <alignment horizontal="center" vertical="top" wrapText="1"/>
    </xf>
    <xf numFmtId="0" fontId="107" fillId="0" borderId="0" xfId="0" applyFont="1" applyAlignment="1">
      <alignment horizontal="center" vertical="center" wrapText="1"/>
    </xf>
    <xf numFmtId="0" fontId="105" fillId="0" borderId="0" xfId="0" applyFont="1" applyAlignment="1">
      <alignment vertical="center" wrapText="1"/>
    </xf>
    <xf numFmtId="1" fontId="108" fillId="0" borderId="0" xfId="0" applyNumberFormat="1" applyFont="1" applyAlignment="1">
      <alignment horizontal="center" vertical="center" wrapText="1"/>
    </xf>
    <xf numFmtId="1" fontId="107" fillId="0" borderId="0" xfId="0" applyNumberFormat="1" applyFont="1" applyAlignment="1">
      <alignment horizontal="left" vertical="center" wrapText="1"/>
    </xf>
    <xf numFmtId="0" fontId="105" fillId="0" borderId="1" xfId="0" applyFont="1" applyBorder="1" applyAlignment="1">
      <alignment horizontal="center" vertical="center" wrapText="1"/>
    </xf>
    <xf numFmtId="0" fontId="105" fillId="0" borderId="1" xfId="0" applyFont="1" applyBorder="1" applyAlignment="1">
      <alignment horizontal="center" vertical="center"/>
    </xf>
    <xf numFmtId="0" fontId="105" fillId="0" borderId="1" xfId="0" applyFont="1" applyBorder="1" applyAlignment="1">
      <alignment horizontal="justify" vertical="top" wrapText="1"/>
    </xf>
    <xf numFmtId="2" fontId="105" fillId="0" borderId="1" xfId="0" applyNumberFormat="1" applyFont="1" applyBorder="1" applyAlignment="1">
      <alignment horizontal="justify" vertical="top" wrapText="1"/>
    </xf>
    <xf numFmtId="0" fontId="105" fillId="0" borderId="1" xfId="0" applyFont="1" applyBorder="1" applyAlignment="1">
      <alignment horizontal="justify" vertical="center" wrapText="1"/>
    </xf>
    <xf numFmtId="0" fontId="105" fillId="0" borderId="1" xfId="0" applyFont="1" applyBorder="1" applyAlignment="1">
      <alignment vertical="center" wrapText="1"/>
    </xf>
    <xf numFmtId="0" fontId="105" fillId="0" borderId="0" xfId="2192" applyFont="1" applyAlignment="1">
      <alignment horizontal="center" vertical="center" wrapText="1"/>
    </xf>
    <xf numFmtId="2" fontId="105" fillId="0" borderId="0" xfId="2192" applyNumberFormat="1" applyFont="1" applyAlignment="1">
      <alignment horizontal="center" vertical="center" wrapText="1"/>
    </xf>
    <xf numFmtId="0" fontId="393" fillId="0" borderId="0" xfId="0" applyFont="1" applyAlignment="1">
      <alignment horizontal="center" vertical="center" wrapText="1"/>
    </xf>
    <xf numFmtId="0" fontId="107" fillId="0" borderId="0" xfId="0" applyFont="1" applyAlignment="1">
      <alignment horizontal="center" vertical="center"/>
    </xf>
    <xf numFmtId="0" fontId="105" fillId="0" borderId="4" xfId="0" applyFont="1" applyBorder="1" applyAlignment="1">
      <alignment horizontal="center" vertical="center" wrapText="1"/>
    </xf>
    <xf numFmtId="0" fontId="105" fillId="0" borderId="10" xfId="0" applyFont="1" applyBorder="1" applyAlignment="1">
      <alignment horizontal="center" vertical="center" wrapText="1"/>
    </xf>
    <xf numFmtId="0" fontId="105" fillId="0" borderId="5" xfId="0" applyFont="1" applyBorder="1" applyAlignment="1">
      <alignment horizontal="center" vertical="center" wrapText="1"/>
    </xf>
    <xf numFmtId="0" fontId="105" fillId="0" borderId="0" xfId="2192" applyFont="1" applyAlignment="1">
      <alignment horizontal="left" vertical="center" wrapText="1"/>
    </xf>
    <xf numFmtId="1" fontId="107" fillId="0" borderId="0" xfId="2477" applyNumberFormat="1" applyFont="1" applyAlignment="1">
      <alignment horizontal="center" vertical="center"/>
    </xf>
    <xf numFmtId="0" fontId="107" fillId="0" borderId="9" xfId="1617" applyFont="1" applyBorder="1" applyAlignment="1">
      <alignment horizontal="center" vertical="center" wrapText="1"/>
    </xf>
    <xf numFmtId="2" fontId="107" fillId="0" borderId="1" xfId="2477" applyNumberFormat="1" applyFont="1" applyBorder="1" applyAlignment="1">
      <alignment horizontal="center" vertical="center"/>
    </xf>
    <xf numFmtId="0" fontId="105" fillId="0" borderId="7" xfId="2477" applyFont="1" applyBorder="1" applyAlignment="1">
      <alignment horizontal="justify" vertical="center" wrapText="1"/>
    </xf>
    <xf numFmtId="2" fontId="105" fillId="0" borderId="0" xfId="1238" applyNumberFormat="1" applyFont="1" applyAlignment="1">
      <alignment horizontal="center"/>
    </xf>
    <xf numFmtId="0" fontId="105" fillId="0" borderId="8" xfId="2477" applyFont="1" applyBorder="1" applyAlignment="1">
      <alignment horizontal="justify" vertical="top" wrapText="1"/>
    </xf>
    <xf numFmtId="2" fontId="105" fillId="0" borderId="8" xfId="2477" applyNumberFormat="1" applyFont="1" applyBorder="1" applyAlignment="1">
      <alignment horizontal="left" vertical="center"/>
    </xf>
    <xf numFmtId="0" fontId="133" fillId="0" borderId="1" xfId="3771" applyFont="1" applyBorder="1" applyAlignment="1">
      <alignment horizontal="center" vertical="center"/>
    </xf>
    <xf numFmtId="2" fontId="109" fillId="0" borderId="1" xfId="3771" applyNumberFormat="1" applyFont="1" applyBorder="1" applyAlignment="1">
      <alignment horizontal="center" vertical="center" wrapText="1"/>
    </xf>
    <xf numFmtId="2" fontId="109" fillId="0" borderId="1" xfId="3771" applyNumberFormat="1" applyFont="1" applyBorder="1" applyAlignment="1">
      <alignment horizontal="center" vertical="center"/>
    </xf>
    <xf numFmtId="1" fontId="109" fillId="0" borderId="1" xfId="3771" applyNumberFormat="1" applyFont="1" applyBorder="1" applyAlignment="1">
      <alignment horizontal="center" vertical="center"/>
    </xf>
    <xf numFmtId="0" fontId="106" fillId="0" borderId="1" xfId="3771" applyFont="1" applyBorder="1" applyAlignment="1">
      <alignment horizontal="justify" vertical="top" wrapText="1"/>
    </xf>
    <xf numFmtId="0" fontId="394" fillId="0" borderId="1" xfId="3771" applyFont="1" applyBorder="1" applyAlignment="1">
      <alignment horizontal="justify" vertical="top" wrapText="1"/>
    </xf>
    <xf numFmtId="0" fontId="126" fillId="0" borderId="0" xfId="0" applyFont="1" applyAlignment="1">
      <alignment horizontal="center" vertical="center" wrapText="1"/>
    </xf>
    <xf numFmtId="0" fontId="35" fillId="0" borderId="0" xfId="0" applyFont="1" applyAlignment="1">
      <alignment vertical="center" wrapText="1"/>
    </xf>
    <xf numFmtId="1" fontId="127" fillId="0" borderId="0" xfId="0" applyNumberFormat="1" applyFont="1" applyAlignment="1">
      <alignment horizontal="center" vertical="center" wrapText="1"/>
    </xf>
    <xf numFmtId="1" fontId="128" fillId="0" borderId="0" xfId="0" applyNumberFormat="1" applyFont="1" applyAlignment="1">
      <alignment horizontal="left" vertical="center" wrapText="1"/>
    </xf>
    <xf numFmtId="0" fontId="126" fillId="0" borderId="9" xfId="0" applyFont="1" applyBorder="1" applyAlignment="1">
      <alignment horizontal="center" vertical="center"/>
    </xf>
    <xf numFmtId="0" fontId="126" fillId="0" borderId="4" xfId="0" applyFont="1" applyBorder="1" applyAlignment="1">
      <alignment horizontal="center" vertical="center" wrapText="1"/>
    </xf>
    <xf numFmtId="0" fontId="126" fillId="0" borderId="10" xfId="0" applyFont="1" applyBorder="1" applyAlignment="1">
      <alignment horizontal="center" vertical="center" wrapText="1"/>
    </xf>
    <xf numFmtId="0" fontId="126" fillId="0" borderId="5" xfId="0" applyFont="1" applyBorder="1" applyAlignment="1">
      <alignment horizontal="center" vertical="center" wrapText="1"/>
    </xf>
    <xf numFmtId="0" fontId="126" fillId="0" borderId="4" xfId="0" applyFont="1" applyBorder="1" applyAlignment="1">
      <alignment horizontal="center" vertical="center"/>
    </xf>
    <xf numFmtId="0" fontId="126" fillId="0" borderId="10" xfId="0" applyFont="1" applyBorder="1" applyAlignment="1">
      <alignment horizontal="center" vertical="center"/>
    </xf>
    <xf numFmtId="0" fontId="126" fillId="0" borderId="5" xfId="0" applyFont="1" applyBorder="1" applyAlignment="1">
      <alignment horizontal="center" vertical="center"/>
    </xf>
    <xf numFmtId="0" fontId="35" fillId="0" borderId="7" xfId="0" applyFont="1" applyBorder="1" applyAlignment="1">
      <alignment horizontal="justify" vertical="top" wrapText="1"/>
    </xf>
    <xf numFmtId="2" fontId="35" fillId="0" borderId="8" xfId="0" applyNumberFormat="1" applyFont="1" applyBorder="1" applyAlignment="1">
      <alignment horizontal="justify" vertical="top" wrapText="1"/>
    </xf>
    <xf numFmtId="0" fontId="35" fillId="0" borderId="8" xfId="0" applyFont="1" applyBorder="1" applyAlignment="1">
      <alignment horizontal="justify" vertical="top" wrapText="1"/>
    </xf>
    <xf numFmtId="2" fontId="35" fillId="0" borderId="1" xfId="0" applyNumberFormat="1" applyFont="1" applyBorder="1" applyAlignment="1">
      <alignment horizontal="justify" vertical="top" wrapText="1"/>
    </xf>
    <xf numFmtId="0" fontId="35" fillId="0" borderId="1" xfId="0" applyFont="1" applyBorder="1" applyAlignment="1">
      <alignment horizontal="justify" vertical="top" wrapText="1"/>
    </xf>
    <xf numFmtId="0" fontId="35" fillId="0" borderId="0" xfId="2192" applyFont="1" applyAlignment="1">
      <alignment horizontal="center" vertical="center" wrapText="1"/>
    </xf>
    <xf numFmtId="2" fontId="35" fillId="0" borderId="0" xfId="1238" applyNumberFormat="1" applyFont="1" applyAlignment="1">
      <alignment horizontal="center"/>
    </xf>
    <xf numFmtId="0" fontId="122" fillId="0" borderId="0" xfId="1618" applyFont="1" applyAlignment="1">
      <alignment horizontal="center"/>
    </xf>
    <xf numFmtId="1" fontId="123" fillId="0" borderId="9" xfId="1618" applyNumberFormat="1" applyFont="1" applyBorder="1" applyAlignment="1">
      <alignment horizontal="center" vertical="center" wrapText="1"/>
    </xf>
    <xf numFmtId="0" fontId="123" fillId="0" borderId="9" xfId="1618" applyFont="1" applyBorder="1" applyAlignment="1">
      <alignment horizontal="center" vertical="center" wrapText="1"/>
    </xf>
    <xf numFmtId="2" fontId="121" fillId="0" borderId="1" xfId="1618" applyNumberFormat="1" applyFont="1" applyBorder="1" applyAlignment="1">
      <alignment horizontal="center" vertical="center" wrapText="1"/>
    </xf>
    <xf numFmtId="0" fontId="119" fillId="0" borderId="0" xfId="1618" applyAlignment="1">
      <alignment horizontal="center" vertical="center"/>
    </xf>
    <xf numFmtId="2" fontId="121" fillId="0" borderId="1" xfId="1618" applyNumberFormat="1" applyFont="1" applyBorder="1" applyAlignment="1">
      <alignment horizontal="center" vertical="center"/>
    </xf>
    <xf numFmtId="0" fontId="121" fillId="0" borderId="1" xfId="1618" applyFont="1" applyBorder="1" applyAlignment="1">
      <alignment horizontal="right" vertical="center" wrapText="1"/>
    </xf>
    <xf numFmtId="0" fontId="99" fillId="0" borderId="1" xfId="0" applyFont="1" applyBorder="1" applyAlignment="1" applyProtection="1">
      <alignment horizontal="center" vertical="center" wrapText="1"/>
      <protection locked="0"/>
    </xf>
    <xf numFmtId="0" fontId="98" fillId="0" borderId="1" xfId="0" applyFont="1" applyBorder="1" applyAlignment="1" applyProtection="1">
      <alignment horizontal="center" vertical="center" wrapText="1"/>
      <protection locked="0"/>
    </xf>
    <xf numFmtId="1" fontId="98" fillId="0" borderId="4" xfId="0" applyNumberFormat="1" applyFont="1" applyBorder="1" applyAlignment="1" applyProtection="1">
      <alignment horizontal="center" vertical="center" wrapText="1"/>
      <protection locked="0"/>
    </xf>
    <xf numFmtId="0" fontId="98" fillId="0" borderId="10" xfId="0" applyFont="1" applyBorder="1" applyAlignment="1" applyProtection="1">
      <alignment horizontal="center" vertical="center" wrapText="1"/>
      <protection locked="0"/>
    </xf>
    <xf numFmtId="0" fontId="98" fillId="0" borderId="5" xfId="0" applyFont="1" applyBorder="1" applyAlignment="1" applyProtection="1">
      <alignment horizontal="center" vertical="center" wrapText="1"/>
      <protection locked="0"/>
    </xf>
    <xf numFmtId="0" fontId="113" fillId="0" borderId="0" xfId="0" applyFont="1" applyAlignment="1" applyProtection="1">
      <alignment horizontal="left" wrapText="1"/>
      <protection locked="0"/>
    </xf>
    <xf numFmtId="0" fontId="113" fillId="0" borderId="0" xfId="2192" applyFont="1" applyAlignment="1" applyProtection="1">
      <alignment horizontal="left" vertical="top" wrapText="1"/>
      <protection locked="0"/>
    </xf>
    <xf numFmtId="0" fontId="113" fillId="0" borderId="0" xfId="0" applyFont="1" applyAlignment="1" applyProtection="1">
      <alignment horizontal="left" vertical="top" wrapText="1"/>
      <protection locked="0"/>
    </xf>
    <xf numFmtId="0" fontId="5" fillId="0" borderId="1" xfId="0" applyFont="1" applyBorder="1" applyAlignment="1">
      <alignment horizontal="center" wrapText="1"/>
    </xf>
    <xf numFmtId="0" fontId="5" fillId="0" borderId="0" xfId="0" applyFont="1" applyAlignment="1">
      <alignment horizontal="center"/>
    </xf>
    <xf numFmtId="0" fontId="5" fillId="0" borderId="0" xfId="0" applyFont="1" applyAlignment="1">
      <alignment horizontal="center" wrapText="1"/>
    </xf>
    <xf numFmtId="0" fontId="0" fillId="0" borderId="0" xfId="0" applyAlignment="1">
      <alignment horizontal="center"/>
    </xf>
    <xf numFmtId="0" fontId="3" fillId="0" borderId="1" xfId="0" applyFont="1" applyBorder="1" applyAlignment="1">
      <alignment horizontal="center"/>
    </xf>
    <xf numFmtId="0" fontId="3" fillId="0" borderId="4" xfId="0" applyFont="1" applyBorder="1" applyAlignment="1">
      <alignment horizontal="center"/>
    </xf>
    <xf numFmtId="0" fontId="24" fillId="0" borderId="1" xfId="0" applyFont="1" applyBorder="1" applyAlignment="1">
      <alignment horizontal="center"/>
    </xf>
    <xf numFmtId="2" fontId="107" fillId="0" borderId="0" xfId="0" applyNumberFormat="1" applyFont="1" applyAlignment="1">
      <alignment horizontal="center" vertical="center" wrapText="1"/>
    </xf>
    <xf numFmtId="0" fontId="105" fillId="0" borderId="0" xfId="0" applyFont="1" applyAlignment="1">
      <alignment horizontal="center" vertical="center" wrapText="1"/>
    </xf>
    <xf numFmtId="2" fontId="107" fillId="0" borderId="0" xfId="0" applyNumberFormat="1" applyFont="1" applyAlignment="1">
      <alignment horizontal="right" vertical="top"/>
    </xf>
    <xf numFmtId="0" fontId="105" fillId="0" borderId="0" xfId="0" applyFont="1" applyAlignment="1">
      <alignment horizontal="center" vertical="center"/>
    </xf>
    <xf numFmtId="0" fontId="107" fillId="0" borderId="1" xfId="0" applyFont="1" applyBorder="1" applyAlignment="1">
      <alignment horizontal="center" vertical="center" wrapText="1"/>
    </xf>
    <xf numFmtId="0" fontId="105" fillId="0" borderId="1" xfId="0" applyFont="1" applyBorder="1" applyAlignment="1">
      <alignment horizontal="left"/>
    </xf>
    <xf numFmtId="0" fontId="105" fillId="0" borderId="1" xfId="0" applyFont="1" applyBorder="1" applyAlignment="1">
      <alignment horizontal="left" vertical="top" wrapText="1"/>
    </xf>
    <xf numFmtId="0" fontId="105" fillId="0" borderId="1" xfId="0" applyFont="1" applyBorder="1" applyAlignment="1" applyProtection="1">
      <alignment horizontal="justify" vertical="top" wrapText="1"/>
      <protection hidden="1"/>
    </xf>
    <xf numFmtId="0" fontId="107" fillId="0" borderId="1" xfId="0" applyFont="1" applyBorder="1" applyAlignment="1">
      <alignment horizontal="left" vertical="center" wrapText="1"/>
    </xf>
    <xf numFmtId="2" fontId="107" fillId="0" borderId="1" xfId="0" applyNumberFormat="1" applyFont="1" applyBorder="1" applyAlignment="1">
      <alignment horizontal="left" vertical="center" shrinkToFit="1"/>
    </xf>
    <xf numFmtId="0" fontId="105" fillId="8" borderId="1" xfId="0" applyFont="1" applyFill="1" applyBorder="1" applyAlignment="1">
      <alignment vertical="top"/>
    </xf>
    <xf numFmtId="0" fontId="105" fillId="4" borderId="1" xfId="0" applyFont="1" applyFill="1" applyBorder="1" applyAlignment="1">
      <alignment horizontal="justify" vertical="top" wrapText="1"/>
    </xf>
    <xf numFmtId="0" fontId="105" fillId="0" borderId="1" xfId="0" applyFont="1" applyBorder="1" applyAlignment="1">
      <alignment vertical="top" wrapText="1"/>
    </xf>
    <xf numFmtId="0" fontId="107" fillId="0" borderId="1" xfId="0" applyFont="1" applyBorder="1" applyAlignment="1">
      <alignment horizontal="justify" vertical="center" wrapText="1"/>
    </xf>
    <xf numFmtId="0" fontId="394" fillId="0" borderId="1" xfId="0" applyFont="1" applyBorder="1" applyAlignment="1">
      <alignment horizontal="justify" vertical="top" wrapText="1"/>
    </xf>
    <xf numFmtId="0" fontId="107" fillId="0" borderId="1" xfId="0" applyFont="1" applyBorder="1" applyAlignment="1">
      <alignment horizontal="justify" vertical="top" wrapText="1"/>
    </xf>
    <xf numFmtId="2" fontId="105" fillId="0" borderId="1" xfId="0" applyNumberFormat="1" applyFont="1" applyBorder="1" applyAlignment="1">
      <alignment horizontal="center" vertical="center"/>
    </xf>
    <xf numFmtId="2" fontId="105" fillId="0" borderId="0" xfId="0" applyNumberFormat="1" applyFont="1" applyAlignment="1">
      <alignment horizontal="center" vertical="center"/>
    </xf>
    <xf numFmtId="1" fontId="107" fillId="0" borderId="0" xfId="0" applyNumberFormat="1" applyFont="1" applyAlignment="1">
      <alignment horizontal="left" vertical="top" wrapText="1"/>
    </xf>
    <xf numFmtId="1" fontId="105" fillId="0" borderId="0" xfId="0" applyNumberFormat="1" applyFont="1" applyAlignment="1">
      <alignment horizontal="left" vertical="top" wrapText="1"/>
    </xf>
    <xf numFmtId="1" fontId="105" fillId="0" borderId="0" xfId="0" applyNumberFormat="1" applyFont="1" applyAlignment="1">
      <alignment horizontal="left" vertical="center" wrapText="1"/>
    </xf>
    <xf numFmtId="0" fontId="105" fillId="0" borderId="1" xfId="0" applyFont="1" applyBorder="1" applyAlignment="1">
      <alignment horizontal="justify" vertical="top"/>
    </xf>
    <xf numFmtId="2" fontId="105" fillId="0" borderId="1" xfId="0" applyNumberFormat="1" applyFont="1" applyBorder="1" applyAlignment="1">
      <alignment horizontal="left" vertical="center" wrapText="1"/>
    </xf>
    <xf numFmtId="0" fontId="105" fillId="0" borderId="1" xfId="3756" applyFont="1" applyBorder="1" applyAlignment="1">
      <alignment horizontal="justify" vertical="top" wrapText="1"/>
    </xf>
    <xf numFmtId="0" fontId="105" fillId="0" borderId="1" xfId="3756" applyFont="1" applyBorder="1" applyAlignment="1">
      <alignment horizontal="justify" vertical="top"/>
    </xf>
    <xf numFmtId="2" fontId="105" fillId="0" borderId="1" xfId="3756" applyNumberFormat="1" applyFont="1" applyBorder="1" applyAlignment="1">
      <alignment horizontal="left" vertical="top" wrapText="1"/>
    </xf>
    <xf numFmtId="178" fontId="394" fillId="0" borderId="0" xfId="0" applyNumberFormat="1" applyFont="1" applyAlignment="1">
      <alignment horizontal="center" vertical="center" wrapText="1"/>
    </xf>
    <xf numFmtId="0" fontId="110" fillId="0" borderId="0" xfId="0" applyFont="1" applyAlignment="1">
      <alignment vertical="center" wrapText="1"/>
    </xf>
    <xf numFmtId="0" fontId="141" fillId="0" borderId="0" xfId="0" applyFont="1" applyAlignment="1">
      <alignment vertical="center" wrapText="1"/>
    </xf>
    <xf numFmtId="178" fontId="142" fillId="0" borderId="0" xfId="0" applyNumberFormat="1" applyFont="1" applyAlignment="1">
      <alignment horizontal="center" vertical="center" wrapText="1"/>
    </xf>
    <xf numFmtId="1" fontId="142" fillId="0" borderId="0" xfId="0" applyNumberFormat="1" applyFont="1" applyAlignment="1">
      <alignment horizontal="center" vertical="center" wrapText="1"/>
    </xf>
    <xf numFmtId="1" fontId="110" fillId="0" borderId="0" xfId="0" applyNumberFormat="1" applyFont="1" applyAlignment="1">
      <alignment horizontal="left" vertical="center" wrapText="1"/>
    </xf>
    <xf numFmtId="1" fontId="141" fillId="0" borderId="0" xfId="0" applyNumberFormat="1" applyFont="1" applyAlignment="1">
      <alignment horizontal="left" vertical="center" wrapText="1"/>
    </xf>
    <xf numFmtId="178" fontId="110" fillId="0" borderId="9" xfId="0" applyNumberFormat="1" applyFont="1" applyBorder="1" applyAlignment="1">
      <alignment horizontal="center" vertical="center"/>
    </xf>
    <xf numFmtId="0" fontId="110" fillId="0" borderId="9" xfId="0" applyFont="1" applyBorder="1" applyAlignment="1">
      <alignment horizontal="center" vertical="center"/>
    </xf>
    <xf numFmtId="0" fontId="141" fillId="0" borderId="9" xfId="0" applyFont="1" applyBorder="1" applyAlignment="1">
      <alignment horizontal="center" vertical="center"/>
    </xf>
    <xf numFmtId="0" fontId="110" fillId="0" borderId="1" xfId="0" applyFont="1" applyBorder="1" applyAlignment="1">
      <alignment horizontal="center" vertical="center" wrapText="1"/>
    </xf>
    <xf numFmtId="195" fontId="110" fillId="0" borderId="1" xfId="0" applyNumberFormat="1" applyFont="1" applyBorder="1" applyAlignment="1">
      <alignment horizontal="center" vertical="center"/>
    </xf>
    <xf numFmtId="195" fontId="110" fillId="0" borderId="7" xfId="0" applyNumberFormat="1" applyFont="1" applyBorder="1" applyAlignment="1">
      <alignment horizontal="justify" vertical="top" wrapText="1"/>
    </xf>
    <xf numFmtId="195" fontId="110" fillId="0" borderId="8" xfId="0" applyNumberFormat="1" applyFont="1" applyBorder="1" applyAlignment="1">
      <alignment horizontal="justify" vertical="top" wrapText="1"/>
    </xf>
    <xf numFmtId="195" fontId="110" fillId="0" borderId="40" xfId="0" applyNumberFormat="1" applyFont="1" applyBorder="1" applyAlignment="1">
      <alignment horizontal="justify" vertical="top" wrapText="1"/>
    </xf>
    <xf numFmtId="195" fontId="110" fillId="0" borderId="41" xfId="0" applyNumberFormat="1" applyFont="1" applyBorder="1" applyAlignment="1">
      <alignment horizontal="justify" vertical="top" wrapText="1"/>
    </xf>
    <xf numFmtId="195" fontId="110" fillId="0" borderId="42" xfId="0" applyNumberFormat="1" applyFont="1" applyBorder="1" applyAlignment="1">
      <alignment horizontal="justify" vertical="top" wrapText="1"/>
    </xf>
    <xf numFmtId="0" fontId="110" fillId="0" borderId="0" xfId="2192" applyFont="1" applyAlignment="1">
      <alignment horizontal="center" vertical="center" wrapText="1"/>
    </xf>
    <xf numFmtId="2" fontId="110" fillId="0" borderId="0" xfId="1238" applyNumberFormat="1" applyFont="1" applyAlignment="1">
      <alignment horizontal="center"/>
    </xf>
    <xf numFmtId="1" fontId="131" fillId="0" borderId="0" xfId="0" applyNumberFormat="1" applyFont="1" applyAlignment="1">
      <alignment horizontal="center" vertical="center" wrapText="1"/>
    </xf>
    <xf numFmtId="1" fontId="126" fillId="0" borderId="0" xfId="0" applyNumberFormat="1" applyFont="1" applyAlignment="1">
      <alignment horizontal="left" vertical="center" wrapText="1"/>
    </xf>
    <xf numFmtId="0" fontId="126" fillId="0" borderId="1" xfId="0" applyFont="1" applyBorder="1" applyAlignment="1">
      <alignment horizontal="center" vertical="center" wrapText="1"/>
    </xf>
    <xf numFmtId="0" fontId="126" fillId="0" borderId="1" xfId="0" applyFont="1" applyBorder="1" applyAlignment="1">
      <alignment horizontal="center" vertical="center"/>
    </xf>
    <xf numFmtId="1" fontId="125" fillId="0" borderId="0" xfId="0" applyNumberFormat="1" applyFont="1" applyAlignment="1">
      <alignment horizontal="left" vertical="center" wrapText="1"/>
    </xf>
    <xf numFmtId="1" fontId="145" fillId="0" borderId="0" xfId="0" applyNumberFormat="1" applyFont="1" applyAlignment="1">
      <alignment horizontal="center" vertical="center" wrapText="1"/>
    </xf>
    <xf numFmtId="0" fontId="107" fillId="0" borderId="9" xfId="0" applyFont="1" applyBorder="1" applyAlignment="1">
      <alignment horizontal="center" vertical="center"/>
    </xf>
    <xf numFmtId="0" fontId="141" fillId="0" borderId="1" xfId="0" applyFont="1" applyBorder="1" applyAlignment="1">
      <alignment horizontal="center" vertical="center" wrapText="1"/>
    </xf>
    <xf numFmtId="0" fontId="141" fillId="0" borderId="1" xfId="0" applyFont="1" applyBorder="1" applyAlignment="1">
      <alignment horizontal="center" vertical="center"/>
    </xf>
    <xf numFmtId="2" fontId="110" fillId="0" borderId="1" xfId="0" applyNumberFormat="1" applyFont="1" applyBorder="1" applyAlignment="1">
      <alignment horizontal="justify" vertical="top" wrapText="1"/>
    </xf>
    <xf numFmtId="2" fontId="98" fillId="0" borderId="1" xfId="0" applyNumberFormat="1" applyFont="1" applyBorder="1" applyAlignment="1">
      <alignment horizontal="center" vertical="center" wrapText="1"/>
    </xf>
    <xf numFmtId="0" fontId="97" fillId="0" borderId="1" xfId="0" applyFont="1" applyBorder="1" applyAlignment="1">
      <alignment horizontal="center" vertical="center" wrapText="1"/>
    </xf>
    <xf numFmtId="1" fontId="98" fillId="0" borderId="1" xfId="0" applyNumberFormat="1" applyFont="1" applyBorder="1" applyAlignment="1">
      <alignment horizontal="left" vertical="top" wrapText="1"/>
    </xf>
    <xf numFmtId="1" fontId="97" fillId="0" borderId="1" xfId="0" applyNumberFormat="1" applyFont="1" applyBorder="1" applyAlignment="1">
      <alignment horizontal="left" vertical="top" wrapText="1"/>
    </xf>
    <xf numFmtId="0" fontId="98" fillId="0" borderId="1" xfId="0" applyFont="1" applyBorder="1" applyAlignment="1">
      <alignment horizontal="center" vertical="center" wrapText="1"/>
    </xf>
    <xf numFmtId="0" fontId="98" fillId="0" borderId="1" xfId="0" applyFont="1" applyBorder="1" applyAlignment="1">
      <alignment horizontal="center" vertical="center"/>
    </xf>
    <xf numFmtId="0" fontId="97" fillId="0" borderId="1" xfId="0" applyFont="1" applyBorder="1" applyAlignment="1" applyProtection="1">
      <alignment horizontal="justify" vertical="center" wrapText="1"/>
      <protection locked="0"/>
    </xf>
    <xf numFmtId="0" fontId="100" fillId="7" borderId="1" xfId="0" applyFont="1" applyFill="1" applyBorder="1" applyAlignment="1">
      <alignment horizontal="left" vertical="top" wrapText="1"/>
    </xf>
    <xf numFmtId="0" fontId="347" fillId="0" borderId="1" xfId="0" applyFont="1" applyBorder="1" applyAlignment="1" applyProtection="1">
      <alignment horizontal="justify" vertical="top" wrapText="1"/>
      <protection locked="0"/>
    </xf>
    <xf numFmtId="0" fontId="97" fillId="0" borderId="1" xfId="0" applyFont="1" applyBorder="1" applyAlignment="1" applyProtection="1">
      <alignment horizontal="justify" vertical="top" wrapText="1"/>
      <protection locked="0"/>
    </xf>
    <xf numFmtId="0" fontId="97" fillId="0" borderId="1" xfId="0" applyFont="1" applyBorder="1" applyAlignment="1">
      <alignment horizontal="justify" vertical="top" wrapText="1"/>
    </xf>
    <xf numFmtId="2" fontId="97" fillId="0" borderId="1" xfId="0" applyNumberFormat="1" applyFont="1" applyBorder="1" applyAlignment="1">
      <alignment horizontal="center" vertical="center" wrapText="1"/>
    </xf>
    <xf numFmtId="0" fontId="97" fillId="0" borderId="1" xfId="0" applyFont="1" applyBorder="1" applyAlignment="1" applyProtection="1">
      <alignment horizontal="justify" vertical="top" wrapText="1"/>
      <protection hidden="1"/>
    </xf>
    <xf numFmtId="0" fontId="98" fillId="0" borderId="1" xfId="0" applyFont="1" applyBorder="1" applyAlignment="1" applyProtection="1">
      <alignment horizontal="center" vertical="center"/>
      <protection hidden="1"/>
    </xf>
    <xf numFmtId="2" fontId="98" fillId="0" borderId="1" xfId="0" applyNumberFormat="1" applyFont="1" applyBorder="1" applyAlignment="1" applyProtection="1">
      <alignment horizontal="left" vertical="center"/>
      <protection hidden="1"/>
    </xf>
    <xf numFmtId="0" fontId="98" fillId="0" borderId="1" xfId="0" applyFont="1" applyBorder="1" applyAlignment="1" applyProtection="1">
      <alignment horizontal="left" vertical="center"/>
      <protection hidden="1"/>
    </xf>
    <xf numFmtId="2" fontId="97" fillId="0" borderId="1" xfId="0" applyNumberFormat="1" applyFont="1" applyBorder="1" applyAlignment="1" applyProtection="1">
      <alignment horizontal="left" vertical="center"/>
      <protection hidden="1"/>
    </xf>
    <xf numFmtId="0" fontId="97" fillId="0" borderId="1" xfId="0" applyFont="1" applyBorder="1" applyAlignment="1" applyProtection="1">
      <alignment horizontal="left" vertical="center"/>
      <protection hidden="1"/>
    </xf>
    <xf numFmtId="0" fontId="98" fillId="0" borderId="1" xfId="0" applyFont="1" applyBorder="1" applyAlignment="1" applyProtection="1">
      <alignment horizontal="right" vertical="center"/>
      <protection hidden="1"/>
    </xf>
    <xf numFmtId="0" fontId="98" fillId="0" borderId="1" xfId="0" applyFont="1" applyBorder="1" applyAlignment="1" applyProtection="1">
      <alignment horizontal="left" vertical="center" wrapText="1"/>
      <protection hidden="1"/>
    </xf>
    <xf numFmtId="0" fontId="97" fillId="0" borderId="1" xfId="0" applyFont="1" applyBorder="1" applyAlignment="1" applyProtection="1">
      <alignment horizontal="left" vertical="center" wrapText="1"/>
      <protection hidden="1"/>
    </xf>
    <xf numFmtId="2" fontId="97" fillId="0" borderId="1" xfId="0" applyNumberFormat="1" applyFont="1" applyBorder="1" applyAlignment="1" applyProtection="1">
      <alignment horizontal="left" vertical="center" wrapText="1"/>
      <protection hidden="1"/>
    </xf>
    <xf numFmtId="2" fontId="97" fillId="0" borderId="1" xfId="0" applyNumberFormat="1" applyFont="1" applyBorder="1" applyAlignment="1" applyProtection="1">
      <alignment horizontal="left" vertical="top" wrapText="1"/>
      <protection hidden="1"/>
    </xf>
    <xf numFmtId="0" fontId="97" fillId="3" borderId="1" xfId="0" applyFont="1" applyFill="1" applyBorder="1" applyAlignment="1" applyProtection="1">
      <alignment vertical="top" wrapText="1"/>
      <protection hidden="1"/>
    </xf>
    <xf numFmtId="0" fontId="97" fillId="0" borderId="1" xfId="0" applyFont="1" applyBorder="1" applyAlignment="1" applyProtection="1">
      <alignment horizontal="left" vertical="top" wrapText="1"/>
      <protection hidden="1"/>
    </xf>
    <xf numFmtId="0" fontId="98" fillId="0" borderId="1" xfId="0" applyFont="1" applyBorder="1" applyAlignment="1" applyProtection="1">
      <alignment vertical="top" wrapText="1"/>
      <protection hidden="1"/>
    </xf>
    <xf numFmtId="0" fontId="97" fillId="0" borderId="1" xfId="0" applyFont="1" applyBorder="1" applyAlignment="1" applyProtection="1">
      <alignment vertical="top" wrapText="1"/>
      <protection hidden="1"/>
    </xf>
    <xf numFmtId="2" fontId="102" fillId="0" borderId="0" xfId="0" applyNumberFormat="1" applyFont="1" applyAlignment="1">
      <alignment horizontal="center" vertical="center" wrapText="1"/>
    </xf>
    <xf numFmtId="2" fontId="102" fillId="0" borderId="0" xfId="0" applyNumberFormat="1" applyFont="1" applyAlignment="1">
      <alignment horizontal="right" vertical="top"/>
    </xf>
    <xf numFmtId="1" fontId="102" fillId="0" borderId="0" xfId="0" applyNumberFormat="1" applyFont="1" applyAlignment="1">
      <alignment horizontal="left" vertical="top" wrapText="1"/>
    </xf>
    <xf numFmtId="1" fontId="101" fillId="0" borderId="0" xfId="0" applyNumberFormat="1" applyFont="1" applyAlignment="1">
      <alignment horizontal="left" vertical="top" wrapText="1"/>
    </xf>
    <xf numFmtId="0" fontId="101" fillId="0" borderId="1" xfId="0" applyFont="1" applyBorder="1" applyAlignment="1">
      <alignment horizontal="center" vertical="center" wrapText="1"/>
    </xf>
    <xf numFmtId="0" fontId="101" fillId="0" borderId="1" xfId="0" applyFont="1" applyBorder="1" applyAlignment="1">
      <alignment horizontal="justify" vertical="top" wrapText="1"/>
    </xf>
    <xf numFmtId="0" fontId="102" fillId="0" borderId="1" xfId="0" applyFont="1" applyBorder="1" applyAlignment="1">
      <alignment horizontal="left" vertical="center" wrapText="1"/>
    </xf>
    <xf numFmtId="0" fontId="102" fillId="0" borderId="1" xfId="0" applyFont="1" applyBorder="1" applyAlignment="1" applyProtection="1">
      <alignment horizontal="left" vertical="center"/>
      <protection hidden="1"/>
    </xf>
    <xf numFmtId="0" fontId="101" fillId="0" borderId="1" xfId="0" applyFont="1" applyBorder="1" applyAlignment="1" applyProtection="1">
      <alignment horizontal="justify" vertical="top" wrapText="1"/>
      <protection locked="0"/>
    </xf>
    <xf numFmtId="0" fontId="101" fillId="0" borderId="1" xfId="0" applyFont="1" applyBorder="1" applyAlignment="1" applyProtection="1">
      <alignment horizontal="justify" vertical="top" wrapText="1"/>
      <protection hidden="1"/>
    </xf>
    <xf numFmtId="2" fontId="101" fillId="0" borderId="0" xfId="0" applyNumberFormat="1" applyFont="1" applyAlignment="1">
      <alignment horizontal="left" vertical="center"/>
    </xf>
    <xf numFmtId="0" fontId="101" fillId="0" borderId="1" xfId="0" applyFont="1" applyBorder="1" applyAlignment="1" applyProtection="1">
      <alignment horizontal="justify" vertical="center" wrapText="1"/>
      <protection hidden="1"/>
    </xf>
    <xf numFmtId="0" fontId="102" fillId="0" borderId="1" xfId="0" applyFont="1" applyBorder="1" applyAlignment="1" applyProtection="1">
      <alignment horizontal="center" vertical="center" wrapText="1"/>
      <protection hidden="1"/>
    </xf>
    <xf numFmtId="0" fontId="101" fillId="0" borderId="1" xfId="0" applyFont="1" applyBorder="1" applyAlignment="1">
      <alignment horizontal="justify" vertical="center" wrapText="1"/>
    </xf>
    <xf numFmtId="0" fontId="101" fillId="0" borderId="0" xfId="0" applyFont="1" applyAlignment="1">
      <alignment horizontal="left" vertical="center"/>
    </xf>
    <xf numFmtId="0" fontId="36" fillId="0" borderId="0" xfId="0" applyFont="1" applyAlignment="1">
      <alignment horizontal="center"/>
    </xf>
    <xf numFmtId="0" fontId="36" fillId="0" borderId="0" xfId="0" applyFont="1"/>
    <xf numFmtId="0" fontId="95" fillId="0" borderId="0" xfId="0" applyFont="1" applyAlignment="1">
      <alignment horizontal="center" vertical="top"/>
    </xf>
    <xf numFmtId="1" fontId="95" fillId="0" borderId="0" xfId="0" applyNumberFormat="1" applyFont="1" applyAlignment="1">
      <alignment horizontal="justify" vertical="justify" wrapText="1"/>
    </xf>
    <xf numFmtId="0" fontId="95" fillId="0" borderId="0" xfId="0" applyFont="1"/>
    <xf numFmtId="2" fontId="95" fillId="0" borderId="1" xfId="0" applyNumberFormat="1" applyFont="1" applyBorder="1" applyAlignment="1">
      <alignment horizontal="center" vertical="center"/>
    </xf>
    <xf numFmtId="0" fontId="36" fillId="0" borderId="0" xfId="0" applyFont="1" applyAlignment="1">
      <alignment horizontal="justify" vertical="top" wrapText="1"/>
    </xf>
    <xf numFmtId="0" fontId="36" fillId="0" borderId="0" xfId="0" applyFont="1" applyAlignment="1">
      <alignment horizontal="left"/>
    </xf>
    <xf numFmtId="0" fontId="95" fillId="0" borderId="0" xfId="0" applyFont="1" applyAlignment="1">
      <alignment horizontal="center" wrapText="1"/>
    </xf>
    <xf numFmtId="0" fontId="95" fillId="0" borderId="0" xfId="0" applyFont="1" applyAlignment="1">
      <alignment horizontal="left"/>
    </xf>
    <xf numFmtId="0" fontId="74" fillId="3" borderId="16" xfId="598" applyFont="1" applyFill="1" applyBorder="1" applyAlignment="1">
      <alignment horizontal="left" vertical="top" wrapText="1"/>
    </xf>
    <xf numFmtId="0" fontId="74" fillId="3" borderId="17" xfId="598" applyFont="1" applyFill="1" applyBorder="1" applyAlignment="1">
      <alignment horizontal="left" vertical="top" wrapText="1"/>
    </xf>
    <xf numFmtId="0" fontId="74" fillId="3" borderId="30" xfId="598" applyFont="1" applyFill="1" applyBorder="1" applyAlignment="1">
      <alignment horizontal="left" vertical="top" wrapText="1"/>
    </xf>
    <xf numFmtId="0" fontId="75" fillId="0" borderId="19" xfId="598" applyFont="1" applyBorder="1" applyAlignment="1">
      <alignment horizontal="center" vertical="top"/>
    </xf>
    <xf numFmtId="0" fontId="75" fillId="0" borderId="14" xfId="598" applyFont="1" applyBorder="1" applyAlignment="1">
      <alignment horizontal="center" vertical="top"/>
    </xf>
    <xf numFmtId="0" fontId="75" fillId="0" borderId="31" xfId="598" applyFont="1" applyBorder="1" applyAlignment="1">
      <alignment horizontal="center" vertical="top"/>
    </xf>
    <xf numFmtId="0" fontId="52" fillId="0" borderId="0" xfId="598" applyFont="1" applyAlignment="1">
      <alignment horizontal="center" vertical="center"/>
    </xf>
    <xf numFmtId="0" fontId="53" fillId="0" borderId="0" xfId="598" applyFont="1" applyAlignment="1">
      <alignment horizontal="center" vertical="top"/>
    </xf>
    <xf numFmtId="0" fontId="48" fillId="0" borderId="0" xfId="598" applyFont="1" applyAlignment="1">
      <alignment horizontal="justify" vertical="top" wrapText="1"/>
    </xf>
    <xf numFmtId="0" fontId="48" fillId="0" borderId="0" xfId="598" applyFont="1" applyAlignment="1">
      <alignment vertical="top" wrapText="1"/>
    </xf>
    <xf numFmtId="0" fontId="55" fillId="0" borderId="0" xfId="598" applyFont="1" applyAlignment="1">
      <alignment vertical="top" wrapText="1"/>
    </xf>
    <xf numFmtId="0" fontId="48" fillId="0" borderId="0" xfId="598" applyFont="1" applyAlignment="1">
      <alignment horizontal="center" vertical="top" wrapText="1"/>
    </xf>
    <xf numFmtId="0" fontId="56" fillId="0" borderId="0" xfId="598" quotePrefix="1" applyFont="1" applyAlignment="1">
      <alignment horizontal="center" vertical="top" wrapText="1"/>
    </xf>
    <xf numFmtId="0" fontId="56" fillId="0" borderId="0" xfId="598" applyFont="1" applyAlignment="1">
      <alignment horizontal="center" vertical="top" wrapText="1"/>
    </xf>
    <xf numFmtId="0" fontId="57" fillId="0" borderId="0" xfId="3472" applyFont="1" applyAlignment="1">
      <alignment horizontal="left" vertical="top" wrapText="1"/>
    </xf>
    <xf numFmtId="0" fontId="48" fillId="0" borderId="9" xfId="598" applyFont="1" applyBorder="1" applyAlignment="1">
      <alignment horizontal="justify" vertical="top" wrapText="1"/>
    </xf>
    <xf numFmtId="168" fontId="49" fillId="0" borderId="1" xfId="598" applyNumberFormat="1" applyFont="1" applyBorder="1" applyAlignment="1">
      <alignment horizontal="center" vertical="top" wrapText="1"/>
    </xf>
    <xf numFmtId="0" fontId="48" fillId="0" borderId="1" xfId="598" applyFont="1" applyBorder="1" applyAlignment="1">
      <alignment horizontal="left" vertical="top" wrapText="1"/>
    </xf>
    <xf numFmtId="168" fontId="59" fillId="0" borderId="1" xfId="598" applyNumberFormat="1" applyFont="1" applyBorder="1" applyAlignment="1">
      <alignment horizontal="center" vertical="top" wrapText="1"/>
    </xf>
    <xf numFmtId="170" fontId="60" fillId="0" borderId="4" xfId="598" applyNumberFormat="1" applyFont="1" applyBorder="1" applyAlignment="1">
      <alignment horizontal="center" vertical="top" wrapText="1"/>
    </xf>
    <xf numFmtId="170" fontId="60" fillId="0" borderId="5" xfId="598" applyNumberFormat="1" applyFont="1" applyBorder="1" applyAlignment="1">
      <alignment horizontal="center" vertical="top" wrapText="1"/>
    </xf>
    <xf numFmtId="0" fontId="48" fillId="0" borderId="0" xfId="598" applyFont="1" applyAlignment="1">
      <alignment horizontal="justify" vertical="center" wrapText="1"/>
    </xf>
    <xf numFmtId="0" fontId="48" fillId="0" borderId="1" xfId="3472" applyFont="1" applyBorder="1" applyAlignment="1">
      <alignment horizontal="center" vertical="top" wrapText="1"/>
    </xf>
    <xf numFmtId="2" fontId="48" fillId="0" borderId="1" xfId="3472" applyNumberFormat="1" applyFont="1" applyBorder="1" applyAlignment="1">
      <alignment horizontal="center" vertical="top" wrapText="1"/>
    </xf>
    <xf numFmtId="0" fontId="61" fillId="0" borderId="4" xfId="3472" applyFont="1" applyBorder="1" applyAlignment="1">
      <alignment horizontal="left" vertical="center" wrapText="1"/>
    </xf>
    <xf numFmtId="0" fontId="61" fillId="0" borderId="5" xfId="3472" applyFont="1" applyBorder="1" applyAlignment="1">
      <alignment horizontal="left" vertical="center" wrapText="1"/>
    </xf>
    <xf numFmtId="2" fontId="62" fillId="0" borderId="1" xfId="3472" applyNumberFormat="1" applyFont="1" applyBorder="1" applyAlignment="1">
      <alignment horizontal="center" vertical="center" wrapText="1"/>
    </xf>
    <xf numFmtId="2" fontId="49" fillId="0" borderId="1" xfId="3472" applyNumberFormat="1" applyFont="1" applyBorder="1" applyAlignment="1">
      <alignment horizontal="center" vertical="center" wrapText="1"/>
    </xf>
    <xf numFmtId="0" fontId="61" fillId="0" borderId="4" xfId="3472" applyFont="1" applyBorder="1" applyAlignment="1">
      <alignment horizontal="left" vertical="top" wrapText="1"/>
    </xf>
    <xf numFmtId="0" fontId="61" fillId="0" borderId="5" xfId="3472" applyFont="1" applyBorder="1" applyAlignment="1">
      <alignment horizontal="left" vertical="top" wrapText="1"/>
    </xf>
    <xf numFmtId="2" fontId="62" fillId="0" borderId="1" xfId="3472" applyNumberFormat="1" applyFont="1" applyBorder="1" applyAlignment="1">
      <alignment horizontal="center" vertical="top" wrapText="1"/>
    </xf>
    <xf numFmtId="2" fontId="49" fillId="0" borderId="1" xfId="3472" applyNumberFormat="1" applyFont="1" applyBorder="1" applyAlignment="1">
      <alignment horizontal="center" vertical="top" wrapText="1"/>
    </xf>
    <xf numFmtId="0" fontId="61" fillId="0" borderId="1" xfId="3472" applyFont="1" applyBorder="1" applyAlignment="1">
      <alignment horizontal="left" vertical="top" wrapText="1"/>
    </xf>
    <xf numFmtId="2" fontId="62" fillId="0" borderId="4" xfId="3472" applyNumberFormat="1" applyFont="1" applyBorder="1" applyAlignment="1">
      <alignment horizontal="center" vertical="top" wrapText="1"/>
    </xf>
    <xf numFmtId="2" fontId="62" fillId="0" borderId="5" xfId="3472" applyNumberFormat="1" applyFont="1" applyBorder="1" applyAlignment="1">
      <alignment horizontal="center" vertical="top" wrapText="1"/>
    </xf>
    <xf numFmtId="2" fontId="63" fillId="0" borderId="1" xfId="3472" applyNumberFormat="1" applyFont="1" applyBorder="1" applyAlignment="1">
      <alignment horizontal="center" vertical="top" wrapText="1"/>
    </xf>
    <xf numFmtId="2" fontId="49" fillId="0" borderId="4" xfId="3472" applyNumberFormat="1" applyFont="1" applyBorder="1" applyAlignment="1">
      <alignment horizontal="left" vertical="top" wrapText="1"/>
    </xf>
    <xf numFmtId="2" fontId="49" fillId="0" borderId="5" xfId="3472" applyNumberFormat="1" applyFont="1" applyBorder="1" applyAlignment="1">
      <alignment horizontal="left" vertical="top" wrapText="1"/>
    </xf>
    <xf numFmtId="0" fontId="64" fillId="0" borderId="3" xfId="3472" applyFont="1" applyBorder="1" applyAlignment="1">
      <alignment horizontal="center" wrapText="1"/>
    </xf>
    <xf numFmtId="0" fontId="64" fillId="0" borderId="9" xfId="3472" applyFont="1" applyBorder="1" applyAlignment="1">
      <alignment horizontal="center" wrapText="1"/>
    </xf>
    <xf numFmtId="0" fontId="64" fillId="0" borderId="15" xfId="3472" applyFont="1" applyBorder="1" applyAlignment="1">
      <alignment horizontal="center" wrapText="1"/>
    </xf>
    <xf numFmtId="0" fontId="50" fillId="0" borderId="2" xfId="3472" applyFont="1" applyBorder="1" applyAlignment="1">
      <alignment horizontal="left" vertical="center" wrapText="1"/>
    </xf>
    <xf numFmtId="0" fontId="64" fillId="0" borderId="1" xfId="3472" applyFont="1" applyBorder="1" applyAlignment="1">
      <alignment horizontal="center" vertical="center" wrapText="1"/>
    </xf>
    <xf numFmtId="0" fontId="50" fillId="0" borderId="1" xfId="3472" applyFont="1" applyBorder="1" applyAlignment="1">
      <alignment horizontal="left" vertical="center" wrapText="1"/>
    </xf>
    <xf numFmtId="0" fontId="48" fillId="0" borderId="4" xfId="3472" applyFont="1" applyBorder="1" applyAlignment="1">
      <alignment horizontal="center" vertical="center" wrapText="1"/>
    </xf>
    <xf numFmtId="0" fontId="48" fillId="0" borderId="10" xfId="3472" applyFont="1" applyBorder="1" applyAlignment="1">
      <alignment horizontal="center" vertical="center" wrapText="1"/>
    </xf>
    <xf numFmtId="0" fontId="48" fillId="0" borderId="5" xfId="3472" applyFont="1" applyBorder="1" applyAlignment="1">
      <alignment horizontal="center" vertical="center" wrapText="1"/>
    </xf>
    <xf numFmtId="0" fontId="48" fillId="0" borderId="4" xfId="3472" applyFont="1" applyBorder="1" applyAlignment="1">
      <alignment horizontal="left" vertical="center" wrapText="1"/>
    </xf>
    <xf numFmtId="0" fontId="48" fillId="0" borderId="10" xfId="3472" applyFont="1" applyBorder="1" applyAlignment="1">
      <alignment horizontal="left" vertical="center" wrapText="1"/>
    </xf>
    <xf numFmtId="0" fontId="48" fillId="0" borderId="5" xfId="3472" applyFont="1" applyBorder="1" applyAlignment="1">
      <alignment horizontal="left" vertical="center" wrapText="1"/>
    </xf>
    <xf numFmtId="0" fontId="54" fillId="0" borderId="4" xfId="3472" applyFont="1" applyBorder="1" applyAlignment="1">
      <alignment horizontal="center" vertical="center"/>
    </xf>
    <xf numFmtId="0" fontId="54" fillId="0" borderId="5" xfId="3472" applyFont="1" applyBorder="1" applyAlignment="1">
      <alignment horizontal="center" vertical="center"/>
    </xf>
    <xf numFmtId="0" fontId="48" fillId="0" borderId="4" xfId="3472" applyFont="1" applyBorder="1" applyAlignment="1">
      <alignment horizontal="left" vertical="top" wrapText="1"/>
    </xf>
    <xf numFmtId="0" fontId="48" fillId="0" borderId="10" xfId="3472" applyFont="1" applyBorder="1" applyAlignment="1">
      <alignment horizontal="left" vertical="top" wrapText="1"/>
    </xf>
    <xf numFmtId="0" fontId="48" fillId="0" borderId="5" xfId="3472" applyFont="1" applyBorder="1" applyAlignment="1">
      <alignment horizontal="left" vertical="top" wrapText="1"/>
    </xf>
    <xf numFmtId="197" fontId="66" fillId="0" borderId="0" xfId="3472" applyNumberFormat="1" applyFont="1" applyAlignment="1">
      <alignment horizontal="left" vertical="top" wrapText="1"/>
    </xf>
    <xf numFmtId="0" fontId="55" fillId="0" borderId="1" xfId="3472" applyFont="1" applyBorder="1" applyAlignment="1">
      <alignment horizontal="left" vertical="top" wrapText="1"/>
    </xf>
    <xf numFmtId="0" fontId="48" fillId="0" borderId="4" xfId="3472" applyFont="1" applyBorder="1" applyAlignment="1">
      <alignment horizontal="center" vertical="top" wrapText="1"/>
    </xf>
    <xf numFmtId="0" fontId="48" fillId="0" borderId="5" xfId="3472" applyFont="1" applyBorder="1" applyAlignment="1">
      <alignment horizontal="center" vertical="top" wrapText="1"/>
    </xf>
    <xf numFmtId="0" fontId="65" fillId="0" borderId="1" xfId="3472" applyFont="1" applyBorder="1" applyAlignment="1">
      <alignment horizontal="left" vertical="top" wrapText="1"/>
    </xf>
    <xf numFmtId="0" fontId="48" fillId="0" borderId="4" xfId="3472" applyFont="1" applyBorder="1" applyAlignment="1">
      <alignment vertical="top" wrapText="1"/>
    </xf>
    <xf numFmtId="0" fontId="48" fillId="0" borderId="10" xfId="3472" applyFont="1" applyBorder="1" applyAlignment="1">
      <alignment vertical="top" wrapText="1"/>
    </xf>
    <xf numFmtId="0" fontId="48" fillId="0" borderId="5" xfId="3472" applyFont="1" applyBorder="1" applyAlignment="1">
      <alignment vertical="top" wrapText="1"/>
    </xf>
    <xf numFmtId="0" fontId="50" fillId="0" borderId="4" xfId="3472" applyFont="1" applyBorder="1" applyAlignment="1">
      <alignment horizontal="center" vertical="top" wrapText="1"/>
    </xf>
    <xf numFmtId="0" fontId="50" fillId="0" borderId="5" xfId="3472" applyFont="1" applyBorder="1" applyAlignment="1">
      <alignment horizontal="center" vertical="top" wrapText="1"/>
    </xf>
    <xf numFmtId="0" fontId="65" fillId="0" borderId="4" xfId="3472" applyFont="1" applyBorder="1" applyAlignment="1">
      <alignment horizontal="center" vertical="top" wrapText="1"/>
    </xf>
    <xf numFmtId="0" fontId="65" fillId="0" borderId="10" xfId="3472" applyFont="1" applyBorder="1" applyAlignment="1">
      <alignment horizontal="center" vertical="top" wrapText="1"/>
    </xf>
    <xf numFmtId="201" fontId="66" fillId="0" borderId="0" xfId="3472" applyNumberFormat="1" applyFont="1" applyAlignment="1">
      <alignment horizontal="left" vertical="top" wrapText="1"/>
    </xf>
    <xf numFmtId="0" fontId="67" fillId="0" borderId="4" xfId="3472" applyFont="1" applyBorder="1" applyAlignment="1">
      <alignment horizontal="left" vertical="top" wrapText="1"/>
    </xf>
    <xf numFmtId="0" fontId="67" fillId="0" borderId="10" xfId="3472" applyFont="1" applyBorder="1" applyAlignment="1">
      <alignment horizontal="left" vertical="top" wrapText="1"/>
    </xf>
    <xf numFmtId="0" fontId="67" fillId="0" borderId="5" xfId="3472" applyFont="1" applyBorder="1" applyAlignment="1">
      <alignment horizontal="left" vertical="top" wrapText="1"/>
    </xf>
    <xf numFmtId="2" fontId="48" fillId="0" borderId="4" xfId="3472" applyNumberFormat="1" applyFont="1" applyBorder="1" applyAlignment="1">
      <alignment horizontal="left" vertical="top" wrapText="1"/>
    </xf>
    <xf numFmtId="2" fontId="48" fillId="0" borderId="5" xfId="3472" applyNumberFormat="1" applyFont="1" applyBorder="1" applyAlignment="1">
      <alignment horizontal="left" vertical="top" wrapText="1"/>
    </xf>
    <xf numFmtId="0" fontId="65" fillId="0" borderId="4" xfId="3472" applyFont="1" applyBorder="1" applyAlignment="1">
      <alignment horizontal="left" vertical="top" wrapText="1"/>
    </xf>
    <xf numFmtId="0" fontId="65" fillId="0" borderId="10" xfId="3472" applyFont="1" applyBorder="1" applyAlignment="1">
      <alignment horizontal="left" vertical="top" wrapText="1"/>
    </xf>
    <xf numFmtId="0" fontId="65" fillId="0" borderId="5" xfId="3472" applyFont="1" applyBorder="1" applyAlignment="1">
      <alignment horizontal="left" vertical="top" wrapText="1"/>
    </xf>
    <xf numFmtId="0" fontId="65" fillId="0" borderId="5" xfId="3472" applyFont="1" applyBorder="1" applyAlignment="1">
      <alignment horizontal="center" vertical="top" wrapText="1"/>
    </xf>
    <xf numFmtId="2" fontId="48" fillId="3" borderId="4" xfId="3472" applyNumberFormat="1" applyFont="1" applyFill="1" applyBorder="1" applyAlignment="1">
      <alignment horizontal="left" vertical="top" wrapText="1"/>
    </xf>
    <xf numFmtId="2" fontId="48" fillId="3" borderId="5" xfId="3472" applyNumberFormat="1" applyFont="1" applyFill="1" applyBorder="1" applyAlignment="1">
      <alignment horizontal="left" vertical="top" wrapText="1"/>
    </xf>
    <xf numFmtId="0" fontId="48" fillId="3" borderId="4" xfId="3472" applyFont="1" applyFill="1" applyBorder="1" applyAlignment="1">
      <alignment vertical="top" wrapText="1"/>
    </xf>
    <xf numFmtId="0" fontId="48" fillId="3" borderId="10" xfId="3472" applyFont="1" applyFill="1" applyBorder="1" applyAlignment="1">
      <alignment vertical="top" wrapText="1"/>
    </xf>
    <xf numFmtId="0" fontId="65" fillId="3" borderId="4" xfId="3472" applyFont="1" applyFill="1" applyBorder="1" applyAlignment="1">
      <alignment horizontal="center" vertical="top" wrapText="1"/>
    </xf>
    <xf numFmtId="0" fontId="65" fillId="3" borderId="10" xfId="3472" applyFont="1" applyFill="1" applyBorder="1" applyAlignment="1">
      <alignment horizontal="center" vertical="top" wrapText="1"/>
    </xf>
    <xf numFmtId="0" fontId="70" fillId="0" borderId="4" xfId="2516" applyFont="1" applyBorder="1" applyAlignment="1">
      <alignment horizontal="left" vertical="top" wrapText="1"/>
    </xf>
    <xf numFmtId="0" fontId="70" fillId="0" borderId="10" xfId="2516" applyFont="1" applyBorder="1" applyAlignment="1">
      <alignment horizontal="left" vertical="top" wrapText="1"/>
    </xf>
    <xf numFmtId="0" fontId="70" fillId="0" borderId="5" xfId="2516" applyFont="1" applyBorder="1" applyAlignment="1">
      <alignment horizontal="left" vertical="top" wrapText="1"/>
    </xf>
    <xf numFmtId="2" fontId="60" fillId="0" borderId="4" xfId="2516" applyNumberFormat="1" applyFont="1" applyBorder="1" applyAlignment="1">
      <alignment horizontal="center" vertical="top" wrapText="1"/>
    </xf>
    <xf numFmtId="2" fontId="60" fillId="0" borderId="5" xfId="2516" applyNumberFormat="1" applyFont="1" applyBorder="1" applyAlignment="1">
      <alignment horizontal="center" vertical="top" wrapText="1"/>
    </xf>
    <xf numFmtId="0" fontId="67" fillId="0" borderId="4" xfId="2516" applyFont="1" applyBorder="1" applyAlignment="1">
      <alignment horizontal="left" vertical="top" wrapText="1"/>
    </xf>
    <xf numFmtId="0" fontId="67" fillId="0" borderId="5" xfId="2516" applyFont="1" applyBorder="1" applyAlignment="1">
      <alignment horizontal="left" vertical="top" wrapText="1"/>
    </xf>
    <xf numFmtId="0" fontId="50" fillId="0" borderId="4" xfId="2516" applyFont="1" applyBorder="1" applyAlignment="1">
      <alignment horizontal="center" vertical="top" wrapText="1"/>
    </xf>
    <xf numFmtId="0" fontId="50" fillId="0" borderId="10" xfId="2516" applyFont="1" applyBorder="1" applyAlignment="1">
      <alignment horizontal="center" vertical="top" wrapText="1"/>
    </xf>
    <xf numFmtId="0" fontId="50" fillId="0" borderId="5" xfId="2516" applyFont="1" applyBorder="1" applyAlignment="1">
      <alignment horizontal="center" vertical="top" wrapText="1"/>
    </xf>
    <xf numFmtId="2" fontId="60" fillId="0" borderId="1" xfId="2516" applyNumberFormat="1" applyFont="1" applyBorder="1" applyAlignment="1">
      <alignment horizontal="center" vertical="top" wrapText="1"/>
    </xf>
    <xf numFmtId="0" fontId="48" fillId="0" borderId="1" xfId="2516" applyFont="1" applyBorder="1" applyAlignment="1">
      <alignment horizontal="left" vertical="top"/>
    </xf>
    <xf numFmtId="0" fontId="58" fillId="0" borderId="1" xfId="3472" applyFont="1" applyBorder="1" applyAlignment="1">
      <alignment horizontal="left" vertical="top"/>
    </xf>
    <xf numFmtId="0" fontId="50" fillId="0" borderId="1" xfId="2516" applyFont="1" applyBorder="1" applyAlignment="1">
      <alignment horizontal="center" vertical="top" wrapText="1"/>
    </xf>
    <xf numFmtId="0" fontId="50" fillId="0" borderId="1" xfId="2516" applyFont="1" applyBorder="1" applyAlignment="1">
      <alignment horizontal="left" vertical="top"/>
    </xf>
    <xf numFmtId="0" fontId="50" fillId="0" borderId="1" xfId="2516" applyFont="1" applyBorder="1" applyAlignment="1">
      <alignment horizontal="center" vertical="top"/>
    </xf>
    <xf numFmtId="2" fontId="59" fillId="0" borderId="1" xfId="2516" applyNumberFormat="1" applyFont="1" applyBorder="1" applyAlignment="1">
      <alignment horizontal="center" vertical="top"/>
    </xf>
    <xf numFmtId="0" fontId="50" fillId="0" borderId="1" xfId="2516" applyFont="1" applyBorder="1" applyAlignment="1">
      <alignment horizontal="left" vertical="top" wrapText="1"/>
    </xf>
    <xf numFmtId="2" fontId="50" fillId="0" borderId="33" xfId="2516" applyNumberFormat="1" applyFont="1" applyBorder="1" applyAlignment="1">
      <alignment horizontal="center" vertical="top"/>
    </xf>
    <xf numFmtId="2" fontId="70" fillId="0" borderId="2" xfId="2516" applyNumberFormat="1" applyFont="1" applyBorder="1" applyAlignment="1">
      <alignment horizontal="center" vertical="top"/>
    </xf>
    <xf numFmtId="0" fontId="70" fillId="0" borderId="2" xfId="2516" applyFont="1" applyBorder="1" applyAlignment="1">
      <alignment horizontal="center" vertical="top"/>
    </xf>
    <xf numFmtId="0" fontId="55" fillId="0" borderId="4" xfId="2516" applyFont="1" applyBorder="1" applyAlignment="1">
      <alignment horizontal="center" vertical="top" wrapText="1"/>
    </xf>
    <xf numFmtId="0" fontId="55" fillId="0" borderId="5" xfId="2516" applyFont="1" applyBorder="1" applyAlignment="1">
      <alignment horizontal="center" vertical="top" wrapText="1"/>
    </xf>
    <xf numFmtId="2" fontId="50" fillId="0" borderId="1" xfId="2516" applyNumberFormat="1" applyFont="1" applyBorder="1" applyAlignment="1">
      <alignment horizontal="center" vertical="top"/>
    </xf>
    <xf numFmtId="184" fontId="50" fillId="0" borderId="1" xfId="2516" applyNumberFormat="1" applyFont="1" applyBorder="1" applyAlignment="1">
      <alignment horizontal="center" vertical="top"/>
    </xf>
    <xf numFmtId="175" fontId="60" fillId="0" borderId="1" xfId="2516" applyNumberFormat="1" applyFont="1" applyBorder="1" applyAlignment="1">
      <alignment horizontal="center" vertical="top"/>
    </xf>
    <xf numFmtId="0" fontId="58" fillId="0" borderId="0" xfId="3472" applyFont="1" applyAlignment="1">
      <alignment horizontal="justify" vertical="top" wrapText="1"/>
    </xf>
    <xf numFmtId="0" fontId="84" fillId="0" borderId="0" xfId="3472" applyFont="1" applyAlignment="1">
      <alignment horizontal="left" vertical="top" wrapText="1"/>
    </xf>
    <xf numFmtId="0" fontId="85" fillId="0" borderId="0" xfId="598" applyFont="1" applyAlignment="1">
      <alignment horizontal="justify" vertical="top" wrapText="1"/>
    </xf>
    <xf numFmtId="0" fontId="78" fillId="0" borderId="0" xfId="3472" applyFont="1" applyAlignment="1">
      <alignment horizontal="center" vertical="top"/>
    </xf>
    <xf numFmtId="0" fontId="86" fillId="0" borderId="0" xfId="3472" applyFont="1" applyAlignment="1">
      <alignment horizontal="center" vertical="top"/>
    </xf>
    <xf numFmtId="0" fontId="58" fillId="0" borderId="0" xfId="3472" applyFont="1" applyAlignment="1">
      <alignment horizontal="left" vertical="top" wrapText="1"/>
    </xf>
    <xf numFmtId="0" fontId="94" fillId="0" borderId="1" xfId="598" applyFont="1" applyBorder="1" applyAlignment="1">
      <alignment horizontal="left" vertical="top" wrapText="1"/>
    </xf>
    <xf numFmtId="0" fontId="48" fillId="0" borderId="0" xfId="598" applyFont="1" applyAlignment="1">
      <alignment horizontal="center" vertical="top"/>
    </xf>
    <xf numFmtId="0" fontId="54" fillId="0" borderId="0" xfId="598" applyFont="1" applyAlignment="1">
      <alignment horizontal="center" vertical="top"/>
    </xf>
    <xf numFmtId="0" fontId="65" fillId="0" borderId="11" xfId="3472" applyFont="1" applyBorder="1" applyAlignment="1">
      <alignment horizontal="center" vertical="center" wrapText="1"/>
    </xf>
    <xf numFmtId="0" fontId="65" fillId="0" borderId="12" xfId="3472" applyFont="1" applyBorder="1" applyAlignment="1">
      <alignment horizontal="center" vertical="center" wrapText="1"/>
    </xf>
    <xf numFmtId="0" fontId="65" fillId="0" borderId="24" xfId="3472" applyFont="1" applyBorder="1" applyAlignment="1">
      <alignment horizontal="center" vertical="center" wrapText="1"/>
    </xf>
    <xf numFmtId="0" fontId="65" fillId="0" borderId="6" xfId="3472" applyFont="1" applyBorder="1" applyAlignment="1">
      <alignment horizontal="center" vertical="center" wrapText="1"/>
    </xf>
    <xf numFmtId="0" fontId="65" fillId="0" borderId="0" xfId="3472" applyFont="1" applyAlignment="1">
      <alignment horizontal="center" vertical="center" wrapText="1"/>
    </xf>
    <xf numFmtId="0" fontId="65" fillId="0" borderId="25" xfId="3472" applyFont="1" applyBorder="1" applyAlignment="1">
      <alignment horizontal="center" vertical="center" wrapText="1"/>
    </xf>
    <xf numFmtId="0" fontId="65" fillId="0" borderId="3" xfId="3472" applyFont="1" applyBorder="1" applyAlignment="1">
      <alignment horizontal="center" vertical="center" wrapText="1"/>
    </xf>
    <xf numFmtId="0" fontId="65" fillId="0" borderId="9" xfId="3472" applyFont="1" applyBorder="1" applyAlignment="1">
      <alignment horizontal="center" vertical="center" wrapText="1"/>
    </xf>
    <xf numFmtId="0" fontId="65" fillId="0" borderId="15" xfId="3472" applyFont="1" applyBorder="1" applyAlignment="1">
      <alignment horizontal="center" vertical="center" wrapText="1"/>
    </xf>
    <xf numFmtId="0" fontId="50" fillId="0" borderId="2" xfId="3472" applyFont="1" applyBorder="1" applyAlignment="1">
      <alignment horizontal="center" vertical="center" wrapText="1"/>
    </xf>
    <xf numFmtId="0" fontId="50" fillId="0" borderId="1" xfId="3472" applyFont="1" applyBorder="1" applyAlignment="1">
      <alignment horizontal="center" vertical="center" wrapText="1"/>
    </xf>
    <xf numFmtId="0" fontId="74" fillId="0" borderId="20" xfId="598" applyFont="1" applyBorder="1" applyAlignment="1">
      <alignment horizontal="left" vertical="top" wrapText="1"/>
    </xf>
    <xf numFmtId="0" fontId="74" fillId="0" borderId="21" xfId="598" applyFont="1" applyBorder="1" applyAlignment="1">
      <alignment horizontal="left" vertical="top" wrapText="1"/>
    </xf>
    <xf numFmtId="0" fontId="74" fillId="0" borderId="28" xfId="598" applyFont="1" applyBorder="1" applyAlignment="1">
      <alignment horizontal="left" vertical="top" wrapText="1"/>
    </xf>
    <xf numFmtId="0" fontId="74" fillId="0" borderId="22" xfId="598" applyFont="1" applyBorder="1" applyAlignment="1">
      <alignment horizontal="left" vertical="top" wrapText="1"/>
    </xf>
    <xf numFmtId="0" fontId="74" fillId="0" borderId="0" xfId="598" applyFont="1" applyAlignment="1">
      <alignment horizontal="left" vertical="top" wrapText="1"/>
    </xf>
    <xf numFmtId="0" fontId="74" fillId="0" borderId="32" xfId="598" applyFont="1" applyBorder="1" applyAlignment="1">
      <alignment horizontal="left" vertical="top" wrapText="1"/>
    </xf>
    <xf numFmtId="0" fontId="74" fillId="0" borderId="23" xfId="598" applyFont="1" applyBorder="1" applyAlignment="1">
      <alignment horizontal="left" vertical="top" wrapText="1"/>
    </xf>
    <xf numFmtId="0" fontId="74" fillId="0" borderId="13" xfId="598" applyFont="1" applyBorder="1" applyAlignment="1">
      <alignment horizontal="left" vertical="top" wrapText="1"/>
    </xf>
    <xf numFmtId="0" fontId="74" fillId="0" borderId="26" xfId="598" applyFont="1" applyBorder="1" applyAlignment="1">
      <alignment horizontal="left" vertical="top" wrapText="1"/>
    </xf>
    <xf numFmtId="0" fontId="87" fillId="0" borderId="0" xfId="3472" applyFont="1" applyAlignment="1">
      <alignment horizontal="left" vertical="top" wrapText="1"/>
    </xf>
    <xf numFmtId="0" fontId="40" fillId="0" borderId="1" xfId="3757" applyFont="1" applyBorder="1" applyAlignment="1">
      <alignment horizontal="center" vertical="center" wrapText="1"/>
    </xf>
    <xf numFmtId="1" fontId="40" fillId="0" borderId="1" xfId="3760" applyNumberFormat="1" applyFont="1" applyBorder="1" applyAlignment="1">
      <alignment horizontal="center" vertical="center" wrapText="1"/>
    </xf>
    <xf numFmtId="0" fontId="40" fillId="0" borderId="1" xfId="3760" applyFont="1" applyBorder="1" applyAlignment="1">
      <alignment horizontal="center" vertical="center" wrapText="1"/>
    </xf>
    <xf numFmtId="198" fontId="39" fillId="0" borderId="1" xfId="3757" applyNumberFormat="1" applyFont="1" applyBorder="1" applyAlignment="1">
      <alignment horizontal="center" vertical="center" wrapText="1"/>
    </xf>
    <xf numFmtId="0" fontId="39" fillId="0" borderId="1" xfId="3757" applyFont="1" applyBorder="1" applyAlignment="1">
      <alignment horizontal="center" vertical="center" wrapText="1"/>
    </xf>
    <xf numFmtId="0" fontId="40" fillId="0" borderId="7" xfId="3757" applyFont="1" applyBorder="1" applyAlignment="1">
      <alignment horizontal="center" vertical="center"/>
    </xf>
    <xf numFmtId="198" fontId="39" fillId="0" borderId="8" xfId="3757" applyNumberFormat="1" applyFont="1" applyBorder="1" applyAlignment="1">
      <alignment horizontal="center" vertical="center" wrapText="1"/>
    </xf>
    <xf numFmtId="198" fontId="41" fillId="0" borderId="8" xfId="3757" applyNumberFormat="1" applyFont="1" applyBorder="1" applyAlignment="1">
      <alignment horizontal="center" vertical="center" wrapText="1"/>
    </xf>
    <xf numFmtId="0" fontId="40" fillId="6" borderId="8" xfId="3757" applyFont="1" applyFill="1" applyBorder="1" applyAlignment="1">
      <alignment horizontal="center" wrapText="1"/>
    </xf>
    <xf numFmtId="0" fontId="39" fillId="0" borderId="8" xfId="2100" applyFont="1" applyBorder="1" applyAlignment="1">
      <alignment horizontal="justify" vertical="top" wrapText="1"/>
    </xf>
    <xf numFmtId="0" fontId="40" fillId="6" borderId="8" xfId="3757" applyFont="1" applyFill="1" applyBorder="1" applyAlignment="1">
      <alignment horizontal="left"/>
    </xf>
    <xf numFmtId="0" fontId="42" fillId="6" borderId="8" xfId="3757" applyFont="1" applyFill="1" applyBorder="1" applyAlignment="1">
      <alignment horizontal="center" vertical="top" wrapText="1"/>
    </xf>
    <xf numFmtId="0" fontId="39" fillId="0" borderId="0" xfId="3757" applyFont="1" applyAlignment="1">
      <alignment horizontal="center" vertical="center" wrapText="1"/>
    </xf>
    <xf numFmtId="2" fontId="39" fillId="0" borderId="0" xfId="3757" applyNumberFormat="1" applyFont="1" applyAlignment="1">
      <alignment horizontal="center" vertical="center" wrapText="1"/>
    </xf>
    <xf numFmtId="0" fontId="39" fillId="0" borderId="0" xfId="3757" applyFont="1" applyAlignment="1">
      <alignment horizontal="center" vertical="top" wrapText="1"/>
    </xf>
    <xf numFmtId="2" fontId="39" fillId="0" borderId="0" xfId="3757" applyNumberFormat="1" applyFont="1" applyAlignment="1">
      <alignment horizontal="center" vertical="top" wrapText="1"/>
    </xf>
    <xf numFmtId="0" fontId="39" fillId="0" borderId="8" xfId="2100" applyFont="1" applyBorder="1" applyAlignment="1">
      <alignment horizontal="left" vertical="top" wrapText="1"/>
    </xf>
    <xf numFmtId="2" fontId="40" fillId="0" borderId="8" xfId="3757" applyNumberFormat="1" applyFont="1" applyBorder="1" applyAlignment="1">
      <alignment horizontal="left" vertical="top" wrapText="1"/>
    </xf>
    <xf numFmtId="0" fontId="39" fillId="0" borderId="0" xfId="2192" applyFont="1" applyAlignment="1">
      <alignment horizontal="center" vertical="center"/>
    </xf>
    <xf numFmtId="0" fontId="40" fillId="0" borderId="8" xfId="3757" applyFont="1" applyBorder="1" applyAlignment="1">
      <alignment horizontal="center" vertical="top" wrapText="1"/>
    </xf>
    <xf numFmtId="0" fontId="44" fillId="0" borderId="8" xfId="3757" applyFont="1" applyBorder="1" applyAlignment="1">
      <alignment horizontal="center" vertical="top" wrapText="1"/>
    </xf>
    <xf numFmtId="0" fontId="40" fillId="0" borderId="8" xfId="3757" applyFont="1" applyBorder="1" applyAlignment="1">
      <alignment horizontal="justify" vertical="top" wrapText="1"/>
    </xf>
    <xf numFmtId="0" fontId="39" fillId="0" borderId="8" xfId="3757" applyFont="1" applyBorder="1" applyAlignment="1">
      <alignment horizontal="justify" vertical="top" wrapText="1"/>
    </xf>
    <xf numFmtId="0" fontId="44" fillId="0" borderId="8" xfId="3757" applyFont="1" applyBorder="1" applyAlignment="1">
      <alignment horizontal="left" vertical="top" wrapText="1"/>
    </xf>
    <xf numFmtId="0" fontId="40" fillId="0" borderId="8" xfId="2100" applyFont="1" applyBorder="1" applyAlignment="1">
      <alignment horizontal="justify" vertical="top" wrapText="1"/>
    </xf>
    <xf numFmtId="2" fontId="39" fillId="0" borderId="8" xfId="3757" applyNumberFormat="1" applyFont="1" applyBorder="1" applyAlignment="1">
      <alignment horizontal="justify" vertical="top" wrapText="1"/>
    </xf>
    <xf numFmtId="0" fontId="0" fillId="0" borderId="1" xfId="3470" applyFont="1" applyBorder="1" applyAlignment="1">
      <alignment horizontal="center"/>
    </xf>
    <xf numFmtId="0" fontId="0" fillId="0" borderId="1" xfId="3470" applyFont="1" applyBorder="1" applyAlignment="1">
      <alignment horizontal="center" vertical="top" wrapText="1"/>
    </xf>
    <xf numFmtId="2" fontId="11" fillId="0" borderId="1" xfId="3747" applyNumberFormat="1" applyFont="1" applyAlignment="1">
      <alignment horizontal="center" vertical="top" wrapText="1"/>
    </xf>
    <xf numFmtId="0" fontId="3" fillId="0" borderId="0" xfId="0" applyFont="1" applyBorder="1" applyAlignment="1">
      <alignment horizontal="center"/>
    </xf>
    <xf numFmtId="0" fontId="24" fillId="0" borderId="0" xfId="0" applyFont="1" applyBorder="1" applyAlignment="1">
      <alignment horizontal="center" wrapText="1"/>
    </xf>
    <xf numFmtId="2" fontId="24" fillId="0" borderId="0" xfId="0" applyNumberFormat="1" applyFont="1" applyBorder="1"/>
    <xf numFmtId="0" fontId="257" fillId="84" borderId="0" xfId="2595" applyFont="1" applyFill="1" applyAlignment="1">
      <alignment horizontal="center" wrapText="1"/>
    </xf>
    <xf numFmtId="0" fontId="257" fillId="84" borderId="0" xfId="2595" applyFont="1" applyFill="1" applyAlignment="1">
      <alignment horizontal="center"/>
    </xf>
  </cellXfs>
  <cellStyles count="18961">
    <cellStyle name="20% - Accent1 2" xfId="227"/>
    <cellStyle name="20% - Accent1 2 2" xfId="56"/>
    <cellStyle name="20% - Accent1 2 2 2" xfId="4155"/>
    <cellStyle name="20% - Accent1 2 3" xfId="204"/>
    <cellStyle name="20% - Accent1 2 3 2" xfId="4174"/>
    <cellStyle name="20% - Accent1 2 4" xfId="4181"/>
    <cellStyle name="20% - Accent1 2_Achampally-Gattubuthkur-Ganga-CRR" xfId="233"/>
    <cellStyle name="20% - Accent1 3" xfId="237"/>
    <cellStyle name="20% - Accent1 3 2" xfId="4185"/>
    <cellStyle name="20% - Accent1 4" xfId="7826"/>
    <cellStyle name="20% - Accent1 5" xfId="7827"/>
    <cellStyle name="20% - Accent1 6" xfId="7828"/>
    <cellStyle name="20% - Accent2 2" xfId="240"/>
    <cellStyle name="20% - Accent2 2 2" xfId="245"/>
    <cellStyle name="20% - Accent2 2 2 2" xfId="4195"/>
    <cellStyle name="20% - Accent2 2 3" xfId="247"/>
    <cellStyle name="20% - Accent2 2 3 2" xfId="4197"/>
    <cellStyle name="20% - Accent2 2 4" xfId="4192"/>
    <cellStyle name="20% - Accent2 2_Achampally-Gattubuthkur-Ganga-CRR" xfId="146"/>
    <cellStyle name="20% - Accent2 3" xfId="140"/>
    <cellStyle name="20% - Accent2 3 2" xfId="4166"/>
    <cellStyle name="20% - Accent2 4" xfId="7829"/>
    <cellStyle name="20% - Accent2 5" xfId="7830"/>
    <cellStyle name="20% - Accent2 6" xfId="7831"/>
    <cellStyle name="20% - Accent3 2" xfId="76"/>
    <cellStyle name="20% - Accent3 2 2" xfId="96"/>
    <cellStyle name="20% - Accent3 2 2 2" xfId="4161"/>
    <cellStyle name="20% - Accent3 2 3" xfId="30"/>
    <cellStyle name="20% - Accent3 2 3 2" xfId="4154"/>
    <cellStyle name="20% - Accent3 2 4" xfId="4034"/>
    <cellStyle name="20% - Accent3 2_Achampally-Gattubuthkur-Ganga-CRR" xfId="156"/>
    <cellStyle name="20% - Accent3 3" xfId="91"/>
    <cellStyle name="20% - Accent3 3 2" xfId="4037"/>
    <cellStyle name="20% - Accent3 4" xfId="7832"/>
    <cellStyle name="20% - Accent3 5" xfId="7833"/>
    <cellStyle name="20% - Accent3 6" xfId="7834"/>
    <cellStyle name="20% - Accent4 2" xfId="251"/>
    <cellStyle name="20% - Accent4 2 2" xfId="253"/>
    <cellStyle name="20% - Accent4 2 2 2" xfId="4203"/>
    <cellStyle name="20% - Accent4 2 3" xfId="255"/>
    <cellStyle name="20% - Accent4 2 3 2" xfId="4205"/>
    <cellStyle name="20% - Accent4 2 4" xfId="4198"/>
    <cellStyle name="20% - Accent4 2_Achampally-Gattubuthkur-Ganga-CRR" xfId="259"/>
    <cellStyle name="20% - Accent4 3" xfId="262"/>
    <cellStyle name="20% - Accent4 3 2" xfId="4212"/>
    <cellStyle name="20% - Accent4 4" xfId="7835"/>
    <cellStyle name="20% - Accent4 5" xfId="7836"/>
    <cellStyle name="20% - Accent4 6" xfId="7837"/>
    <cellStyle name="20% - Accent5 2" xfId="265"/>
    <cellStyle name="20% - Accent5 2 2" xfId="273"/>
    <cellStyle name="20% - Accent5 2 2 2" xfId="4219"/>
    <cellStyle name="20% - Accent5 2 3" xfId="280"/>
    <cellStyle name="20% - Accent5 2 3 2" xfId="4223"/>
    <cellStyle name="20% - Accent5 2 4" xfId="4217"/>
    <cellStyle name="20% - Accent5 2_Achampally-Gattubuthkur-Ganga-CRR" xfId="282"/>
    <cellStyle name="20% - Accent5 3" xfId="284"/>
    <cellStyle name="20% - Accent5 3 2" xfId="4234"/>
    <cellStyle name="20% - Accent5 4" xfId="7838"/>
    <cellStyle name="20% - Accent5 5" xfId="7839"/>
    <cellStyle name="20% - Accent5 6" xfId="7840"/>
    <cellStyle name="20% - Accent6 2" xfId="289"/>
    <cellStyle name="20% - Accent6 2 2" xfId="303"/>
    <cellStyle name="20% - Accent6 2 2 2" xfId="4251"/>
    <cellStyle name="20% - Accent6 2 3" xfId="311"/>
    <cellStyle name="20% - Accent6 2 3 2" xfId="4258"/>
    <cellStyle name="20% - Accent6 2 4" xfId="4245"/>
    <cellStyle name="20% - Accent6 2_Achampally-Gattubuthkur-Ganga-CRR" xfId="315"/>
    <cellStyle name="20% - Accent6 3" xfId="134"/>
    <cellStyle name="20% - Accent6 3 2" xfId="4072"/>
    <cellStyle name="20% - Accent6 4" xfId="7841"/>
    <cellStyle name="20% - Accent6 5" xfId="7842"/>
    <cellStyle name="20% - Accent6 6" xfId="7843"/>
    <cellStyle name="40% - Accent1 2" xfId="316"/>
    <cellStyle name="40% - Accent1 2 2" xfId="318"/>
    <cellStyle name="40% - Accent1 2 2 2" xfId="4264"/>
    <cellStyle name="40% - Accent1 2 3" xfId="320"/>
    <cellStyle name="40% - Accent1 2 3 2" xfId="4266"/>
    <cellStyle name="40% - Accent1 2 4" xfId="4262"/>
    <cellStyle name="40% - Accent1 2_Achampally-Gattubuthkur-Ganga-CRR" xfId="322"/>
    <cellStyle name="40% - Accent1 3" xfId="323"/>
    <cellStyle name="40% - Accent1 3 2" xfId="4268"/>
    <cellStyle name="40% - Accent1 4" xfId="7844"/>
    <cellStyle name="40% - Accent1 5" xfId="7845"/>
    <cellStyle name="40% - Accent1 6" xfId="7846"/>
    <cellStyle name="40% - Accent2 2" xfId="324"/>
    <cellStyle name="40% - Accent2 2 2" xfId="328"/>
    <cellStyle name="40% - Accent2 2 2 2" xfId="4270"/>
    <cellStyle name="40% - Accent2 2 3" xfId="333"/>
    <cellStyle name="40% - Accent2 2 3 2" xfId="4275"/>
    <cellStyle name="40% - Accent2 2 4" xfId="4269"/>
    <cellStyle name="40% - Accent2 2_Achampally-Gattubuthkur-Ganga-CRR" xfId="97"/>
    <cellStyle name="40% - Accent2 3" xfId="335"/>
    <cellStyle name="40% - Accent2 3 2" xfId="4280"/>
    <cellStyle name="40% - Accent2 4" xfId="7847"/>
    <cellStyle name="40% - Accent2 5" xfId="7848"/>
    <cellStyle name="40% - Accent2 6" xfId="7849"/>
    <cellStyle name="40% - Accent3 2" xfId="336"/>
    <cellStyle name="40% - Accent3 2 2" xfId="341"/>
    <cellStyle name="40% - Accent3 2 2 2" xfId="4283"/>
    <cellStyle name="40% - Accent3 2 3" xfId="345"/>
    <cellStyle name="40% - Accent3 2 3 2" xfId="4288"/>
    <cellStyle name="40% - Accent3 2 4" xfId="4281"/>
    <cellStyle name="40% - Accent3 2_Achampally-Gattubuthkur-Ganga-CRR" xfId="350"/>
    <cellStyle name="40% - Accent3 3" xfId="351"/>
    <cellStyle name="40% - Accent3 3 2" xfId="4295"/>
    <cellStyle name="40% - Accent3 4" xfId="7850"/>
    <cellStyle name="40% - Accent3 5" xfId="7851"/>
    <cellStyle name="40% - Accent3 6" xfId="7852"/>
    <cellStyle name="40% - Accent4 2" xfId="348"/>
    <cellStyle name="40% - Accent4 2 2" xfId="356"/>
    <cellStyle name="40% - Accent4 2 2 2" xfId="4299"/>
    <cellStyle name="40% - Accent4 2 3" xfId="358"/>
    <cellStyle name="40% - Accent4 2 3 2" xfId="4301"/>
    <cellStyle name="40% - Accent4 2 4" xfId="4294"/>
    <cellStyle name="40% - Accent4 2_Achampally-Gattubuthkur-Ganga-CRR" xfId="119"/>
    <cellStyle name="40% - Accent4 3" xfId="361"/>
    <cellStyle name="40% - Accent4 3 2" xfId="4304"/>
    <cellStyle name="40% - Accent4 4" xfId="7853"/>
    <cellStyle name="40% - Accent4 5" xfId="7854"/>
    <cellStyle name="40% - Accent4 6" xfId="7855"/>
    <cellStyle name="40% - Accent5 2" xfId="365"/>
    <cellStyle name="40% - Accent5 2 2" xfId="370"/>
    <cellStyle name="40% - Accent5 2 2 2" xfId="4309"/>
    <cellStyle name="40% - Accent5 2 3" xfId="378"/>
    <cellStyle name="40% - Accent5 2 3 2" xfId="4316"/>
    <cellStyle name="40% - Accent5 2 4" xfId="4306"/>
    <cellStyle name="40% - Accent5 2_Achampally-Gattubuthkur-Ganga-CRR" xfId="381"/>
    <cellStyle name="40% - Accent5 3" xfId="384"/>
    <cellStyle name="40% - Accent5 3 2" xfId="4325"/>
    <cellStyle name="40% - Accent5 4" xfId="7856"/>
    <cellStyle name="40% - Accent5 5" xfId="7857"/>
    <cellStyle name="40% - Accent5 6" xfId="7858"/>
    <cellStyle name="40% - Accent6 2" xfId="386"/>
    <cellStyle name="40% - Accent6 2 2" xfId="398"/>
    <cellStyle name="40% - Accent6 2 2 2" xfId="4332"/>
    <cellStyle name="40% - Accent6 2 3" xfId="409"/>
    <cellStyle name="40% - Accent6 2 3 2" xfId="4342"/>
    <cellStyle name="40% - Accent6 2 4" xfId="4327"/>
    <cellStyle name="40% - Accent6 2_Achampally-Gattubuthkur-Ganga-CRR" xfId="416"/>
    <cellStyle name="40% - Accent6 3" xfId="418"/>
    <cellStyle name="40% - Accent6 3 2" xfId="4358"/>
    <cellStyle name="40% - Accent6 4" xfId="7859"/>
    <cellStyle name="40% - Accent6 5" xfId="7860"/>
    <cellStyle name="40% - Accent6 6" xfId="7861"/>
    <cellStyle name="60% - Accent1 2" xfId="423"/>
    <cellStyle name="60% - Accent1 2 2" xfId="426"/>
    <cellStyle name="60% - Accent1 2 2 2" xfId="4366"/>
    <cellStyle name="60% - Accent1 2 3" xfId="388"/>
    <cellStyle name="60% - Accent1 2 3 2" xfId="4329"/>
    <cellStyle name="60% - Accent1 2 4" xfId="4362"/>
    <cellStyle name="60% - Accent1 3" xfId="434"/>
    <cellStyle name="60% - Accent1 3 2" xfId="4370"/>
    <cellStyle name="60% - Accent1 4" xfId="7862"/>
    <cellStyle name="60% - Accent1 5" xfId="7863"/>
    <cellStyle name="60% - Accent2 2" xfId="436"/>
    <cellStyle name="60% - Accent2 2 2" xfId="438"/>
    <cellStyle name="60% - Accent2 2 2 2" xfId="4377"/>
    <cellStyle name="60% - Accent2 2 3" xfId="440"/>
    <cellStyle name="60% - Accent2 2 3 2" xfId="4379"/>
    <cellStyle name="60% - Accent2 2 4" xfId="4376"/>
    <cellStyle name="60% - Accent2 3" xfId="445"/>
    <cellStyle name="60% - Accent2 3 2" xfId="4382"/>
    <cellStyle name="60% - Accent2 4" xfId="7864"/>
    <cellStyle name="60% - Accent2 5" xfId="7865"/>
    <cellStyle name="60% - Accent3 2" xfId="125"/>
    <cellStyle name="60% - Accent3 2 2" xfId="448"/>
    <cellStyle name="60% - Accent3 2 2 2" xfId="4387"/>
    <cellStyle name="60% - Accent3 2 3" xfId="54"/>
    <cellStyle name="60% - Accent3 2 3 2" xfId="4007"/>
    <cellStyle name="60% - Accent3 2 4" xfId="4069"/>
    <cellStyle name="60% - Accent3 3" xfId="450"/>
    <cellStyle name="60% - Accent3 3 2" xfId="4390"/>
    <cellStyle name="60% - Accent3 4" xfId="7866"/>
    <cellStyle name="60% - Accent3 5" xfId="7867"/>
    <cellStyle name="60% - Accent4 2" xfId="453"/>
    <cellStyle name="60% - Accent4 2 2" xfId="456"/>
    <cellStyle name="60% - Accent4 2 2 2" xfId="4394"/>
    <cellStyle name="60% - Accent4 2 3" xfId="460"/>
    <cellStyle name="60% - Accent4 2 3 2" xfId="4398"/>
    <cellStyle name="60% - Accent4 2 4" xfId="4393"/>
    <cellStyle name="60% - Accent4 3" xfId="413"/>
    <cellStyle name="60% - Accent4 3 2" xfId="4354"/>
    <cellStyle name="60% - Accent4 4" xfId="7868"/>
    <cellStyle name="60% - Accent4 5" xfId="7869"/>
    <cellStyle name="60% - Accent5 2" xfId="462"/>
    <cellStyle name="60% - Accent5 2 2" xfId="463"/>
    <cellStyle name="60% - Accent5 2 2 2" xfId="4404"/>
    <cellStyle name="60% - Accent5 2 3" xfId="467"/>
    <cellStyle name="60% - Accent5 2 3 2" xfId="4407"/>
    <cellStyle name="60% - Accent5 2 4" xfId="4402"/>
    <cellStyle name="60% - Accent5 3" xfId="472"/>
    <cellStyle name="60% - Accent5 3 2" xfId="4410"/>
    <cellStyle name="60% - Accent5 4" xfId="7870"/>
    <cellStyle name="60% - Accent5 5" xfId="7871"/>
    <cellStyle name="60% - Accent6 2" xfId="475"/>
    <cellStyle name="60% - Accent6 2 2" xfId="482"/>
    <cellStyle name="60% - Accent6 2 2 2" xfId="4421"/>
    <cellStyle name="60% - Accent6 2 3" xfId="484"/>
    <cellStyle name="60% - Accent6 2 3 2" xfId="4424"/>
    <cellStyle name="60% - Accent6 2 4" xfId="4415"/>
    <cellStyle name="60% - Accent6 3" xfId="489"/>
    <cellStyle name="60% - Accent6 3 2" xfId="4429"/>
    <cellStyle name="60% - Accent6 4" xfId="7872"/>
    <cellStyle name="60% - Accent6 5" xfId="7873"/>
    <cellStyle name="Accent1 - 20%" xfId="112"/>
    <cellStyle name="Accent1 - 20% 2" xfId="228"/>
    <cellStyle name="Accent1 - 20% 2 2" xfId="4182"/>
    <cellStyle name="Accent1 - 20% 3" xfId="238"/>
    <cellStyle name="Accent1 - 20% 3 2" xfId="4186"/>
    <cellStyle name="Accent1 - 20% 4" xfId="4052"/>
    <cellStyle name="Accent1 - 20%_Achampally-Gattubuthkur-Ganga-CRR" xfId="493"/>
    <cellStyle name="Accent1 - 40%" xfId="495"/>
    <cellStyle name="Accent1 - 40% 2" xfId="498"/>
    <cellStyle name="Accent1 - 40% 2 2" xfId="4434"/>
    <cellStyle name="Accent1 - 40% 3" xfId="501"/>
    <cellStyle name="Accent1 - 40% 3 2" xfId="4438"/>
    <cellStyle name="Accent1 - 40% 4" xfId="4432"/>
    <cellStyle name="Accent1 - 40%_Achampally-Gattubuthkur-Ganga-CRR" xfId="503"/>
    <cellStyle name="Accent1 - 60%" xfId="513"/>
    <cellStyle name="Accent1 - 60% 2" xfId="517"/>
    <cellStyle name="Accent1 - 60% 2 2" xfId="4453"/>
    <cellStyle name="Accent1 - 60% 3" xfId="521"/>
    <cellStyle name="Accent1 - 60% 3 2" xfId="4456"/>
    <cellStyle name="Accent1 - 60% 4" xfId="4449"/>
    <cellStyle name="Accent1 10" xfId="7874"/>
    <cellStyle name="Accent1 11" xfId="7875"/>
    <cellStyle name="Accent1 12" xfId="7876"/>
    <cellStyle name="Accent1 13" xfId="7877"/>
    <cellStyle name="Accent1 14" xfId="7878"/>
    <cellStyle name="Accent1 15" xfId="7879"/>
    <cellStyle name="Accent1 16" xfId="7880"/>
    <cellStyle name="Accent1 17" xfId="7881"/>
    <cellStyle name="Accent1 2" xfId="522"/>
    <cellStyle name="Accent1 2 2" xfId="525"/>
    <cellStyle name="Accent1 2 2 2" xfId="4460"/>
    <cellStyle name="Accent1 2 3" xfId="383"/>
    <cellStyle name="Accent1 2 3 2" xfId="4324"/>
    <cellStyle name="Accent1 2 4" xfId="4459"/>
    <cellStyle name="Accent1 3" xfId="526"/>
    <cellStyle name="Accent1 3 2" xfId="4462"/>
    <cellStyle name="Accent1 4" xfId="7882"/>
    <cellStyle name="Accent1 5" xfId="7883"/>
    <cellStyle name="Accent1 6" xfId="7884"/>
    <cellStyle name="Accent1 7" xfId="7885"/>
    <cellStyle name="Accent1 8" xfId="7886"/>
    <cellStyle name="Accent1 9" xfId="7887"/>
    <cellStyle name="Accent2 - 20%" xfId="529"/>
    <cellStyle name="Accent2 - 20% 2" xfId="536"/>
    <cellStyle name="Accent2 - 20% 2 2" xfId="4469"/>
    <cellStyle name="Accent2 - 20% 3" xfId="13"/>
    <cellStyle name="Accent2 - 20% 3 2" xfId="3975"/>
    <cellStyle name="Accent2 - 20% 4" xfId="4464"/>
    <cellStyle name="Accent2 - 20%_Achampally-Gattubuthkur-Ganga-CRR" xfId="540"/>
    <cellStyle name="Accent2 - 40%" xfId="21"/>
    <cellStyle name="Accent2 - 40% 2" xfId="545"/>
    <cellStyle name="Accent2 - 40% 2 2" xfId="4479"/>
    <cellStyle name="Accent2 - 40% 3" xfId="552"/>
    <cellStyle name="Accent2 - 40% 3 2" xfId="4486"/>
    <cellStyle name="Accent2 - 40% 4" xfId="3987"/>
    <cellStyle name="Accent2 - 40%_Achampally-Gattubuthkur-Ganga-CRR" xfId="558"/>
    <cellStyle name="Accent2 - 60%" xfId="560"/>
    <cellStyle name="Accent2 - 60% 2" xfId="430"/>
    <cellStyle name="Accent2 - 60% 2 2" xfId="4373"/>
    <cellStyle name="Accent2 - 60% 3" xfId="564"/>
    <cellStyle name="Accent2 - 60% 3 2" xfId="4496"/>
    <cellStyle name="Accent2 - 60% 4" xfId="4493"/>
    <cellStyle name="Accent2 10" xfId="7888"/>
    <cellStyle name="Accent2 11" xfId="7889"/>
    <cellStyle name="Accent2 12" xfId="7890"/>
    <cellStyle name="Accent2 13" xfId="7891"/>
    <cellStyle name="Accent2 14" xfId="7892"/>
    <cellStyle name="Accent2 15" xfId="7893"/>
    <cellStyle name="Accent2 16" xfId="7894"/>
    <cellStyle name="Accent2 17" xfId="7895"/>
    <cellStyle name="Accent2 2" xfId="572"/>
    <cellStyle name="Accent2 2 2" xfId="223"/>
    <cellStyle name="Accent2 2 2 2" xfId="4151"/>
    <cellStyle name="Accent2 2 3" xfId="574"/>
    <cellStyle name="Accent2 2 3 2" xfId="4505"/>
    <cellStyle name="Accent2 2 4" xfId="4504"/>
    <cellStyle name="Accent2 3" xfId="577"/>
    <cellStyle name="Accent2 3 2" xfId="4509"/>
    <cellStyle name="Accent2 4" xfId="7896"/>
    <cellStyle name="Accent2 5" xfId="7897"/>
    <cellStyle name="Accent2 6" xfId="7898"/>
    <cellStyle name="Accent2 7" xfId="7899"/>
    <cellStyle name="Accent2 8" xfId="7900"/>
    <cellStyle name="Accent2 9" xfId="7901"/>
    <cellStyle name="Accent3 - 20%" xfId="584"/>
    <cellStyle name="Accent3 - 20% 2" xfId="591"/>
    <cellStyle name="Accent3 - 20% 2 2" xfId="4523"/>
    <cellStyle name="Accent3 - 20% 3" xfId="596"/>
    <cellStyle name="Accent3 - 20% 3 2" xfId="4528"/>
    <cellStyle name="Accent3 - 20% 4" xfId="4519"/>
    <cellStyle name="Accent3 - 20%_Achampally-Gattubuthkur-Ganga-CRR" xfId="43"/>
    <cellStyle name="Accent3 - 40%" xfId="605"/>
    <cellStyle name="Accent3 - 40% 2" xfId="609"/>
    <cellStyle name="Accent3 - 40% 2 2" xfId="4541"/>
    <cellStyle name="Accent3 - 40% 3" xfId="610"/>
    <cellStyle name="Accent3 - 40% 3 2" xfId="4544"/>
    <cellStyle name="Accent3 - 40% 4" xfId="4537"/>
    <cellStyle name="Accent3 - 40%_Achampally-Gattubuthkur-Ganga-CRR" xfId="468"/>
    <cellStyle name="Accent3 - 60%" xfId="623"/>
    <cellStyle name="Accent3 - 60% 2" xfId="632"/>
    <cellStyle name="Accent3 - 60% 2 2" xfId="4564"/>
    <cellStyle name="Accent3 - 60% 3" xfId="635"/>
    <cellStyle name="Accent3 - 60% 3 2" xfId="4567"/>
    <cellStyle name="Accent3 - 60% 4" xfId="4557"/>
    <cellStyle name="Accent3 10" xfId="7902"/>
    <cellStyle name="Accent3 11" xfId="7903"/>
    <cellStyle name="Accent3 12" xfId="7904"/>
    <cellStyle name="Accent3 13" xfId="7905"/>
    <cellStyle name="Accent3 14" xfId="7906"/>
    <cellStyle name="Accent3 15" xfId="7907"/>
    <cellStyle name="Accent3 16" xfId="7908"/>
    <cellStyle name="Accent3 17" xfId="7909"/>
    <cellStyle name="Accent3 2" xfId="642"/>
    <cellStyle name="Accent3 2 2" xfId="647"/>
    <cellStyle name="Accent3 2 2 2" xfId="4579"/>
    <cellStyle name="Accent3 2 3" xfId="648"/>
    <cellStyle name="Accent3 2 3 2" xfId="4580"/>
    <cellStyle name="Accent3 2 4" xfId="4574"/>
    <cellStyle name="Accent3 3" xfId="120"/>
    <cellStyle name="Accent3 3 2" xfId="4067"/>
    <cellStyle name="Accent3 4" xfId="7910"/>
    <cellStyle name="Accent3 5" xfId="7911"/>
    <cellStyle name="Accent3 6" xfId="7912"/>
    <cellStyle name="Accent3 7" xfId="7913"/>
    <cellStyle name="Accent3 8" xfId="7914"/>
    <cellStyle name="Accent3 9" xfId="7915"/>
    <cellStyle name="Accent4 - 20%" xfId="653"/>
    <cellStyle name="Accent4 - 20% 2" xfId="657"/>
    <cellStyle name="Accent4 - 20% 2 2" xfId="4588"/>
    <cellStyle name="Accent4 - 20% 3" xfId="424"/>
    <cellStyle name="Accent4 - 20% 3 2" xfId="4359"/>
    <cellStyle name="Accent4 - 20% 4" xfId="4582"/>
    <cellStyle name="Accent4 - 20%_Achampally-Gattubuthkur-Ganga-CRR" xfId="660"/>
    <cellStyle name="Accent4 - 40%" xfId="667"/>
    <cellStyle name="Accent4 - 40% 2" xfId="673"/>
    <cellStyle name="Accent4 - 40% 2 2" xfId="4603"/>
    <cellStyle name="Accent4 - 40% 3" xfId="676"/>
    <cellStyle name="Accent4 - 40% 3 2" xfId="4606"/>
    <cellStyle name="Accent4 - 40% 4" xfId="4592"/>
    <cellStyle name="Accent4 - 40%_Achampally-Gattubuthkur-Ganga-CRR" xfId="681"/>
    <cellStyle name="Accent4 - 60%" xfId="613"/>
    <cellStyle name="Accent4 - 60% 2" xfId="683"/>
    <cellStyle name="Accent4 - 60% 2 2" xfId="4613"/>
    <cellStyle name="Accent4 - 60% 3" xfId="689"/>
    <cellStyle name="Accent4 - 60% 3 2" xfId="4619"/>
    <cellStyle name="Accent4 - 60% 4" xfId="4546"/>
    <cellStyle name="Accent4 10" xfId="7916"/>
    <cellStyle name="Accent4 11" xfId="7917"/>
    <cellStyle name="Accent4 12" xfId="7918"/>
    <cellStyle name="Accent4 13" xfId="7919"/>
    <cellStyle name="Accent4 14" xfId="7920"/>
    <cellStyle name="Accent4 15" xfId="7921"/>
    <cellStyle name="Accent4 16" xfId="7922"/>
    <cellStyle name="Accent4 17" xfId="7923"/>
    <cellStyle name="Accent4 2" xfId="220"/>
    <cellStyle name="Accent4 2 2" xfId="509"/>
    <cellStyle name="Accent4 2 2 2" xfId="4445"/>
    <cellStyle name="Accent4 2 3" xfId="698"/>
    <cellStyle name="Accent4 2 3 2" xfId="4628"/>
    <cellStyle name="Accent4 2 4" xfId="4142"/>
    <cellStyle name="Accent4 3" xfId="702"/>
    <cellStyle name="Accent4 3 2" xfId="4630"/>
    <cellStyle name="Accent4 4" xfId="7924"/>
    <cellStyle name="Accent4 5" xfId="7925"/>
    <cellStyle name="Accent4 6" xfId="7926"/>
    <cellStyle name="Accent4 7" xfId="7927"/>
    <cellStyle name="Accent4 8" xfId="7928"/>
    <cellStyle name="Accent4 9" xfId="7929"/>
    <cellStyle name="Accent5 - 20%" xfId="55"/>
    <cellStyle name="Accent5 - 20% 2" xfId="705"/>
    <cellStyle name="Accent5 - 20% 2 2" xfId="4633"/>
    <cellStyle name="Accent5 - 20% 3" xfId="708"/>
    <cellStyle name="Accent5 - 20% 3 2" xfId="4636"/>
    <cellStyle name="Accent5 - 20% 4" xfId="4156"/>
    <cellStyle name="Accent5 - 20%_Achampally-Gattubuthkur-Ganga-CRR" xfId="709"/>
    <cellStyle name="Accent5 - 40%" xfId="713"/>
    <cellStyle name="Accent5 - 40% 2" xfId="716"/>
    <cellStyle name="Accent5 - 40% 2 2" xfId="4642"/>
    <cellStyle name="Accent5 - 40% 3" xfId="719"/>
    <cellStyle name="Accent5 - 40% 3 2" xfId="4644"/>
    <cellStyle name="Accent5 - 40% 4" xfId="4640"/>
    <cellStyle name="Accent5 - 40%_Achampally-Gattubuthkur-Ganga-CRR" xfId="527"/>
    <cellStyle name="Accent5 - 60%" xfId="337"/>
    <cellStyle name="Accent5 - 60% 2" xfId="720"/>
    <cellStyle name="Accent5 - 60% 2 2" xfId="4647"/>
    <cellStyle name="Accent5 - 60% 3" xfId="721"/>
    <cellStyle name="Accent5 - 60% 3 2" xfId="4648"/>
    <cellStyle name="Accent5 - 60% 4" xfId="4284"/>
    <cellStyle name="Accent5 10" xfId="7930"/>
    <cellStyle name="Accent5 11" xfId="7931"/>
    <cellStyle name="Accent5 12" xfId="7932"/>
    <cellStyle name="Accent5 13" xfId="7933"/>
    <cellStyle name="Accent5 14" xfId="7934"/>
    <cellStyle name="Accent5 15" xfId="7935"/>
    <cellStyle name="Accent5 16" xfId="7936"/>
    <cellStyle name="Accent5 17" xfId="7937"/>
    <cellStyle name="Accent5 2" xfId="587"/>
    <cellStyle name="Accent5 2 2" xfId="592"/>
    <cellStyle name="Accent5 2 2 2" xfId="4520"/>
    <cellStyle name="Accent5 2 3" xfId="597"/>
    <cellStyle name="Accent5 2 3 2" xfId="4525"/>
    <cellStyle name="Accent5 2 4" xfId="4513"/>
    <cellStyle name="Accent5 3" xfId="726"/>
    <cellStyle name="Accent5 3 2" xfId="4649"/>
    <cellStyle name="Accent5 4" xfId="7938"/>
    <cellStyle name="Accent5 5" xfId="7939"/>
    <cellStyle name="Accent5 6" xfId="7940"/>
    <cellStyle name="Accent5 7" xfId="7941"/>
    <cellStyle name="Accent5 8" xfId="7942"/>
    <cellStyle name="Accent5 9" xfId="7943"/>
    <cellStyle name="Accent6 - 20%" xfId="728"/>
    <cellStyle name="Accent6 - 20% 2" xfId="736"/>
    <cellStyle name="Accent6 - 20% 2 2" xfId="4663"/>
    <cellStyle name="Accent6 - 20% 3" xfId="746"/>
    <cellStyle name="Accent6 - 20% 3 2" xfId="4673"/>
    <cellStyle name="Accent6 - 20% 4" xfId="4654"/>
    <cellStyle name="Accent6 - 20%_Achampally-Gattubuthkur-Ganga-CRR" xfId="751"/>
    <cellStyle name="Accent6 - 40%" xfId="669"/>
    <cellStyle name="Accent6 - 40% 2" xfId="752"/>
    <cellStyle name="Accent6 - 40% 2 2" xfId="4678"/>
    <cellStyle name="Accent6 - 40% 3" xfId="760"/>
    <cellStyle name="Accent6 - 40% 3 2" xfId="4686"/>
    <cellStyle name="Accent6 - 40% 4" xfId="4600"/>
    <cellStyle name="Accent6 - 40%_Achampally-Gattubuthkur-Ganga-CRR" xfId="364"/>
    <cellStyle name="Accent6 - 60%" xfId="765"/>
    <cellStyle name="Accent6 - 60% 2" xfId="200"/>
    <cellStyle name="Accent6 - 60% 2 2" xfId="4123"/>
    <cellStyle name="Accent6 - 60% 3" xfId="152"/>
    <cellStyle name="Accent6 - 60% 3 2" xfId="4085"/>
    <cellStyle name="Accent6 - 60% 4" xfId="4690"/>
    <cellStyle name="Accent6 10" xfId="7944"/>
    <cellStyle name="Accent6 11" xfId="7945"/>
    <cellStyle name="Accent6 12" xfId="7946"/>
    <cellStyle name="Accent6 13" xfId="7947"/>
    <cellStyle name="Accent6 14" xfId="7948"/>
    <cellStyle name="Accent6 15" xfId="7949"/>
    <cellStyle name="Accent6 16" xfId="7950"/>
    <cellStyle name="Accent6 17" xfId="7951"/>
    <cellStyle name="Accent6 2" xfId="511"/>
    <cellStyle name="Accent6 2 2" xfId="86"/>
    <cellStyle name="Accent6 2 2 2" xfId="4041"/>
    <cellStyle name="Accent6 2 3" xfId="768"/>
    <cellStyle name="Accent6 2 3 2" xfId="4694"/>
    <cellStyle name="Accent6 2 4" xfId="4443"/>
    <cellStyle name="Accent6 3" xfId="700"/>
    <cellStyle name="Accent6 3 2" xfId="4625"/>
    <cellStyle name="Accent6 4" xfId="7952"/>
    <cellStyle name="Accent6 5" xfId="7953"/>
    <cellStyle name="Accent6 6" xfId="7954"/>
    <cellStyle name="Accent6 7" xfId="7955"/>
    <cellStyle name="Accent6 8" xfId="7956"/>
    <cellStyle name="Accent6 9" xfId="7957"/>
    <cellStyle name="Bad 2" xfId="446"/>
    <cellStyle name="Bad 2 2" xfId="769"/>
    <cellStyle name="Bad 2 2 2" xfId="4695"/>
    <cellStyle name="Bad 2 3" xfId="770"/>
    <cellStyle name="Bad 2 3 2" xfId="4696"/>
    <cellStyle name="Bad 2 4" xfId="4388"/>
    <cellStyle name="Bad 3" xfId="52"/>
    <cellStyle name="Bad 3 2" xfId="4008"/>
    <cellStyle name="Bad 4" xfId="7958"/>
    <cellStyle name="Bad 5" xfId="7959"/>
    <cellStyle name="BOOKMAN" xfId="257"/>
    <cellStyle name="BOOKMAN 2" xfId="4207"/>
    <cellStyle name="Calc Currency (0)" xfId="780"/>
    <cellStyle name="Calc Currency (0) 2" xfId="758"/>
    <cellStyle name="Calc Currency (0) 2 2" xfId="4681"/>
    <cellStyle name="Calc Currency (0) 3" xfId="68"/>
    <cellStyle name="Calc Currency (0) 3 2" xfId="4019"/>
    <cellStyle name="Calc Currency (0) 4" xfId="4702"/>
    <cellStyle name="Calculation 2" xfId="309"/>
    <cellStyle name="Calculation 2 2" xfId="61"/>
    <cellStyle name="Calculation 2 2 2" xfId="4013"/>
    <cellStyle name="Calculation 2 3" xfId="782"/>
    <cellStyle name="Calculation 2 3 2" xfId="4708"/>
    <cellStyle name="Calculation 2 4" xfId="4259"/>
    <cellStyle name="Calculation 3" xfId="786"/>
    <cellStyle name="Calculation 3 2" xfId="4712"/>
    <cellStyle name="Calculation 4" xfId="7960"/>
    <cellStyle name="Calculation 5" xfId="7961"/>
    <cellStyle name="Check Cell 2" xfId="788"/>
    <cellStyle name="Check Cell 2 2" xfId="612"/>
    <cellStyle name="Check Cell 2 2 2" xfId="4542"/>
    <cellStyle name="Check Cell 2 3" xfId="113"/>
    <cellStyle name="Check Cell 2 3 2" xfId="4059"/>
    <cellStyle name="Check Cell 2 4" xfId="4713"/>
    <cellStyle name="Check Cell 3" xfId="791"/>
    <cellStyle name="Check Cell 3 2" xfId="4715"/>
    <cellStyle name="Check Cell 4" xfId="7962"/>
    <cellStyle name="Check Cell 5" xfId="7963"/>
    <cellStyle name="Comma" xfId="3" builtinId="3"/>
    <cellStyle name="Comma  - Style1" xfId="797"/>
    <cellStyle name="Comma  - Style1 10" xfId="7964"/>
    <cellStyle name="Comma  - Style1 11" xfId="7965"/>
    <cellStyle name="Comma  - Style1 12" xfId="7966"/>
    <cellStyle name="Comma  - Style1 13" xfId="7967"/>
    <cellStyle name="Comma  - Style1 14" xfId="7968"/>
    <cellStyle name="Comma  - Style1 15" xfId="7969"/>
    <cellStyle name="Comma  - Style1 16" xfId="7970"/>
    <cellStyle name="Comma  - Style1 17" xfId="7971"/>
    <cellStyle name="Comma  - Style1 18" xfId="4721"/>
    <cellStyle name="Comma  - Style1 2" xfId="800"/>
    <cellStyle name="Comma  - Style1 2 2" xfId="4724"/>
    <cellStyle name="Comma  - Style1 3" xfId="145"/>
    <cellStyle name="Comma  - Style1 3 2" xfId="4167"/>
    <cellStyle name="Comma  - Style1 4" xfId="801"/>
    <cellStyle name="Comma  - Style1 4 2" xfId="7972"/>
    <cellStyle name="Comma  - Style1 4 3" xfId="4727"/>
    <cellStyle name="Comma  - Style1 5" xfId="102"/>
    <cellStyle name="Comma  - Style1 5 2" xfId="4047"/>
    <cellStyle name="Comma  - Style1 6" xfId="36"/>
    <cellStyle name="Comma  - Style1 6 2" xfId="3994"/>
    <cellStyle name="Comma  - Style1 7" xfId="339"/>
    <cellStyle name="Comma  - Style1 7 2" xfId="4286"/>
    <cellStyle name="Comma  - Style1 8" xfId="343"/>
    <cellStyle name="Comma  - Style1 8 2" xfId="4290"/>
    <cellStyle name="Comma  - Style1 9" xfId="7973"/>
    <cellStyle name="Comma  - Style1_2015-16 MASTER CC ROAD &amp; DRAIN" xfId="7974"/>
    <cellStyle name="Comma  - Style2" xfId="583"/>
    <cellStyle name="Comma  - Style2 10" xfId="7975"/>
    <cellStyle name="Comma  - Style2 11" xfId="7976"/>
    <cellStyle name="Comma  - Style2 12" xfId="7977"/>
    <cellStyle name="Comma  - Style2 13" xfId="7978"/>
    <cellStyle name="Comma  - Style2 14" xfId="7979"/>
    <cellStyle name="Comma  - Style2 15" xfId="7980"/>
    <cellStyle name="Comma  - Style2 16" xfId="7981"/>
    <cellStyle name="Comma  - Style2 17" xfId="7982"/>
    <cellStyle name="Comma  - Style2 18" xfId="4516"/>
    <cellStyle name="Comma  - Style2 2" xfId="589"/>
    <cellStyle name="Comma  - Style2 2 2" xfId="4521"/>
    <cellStyle name="Comma  - Style2 3" xfId="594"/>
    <cellStyle name="Comma  - Style2 3 2" xfId="4526"/>
    <cellStyle name="Comma  - Style2 4" xfId="516"/>
    <cellStyle name="Comma  - Style2 4 2" xfId="7983"/>
    <cellStyle name="Comma  - Style2 4 3" xfId="4451"/>
    <cellStyle name="Comma  - Style2 5" xfId="520"/>
    <cellStyle name="Comma  - Style2 5 2" xfId="4454"/>
    <cellStyle name="Comma  - Style2 6" xfId="70"/>
    <cellStyle name="Comma  - Style2 6 2" xfId="4022"/>
    <cellStyle name="Comma  - Style2 7" xfId="802"/>
    <cellStyle name="Comma  - Style2 7 2" xfId="4728"/>
    <cellStyle name="Comma  - Style2 8" xfId="1"/>
    <cellStyle name="Comma  - Style2 8 2" xfId="3967"/>
    <cellStyle name="Comma  - Style2 9" xfId="7984"/>
    <cellStyle name="Comma  - Style2_2015-16 MASTER CC ROAD &amp; DRAIN" xfId="7985"/>
    <cellStyle name="Comma  - Style3" xfId="723"/>
    <cellStyle name="Comma  - Style3 10" xfId="7986"/>
    <cellStyle name="Comma  - Style3 11" xfId="7987"/>
    <cellStyle name="Comma  - Style3 12" xfId="7988"/>
    <cellStyle name="Comma  - Style3 13" xfId="7989"/>
    <cellStyle name="Comma  - Style3 14" xfId="7990"/>
    <cellStyle name="Comma  - Style3 15" xfId="7991"/>
    <cellStyle name="Comma  - Style3 16" xfId="7992"/>
    <cellStyle name="Comma  - Style3 17" xfId="7993"/>
    <cellStyle name="Comma  - Style3 18" xfId="4652"/>
    <cellStyle name="Comma  - Style3 2" xfId="804"/>
    <cellStyle name="Comma  - Style3 2 2" xfId="4729"/>
    <cellStyle name="Comma  - Style3 3" xfId="806"/>
    <cellStyle name="Comma  - Style3 3 2" xfId="4731"/>
    <cellStyle name="Comma  - Style3 4" xfId="808"/>
    <cellStyle name="Comma  - Style3 4 2" xfId="7994"/>
    <cellStyle name="Comma  - Style3 4 3" xfId="4733"/>
    <cellStyle name="Comma  - Style3 5" xfId="810"/>
    <cellStyle name="Comma  - Style3 5 2" xfId="4735"/>
    <cellStyle name="Comma  - Style3 6" xfId="812"/>
    <cellStyle name="Comma  - Style3 6 2" xfId="4737"/>
    <cellStyle name="Comma  - Style3 7" xfId="813"/>
    <cellStyle name="Comma  - Style3 7 2" xfId="4739"/>
    <cellStyle name="Comma  - Style3 8" xfId="534"/>
    <cellStyle name="Comma  - Style3 8 2" xfId="4468"/>
    <cellStyle name="Comma  - Style3 9" xfId="7995"/>
    <cellStyle name="Comma  - Style3_2015-16 MASTER CC ROAD &amp; DRAIN" xfId="7996"/>
    <cellStyle name="Comma  - Style4" xfId="814"/>
    <cellStyle name="Comma  - Style4 10" xfId="7997"/>
    <cellStyle name="Comma  - Style4 11" xfId="7998"/>
    <cellStyle name="Comma  - Style4 12" xfId="7999"/>
    <cellStyle name="Comma  - Style4 13" xfId="8000"/>
    <cellStyle name="Comma  - Style4 14" xfId="8001"/>
    <cellStyle name="Comma  - Style4 15" xfId="8002"/>
    <cellStyle name="Comma  - Style4 16" xfId="8003"/>
    <cellStyle name="Comma  - Style4 17" xfId="8004"/>
    <cellStyle name="Comma  - Style4 18" xfId="4740"/>
    <cellStyle name="Comma  - Style4 2" xfId="18"/>
    <cellStyle name="Comma  - Style4 2 2" xfId="3981"/>
    <cellStyle name="Comma  - Style4 3" xfId="817"/>
    <cellStyle name="Comma  - Style4 3 2" xfId="4741"/>
    <cellStyle name="Comma  - Style4 4" xfId="820"/>
    <cellStyle name="Comma  - Style4 4 2" xfId="8005"/>
    <cellStyle name="Comma  - Style4 4 3" xfId="4744"/>
    <cellStyle name="Comma  - Style4 5" xfId="823"/>
    <cellStyle name="Comma  - Style4 5 2" xfId="4747"/>
    <cellStyle name="Comma  - Style4 6" xfId="826"/>
    <cellStyle name="Comma  - Style4 6 2" xfId="4750"/>
    <cellStyle name="Comma  - Style4 7" xfId="829"/>
    <cellStyle name="Comma  - Style4 7 2" xfId="4753"/>
    <cellStyle name="Comma  - Style4 8" xfId="830"/>
    <cellStyle name="Comma  - Style4 8 2" xfId="4756"/>
    <cellStyle name="Comma  - Style4 9" xfId="8006"/>
    <cellStyle name="Comma  - Style4_2015-16 MASTER CC ROAD &amp; DRAIN" xfId="8007"/>
    <cellStyle name="Comma  - Style5" xfId="836"/>
    <cellStyle name="Comma  - Style5 10" xfId="8008"/>
    <cellStyle name="Comma  - Style5 11" xfId="8009"/>
    <cellStyle name="Comma  - Style5 12" xfId="8010"/>
    <cellStyle name="Comma  - Style5 13" xfId="8011"/>
    <cellStyle name="Comma  - Style5 14" xfId="8012"/>
    <cellStyle name="Comma  - Style5 15" xfId="8013"/>
    <cellStyle name="Comma  - Style5 16" xfId="8014"/>
    <cellStyle name="Comma  - Style5 17" xfId="8015"/>
    <cellStyle name="Comma  - Style5 18" xfId="4762"/>
    <cellStyle name="Comma  - Style5 2" xfId="839"/>
    <cellStyle name="Comma  - Style5 2 2" xfId="4765"/>
    <cellStyle name="Comma  - Style5 3" xfId="117"/>
    <cellStyle name="Comma  - Style5 3 2" xfId="4060"/>
    <cellStyle name="Comma  - Style5 4" xfId="842"/>
    <cellStyle name="Comma  - Style5 4 2" xfId="8016"/>
    <cellStyle name="Comma  - Style5 4 3" xfId="4768"/>
    <cellStyle name="Comma  - Style5 5" xfId="845"/>
    <cellStyle name="Comma  - Style5 5 2" xfId="4771"/>
    <cellStyle name="Comma  - Style5 6" xfId="849"/>
    <cellStyle name="Comma  - Style5 6 2" xfId="4773"/>
    <cellStyle name="Comma  - Style5 7" xfId="465"/>
    <cellStyle name="Comma  - Style5 7 2" xfId="4403"/>
    <cellStyle name="Comma  - Style5 8" xfId="470"/>
    <cellStyle name="Comma  - Style5 8 2" xfId="4409"/>
    <cellStyle name="Comma  - Style5 9" xfId="8017"/>
    <cellStyle name="Comma  - Style5_2015-16 MASTER CC ROAD &amp; DRAIN" xfId="8018"/>
    <cellStyle name="Comma  - Style6" xfId="850"/>
    <cellStyle name="Comma  - Style6 10" xfId="8019"/>
    <cellStyle name="Comma  - Style6 11" xfId="8020"/>
    <cellStyle name="Comma  - Style6 12" xfId="8021"/>
    <cellStyle name="Comma  - Style6 13" xfId="8022"/>
    <cellStyle name="Comma  - Style6 14" xfId="8023"/>
    <cellStyle name="Comma  - Style6 15" xfId="8024"/>
    <cellStyle name="Comma  - Style6 16" xfId="8025"/>
    <cellStyle name="Comma  - Style6 17" xfId="8026"/>
    <cellStyle name="Comma  - Style6 18" xfId="4775"/>
    <cellStyle name="Comma  - Style6 2" xfId="854"/>
    <cellStyle name="Comma  - Style6 2 2" xfId="4778"/>
    <cellStyle name="Comma  - Style6 3" xfId="858"/>
    <cellStyle name="Comma  - Style6 3 2" xfId="4782"/>
    <cellStyle name="Comma  - Style6 4" xfId="861"/>
    <cellStyle name="Comma  - Style6 4 2" xfId="8027"/>
    <cellStyle name="Comma  - Style6 4 3" xfId="4786"/>
    <cellStyle name="Comma  - Style6 5" xfId="868"/>
    <cellStyle name="Comma  - Style6 5 2" xfId="4790"/>
    <cellStyle name="Comma  - Style6 6" xfId="873"/>
    <cellStyle name="Comma  - Style6 6 2" xfId="4796"/>
    <cellStyle name="Comma  - Style6 7" xfId="875"/>
    <cellStyle name="Comma  - Style6 7 2" xfId="4799"/>
    <cellStyle name="Comma  - Style6 8" xfId="98"/>
    <cellStyle name="Comma  - Style6 8 2" xfId="4157"/>
    <cellStyle name="Comma  - Style6 9" xfId="8028"/>
    <cellStyle name="Comma  - Style6_2015-16 MASTER CC ROAD &amp; DRAIN" xfId="8029"/>
    <cellStyle name="Comma  - Style7" xfId="325"/>
    <cellStyle name="Comma  - Style7 10" xfId="8030"/>
    <cellStyle name="Comma  - Style7 11" xfId="8031"/>
    <cellStyle name="Comma  - Style7 12" xfId="8032"/>
    <cellStyle name="Comma  - Style7 13" xfId="8033"/>
    <cellStyle name="Comma  - Style7 14" xfId="8034"/>
    <cellStyle name="Comma  - Style7 15" xfId="8035"/>
    <cellStyle name="Comma  - Style7 16" xfId="8036"/>
    <cellStyle name="Comma  - Style7 17" xfId="8037"/>
    <cellStyle name="Comma  - Style7 18" xfId="4274"/>
    <cellStyle name="Comma  - Style7 2" xfId="880"/>
    <cellStyle name="Comma  - Style7 2 2" xfId="4803"/>
    <cellStyle name="Comma  - Style7 3" xfId="881"/>
    <cellStyle name="Comma  - Style7 3 2" xfId="4804"/>
    <cellStyle name="Comma  - Style7 4" xfId="649"/>
    <cellStyle name="Comma  - Style7 4 2" xfId="8038"/>
    <cellStyle name="Comma  - Style7 4 3" xfId="4581"/>
    <cellStyle name="Comma  - Style7 5" xfId="883"/>
    <cellStyle name="Comma  - Style7 5 2" xfId="4805"/>
    <cellStyle name="Comma  - Style7 6" xfId="885"/>
    <cellStyle name="Comma  - Style7 6 2" xfId="4807"/>
    <cellStyle name="Comma  - Style7 7" xfId="886"/>
    <cellStyle name="Comma  - Style7 7 2" xfId="4809"/>
    <cellStyle name="Comma  - Style7 8" xfId="887"/>
    <cellStyle name="Comma  - Style7 8 2" xfId="4810"/>
    <cellStyle name="Comma  - Style7 9" xfId="8039"/>
    <cellStyle name="Comma  - Style7_2015-16 MASTER CC ROAD &amp; DRAIN" xfId="8040"/>
    <cellStyle name="Comma  - Style8" xfId="330"/>
    <cellStyle name="Comma  - Style8 10" xfId="8041"/>
    <cellStyle name="Comma  - Style8 11" xfId="8042"/>
    <cellStyle name="Comma  - Style8 12" xfId="8043"/>
    <cellStyle name="Comma  - Style8 13" xfId="8044"/>
    <cellStyle name="Comma  - Style8 14" xfId="8045"/>
    <cellStyle name="Comma  - Style8 15" xfId="8046"/>
    <cellStyle name="Comma  - Style8 16" xfId="8047"/>
    <cellStyle name="Comma  - Style8 17" xfId="8048"/>
    <cellStyle name="Comma  - Style8 18" xfId="4278"/>
    <cellStyle name="Comma  - Style8 2" xfId="889"/>
    <cellStyle name="Comma  - Style8 2 2" xfId="4812"/>
    <cellStyle name="Comma  - Style8 3" xfId="890"/>
    <cellStyle name="Comma  - Style8 3 2" xfId="4813"/>
    <cellStyle name="Comma  - Style8 4" xfId="891"/>
    <cellStyle name="Comma  - Style8 4 2" xfId="8049"/>
    <cellStyle name="Comma  - Style8 4 3" xfId="4814"/>
    <cellStyle name="Comma  - Style8 5" xfId="893"/>
    <cellStyle name="Comma  - Style8 5 2" xfId="4815"/>
    <cellStyle name="Comma  - Style8 6" xfId="896"/>
    <cellStyle name="Comma  - Style8 6 2" xfId="4817"/>
    <cellStyle name="Comma  - Style8 7" xfId="900"/>
    <cellStyle name="Comma  - Style8 7 2" xfId="4821"/>
    <cellStyle name="Comma  - Style8 8" xfId="902"/>
    <cellStyle name="Comma  - Style8 8 2" xfId="4823"/>
    <cellStyle name="Comma  - Style8 9" xfId="8050"/>
    <cellStyle name="Comma  - Style8_2015-16 MASTER CC ROAD &amp; DRAIN" xfId="8051"/>
    <cellStyle name="Comma 10" xfId="905"/>
    <cellStyle name="Comma 10 2" xfId="835"/>
    <cellStyle name="Comma 10 2 2" xfId="8052"/>
    <cellStyle name="Comma 10 2 3" xfId="4760"/>
    <cellStyle name="Comma 10 3" xfId="4829"/>
    <cellStyle name="Comma 11" xfId="916"/>
    <cellStyle name="Comma 11 2" xfId="8053"/>
    <cellStyle name="Comma 11 2 2" xfId="8054"/>
    <cellStyle name="Comma 11 3" xfId="4832"/>
    <cellStyle name="Comma 12" xfId="157"/>
    <cellStyle name="Comma 12 2" xfId="8055"/>
    <cellStyle name="Comma 12 2 2" xfId="8056"/>
    <cellStyle name="Comma 12 3" xfId="4169"/>
    <cellStyle name="Comma 13" xfId="619"/>
    <cellStyle name="Comma 13 2" xfId="8057"/>
    <cellStyle name="Comma 13 3" xfId="4553"/>
    <cellStyle name="Comma 14" xfId="921"/>
    <cellStyle name="Comma 14 2" xfId="8058"/>
    <cellStyle name="Comma 14 3" xfId="4842"/>
    <cellStyle name="Comma 15" xfId="923"/>
    <cellStyle name="Comma 15 2" xfId="8059"/>
    <cellStyle name="Comma 15 3" xfId="4845"/>
    <cellStyle name="Comma 16" xfId="926"/>
    <cellStyle name="Comma 16 2" xfId="8060"/>
    <cellStyle name="Comma 16 3" xfId="4849"/>
    <cellStyle name="Comma 17" xfId="929"/>
    <cellStyle name="Comma 17 2" xfId="4853"/>
    <cellStyle name="Comma 18" xfId="454"/>
    <cellStyle name="Comma 18 2" xfId="932"/>
    <cellStyle name="Comma 18 2 2" xfId="933"/>
    <cellStyle name="Comma 18 2 2 2" xfId="4855"/>
    <cellStyle name="Comma 18 2 3" xfId="4854"/>
    <cellStyle name="Comma 18 3" xfId="4395"/>
    <cellStyle name="Comma 19" xfId="457"/>
    <cellStyle name="Comma 19 2" xfId="4399"/>
    <cellStyle name="Comma 2" xfId="937"/>
    <cellStyle name="Comma 2 10" xfId="944"/>
    <cellStyle name="Comma 2 10 10" xfId="8061"/>
    <cellStyle name="Comma 2 10 11" xfId="8062"/>
    <cellStyle name="Comma 2 10 12" xfId="8063"/>
    <cellStyle name="Comma 2 10 13" xfId="8064"/>
    <cellStyle name="Comma 2 10 14" xfId="8065"/>
    <cellStyle name="Comma 2 10 15" xfId="8066"/>
    <cellStyle name="Comma 2 10 16" xfId="8067"/>
    <cellStyle name="Comma 2 10 17" xfId="8068"/>
    <cellStyle name="Comma 2 10 18" xfId="4865"/>
    <cellStyle name="Comma 2 10 2" xfId="948"/>
    <cellStyle name="Comma 2 10 2 2" xfId="4870"/>
    <cellStyle name="Comma 2 10 3" xfId="952"/>
    <cellStyle name="Comma 2 10 3 2" xfId="4874"/>
    <cellStyle name="Comma 2 10 4" xfId="955"/>
    <cellStyle name="Comma 2 10 4 2" xfId="4877"/>
    <cellStyle name="Comma 2 10 5" xfId="958"/>
    <cellStyle name="Comma 2 10 5 2" xfId="4881"/>
    <cellStyle name="Comma 2 10 6" xfId="504"/>
    <cellStyle name="Comma 2 10 6 2" xfId="4442"/>
    <cellStyle name="Comma 2 10 7" xfId="695"/>
    <cellStyle name="Comma 2 10 7 2" xfId="4624"/>
    <cellStyle name="Comma 2 10 8" xfId="961"/>
    <cellStyle name="Comma 2 10 8 2" xfId="4884"/>
    <cellStyle name="Comma 2 10 9" xfId="8069"/>
    <cellStyle name="Comma 2 11" xfId="968"/>
    <cellStyle name="Comma 2 11 10" xfId="8070"/>
    <cellStyle name="Comma 2 11 11" xfId="8071"/>
    <cellStyle name="Comma 2 11 12" xfId="8072"/>
    <cellStyle name="Comma 2 11 13" xfId="8073"/>
    <cellStyle name="Comma 2 11 14" xfId="8074"/>
    <cellStyle name="Comma 2 11 15" xfId="8075"/>
    <cellStyle name="Comma 2 11 16" xfId="8076"/>
    <cellStyle name="Comma 2 11 17" xfId="8077"/>
    <cellStyle name="Comma 2 11 18" xfId="4890"/>
    <cellStyle name="Comma 2 11 2" xfId="744"/>
    <cellStyle name="Comma 2 11 2 2" xfId="4670"/>
    <cellStyle name="Comma 2 11 3" xfId="687"/>
    <cellStyle name="Comma 2 11 3 2" xfId="4615"/>
    <cellStyle name="Comma 2 11 4" xfId="693"/>
    <cellStyle name="Comma 2 11 4 2" xfId="4621"/>
    <cellStyle name="Comma 2 11 5" xfId="971"/>
    <cellStyle name="Comma 2 11 5 2" xfId="4894"/>
    <cellStyle name="Comma 2 11 6" xfId="600"/>
    <cellStyle name="Comma 2 11 6 2" xfId="4532"/>
    <cellStyle name="Comma 2 11 7" xfId="976"/>
    <cellStyle name="Comma 2 11 7 2" xfId="4899"/>
    <cellStyle name="Comma 2 11 8" xfId="980"/>
    <cellStyle name="Comma 2 11 8 2" xfId="4902"/>
    <cellStyle name="Comma 2 11 9" xfId="8078"/>
    <cellStyle name="Comma 2 12" xfId="299"/>
    <cellStyle name="Comma 2 12 2" xfId="4240"/>
    <cellStyle name="Comma 2 13" xfId="132"/>
    <cellStyle name="Comma 2 13 2" xfId="4080"/>
    <cellStyle name="Comma 2 14" xfId="983"/>
    <cellStyle name="Comma 2 14 2" xfId="4904"/>
    <cellStyle name="Comma 2 15" xfId="985"/>
    <cellStyle name="Comma 2 15 2" xfId="4906"/>
    <cellStyle name="Comma 2 16" xfId="990"/>
    <cellStyle name="Comma 2 16 2" xfId="4911"/>
    <cellStyle name="Comma 2 17" xfId="993"/>
    <cellStyle name="Comma 2 17 2" xfId="4914"/>
    <cellStyle name="Comma 2 18" xfId="480"/>
    <cellStyle name="Comma 2 18 2" xfId="4417"/>
    <cellStyle name="Comma 2 19" xfId="8079"/>
    <cellStyle name="Comma 2 2" xfId="994"/>
    <cellStyle name="Comma 2 2 10" xfId="8080"/>
    <cellStyle name="Comma 2 2 11" xfId="8081"/>
    <cellStyle name="Comma 2 2 12" xfId="8082"/>
    <cellStyle name="Comma 2 2 13" xfId="8083"/>
    <cellStyle name="Comma 2 2 14" xfId="8084"/>
    <cellStyle name="Comma 2 2 15" xfId="8085"/>
    <cellStyle name="Comma 2 2 16" xfId="8086"/>
    <cellStyle name="Comma 2 2 17" xfId="8087"/>
    <cellStyle name="Comma 2 2 18" xfId="8088"/>
    <cellStyle name="Comma 2 2 19" xfId="4915"/>
    <cellStyle name="Comma 2 2 2" xfId="996"/>
    <cellStyle name="Comma 2 2 2 10" xfId="8089"/>
    <cellStyle name="Comma 2 2 2 11" xfId="8090"/>
    <cellStyle name="Comma 2 2 2 12" xfId="8091"/>
    <cellStyle name="Comma 2 2 2 13" xfId="8092"/>
    <cellStyle name="Comma 2 2 2 14" xfId="8093"/>
    <cellStyle name="Comma 2 2 2 15" xfId="8094"/>
    <cellStyle name="Comma 2 2 2 16" xfId="8095"/>
    <cellStyle name="Comma 2 2 2 17" xfId="8096"/>
    <cellStyle name="Comma 2 2 2 18" xfId="4919"/>
    <cellStyle name="Comma 2 2 2 2" xfId="537"/>
    <cellStyle name="Comma 2 2 2 2 2" xfId="4472"/>
    <cellStyle name="Comma 2 2 2 3" xfId="999"/>
    <cellStyle name="Comma 2 2 2 3 2" xfId="4921"/>
    <cellStyle name="Comma 2 2 2 4" xfId="1002"/>
    <cellStyle name="Comma 2 2 2 4 2" xfId="4923"/>
    <cellStyle name="Comma 2 2 2 5" xfId="1004"/>
    <cellStyle name="Comma 2 2 2 5 2" xfId="4925"/>
    <cellStyle name="Comma 2 2 2 6" xfId="523"/>
    <cellStyle name="Comma 2 2 2 6 2" xfId="4458"/>
    <cellStyle name="Comma 2 2 2 7" xfId="528"/>
    <cellStyle name="Comma 2 2 2 7 2" xfId="4461"/>
    <cellStyle name="Comma 2 2 2 8" xfId="1007"/>
    <cellStyle name="Comma 2 2 2 8 2" xfId="4928"/>
    <cellStyle name="Comma 2 2 2 9" xfId="8097"/>
    <cellStyle name="Comma 2 2 3" xfId="1008"/>
    <cellStyle name="Comma 2 2 3 2" xfId="4929"/>
    <cellStyle name="Comma 2 2 4" xfId="1010"/>
    <cellStyle name="Comma 2 2 4 2" xfId="4933"/>
    <cellStyle name="Comma 2 2 5" xfId="1014"/>
    <cellStyle name="Comma 2 2 5 2" xfId="4937"/>
    <cellStyle name="Comma 2 2 6" xfId="1017"/>
    <cellStyle name="Comma 2 2 6 2" xfId="4940"/>
    <cellStyle name="Comma 2 2 7" xfId="938"/>
    <cellStyle name="Comma 2 2 7 2" xfId="4861"/>
    <cellStyle name="Comma 2 2 8" xfId="963"/>
    <cellStyle name="Comma 2 2 8 2" xfId="4886"/>
    <cellStyle name="Comma 2 2 9" xfId="290"/>
    <cellStyle name="Comma 2 2 9 2" xfId="4246"/>
    <cellStyle name="Comma 2 20" xfId="8098"/>
    <cellStyle name="Comma 2 21" xfId="8099"/>
    <cellStyle name="Comma 2 22" xfId="8100"/>
    <cellStyle name="Comma 2 23" xfId="8101"/>
    <cellStyle name="Comma 2 24" xfId="8102"/>
    <cellStyle name="Comma 2 25" xfId="8103"/>
    <cellStyle name="Comma 2 26" xfId="8104"/>
    <cellStyle name="Comma 2 27" xfId="8105"/>
    <cellStyle name="Comma 2 28" xfId="4859"/>
    <cellStyle name="Comma 2 3" xfId="837"/>
    <cellStyle name="Comma 2 3 10" xfId="8106"/>
    <cellStyle name="Comma 2 3 11" xfId="8107"/>
    <cellStyle name="Comma 2 3 12" xfId="8108"/>
    <cellStyle name="Comma 2 3 13" xfId="8109"/>
    <cellStyle name="Comma 2 3 14" xfId="8110"/>
    <cellStyle name="Comma 2 3 15" xfId="8111"/>
    <cellStyle name="Comma 2 3 16" xfId="8112"/>
    <cellStyle name="Comma 2 3 17" xfId="8113"/>
    <cellStyle name="Comma 2 3 18" xfId="4764"/>
    <cellStyle name="Comma 2 3 2" xfId="1021"/>
    <cellStyle name="Comma 2 3 2 2" xfId="4942"/>
    <cellStyle name="Comma 2 3 3" xfId="367"/>
    <cellStyle name="Comma 2 3 3 2" xfId="4312"/>
    <cellStyle name="Comma 2 3 4" xfId="374"/>
    <cellStyle name="Comma 2 3 4 2" xfId="4320"/>
    <cellStyle name="Comma 2 3 5" xfId="1025"/>
    <cellStyle name="Comma 2 3 5 2" xfId="4946"/>
    <cellStyle name="Comma 2 3 6" xfId="561"/>
    <cellStyle name="Comma 2 3 6 2" xfId="4492"/>
    <cellStyle name="Comma 2 3 7" xfId="1028"/>
    <cellStyle name="Comma 2 3 7 2" xfId="4949"/>
    <cellStyle name="Comma 2 3 8" xfId="1031"/>
    <cellStyle name="Comma 2 3 8 2" xfId="4952"/>
    <cellStyle name="Comma 2 3 9" xfId="8114"/>
    <cellStyle name="Comma 2 4" xfId="115"/>
    <cellStyle name="Comma 2 4 10" xfId="8115"/>
    <cellStyle name="Comma 2 4 11" xfId="8116"/>
    <cellStyle name="Comma 2 4 12" xfId="8117"/>
    <cellStyle name="Comma 2 4 13" xfId="8118"/>
    <cellStyle name="Comma 2 4 14" xfId="8119"/>
    <cellStyle name="Comma 2 4 15" xfId="8120"/>
    <cellStyle name="Comma 2 4 16" xfId="8121"/>
    <cellStyle name="Comma 2 4 17" xfId="8122"/>
    <cellStyle name="Comma 2 4 18" xfId="4062"/>
    <cellStyle name="Comma 2 4 2" xfId="1036"/>
    <cellStyle name="Comma 2 4 2 2" xfId="4957"/>
    <cellStyle name="Comma 2 4 3" xfId="1039"/>
    <cellStyle name="Comma 2 4 3 2" xfId="4960"/>
    <cellStyle name="Comma 2 4 4" xfId="1043"/>
    <cellStyle name="Comma 2 4 4 2" xfId="4964"/>
    <cellStyle name="Comma 2 4 5" xfId="1048"/>
    <cellStyle name="Comma 2 4 5 2" xfId="4969"/>
    <cellStyle name="Comma 2 4 6" xfId="1053"/>
    <cellStyle name="Comma 2 4 6 2" xfId="4974"/>
    <cellStyle name="Comma 2 4 7" xfId="1056"/>
    <cellStyle name="Comma 2 4 7 2" xfId="4977"/>
    <cellStyle name="Comma 2 4 8" xfId="773"/>
    <cellStyle name="Comma 2 4 8 2" xfId="4699"/>
    <cellStyle name="Comma 2 4 9" xfId="8123"/>
    <cellStyle name="Comma 2 5" xfId="840"/>
    <cellStyle name="Comma 2 5 10" xfId="8124"/>
    <cellStyle name="Comma 2 5 11" xfId="8125"/>
    <cellStyle name="Comma 2 5 12" xfId="8126"/>
    <cellStyle name="Comma 2 5 13" xfId="8127"/>
    <cellStyle name="Comma 2 5 14" xfId="8128"/>
    <cellStyle name="Comma 2 5 15" xfId="8129"/>
    <cellStyle name="Comma 2 5 16" xfId="8130"/>
    <cellStyle name="Comma 2 5 17" xfId="8131"/>
    <cellStyle name="Comma 2 5 18" xfId="4767"/>
    <cellStyle name="Comma 2 5 2" xfId="1060"/>
    <cellStyle name="Comma 2 5 2 2" xfId="4981"/>
    <cellStyle name="Comma 2 5 3" xfId="9"/>
    <cellStyle name="Comma 2 5 3 2" xfId="3972"/>
    <cellStyle name="Comma 2 5 4" xfId="543"/>
    <cellStyle name="Comma 2 5 4 2" xfId="4475"/>
    <cellStyle name="Comma 2 5 5" xfId="550"/>
    <cellStyle name="Comma 2 5 5 2" xfId="4481"/>
    <cellStyle name="Comma 2 5 6" xfId="1065"/>
    <cellStyle name="Comma 2 5 6 2" xfId="4986"/>
    <cellStyle name="Comma 2 5 7" xfId="1067"/>
    <cellStyle name="Comma 2 5 7 2" xfId="4988"/>
    <cellStyle name="Comma 2 5 8" xfId="1070"/>
    <cellStyle name="Comma 2 5 8 2" xfId="4991"/>
    <cellStyle name="Comma 2 5 9" xfId="8132"/>
    <cellStyle name="Comma 2 6" xfId="843"/>
    <cellStyle name="Comma 2 6 10" xfId="8133"/>
    <cellStyle name="Comma 2 6 11" xfId="8134"/>
    <cellStyle name="Comma 2 6 12" xfId="8135"/>
    <cellStyle name="Comma 2 6 13" xfId="8136"/>
    <cellStyle name="Comma 2 6 14" xfId="8137"/>
    <cellStyle name="Comma 2 6 15" xfId="8138"/>
    <cellStyle name="Comma 2 6 16" xfId="8139"/>
    <cellStyle name="Comma 2 6 17" xfId="8140"/>
    <cellStyle name="Comma 2 6 18" xfId="4770"/>
    <cellStyle name="Comma 2 6 2" xfId="1073"/>
    <cellStyle name="Comma 2 6 2 2" xfId="4996"/>
    <cellStyle name="Comma 2 6 3" xfId="1079"/>
    <cellStyle name="Comma 2 6 3 2" xfId="5002"/>
    <cellStyle name="Comma 2 6 4" xfId="1085"/>
    <cellStyle name="Comma 2 6 4 2" xfId="5007"/>
    <cellStyle name="Comma 2 6 5" xfId="1090"/>
    <cellStyle name="Comma 2 6 5 2" xfId="5012"/>
    <cellStyle name="Comma 2 6 6" xfId="1095"/>
    <cellStyle name="Comma 2 6 6 2" xfId="5017"/>
    <cellStyle name="Comma 2 6 7" xfId="1099"/>
    <cellStyle name="Comma 2 6 7 2" xfId="5021"/>
    <cellStyle name="Comma 2 6 8" xfId="643"/>
    <cellStyle name="Comma 2 6 8 2" xfId="4577"/>
    <cellStyle name="Comma 2 6 9" xfId="8141"/>
    <cellStyle name="Comma 2 7" xfId="846"/>
    <cellStyle name="Comma 2 7 10" xfId="8142"/>
    <cellStyle name="Comma 2 7 11" xfId="8143"/>
    <cellStyle name="Comma 2 7 12" xfId="8144"/>
    <cellStyle name="Comma 2 7 13" xfId="8145"/>
    <cellStyle name="Comma 2 7 14" xfId="8146"/>
    <cellStyle name="Comma 2 7 15" xfId="8147"/>
    <cellStyle name="Comma 2 7 16" xfId="8148"/>
    <cellStyle name="Comma 2 7 17" xfId="8149"/>
    <cellStyle name="Comma 2 7 18" xfId="4772"/>
    <cellStyle name="Comma 2 7 2" xfId="711"/>
    <cellStyle name="Comma 2 7 2 2" xfId="4638"/>
    <cellStyle name="Comma 2 7 3" xfId="1105"/>
    <cellStyle name="Comma 2 7 3 2" xfId="5026"/>
    <cellStyle name="Comma 2 7 4" xfId="1107"/>
    <cellStyle name="Comma 2 7 4 2" xfId="5028"/>
    <cellStyle name="Comma 2 7 5" xfId="1113"/>
    <cellStyle name="Comma 2 7 5 2" xfId="5033"/>
    <cellStyle name="Comma 2 7 6" xfId="1119"/>
    <cellStyle name="Comma 2 7 6 2" xfId="5039"/>
    <cellStyle name="Comma 2 7 7" xfId="1125"/>
    <cellStyle name="Comma 2 7 7 2" xfId="5047"/>
    <cellStyle name="Comma 2 7 8" xfId="1129"/>
    <cellStyle name="Comma 2 7 8 2" xfId="5051"/>
    <cellStyle name="Comma 2 7 9" xfId="8150"/>
    <cellStyle name="Comma 2 8" xfId="464"/>
    <cellStyle name="Comma 2 8 10" xfId="8151"/>
    <cellStyle name="Comma 2 8 11" xfId="8152"/>
    <cellStyle name="Comma 2 8 12" xfId="8153"/>
    <cellStyle name="Comma 2 8 13" xfId="8154"/>
    <cellStyle name="Comma 2 8 14" xfId="8155"/>
    <cellStyle name="Comma 2 8 15" xfId="8156"/>
    <cellStyle name="Comma 2 8 16" xfId="8157"/>
    <cellStyle name="Comma 2 8 17" xfId="8158"/>
    <cellStyle name="Comma 2 8 18" xfId="4405"/>
    <cellStyle name="Comma 2 8 2" xfId="1133"/>
    <cellStyle name="Comma 2 8 2 2" xfId="5054"/>
    <cellStyle name="Comma 2 8 3" xfId="1135"/>
    <cellStyle name="Comma 2 8 3 2" xfId="5056"/>
    <cellStyle name="Comma 2 8 4" xfId="271"/>
    <cellStyle name="Comma 2 8 4 2" xfId="4222"/>
    <cellStyle name="Comma 2 8 5" xfId="278"/>
    <cellStyle name="Comma 2 8 5 2" xfId="4228"/>
    <cellStyle name="Comma 2 8 6" xfId="1140"/>
    <cellStyle name="Comma 2 8 6 2" xfId="5060"/>
    <cellStyle name="Comma 2 8 7" xfId="1142"/>
    <cellStyle name="Comma 2 8 7 2" xfId="5062"/>
    <cellStyle name="Comma 2 8 8" xfId="936"/>
    <cellStyle name="Comma 2 8 8 2" xfId="4858"/>
    <cellStyle name="Comma 2 8 9" xfId="8159"/>
    <cellStyle name="Comma 2 9" xfId="469"/>
    <cellStyle name="Comma 2 9 10" xfId="8160"/>
    <cellStyle name="Comma 2 9 11" xfId="8161"/>
    <cellStyle name="Comma 2 9 12" xfId="8162"/>
    <cellStyle name="Comma 2 9 13" xfId="8163"/>
    <cellStyle name="Comma 2 9 14" xfId="8164"/>
    <cellStyle name="Comma 2 9 15" xfId="8165"/>
    <cellStyle name="Comma 2 9 16" xfId="8166"/>
    <cellStyle name="Comma 2 9 17" xfId="8167"/>
    <cellStyle name="Comma 2 9 18" xfId="4406"/>
    <cellStyle name="Comma 2 9 2" xfId="1146"/>
    <cellStyle name="Comma 2 9 2 2" xfId="5067"/>
    <cellStyle name="Comma 2 9 3" xfId="109"/>
    <cellStyle name="Comma 2 9 3 2" xfId="4057"/>
    <cellStyle name="Comma 2 9 4" xfId="169"/>
    <cellStyle name="Comma 2 9 4 2" xfId="4102"/>
    <cellStyle name="Comma 2 9 5" xfId="186"/>
    <cellStyle name="Comma 2 9 5 2" xfId="4117"/>
    <cellStyle name="Comma 2 9 6" xfId="194"/>
    <cellStyle name="Comma 2 9 6 2" xfId="4128"/>
    <cellStyle name="Comma 2 9 7" xfId="148"/>
    <cellStyle name="Comma 2 9 7 2" xfId="4089"/>
    <cellStyle name="Comma 2 9 8" xfId="173"/>
    <cellStyle name="Comma 2 9 8 2" xfId="4103"/>
    <cellStyle name="Comma 2 9 9" xfId="8168"/>
    <cellStyle name="Comma 2_2bhk_19122016" xfId="8169"/>
    <cellStyle name="Comma 20" xfId="924"/>
    <cellStyle name="Comma 20 2" xfId="4844"/>
    <cellStyle name="Comma 21" xfId="927"/>
    <cellStyle name="Comma 21 2" xfId="4848"/>
    <cellStyle name="Comma 22" xfId="930"/>
    <cellStyle name="Comma 22 2" xfId="4852"/>
    <cellStyle name="Comma 23" xfId="455"/>
    <cellStyle name="Comma 23 2" xfId="4396"/>
    <cellStyle name="Comma 24" xfId="458"/>
    <cellStyle name="Comma 24 2" xfId="4400"/>
    <cellStyle name="Comma 25" xfId="654"/>
    <cellStyle name="Comma 25 2" xfId="4586"/>
    <cellStyle name="Comma 26" xfId="420"/>
    <cellStyle name="Comma 26 2" xfId="4364"/>
    <cellStyle name="Comma 27" xfId="431"/>
    <cellStyle name="Comma 27 2" xfId="4374"/>
    <cellStyle name="Comma 28" xfId="565"/>
    <cellStyle name="Comma 28 2" xfId="4495"/>
    <cellStyle name="Comma 29" xfId="1151"/>
    <cellStyle name="Comma 29 10" xfId="8170"/>
    <cellStyle name="Comma 29 11" xfId="8171"/>
    <cellStyle name="Comma 29 12" xfId="8172"/>
    <cellStyle name="Comma 29 13" xfId="5074"/>
    <cellStyle name="Comma 29 2" xfId="1156"/>
    <cellStyle name="Comma 29 2 10" xfId="8173"/>
    <cellStyle name="Comma 29 2 11" xfId="5075"/>
    <cellStyle name="Comma 29 2 2" xfId="8174"/>
    <cellStyle name="Comma 29 2 3" xfId="8175"/>
    <cellStyle name="Comma 29 2 4" xfId="8176"/>
    <cellStyle name="Comma 29 2 5" xfId="8177"/>
    <cellStyle name="Comma 29 2 6" xfId="8178"/>
    <cellStyle name="Comma 29 2 7" xfId="8179"/>
    <cellStyle name="Comma 29 2 8" xfId="8180"/>
    <cellStyle name="Comma 29 2 9" xfId="8181"/>
    <cellStyle name="Comma 29 3" xfId="1159"/>
    <cellStyle name="Comma 29 3 10" xfId="8182"/>
    <cellStyle name="Comma 29 3 11" xfId="5078"/>
    <cellStyle name="Comma 29 3 2" xfId="8183"/>
    <cellStyle name="Comma 29 3 3" xfId="8184"/>
    <cellStyle name="Comma 29 3 4" xfId="8185"/>
    <cellStyle name="Comma 29 3 5" xfId="8186"/>
    <cellStyle name="Comma 29 3 6" xfId="8187"/>
    <cellStyle name="Comma 29 3 7" xfId="8188"/>
    <cellStyle name="Comma 29 3 8" xfId="8189"/>
    <cellStyle name="Comma 29 3 9" xfId="8190"/>
    <cellStyle name="Comma 29 4" xfId="8191"/>
    <cellStyle name="Comma 29 5" xfId="8192"/>
    <cellStyle name="Comma 29 6" xfId="8193"/>
    <cellStyle name="Comma 29 7" xfId="8194"/>
    <cellStyle name="Comma 29 8" xfId="8195"/>
    <cellStyle name="Comma 29 9" xfId="8196"/>
    <cellStyle name="Comma 3" xfId="1160"/>
    <cellStyle name="Comma 3 10" xfId="1123"/>
    <cellStyle name="Comma 3 10 10" xfId="8197"/>
    <cellStyle name="Comma 3 10 11" xfId="8198"/>
    <cellStyle name="Comma 3 10 12" xfId="8199"/>
    <cellStyle name="Comma 3 10 13" xfId="8200"/>
    <cellStyle name="Comma 3 10 14" xfId="8201"/>
    <cellStyle name="Comma 3 10 15" xfId="8202"/>
    <cellStyle name="Comma 3 10 16" xfId="8203"/>
    <cellStyle name="Comma 3 10 17" xfId="8204"/>
    <cellStyle name="Comma 3 10 18" xfId="5042"/>
    <cellStyle name="Comma 3 10 2" xfId="1162"/>
    <cellStyle name="Comma 3 10 2 2" xfId="5083"/>
    <cellStyle name="Comma 3 10 3" xfId="1167"/>
    <cellStyle name="Comma 3 10 3 2" xfId="5088"/>
    <cellStyle name="Comma 3 10 4" xfId="704"/>
    <cellStyle name="Comma 3 10 4 2" xfId="4631"/>
    <cellStyle name="Comma 3 10 5" xfId="707"/>
    <cellStyle name="Comma 3 10 5 2" xfId="4634"/>
    <cellStyle name="Comma 3 10 6" xfId="630"/>
    <cellStyle name="Comma 3 10 6 2" xfId="4562"/>
    <cellStyle name="Comma 3 10 7" xfId="633"/>
    <cellStyle name="Comma 3 10 7 2" xfId="4566"/>
    <cellStyle name="Comma 3 10 8" xfId="1170"/>
    <cellStyle name="Comma 3 10 8 2" xfId="5091"/>
    <cellStyle name="Comma 3 10 9" xfId="8205"/>
    <cellStyle name="Comma 3 11" xfId="8206"/>
    <cellStyle name="Comma 3 12" xfId="8207"/>
    <cellStyle name="Comma 3 13" xfId="5081"/>
    <cellStyle name="Comma 3 2" xfId="1171"/>
    <cellStyle name="Comma 3 2 10" xfId="8208"/>
    <cellStyle name="Comma 3 2 11" xfId="8209"/>
    <cellStyle name="Comma 3 2 12" xfId="8210"/>
    <cellStyle name="Comma 3 2 13" xfId="8211"/>
    <cellStyle name="Comma 3 2 14" xfId="8212"/>
    <cellStyle name="Comma 3 2 15" xfId="8213"/>
    <cellStyle name="Comma 3 2 16" xfId="8214"/>
    <cellStyle name="Comma 3 2 17" xfId="8215"/>
    <cellStyle name="Comma 3 2 18" xfId="5092"/>
    <cellStyle name="Comma 3 2 2" xfId="1173"/>
    <cellStyle name="Comma 3 2 2 2" xfId="5094"/>
    <cellStyle name="Comma 3 2 3" xfId="1174"/>
    <cellStyle name="Comma 3 2 3 2" xfId="5095"/>
    <cellStyle name="Comma 3 2 4" xfId="1176"/>
    <cellStyle name="Comma 3 2 4 2" xfId="5098"/>
    <cellStyle name="Comma 3 2 5" xfId="1180"/>
    <cellStyle name="Comma 3 2 5 2" xfId="5102"/>
    <cellStyle name="Comma 3 2 6" xfId="1182"/>
    <cellStyle name="Comma 3 2 6 2" xfId="5104"/>
    <cellStyle name="Comma 3 2 7" xfId="103"/>
    <cellStyle name="Comma 3 2 7 2" xfId="4049"/>
    <cellStyle name="Comma 3 2 8" xfId="568"/>
    <cellStyle name="Comma 3 2 8 2" xfId="4502"/>
    <cellStyle name="Comma 3 2 9" xfId="8216"/>
    <cellStyle name="Comma 3 2_Rukmapur (CPD)-wk" xfId="1184"/>
    <cellStyle name="Comma 3 3" xfId="851"/>
    <cellStyle name="Comma 3 3 10" xfId="8217"/>
    <cellStyle name="Comma 3 3 11" xfId="8218"/>
    <cellStyle name="Comma 3 3 12" xfId="8219"/>
    <cellStyle name="Comma 3 3 13" xfId="8220"/>
    <cellStyle name="Comma 3 3 14" xfId="8221"/>
    <cellStyle name="Comma 3 3 15" xfId="8222"/>
    <cellStyle name="Comma 3 3 16" xfId="8223"/>
    <cellStyle name="Comma 3 3 17" xfId="8224"/>
    <cellStyle name="Comma 3 3 18" xfId="4777"/>
    <cellStyle name="Comma 3 3 2" xfId="1187"/>
    <cellStyle name="Comma 3 3 2 2" xfId="5108"/>
    <cellStyle name="Comma 3 3 3" xfId="392"/>
    <cellStyle name="Comma 3 3 3 2" xfId="4340"/>
    <cellStyle name="Comma 3 3 4" xfId="403"/>
    <cellStyle name="Comma 3 3 4 2" xfId="4351"/>
    <cellStyle name="Comma 3 3 5" xfId="1192"/>
    <cellStyle name="Comma 3 3 5 2" xfId="5113"/>
    <cellStyle name="Comma 3 3 6" xfId="1196"/>
    <cellStyle name="Comma 3 3 6 2" xfId="5117"/>
    <cellStyle name="Comma 3 3 7" xfId="1203"/>
    <cellStyle name="Comma 3 3 7 2" xfId="5123"/>
    <cellStyle name="Comma 3 3 8" xfId="638"/>
    <cellStyle name="Comma 3 3 8 2" xfId="4571"/>
    <cellStyle name="Comma 3 3 9" xfId="8225"/>
    <cellStyle name="Comma 3 4" xfId="855"/>
    <cellStyle name="Comma 3 4 10" xfId="8226"/>
    <cellStyle name="Comma 3 4 11" xfId="8227"/>
    <cellStyle name="Comma 3 4 12" xfId="8228"/>
    <cellStyle name="Comma 3 4 13" xfId="8229"/>
    <cellStyle name="Comma 3 4 14" xfId="8230"/>
    <cellStyle name="Comma 3 4 15" xfId="8231"/>
    <cellStyle name="Comma 3 4 16" xfId="8232"/>
    <cellStyle name="Comma 3 4 17" xfId="8233"/>
    <cellStyle name="Comma 3 4 18" xfId="4781"/>
    <cellStyle name="Comma 3 4 2" xfId="1209"/>
    <cellStyle name="Comma 3 4 2 2" xfId="5129"/>
    <cellStyle name="Comma 3 4 3" xfId="142"/>
    <cellStyle name="Comma 3 4 3 2" xfId="4084"/>
    <cellStyle name="Comma 3 4 4" xfId="165"/>
    <cellStyle name="Comma 3 4 4 2" xfId="4098"/>
    <cellStyle name="Comma 3 4 5" xfId="179"/>
    <cellStyle name="Comma 3 4 5 2" xfId="4113"/>
    <cellStyle name="Comma 3 4 6" xfId="189"/>
    <cellStyle name="Comma 3 4 6 2" xfId="4120"/>
    <cellStyle name="Comma 3 4 7" xfId="208"/>
    <cellStyle name="Comma 3 4 7 2" xfId="4134"/>
    <cellStyle name="Comma 3 4 8" xfId="216"/>
    <cellStyle name="Comma 3 4 8 2" xfId="4143"/>
    <cellStyle name="Comma 3 4 9" xfId="8234"/>
    <cellStyle name="Comma 3 5" xfId="859"/>
    <cellStyle name="Comma 3 5 10" xfId="8235"/>
    <cellStyle name="Comma 3 5 11" xfId="8236"/>
    <cellStyle name="Comma 3 5 12" xfId="8237"/>
    <cellStyle name="Comma 3 5 13" xfId="8238"/>
    <cellStyle name="Comma 3 5 14" xfId="8239"/>
    <cellStyle name="Comma 3 5 15" xfId="8240"/>
    <cellStyle name="Comma 3 5 16" xfId="8241"/>
    <cellStyle name="Comma 3 5 17" xfId="8242"/>
    <cellStyle name="Comma 3 5 18" xfId="4785"/>
    <cellStyle name="Comma 3 5 2" xfId="1211"/>
    <cellStyle name="Comma 3 5 2 2" xfId="5131"/>
    <cellStyle name="Comma 3 5 3" xfId="1212"/>
    <cellStyle name="Comma 3 5 3 2" xfId="5132"/>
    <cellStyle name="Comma 3 5 4" xfId="1215"/>
    <cellStyle name="Comma 3 5 4 2" xfId="5135"/>
    <cellStyle name="Comma 3 5 5" xfId="1218"/>
    <cellStyle name="Comma 3 5 5 2" xfId="5138"/>
    <cellStyle name="Comma 3 5 6" xfId="1219"/>
    <cellStyle name="Comma 3 5 6 2" xfId="5139"/>
    <cellStyle name="Comma 3 5 7" xfId="792"/>
    <cellStyle name="Comma 3 5 7 2" xfId="4720"/>
    <cellStyle name="Comma 3 5 8" xfId="578"/>
    <cellStyle name="Comma 3 5 8 2" xfId="4512"/>
    <cellStyle name="Comma 3 5 9" xfId="8243"/>
    <cellStyle name="Comma 3 6" xfId="863"/>
    <cellStyle name="Comma 3 6 10" xfId="8244"/>
    <cellStyle name="Comma 3 6 11" xfId="8245"/>
    <cellStyle name="Comma 3 6 12" xfId="8246"/>
    <cellStyle name="Comma 3 6 13" xfId="8247"/>
    <cellStyle name="Comma 3 6 14" xfId="8248"/>
    <cellStyle name="Comma 3 6 15" xfId="8249"/>
    <cellStyle name="Comma 3 6 16" xfId="8250"/>
    <cellStyle name="Comma 3 6 17" xfId="8251"/>
    <cellStyle name="Comma 3 6 18" xfId="4788"/>
    <cellStyle name="Comma 3 6 2" xfId="203"/>
    <cellStyle name="Comma 3 6 2 2" xfId="4177"/>
    <cellStyle name="Comma 3 6 3" xfId="1223"/>
    <cellStyle name="Comma 3 6 3 2" xfId="5143"/>
    <cellStyle name="Comma 3 6 4" xfId="949"/>
    <cellStyle name="Comma 3 6 4 2" xfId="4869"/>
    <cellStyle name="Comma 3 6 5" xfId="953"/>
    <cellStyle name="Comma 3 6 5 2" xfId="4873"/>
    <cellStyle name="Comma 3 6 6" xfId="956"/>
    <cellStyle name="Comma 3 6 6 2" xfId="4876"/>
    <cellStyle name="Comma 3 6 7" xfId="959"/>
    <cellStyle name="Comma 3 6 7 2" xfId="4880"/>
    <cellStyle name="Comma 3 6 8" xfId="505"/>
    <cellStyle name="Comma 3 6 8 2" xfId="4441"/>
    <cellStyle name="Comma 3 6 9" xfId="8252"/>
    <cellStyle name="Comma 3 7" xfId="869"/>
    <cellStyle name="Comma 3 7 10" xfId="8253"/>
    <cellStyle name="Comma 3 7 11" xfId="8254"/>
    <cellStyle name="Comma 3 7 12" xfId="8255"/>
    <cellStyle name="Comma 3 7 13" xfId="8256"/>
    <cellStyle name="Comma 3 7 14" xfId="8257"/>
    <cellStyle name="Comma 3 7 15" xfId="8258"/>
    <cellStyle name="Comma 3 7 16" xfId="8259"/>
    <cellStyle name="Comma 3 7 17" xfId="8260"/>
    <cellStyle name="Comma 3 7 18" xfId="4794"/>
    <cellStyle name="Comma 3 7 2" xfId="1227"/>
    <cellStyle name="Comma 3 7 2 2" xfId="5145"/>
    <cellStyle name="Comma 3 7 3" xfId="735"/>
    <cellStyle name="Comma 3 7 3 2" xfId="4660"/>
    <cellStyle name="Comma 3 7 4" xfId="745"/>
    <cellStyle name="Comma 3 7 4 2" xfId="4669"/>
    <cellStyle name="Comma 3 7 5" xfId="688"/>
    <cellStyle name="Comma 3 7 5 2" xfId="4614"/>
    <cellStyle name="Comma 3 7 6" xfId="694"/>
    <cellStyle name="Comma 3 7 6 2" xfId="4620"/>
    <cellStyle name="Comma 3 7 7" xfId="972"/>
    <cellStyle name="Comma 3 7 7 2" xfId="4893"/>
    <cellStyle name="Comma 3 7 8" xfId="601"/>
    <cellStyle name="Comma 3 7 8 2" xfId="4531"/>
    <cellStyle name="Comma 3 7 9" xfId="8261"/>
    <cellStyle name="Comma 3 8" xfId="874"/>
    <cellStyle name="Comma 3 8 10" xfId="8262"/>
    <cellStyle name="Comma 3 8 11" xfId="8263"/>
    <cellStyle name="Comma 3 8 12" xfId="8264"/>
    <cellStyle name="Comma 3 8 13" xfId="8265"/>
    <cellStyle name="Comma 3 8 14" xfId="8266"/>
    <cellStyle name="Comma 3 8 15" xfId="8267"/>
    <cellStyle name="Comma 3 8 16" xfId="8268"/>
    <cellStyle name="Comma 3 8 17" xfId="8269"/>
    <cellStyle name="Comma 3 8 18" xfId="4798"/>
    <cellStyle name="Comma 3 8 2" xfId="283"/>
    <cellStyle name="Comma 3 8 2 2" xfId="4231"/>
    <cellStyle name="Comma 3 8 3" xfId="1229"/>
    <cellStyle name="Comma 3 8 3 2" xfId="5149"/>
    <cellStyle name="Comma 3 8 4" xfId="302"/>
    <cellStyle name="Comma 3 8 4 2" xfId="4253"/>
    <cellStyle name="Comma 3 8 5" xfId="308"/>
    <cellStyle name="Comma 3 8 5 2" xfId="4261"/>
    <cellStyle name="Comma 3 8 6" xfId="785"/>
    <cellStyle name="Comma 3 8 6 2" xfId="4710"/>
    <cellStyle name="Comma 3 8 7" xfId="1164"/>
    <cellStyle name="Comma 3 8 7 2" xfId="5085"/>
    <cellStyle name="Comma 3 8 8" xfId="1168"/>
    <cellStyle name="Comma 3 8 8 2" xfId="5089"/>
    <cellStyle name="Comma 3 8 9" xfId="8270"/>
    <cellStyle name="Comma 3 9" xfId="95"/>
    <cellStyle name="Comma 3 9 10" xfId="8271"/>
    <cellStyle name="Comma 3 9 11" xfId="8272"/>
    <cellStyle name="Comma 3 9 12" xfId="8273"/>
    <cellStyle name="Comma 3 9 13" xfId="8274"/>
    <cellStyle name="Comma 3 9 14" xfId="8275"/>
    <cellStyle name="Comma 3 9 15" xfId="8276"/>
    <cellStyle name="Comma 3 9 16" xfId="8277"/>
    <cellStyle name="Comma 3 9 17" xfId="8278"/>
    <cellStyle name="Comma 3 9 18" xfId="4162"/>
    <cellStyle name="Comma 3 9 2" xfId="1232"/>
    <cellStyle name="Comma 3 9 2 2" xfId="5152"/>
    <cellStyle name="Comma 3 9 3" xfId="1237"/>
    <cellStyle name="Comma 3 9 3 2" xfId="5157"/>
    <cellStyle name="Comma 3 9 4" xfId="1242"/>
    <cellStyle name="Comma 3 9 4 2" xfId="5162"/>
    <cellStyle name="Comma 3 9 5" xfId="907"/>
    <cellStyle name="Comma 3 9 5 2" xfId="4827"/>
    <cellStyle name="Comma 3 9 6" xfId="912"/>
    <cellStyle name="Comma 3 9 6 2" xfId="4836"/>
    <cellStyle name="Comma 3 9 7" xfId="160"/>
    <cellStyle name="Comma 3 9 7 2" xfId="4172"/>
    <cellStyle name="Comma 3 9 8" xfId="621"/>
    <cellStyle name="Comma 3 9 8 2" xfId="4548"/>
    <cellStyle name="Comma 3 9 9" xfId="8279"/>
    <cellStyle name="Comma 3_Bandalingampally (Ypet-wd)" xfId="898"/>
    <cellStyle name="Comma 30" xfId="655"/>
    <cellStyle name="Comma 30 2" xfId="4585"/>
    <cellStyle name="Comma 31" xfId="8280"/>
    <cellStyle name="Comma 32" xfId="3966"/>
    <cellStyle name="Comma 4" xfId="1245"/>
    <cellStyle name="Comma 4 10" xfId="1248"/>
    <cellStyle name="Comma 4 10 2" xfId="5166"/>
    <cellStyle name="Comma 4 11" xfId="1251"/>
    <cellStyle name="Comma 4 11 2" xfId="5169"/>
    <cellStyle name="Comma 4 12" xfId="8281"/>
    <cellStyle name="Comma 4 13" xfId="8282"/>
    <cellStyle name="Comma 4 14" xfId="5165"/>
    <cellStyle name="Comma 4 2" xfId="1253"/>
    <cellStyle name="Comma 4 2 2" xfId="494"/>
    <cellStyle name="Comma 4 2 2 2" xfId="8283"/>
    <cellStyle name="Comma 4 2 2 3" xfId="4431"/>
    <cellStyle name="Comma 4 2 3" xfId="1255"/>
    <cellStyle name="Comma 4 2 3 2" xfId="5175"/>
    <cellStyle name="Comma 4 2 4" xfId="5173"/>
    <cellStyle name="Comma 4 3" xfId="877"/>
    <cellStyle name="Comma 4 3 10" xfId="8284"/>
    <cellStyle name="Comma 4 3 11" xfId="8285"/>
    <cellStyle name="Comma 4 3 12" xfId="8286"/>
    <cellStyle name="Comma 4 3 13" xfId="8287"/>
    <cellStyle name="Comma 4 3 14" xfId="8288"/>
    <cellStyle name="Comma 4 3 15" xfId="8289"/>
    <cellStyle name="Comma 4 3 16" xfId="8290"/>
    <cellStyle name="Comma 4 3 17" xfId="8291"/>
    <cellStyle name="Comma 4 3 18" xfId="4801"/>
    <cellStyle name="Comma 4 3 2" xfId="1257"/>
    <cellStyle name="Comma 4 3 2 2" xfId="5177"/>
    <cellStyle name="Comma 4 3 3" xfId="1259"/>
    <cellStyle name="Comma 4 3 3 2" xfId="5179"/>
    <cellStyle name="Comma 4 3 4" xfId="1262"/>
    <cellStyle name="Comma 4 3 4 2" xfId="5182"/>
    <cellStyle name="Comma 4 3 5" xfId="680"/>
    <cellStyle name="Comma 4 3 5 2" xfId="4608"/>
    <cellStyle name="Comma 4 3 6" xfId="1265"/>
    <cellStyle name="Comma 4 3 6 2" xfId="5185"/>
    <cellStyle name="Comma 4 3 7" xfId="1268"/>
    <cellStyle name="Comma 4 3 7 2" xfId="5188"/>
    <cellStyle name="Comma 4 3 8" xfId="1270"/>
    <cellStyle name="Comma 4 3 8 2" xfId="5190"/>
    <cellStyle name="Comma 4 3 9" xfId="8292"/>
    <cellStyle name="Comma 4 4" xfId="1272"/>
    <cellStyle name="Comma 4 4 2" xfId="5192"/>
    <cellStyle name="Comma 4 5" xfId="650"/>
    <cellStyle name="Comma 4 5 2" xfId="4584"/>
    <cellStyle name="Comma 4 6" xfId="1274"/>
    <cellStyle name="Comma 4 6 2" xfId="8293"/>
    <cellStyle name="Comma 4 6 3" xfId="5194"/>
    <cellStyle name="Comma 4 7" xfId="1276"/>
    <cellStyle name="Comma 4 7 2" xfId="5196"/>
    <cellStyle name="Comma 4 8" xfId="1277"/>
    <cellStyle name="Comma 4 8 2" xfId="5197"/>
    <cellStyle name="Comma 4 9" xfId="1279"/>
    <cellStyle name="Comma 4 9 2" xfId="5199"/>
    <cellStyle name="Comma 4_Book1" xfId="8294"/>
    <cellStyle name="Comma 5" xfId="1280"/>
    <cellStyle name="Comma 5 10" xfId="1283"/>
    <cellStyle name="Comma 5 10 10" xfId="8295"/>
    <cellStyle name="Comma 5 10 11" xfId="8296"/>
    <cellStyle name="Comma 5 10 12" xfId="8297"/>
    <cellStyle name="Comma 5 10 13" xfId="8298"/>
    <cellStyle name="Comma 5 10 14" xfId="8299"/>
    <cellStyle name="Comma 5 10 15" xfId="8300"/>
    <cellStyle name="Comma 5 10 16" xfId="8301"/>
    <cellStyle name="Comma 5 10 17" xfId="8302"/>
    <cellStyle name="Comma 5 10 18" xfId="5203"/>
    <cellStyle name="Comma 5 10 2" xfId="334"/>
    <cellStyle name="Comma 5 10 2 2" xfId="4279"/>
    <cellStyle name="Comma 5 10 3" xfId="1285"/>
    <cellStyle name="Comma 5 10 3 2" xfId="5205"/>
    <cellStyle name="Comma 5 10 4" xfId="1287"/>
    <cellStyle name="Comma 5 10 4 2" xfId="5207"/>
    <cellStyle name="Comma 5 10 5" xfId="452"/>
    <cellStyle name="Comma 5 10 5 2" xfId="4392"/>
    <cellStyle name="Comma 5 10 6" xfId="412"/>
    <cellStyle name="Comma 5 10 6 2" xfId="4353"/>
    <cellStyle name="Comma 5 10 7" xfId="1289"/>
    <cellStyle name="Comma 5 10 7 2" xfId="5209"/>
    <cellStyle name="Comma 5 10 8" xfId="1282"/>
    <cellStyle name="Comma 5 10 8 2" xfId="5202"/>
    <cellStyle name="Comma 5 10 9" xfId="8303"/>
    <cellStyle name="Comma 5 11" xfId="1291"/>
    <cellStyle name="Comma 5 11 2" xfId="5211"/>
    <cellStyle name="Comma 5 12" xfId="16"/>
    <cellStyle name="Comma 5 12 2" xfId="3977"/>
    <cellStyle name="Comma 5 13" xfId="816"/>
    <cellStyle name="Comma 5 13 2" xfId="4742"/>
    <cellStyle name="Comma 5 14" xfId="819"/>
    <cellStyle name="Comma 5 14 2" xfId="4745"/>
    <cellStyle name="Comma 5 15" xfId="822"/>
    <cellStyle name="Comma 5 15 2" xfId="4748"/>
    <cellStyle name="Comma 5 16" xfId="825"/>
    <cellStyle name="Comma 5 16 2" xfId="4751"/>
    <cellStyle name="Comma 5 17" xfId="828"/>
    <cellStyle name="Comma 5 17 2" xfId="4754"/>
    <cellStyle name="Comma 5 18" xfId="8304"/>
    <cellStyle name="Comma 5 19" xfId="8305"/>
    <cellStyle name="Comma 5 2" xfId="1294"/>
    <cellStyle name="Comma 5 2 10" xfId="8306"/>
    <cellStyle name="Comma 5 2 11" xfId="8307"/>
    <cellStyle name="Comma 5 2 12" xfId="8308"/>
    <cellStyle name="Comma 5 2 13" xfId="8309"/>
    <cellStyle name="Comma 5 2 14" xfId="8310"/>
    <cellStyle name="Comma 5 2 15" xfId="8311"/>
    <cellStyle name="Comma 5 2 16" xfId="8312"/>
    <cellStyle name="Comma 5 2 17" xfId="8313"/>
    <cellStyle name="Comma 5 2 18" xfId="5214"/>
    <cellStyle name="Comma 5 2 2" xfId="63"/>
    <cellStyle name="Comma 5 2 2 2" xfId="4015"/>
    <cellStyle name="Comma 5 2 3" xfId="57"/>
    <cellStyle name="Comma 5 2 3 2" xfId="4009"/>
    <cellStyle name="Comma 5 2 4" xfId="207"/>
    <cellStyle name="Comma 5 2 4 2" xfId="4132"/>
    <cellStyle name="Comma 5 2 5" xfId="213"/>
    <cellStyle name="Comma 5 2 5 2" xfId="4138"/>
    <cellStyle name="Comma 5 2 6" xfId="221"/>
    <cellStyle name="Comma 5 2 6 2" xfId="4146"/>
    <cellStyle name="Comma 5 2 7" xfId="1296"/>
    <cellStyle name="Comma 5 2 7 2" xfId="5216"/>
    <cellStyle name="Comma 5 2 8" xfId="1298"/>
    <cellStyle name="Comma 5 2 8 2" xfId="5218"/>
    <cellStyle name="Comma 5 2 9" xfId="8314"/>
    <cellStyle name="Comma 5 20" xfId="8315"/>
    <cellStyle name="Comma 5 21" xfId="8316"/>
    <cellStyle name="Comma 5 22" xfId="8317"/>
    <cellStyle name="Comma 5 23" xfId="8318"/>
    <cellStyle name="Comma 5 24" xfId="8319"/>
    <cellStyle name="Comma 5 25" xfId="8320"/>
    <cellStyle name="Comma 5 26" xfId="8321"/>
    <cellStyle name="Comma 5 27" xfId="5200"/>
    <cellStyle name="Comma 5 3" xfId="1301"/>
    <cellStyle name="Comma 5 3 10" xfId="8322"/>
    <cellStyle name="Comma 5 3 11" xfId="8323"/>
    <cellStyle name="Comma 5 3 12" xfId="8324"/>
    <cellStyle name="Comma 5 3 13" xfId="8325"/>
    <cellStyle name="Comma 5 3 14" xfId="8326"/>
    <cellStyle name="Comma 5 3 15" xfId="8327"/>
    <cellStyle name="Comma 5 3 16" xfId="8328"/>
    <cellStyle name="Comma 5 3 17" xfId="8329"/>
    <cellStyle name="Comma 5 3 18" xfId="5221"/>
    <cellStyle name="Comma 5 3 2" xfId="1304"/>
    <cellStyle name="Comma 5 3 2 2" xfId="5224"/>
    <cellStyle name="Comma 5 3 3" xfId="1306"/>
    <cellStyle name="Comma 5 3 3 2" xfId="5226"/>
    <cellStyle name="Comma 5 3 4" xfId="1309"/>
    <cellStyle name="Comma 5 3 4 2" xfId="5229"/>
    <cellStyle name="Comma 5 3 5" xfId="1312"/>
    <cellStyle name="Comma 5 3 5 2" xfId="5232"/>
    <cellStyle name="Comma 5 3 6" xfId="1314"/>
    <cellStyle name="Comma 5 3 6 2" xfId="5234"/>
    <cellStyle name="Comma 5 3 7" xfId="1316"/>
    <cellStyle name="Comma 5 3 7 2" xfId="5236"/>
    <cellStyle name="Comma 5 3 8" xfId="1319"/>
    <cellStyle name="Comma 5 3 8 2" xfId="5239"/>
    <cellStyle name="Comma 5 3 9" xfId="8330"/>
    <cellStyle name="Comma 5 4" xfId="1322"/>
    <cellStyle name="Comma 5 4 10" xfId="8331"/>
    <cellStyle name="Comma 5 4 11" xfId="8332"/>
    <cellStyle name="Comma 5 4 12" xfId="8333"/>
    <cellStyle name="Comma 5 4 13" xfId="8334"/>
    <cellStyle name="Comma 5 4 14" xfId="8335"/>
    <cellStyle name="Comma 5 4 15" xfId="8336"/>
    <cellStyle name="Comma 5 4 16" xfId="8337"/>
    <cellStyle name="Comma 5 4 17" xfId="8338"/>
    <cellStyle name="Comma 5 4 18" xfId="5242"/>
    <cellStyle name="Comma 5 4 2" xfId="1327"/>
    <cellStyle name="Comma 5 4 2 2" xfId="5246"/>
    <cellStyle name="Comma 5 4 3" xfId="1330"/>
    <cellStyle name="Comma 5 4 3 2" xfId="5249"/>
    <cellStyle name="Comma 5 4 4" xfId="1334"/>
    <cellStyle name="Comma 5 4 4 2" xfId="5253"/>
    <cellStyle name="Comma 5 4 5" xfId="1339"/>
    <cellStyle name="Comma 5 4 5 2" xfId="5257"/>
    <cellStyle name="Comma 5 4 6" xfId="1342"/>
    <cellStyle name="Comma 5 4 6 2" xfId="5260"/>
    <cellStyle name="Comma 5 4 7" xfId="231"/>
    <cellStyle name="Comma 5 4 7 2" xfId="4179"/>
    <cellStyle name="Comma 5 4 8" xfId="234"/>
    <cellStyle name="Comma 5 4 8 2" xfId="4187"/>
    <cellStyle name="Comma 5 4 9" xfId="8339"/>
    <cellStyle name="Comma 5 5" xfId="1343"/>
    <cellStyle name="Comma 5 5 10" xfId="8340"/>
    <cellStyle name="Comma 5 5 11" xfId="8341"/>
    <cellStyle name="Comma 5 5 12" xfId="8342"/>
    <cellStyle name="Comma 5 5 13" xfId="8343"/>
    <cellStyle name="Comma 5 5 14" xfId="8344"/>
    <cellStyle name="Comma 5 5 15" xfId="8345"/>
    <cellStyle name="Comma 5 5 16" xfId="8346"/>
    <cellStyle name="Comma 5 5 17" xfId="8347"/>
    <cellStyle name="Comma 5 5 18" xfId="5262"/>
    <cellStyle name="Comma 5 5 2" xfId="1348"/>
    <cellStyle name="Comma 5 5 2 2" xfId="5266"/>
    <cellStyle name="Comma 5 5 3" xfId="1351"/>
    <cellStyle name="Comma 5 5 3 2" xfId="5269"/>
    <cellStyle name="Comma 5 5 4" xfId="1354"/>
    <cellStyle name="Comma 5 5 4 2" xfId="5272"/>
    <cellStyle name="Comma 5 5 5" xfId="1359"/>
    <cellStyle name="Comma 5 5 5 2" xfId="5277"/>
    <cellStyle name="Comma 5 5 6" xfId="1364"/>
    <cellStyle name="Comma 5 5 6 2" xfId="5281"/>
    <cellStyle name="Comma 5 5 7" xfId="243"/>
    <cellStyle name="Comma 5 5 7 2" xfId="4191"/>
    <cellStyle name="Comma 5 5 8" xfId="141"/>
    <cellStyle name="Comma 5 5 8 2" xfId="4164"/>
    <cellStyle name="Comma 5 5 9" xfId="8348"/>
    <cellStyle name="Comma 5 6" xfId="1366"/>
    <cellStyle name="Comma 5 6 10" xfId="8349"/>
    <cellStyle name="Comma 5 6 11" xfId="8350"/>
    <cellStyle name="Comma 5 6 12" xfId="8351"/>
    <cellStyle name="Comma 5 6 13" xfId="8352"/>
    <cellStyle name="Comma 5 6 14" xfId="8353"/>
    <cellStyle name="Comma 5 6 15" xfId="8354"/>
    <cellStyle name="Comma 5 6 16" xfId="8355"/>
    <cellStyle name="Comma 5 6 17" xfId="8356"/>
    <cellStyle name="Comma 5 6 18" xfId="5284"/>
    <cellStyle name="Comma 5 6 2" xfId="1371"/>
    <cellStyle name="Comma 5 6 2 2" xfId="5288"/>
    <cellStyle name="Comma 5 6 3" xfId="1375"/>
    <cellStyle name="Comma 5 6 3 2" xfId="5292"/>
    <cellStyle name="Comma 5 6 4" xfId="533"/>
    <cellStyle name="Comma 5 6 4 2" xfId="4465"/>
    <cellStyle name="Comma 5 6 5" xfId="74"/>
    <cellStyle name="Comma 5 6 5 2" xfId="4026"/>
    <cellStyle name="Comma 5 6 6" xfId="51"/>
    <cellStyle name="Comma 5 6 6 2" xfId="4000"/>
    <cellStyle name="Comma 5 6 7" xfId="80"/>
    <cellStyle name="Comma 5 6 7 2" xfId="4032"/>
    <cellStyle name="Comma 5 6 8" xfId="88"/>
    <cellStyle name="Comma 5 6 8 2" xfId="4039"/>
    <cellStyle name="Comma 5 6 9" xfId="8357"/>
    <cellStyle name="Comma 5 7" xfId="1376"/>
    <cellStyle name="Comma 5 7 10" xfId="8358"/>
    <cellStyle name="Comma 5 7 11" xfId="8359"/>
    <cellStyle name="Comma 5 7 12" xfId="8360"/>
    <cellStyle name="Comma 5 7 13" xfId="8361"/>
    <cellStyle name="Comma 5 7 14" xfId="8362"/>
    <cellStyle name="Comma 5 7 15" xfId="8363"/>
    <cellStyle name="Comma 5 7 16" xfId="8364"/>
    <cellStyle name="Comma 5 7 17" xfId="8365"/>
    <cellStyle name="Comma 5 7 18" xfId="5294"/>
    <cellStyle name="Comma 5 7 2" xfId="1378"/>
    <cellStyle name="Comma 5 7 2 2" xfId="5296"/>
    <cellStyle name="Comma 5 7 3" xfId="1380"/>
    <cellStyle name="Comma 5 7 3 2" xfId="5298"/>
    <cellStyle name="Comma 5 7 4" xfId="755"/>
    <cellStyle name="Comma 5 7 4 2" xfId="4683"/>
    <cellStyle name="Comma 5 7 5" xfId="66"/>
    <cellStyle name="Comma 5 7 5 2" xfId="4017"/>
    <cellStyle name="Comma 5 7 6" xfId="1383"/>
    <cellStyle name="Comma 5 7 6 2" xfId="5300"/>
    <cellStyle name="Comma 5 7 7" xfId="249"/>
    <cellStyle name="Comma 5 7 7 2" xfId="4201"/>
    <cellStyle name="Comma 5 7 8" xfId="264"/>
    <cellStyle name="Comma 5 7 8 2" xfId="4210"/>
    <cellStyle name="Comma 5 7 9" xfId="8366"/>
    <cellStyle name="Comma 5 8" xfId="897"/>
    <cellStyle name="Comma 5 8 10" xfId="8367"/>
    <cellStyle name="Comma 5 8 11" xfId="8368"/>
    <cellStyle name="Comma 5 8 12" xfId="8369"/>
    <cellStyle name="Comma 5 8 13" xfId="8370"/>
    <cellStyle name="Comma 5 8 14" xfId="8371"/>
    <cellStyle name="Comma 5 8 15" xfId="8372"/>
    <cellStyle name="Comma 5 8 16" xfId="8373"/>
    <cellStyle name="Comma 5 8 17" xfId="8374"/>
    <cellStyle name="Comma 5 8 18" xfId="4820"/>
    <cellStyle name="Comma 5 8 2" xfId="1386"/>
    <cellStyle name="Comma 5 8 2 2" xfId="5306"/>
    <cellStyle name="Comma 5 8 3" xfId="1390"/>
    <cellStyle name="Comma 5 8 3 2" xfId="5310"/>
    <cellStyle name="Comma 5 8 4" xfId="23"/>
    <cellStyle name="Comma 5 8 4 2" xfId="3986"/>
    <cellStyle name="Comma 5 8 5" xfId="1395"/>
    <cellStyle name="Comma 5 8 5 2" xfId="5312"/>
    <cellStyle name="Comma 5 8 6" xfId="1398"/>
    <cellStyle name="Comma 5 8 6 2" xfId="5315"/>
    <cellStyle name="Comma 5 8 7" xfId="269"/>
    <cellStyle name="Comma 5 8 7 2" xfId="4216"/>
    <cellStyle name="Comma 5 8 8" xfId="287"/>
    <cellStyle name="Comma 5 8 8 2" xfId="4233"/>
    <cellStyle name="Comma 5 8 9" xfId="8375"/>
    <cellStyle name="Comma 5 9" xfId="1399"/>
    <cellStyle name="Comma 5 9 10" xfId="8376"/>
    <cellStyle name="Comma 5 9 11" xfId="8377"/>
    <cellStyle name="Comma 5 9 12" xfId="8378"/>
    <cellStyle name="Comma 5 9 13" xfId="8379"/>
    <cellStyle name="Comma 5 9 14" xfId="8380"/>
    <cellStyle name="Comma 5 9 15" xfId="8381"/>
    <cellStyle name="Comma 5 9 16" xfId="8382"/>
    <cellStyle name="Comma 5 9 17" xfId="8383"/>
    <cellStyle name="Comma 5 9 18" xfId="5317"/>
    <cellStyle name="Comma 5 9 2" xfId="1012"/>
    <cellStyle name="Comma 5 9 2 2" xfId="4931"/>
    <cellStyle name="Comma 5 9 3" xfId="1016"/>
    <cellStyle name="Comma 5 9 3 2" xfId="4935"/>
    <cellStyle name="Comma 5 9 4" xfId="1019"/>
    <cellStyle name="Comma 5 9 4 2" xfId="4939"/>
    <cellStyle name="Comma 5 9 5" xfId="941"/>
    <cellStyle name="Comma 5 9 5 2" xfId="4862"/>
    <cellStyle name="Comma 5 9 6" xfId="966"/>
    <cellStyle name="Comma 5 9 6 2" xfId="4887"/>
    <cellStyle name="Comma 5 9 7" xfId="294"/>
    <cellStyle name="Comma 5 9 7 2" xfId="4244"/>
    <cellStyle name="Comma 5 9 8" xfId="137"/>
    <cellStyle name="Comma 5 9 8 2" xfId="4071"/>
    <cellStyle name="Comma 5 9 9" xfId="8384"/>
    <cellStyle name="Comma 5_Choppadandi-Thogurumamidikunta (Choppadandi)" xfId="1338"/>
    <cellStyle name="Comma 6" xfId="1400"/>
    <cellStyle name="Comma 6 10" xfId="224"/>
    <cellStyle name="Comma 6 10 10" xfId="8385"/>
    <cellStyle name="Comma 6 10 11" xfId="8386"/>
    <cellStyle name="Comma 6 10 12" xfId="8387"/>
    <cellStyle name="Comma 6 10 13" xfId="8388"/>
    <cellStyle name="Comma 6 10 14" xfId="8389"/>
    <cellStyle name="Comma 6 10 15" xfId="8390"/>
    <cellStyle name="Comma 6 10 16" xfId="8391"/>
    <cellStyle name="Comma 6 10 17" xfId="8392"/>
    <cellStyle name="Comma 6 10 18" xfId="4149"/>
    <cellStyle name="Comma 6 10 2" xfId="477"/>
    <cellStyle name="Comma 6 10 2 2" xfId="4413"/>
    <cellStyle name="Comma 6 10 3" xfId="491"/>
    <cellStyle name="Comma 6 10 3 2" xfId="4427"/>
    <cellStyle name="Comma 6 10 4" xfId="1403"/>
    <cellStyle name="Comma 6 10 4 2" xfId="5321"/>
    <cellStyle name="Comma 6 10 5" xfId="1407"/>
    <cellStyle name="Comma 6 10 5 2" xfId="5325"/>
    <cellStyle name="Comma 6 10 6" xfId="1411"/>
    <cellStyle name="Comma 6 10 6 2" xfId="5329"/>
    <cellStyle name="Comma 6 10 7" xfId="853"/>
    <cellStyle name="Comma 6 10 7 2" xfId="4779"/>
    <cellStyle name="Comma 6 10 8" xfId="857"/>
    <cellStyle name="Comma 6 10 8 2" xfId="4783"/>
    <cellStyle name="Comma 6 10 9" xfId="8393"/>
    <cellStyle name="Comma 6 11" xfId="576"/>
    <cellStyle name="Comma 6 11 2" xfId="4507"/>
    <cellStyle name="Comma 6 12" xfId="1414"/>
    <cellStyle name="Comma 6 12 2" xfId="5332"/>
    <cellStyle name="Comma 6 13" xfId="1416"/>
    <cellStyle name="Comma 6 13 2" xfId="5334"/>
    <cellStyle name="Comma 6 14" xfId="1418"/>
    <cellStyle name="Comma 6 14 2" xfId="5336"/>
    <cellStyle name="Comma 6 15" xfId="1420"/>
    <cellStyle name="Comma 6 15 2" xfId="5338"/>
    <cellStyle name="Comma 6 16" xfId="1422"/>
    <cellStyle name="Comma 6 16 2" xfId="5340"/>
    <cellStyle name="Comma 6 17" xfId="998"/>
    <cellStyle name="Comma 6 17 2" xfId="4918"/>
    <cellStyle name="Comma 6 18" xfId="8394"/>
    <cellStyle name="Comma 6 19" xfId="8395"/>
    <cellStyle name="Comma 6 2" xfId="1425"/>
    <cellStyle name="Comma 6 2 10" xfId="8396"/>
    <cellStyle name="Comma 6 2 11" xfId="8397"/>
    <cellStyle name="Comma 6 2 12" xfId="8398"/>
    <cellStyle name="Comma 6 2 13" xfId="8399"/>
    <cellStyle name="Comma 6 2 14" xfId="8400"/>
    <cellStyle name="Comma 6 2 15" xfId="8401"/>
    <cellStyle name="Comma 6 2 16" xfId="8402"/>
    <cellStyle name="Comma 6 2 17" xfId="8403"/>
    <cellStyle name="Comma 6 2 18" xfId="5343"/>
    <cellStyle name="Comma 6 2 2" xfId="1427"/>
    <cellStyle name="Comma 6 2 2 2" xfId="5345"/>
    <cellStyle name="Comma 6 2 3" xfId="321"/>
    <cellStyle name="Comma 6 2 3 2" xfId="4267"/>
    <cellStyle name="Comma 6 2 4" xfId="1429"/>
    <cellStyle name="Comma 6 2 4 2" xfId="5347"/>
    <cellStyle name="Comma 6 2 5" xfId="1431"/>
    <cellStyle name="Comma 6 2 5 2" xfId="5349"/>
    <cellStyle name="Comma 6 2 6" xfId="1252"/>
    <cellStyle name="Comma 6 2 6 2" xfId="5172"/>
    <cellStyle name="Comma 6 2 7" xfId="876"/>
    <cellStyle name="Comma 6 2 7 2" xfId="4802"/>
    <cellStyle name="Comma 6 2 8" xfId="1271"/>
    <cellStyle name="Comma 6 2 8 2" xfId="5191"/>
    <cellStyle name="Comma 6 2 9" xfId="8404"/>
    <cellStyle name="Comma 6 20" xfId="8405"/>
    <cellStyle name="Comma 6 21" xfId="8406"/>
    <cellStyle name="Comma 6 22" xfId="8407"/>
    <cellStyle name="Comma 6 23" xfId="8408"/>
    <cellStyle name="Comma 6 24" xfId="8409"/>
    <cellStyle name="Comma 6 25" xfId="8410"/>
    <cellStyle name="Comma 6 26" xfId="8411"/>
    <cellStyle name="Comma 6 27" xfId="5318"/>
    <cellStyle name="Comma 6 3" xfId="1434"/>
    <cellStyle name="Comma 6 3 10" xfId="8412"/>
    <cellStyle name="Comma 6 3 11" xfId="8413"/>
    <cellStyle name="Comma 6 3 12" xfId="8414"/>
    <cellStyle name="Comma 6 3 13" xfId="8415"/>
    <cellStyle name="Comma 6 3 14" xfId="8416"/>
    <cellStyle name="Comma 6 3 15" xfId="8417"/>
    <cellStyle name="Comma 6 3 16" xfId="8418"/>
    <cellStyle name="Comma 6 3 17" xfId="8419"/>
    <cellStyle name="Comma 6 3 18" xfId="5352"/>
    <cellStyle name="Comma 6 3 2" xfId="1437"/>
    <cellStyle name="Comma 6 3 2 2" xfId="5355"/>
    <cellStyle name="Comma 6 3 3" xfId="750"/>
    <cellStyle name="Comma 6 3 3 2" xfId="4677"/>
    <cellStyle name="Comma 6 3 4" xfId="1439"/>
    <cellStyle name="Comma 6 3 4 2" xfId="5357"/>
    <cellStyle name="Comma 6 3 5" xfId="1442"/>
    <cellStyle name="Comma 6 3 5 2" xfId="5360"/>
    <cellStyle name="Comma 6 3 6" xfId="1293"/>
    <cellStyle name="Comma 6 3 6 2" xfId="5213"/>
    <cellStyle name="Comma 6 3 7" xfId="1300"/>
    <cellStyle name="Comma 6 3 7 2" xfId="5220"/>
    <cellStyle name="Comma 6 3 8" xfId="1321"/>
    <cellStyle name="Comma 6 3 8 2" xfId="5241"/>
    <cellStyle name="Comma 6 3 9" xfId="8420"/>
    <cellStyle name="Comma 6 4" xfId="1448"/>
    <cellStyle name="Comma 6 4 10" xfId="8421"/>
    <cellStyle name="Comma 6 4 11" xfId="8422"/>
    <cellStyle name="Comma 6 4 12" xfId="8423"/>
    <cellStyle name="Comma 6 4 13" xfId="8424"/>
    <cellStyle name="Comma 6 4 14" xfId="8425"/>
    <cellStyle name="Comma 6 4 15" xfId="8426"/>
    <cellStyle name="Comma 6 4 16" xfId="8427"/>
    <cellStyle name="Comma 6 4 17" xfId="8428"/>
    <cellStyle name="Comma 6 4 18" xfId="5364"/>
    <cellStyle name="Comma 6 4 2" xfId="1453"/>
    <cellStyle name="Comma 6 4 2 2" xfId="5369"/>
    <cellStyle name="Comma 6 4 3" xfId="1457"/>
    <cellStyle name="Comma 6 4 3 2" xfId="5372"/>
    <cellStyle name="Comma 6 4 4" xfId="1460"/>
    <cellStyle name="Comma 6 4 4 2" xfId="5376"/>
    <cellStyle name="Comma 6 4 5" xfId="1463"/>
    <cellStyle name="Comma 6 4 5 2" xfId="5379"/>
    <cellStyle name="Comma 6 4 6" xfId="1424"/>
    <cellStyle name="Comma 6 4 6 2" xfId="5341"/>
    <cellStyle name="Comma 6 4 7" xfId="1433"/>
    <cellStyle name="Comma 6 4 7 2" xfId="5350"/>
    <cellStyle name="Comma 6 4 8" xfId="1445"/>
    <cellStyle name="Comma 6 4 8 2" xfId="5361"/>
    <cellStyle name="Comma 6 4 9" xfId="8429"/>
    <cellStyle name="Comma 6 5" xfId="663"/>
    <cellStyle name="Comma 6 5 10" xfId="8430"/>
    <cellStyle name="Comma 6 5 11" xfId="8431"/>
    <cellStyle name="Comma 6 5 12" xfId="8432"/>
    <cellStyle name="Comma 6 5 13" xfId="8433"/>
    <cellStyle name="Comma 6 5 14" xfId="8434"/>
    <cellStyle name="Comma 6 5 15" xfId="8435"/>
    <cellStyle name="Comma 6 5 16" xfId="8436"/>
    <cellStyle name="Comma 6 5 17" xfId="8437"/>
    <cellStyle name="Comma 6 5 18" xfId="4598"/>
    <cellStyle name="Comma 6 5 2" xfId="672"/>
    <cellStyle name="Comma 6 5 2 2" xfId="4604"/>
    <cellStyle name="Comma 6 5 3" xfId="675"/>
    <cellStyle name="Comma 6 5 3 2" xfId="4607"/>
    <cellStyle name="Comma 6 5 4" xfId="1464"/>
    <cellStyle name="Comma 6 5 4 2" xfId="5381"/>
    <cellStyle name="Comma 6 5 5" xfId="5"/>
    <cellStyle name="Comma 6 5 5 2" xfId="3965"/>
    <cellStyle name="Comma 6 5 6" xfId="1468"/>
    <cellStyle name="Comma 6 5 6 2" xfId="5385"/>
    <cellStyle name="Comma 6 5 7" xfId="1472"/>
    <cellStyle name="Comma 6 5 7 2" xfId="5389"/>
    <cellStyle name="Comma 6 5 8" xfId="1477"/>
    <cellStyle name="Comma 6 5 8 2" xfId="5394"/>
    <cellStyle name="Comma 6 5 9" xfId="8438"/>
    <cellStyle name="Comma 6 6" xfId="1480"/>
    <cellStyle name="Comma 6 6 10" xfId="8439"/>
    <cellStyle name="Comma 6 6 11" xfId="8440"/>
    <cellStyle name="Comma 6 6 12" xfId="8441"/>
    <cellStyle name="Comma 6 6 13" xfId="8442"/>
    <cellStyle name="Comma 6 6 14" xfId="8443"/>
    <cellStyle name="Comma 6 6 15" xfId="8444"/>
    <cellStyle name="Comma 6 6 16" xfId="8445"/>
    <cellStyle name="Comma 6 6 17" xfId="8446"/>
    <cellStyle name="Comma 6 6 18" xfId="5395"/>
    <cellStyle name="Comma 6 6 2" xfId="1482"/>
    <cellStyle name="Comma 6 6 2 2" xfId="5399"/>
    <cellStyle name="Comma 6 6 3" xfId="1483"/>
    <cellStyle name="Comma 6 6 3 2" xfId="5400"/>
    <cellStyle name="Comma 6 6 4" xfId="1484"/>
    <cellStyle name="Comma 6 6 4 2" xfId="5401"/>
    <cellStyle name="Comma 6 6 5" xfId="1485"/>
    <cellStyle name="Comma 6 6 5 2" xfId="5402"/>
    <cellStyle name="Comma 6 6 6" xfId="1489"/>
    <cellStyle name="Comma 6 6 6 2" xfId="5406"/>
    <cellStyle name="Comma 6 6 7" xfId="1493"/>
    <cellStyle name="Comma 6 6 7 2" xfId="5410"/>
    <cellStyle name="Comma 6 6 8" xfId="1494"/>
    <cellStyle name="Comma 6 6 8 2" xfId="5411"/>
    <cellStyle name="Comma 6 6 9" xfId="8447"/>
    <cellStyle name="Comma 6 7" xfId="1498"/>
    <cellStyle name="Comma 6 7 10" xfId="8448"/>
    <cellStyle name="Comma 6 7 11" xfId="8449"/>
    <cellStyle name="Comma 6 7 12" xfId="8450"/>
    <cellStyle name="Comma 6 7 13" xfId="8451"/>
    <cellStyle name="Comma 6 7 14" xfId="8452"/>
    <cellStyle name="Comma 6 7 15" xfId="8453"/>
    <cellStyle name="Comma 6 7 16" xfId="8454"/>
    <cellStyle name="Comma 6 7 17" xfId="8455"/>
    <cellStyle name="Comma 6 7 18" xfId="5412"/>
    <cellStyle name="Comma 6 7 2" xfId="1499"/>
    <cellStyle name="Comma 6 7 2 2" xfId="5416"/>
    <cellStyle name="Comma 6 7 3" xfId="1500"/>
    <cellStyle name="Comma 6 7 3 2" xfId="5417"/>
    <cellStyle name="Comma 6 7 4" xfId="1501"/>
    <cellStyle name="Comma 6 7 4 2" xfId="5419"/>
    <cellStyle name="Comma 6 7 5" xfId="1506"/>
    <cellStyle name="Comma 6 7 5 2" xfId="5420"/>
    <cellStyle name="Comma 6 7 6" xfId="1511"/>
    <cellStyle name="Comma 6 7 6 2" xfId="5426"/>
    <cellStyle name="Comma 6 7 7" xfId="1515"/>
    <cellStyle name="Comma 6 7 7 2" xfId="5432"/>
    <cellStyle name="Comma 6 7 8" xfId="1516"/>
    <cellStyle name="Comma 6 7 8 2" xfId="5433"/>
    <cellStyle name="Comma 6 7 9" xfId="8456"/>
    <cellStyle name="Comma 6 8" xfId="1519"/>
    <cellStyle name="Comma 6 8 10" xfId="8457"/>
    <cellStyle name="Comma 6 8 11" xfId="8458"/>
    <cellStyle name="Comma 6 8 12" xfId="8459"/>
    <cellStyle name="Comma 6 8 13" xfId="8460"/>
    <cellStyle name="Comma 6 8 14" xfId="8461"/>
    <cellStyle name="Comma 6 8 15" xfId="8462"/>
    <cellStyle name="Comma 6 8 16" xfId="8463"/>
    <cellStyle name="Comma 6 8 17" xfId="8464"/>
    <cellStyle name="Comma 6 8 18" xfId="5434"/>
    <cellStyle name="Comma 6 8 2" xfId="1520"/>
    <cellStyle name="Comma 6 8 2 2" xfId="5437"/>
    <cellStyle name="Comma 6 8 3" xfId="1521"/>
    <cellStyle name="Comma 6 8 3 2" xfId="5438"/>
    <cellStyle name="Comma 6 8 4" xfId="1522"/>
    <cellStyle name="Comma 6 8 4 2" xfId="5439"/>
    <cellStyle name="Comma 6 8 5" xfId="1525"/>
    <cellStyle name="Comma 6 8 5 2" xfId="5440"/>
    <cellStyle name="Comma 6 8 6" xfId="1528"/>
    <cellStyle name="Comma 6 8 6 2" xfId="5443"/>
    <cellStyle name="Comma 6 8 7" xfId="1532"/>
    <cellStyle name="Comma 6 8 7 2" xfId="5448"/>
    <cellStyle name="Comma 6 8 8" xfId="1534"/>
    <cellStyle name="Comma 6 8 8 2" xfId="5450"/>
    <cellStyle name="Comma 6 8 9" xfId="8465"/>
    <cellStyle name="Comma 6 9" xfId="1537"/>
    <cellStyle name="Comma 6 9 10" xfId="8466"/>
    <cellStyle name="Comma 6 9 11" xfId="8467"/>
    <cellStyle name="Comma 6 9 12" xfId="8468"/>
    <cellStyle name="Comma 6 9 13" xfId="8469"/>
    <cellStyle name="Comma 6 9 14" xfId="8470"/>
    <cellStyle name="Comma 6 9 15" xfId="8471"/>
    <cellStyle name="Comma 6 9 16" xfId="8472"/>
    <cellStyle name="Comma 6 9 17" xfId="8473"/>
    <cellStyle name="Comma 6 9 18" xfId="5452"/>
    <cellStyle name="Comma 6 9 2" xfId="1177"/>
    <cellStyle name="Comma 6 9 2 2" xfId="5096"/>
    <cellStyle name="Comma 6 9 3" xfId="1181"/>
    <cellStyle name="Comma 6 9 3 2" xfId="5100"/>
    <cellStyle name="Comma 6 9 4" xfId="1183"/>
    <cellStyle name="Comma 6 9 4 2" xfId="5103"/>
    <cellStyle name="Comma 6 9 5" xfId="106"/>
    <cellStyle name="Comma 6 9 5 2" xfId="4048"/>
    <cellStyle name="Comma 6 9 6" xfId="571"/>
    <cellStyle name="Comma 6 9 6 2" xfId="4503"/>
    <cellStyle name="Comma 6 9 7" xfId="1539"/>
    <cellStyle name="Comma 6 9 7 2" xfId="5455"/>
    <cellStyle name="Comma 6 9 8" xfId="1541"/>
    <cellStyle name="Comma 6 9 8 2" xfId="5457"/>
    <cellStyle name="Comma 6 9 9" xfId="8474"/>
    <cellStyle name="Comma 7" xfId="1542"/>
    <cellStyle name="Comma 7 2" xfId="1465"/>
    <cellStyle name="Comma 7 2 2" xfId="5383"/>
    <cellStyle name="Comma 7 3" xfId="1469"/>
    <cellStyle name="Comma 7 3 10" xfId="8475"/>
    <cellStyle name="Comma 7 3 11" xfId="8476"/>
    <cellStyle name="Comma 7 3 12" xfId="8477"/>
    <cellStyle name="Comma 7 3 13" xfId="5387"/>
    <cellStyle name="Comma 7 3 2" xfId="548"/>
    <cellStyle name="Comma 7 3 2 10" xfId="8478"/>
    <cellStyle name="Comma 7 3 2 11" xfId="4484"/>
    <cellStyle name="Comma 7 3 2 2" xfId="8479"/>
    <cellStyle name="Comma 7 3 2 3" xfId="8480"/>
    <cellStyle name="Comma 7 3 2 4" xfId="8481"/>
    <cellStyle name="Comma 7 3 2 5" xfId="8482"/>
    <cellStyle name="Comma 7 3 2 6" xfId="8483"/>
    <cellStyle name="Comma 7 3 2 7" xfId="8484"/>
    <cellStyle name="Comma 7 3 2 8" xfId="8485"/>
    <cellStyle name="Comma 7 3 2 9" xfId="8486"/>
    <cellStyle name="Comma 7 3 3" xfId="1063"/>
    <cellStyle name="Comma 7 3 3 10" xfId="8487"/>
    <cellStyle name="Comma 7 3 3 11" xfId="4983"/>
    <cellStyle name="Comma 7 3 3 2" xfId="8488"/>
    <cellStyle name="Comma 7 3 3 3" xfId="8489"/>
    <cellStyle name="Comma 7 3 3 4" xfId="8490"/>
    <cellStyle name="Comma 7 3 3 5" xfId="8491"/>
    <cellStyle name="Comma 7 3 3 6" xfId="8492"/>
    <cellStyle name="Comma 7 3 3 7" xfId="8493"/>
    <cellStyle name="Comma 7 3 3 8" xfId="8494"/>
    <cellStyle name="Comma 7 3 3 9" xfId="8495"/>
    <cellStyle name="Comma 7 3 4" xfId="8496"/>
    <cellStyle name="Comma 7 3 5" xfId="8497"/>
    <cellStyle name="Comma 7 3 6" xfId="8498"/>
    <cellStyle name="Comma 7 3 7" xfId="8499"/>
    <cellStyle name="Comma 7 3 8" xfId="8500"/>
    <cellStyle name="Comma 7 3 9" xfId="8501"/>
    <cellStyle name="Comma 7 4" xfId="1473"/>
    <cellStyle name="Comma 7 4 2" xfId="5391"/>
    <cellStyle name="Comma 7 5" xfId="1543"/>
    <cellStyle name="Comma 7 5 10" xfId="8502"/>
    <cellStyle name="Comma 7 5 11" xfId="8503"/>
    <cellStyle name="Comma 7 5 12" xfId="8504"/>
    <cellStyle name="Comma 7 5 13" xfId="5461"/>
    <cellStyle name="Comma 7 5 2" xfId="1110"/>
    <cellStyle name="Comma 7 5 2 10" xfId="8505"/>
    <cellStyle name="Comma 7 5 2 11" xfId="5030"/>
    <cellStyle name="Comma 7 5 2 2" xfId="8506"/>
    <cellStyle name="Comma 7 5 2 3" xfId="8507"/>
    <cellStyle name="Comma 7 5 2 4" xfId="8508"/>
    <cellStyle name="Comma 7 5 2 5" xfId="8509"/>
    <cellStyle name="Comma 7 5 2 6" xfId="8510"/>
    <cellStyle name="Comma 7 5 2 7" xfId="8511"/>
    <cellStyle name="Comma 7 5 2 8" xfId="8512"/>
    <cellStyle name="Comma 7 5 2 9" xfId="8513"/>
    <cellStyle name="Comma 7 5 3" xfId="1116"/>
    <cellStyle name="Comma 7 5 3 10" xfId="8514"/>
    <cellStyle name="Comma 7 5 3 11" xfId="5036"/>
    <cellStyle name="Comma 7 5 3 2" xfId="8515"/>
    <cellStyle name="Comma 7 5 3 3" xfId="8516"/>
    <cellStyle name="Comma 7 5 3 4" xfId="8517"/>
    <cellStyle name="Comma 7 5 3 5" xfId="8518"/>
    <cellStyle name="Comma 7 5 3 6" xfId="8519"/>
    <cellStyle name="Comma 7 5 3 7" xfId="8520"/>
    <cellStyle name="Comma 7 5 3 8" xfId="8521"/>
    <cellStyle name="Comma 7 5 3 9" xfId="8522"/>
    <cellStyle name="Comma 7 5 4" xfId="8523"/>
    <cellStyle name="Comma 7 5 5" xfId="8524"/>
    <cellStyle name="Comma 7 5 6" xfId="8525"/>
    <cellStyle name="Comma 7 5 7" xfId="8526"/>
    <cellStyle name="Comma 7 5 8" xfId="8527"/>
    <cellStyle name="Comma 7 5 9" xfId="8528"/>
    <cellStyle name="Comma 7 6" xfId="1547"/>
    <cellStyle name="Comma 7 6 10" xfId="8529"/>
    <cellStyle name="Comma 7 6 11" xfId="8530"/>
    <cellStyle name="Comma 7 6 12" xfId="8531"/>
    <cellStyle name="Comma 7 6 13" xfId="5464"/>
    <cellStyle name="Comma 7 6 2" xfId="275"/>
    <cellStyle name="Comma 7 6 2 10" xfId="8532"/>
    <cellStyle name="Comma 7 6 2 11" xfId="4226"/>
    <cellStyle name="Comma 7 6 2 2" xfId="8533"/>
    <cellStyle name="Comma 7 6 2 3" xfId="8534"/>
    <cellStyle name="Comma 7 6 2 4" xfId="8535"/>
    <cellStyle name="Comma 7 6 2 5" xfId="8536"/>
    <cellStyle name="Comma 7 6 2 6" xfId="8537"/>
    <cellStyle name="Comma 7 6 2 7" xfId="8538"/>
    <cellStyle name="Comma 7 6 2 8" xfId="8539"/>
    <cellStyle name="Comma 7 6 2 9" xfId="8540"/>
    <cellStyle name="Comma 7 6 3" xfId="1137"/>
    <cellStyle name="Comma 7 6 3 10" xfId="8541"/>
    <cellStyle name="Comma 7 6 3 11" xfId="5058"/>
    <cellStyle name="Comma 7 6 3 2" xfId="8542"/>
    <cellStyle name="Comma 7 6 3 3" xfId="8543"/>
    <cellStyle name="Comma 7 6 3 4" xfId="8544"/>
    <cellStyle name="Comma 7 6 3 5" xfId="8545"/>
    <cellStyle name="Comma 7 6 3 6" xfId="8546"/>
    <cellStyle name="Comma 7 6 3 7" xfId="8547"/>
    <cellStyle name="Comma 7 6 3 8" xfId="8548"/>
    <cellStyle name="Comma 7 6 3 9" xfId="8549"/>
    <cellStyle name="Comma 7 6 4" xfId="8550"/>
    <cellStyle name="Comma 7 6 5" xfId="8551"/>
    <cellStyle name="Comma 7 6 6" xfId="8552"/>
    <cellStyle name="Comma 7 6 7" xfId="8553"/>
    <cellStyle name="Comma 7 6 8" xfId="8554"/>
    <cellStyle name="Comma 7 6 9" xfId="8555"/>
    <cellStyle name="Comma 7 7" xfId="5459"/>
    <cellStyle name="Comma 8" xfId="1550"/>
    <cellStyle name="Comma 8 2" xfId="1487"/>
    <cellStyle name="Comma 8 2 2" xfId="8556"/>
    <cellStyle name="Comma 8 2 3" xfId="5404"/>
    <cellStyle name="Comma 8 3" xfId="1491"/>
    <cellStyle name="Comma 8 3 2" xfId="5408"/>
    <cellStyle name="Comma 8 4" xfId="5467"/>
    <cellStyle name="Comma 8_Rukmapur (CPD)-wk" xfId="866"/>
    <cellStyle name="Comma 9" xfId="1208"/>
    <cellStyle name="Comma 9 2" xfId="1508"/>
    <cellStyle name="Comma 9 2 2" xfId="8557"/>
    <cellStyle name="Comma 9 2 3" xfId="5424"/>
    <cellStyle name="Comma 9 3" xfId="1513"/>
    <cellStyle name="Comma 9 3 2" xfId="5429"/>
    <cellStyle name="Comma 9 4" xfId="5128"/>
    <cellStyle name="Comma_Road Furniture Data(9-12)" xfId="34"/>
    <cellStyle name="Copied" xfId="1551"/>
    <cellStyle name="Copied 2" xfId="1502"/>
    <cellStyle name="Copied 2 2" xfId="1554"/>
    <cellStyle name="Copied 2 2 2" xfId="5471"/>
    <cellStyle name="Copied 2 3" xfId="5418"/>
    <cellStyle name="Copied 3" xfId="1503"/>
    <cellStyle name="Copied 3 2" xfId="5421"/>
    <cellStyle name="Copied 4" xfId="5468"/>
    <cellStyle name="Copied_Kallepally-Gunturpalli (Bejjenki)6m-2v" xfId="1361"/>
    <cellStyle name="Currency 2" xfId="894"/>
    <cellStyle name="Currency 2 10" xfId="8558"/>
    <cellStyle name="Currency 2 11" xfId="8559"/>
    <cellStyle name="Currency 2 12" xfId="8560"/>
    <cellStyle name="Currency 2 13" xfId="8561"/>
    <cellStyle name="Currency 2 14" xfId="8562"/>
    <cellStyle name="Currency 2 15" xfId="8563"/>
    <cellStyle name="Currency 2 16" xfId="8564"/>
    <cellStyle name="Currency 2 17" xfId="8565"/>
    <cellStyle name="Currency 2 18" xfId="4819"/>
    <cellStyle name="Currency 2 2" xfId="1556"/>
    <cellStyle name="Currency 2 2 2" xfId="5473"/>
    <cellStyle name="Currency 2 3" xfId="753"/>
    <cellStyle name="Currency 2 3 2" xfId="4679"/>
    <cellStyle name="Currency 2 4" xfId="762"/>
    <cellStyle name="Currency 2 4 2" xfId="4688"/>
    <cellStyle name="Currency 2 5" xfId="1559"/>
    <cellStyle name="Currency 2 5 2" xfId="5474"/>
    <cellStyle name="Currency 2 6" xfId="1562"/>
    <cellStyle name="Currency 2 6 2" xfId="5477"/>
    <cellStyle name="Currency 2 7" xfId="1564"/>
    <cellStyle name="Currency 2 7 2" xfId="5480"/>
    <cellStyle name="Currency 2 8" xfId="1567"/>
    <cellStyle name="Currency 2 8 2" xfId="5482"/>
    <cellStyle name="Currency 2 9" xfId="8566"/>
    <cellStyle name="Currency 3" xfId="899"/>
    <cellStyle name="Currency 3 10" xfId="8567"/>
    <cellStyle name="Currency 3 11" xfId="8568"/>
    <cellStyle name="Currency 3 12" xfId="8569"/>
    <cellStyle name="Currency 3 13" xfId="8570"/>
    <cellStyle name="Currency 3 14" xfId="8571"/>
    <cellStyle name="Currency 3 15" xfId="8572"/>
    <cellStyle name="Currency 3 16" xfId="8573"/>
    <cellStyle name="Currency 3 17" xfId="8574"/>
    <cellStyle name="Currency 3 18" xfId="4822"/>
    <cellStyle name="Currency 3 2" xfId="1568"/>
    <cellStyle name="Currency 3 2 2" xfId="5485"/>
    <cellStyle name="Currency 3 3" xfId="6"/>
    <cellStyle name="Currency 3 3 2" xfId="3969"/>
    <cellStyle name="Currency 3 4" xfId="26"/>
    <cellStyle name="Currency 3 4 2" xfId="3982"/>
    <cellStyle name="Currency 3 5" xfId="1569"/>
    <cellStyle name="Currency 3 5 2" xfId="5486"/>
    <cellStyle name="Currency 3 6" xfId="1570"/>
    <cellStyle name="Currency 3 6 2" xfId="5487"/>
    <cellStyle name="Currency 3 7" xfId="1571"/>
    <cellStyle name="Currency 3 7 2" xfId="5488"/>
    <cellStyle name="Currency 3 8" xfId="1573"/>
    <cellStyle name="Currency 3 8 2" xfId="5490"/>
    <cellStyle name="Currency 3 9" xfId="8575"/>
    <cellStyle name="Currency 4" xfId="901"/>
    <cellStyle name="Currency 4 10" xfId="8576"/>
    <cellStyle name="Currency 4 11" xfId="8577"/>
    <cellStyle name="Currency 4 12" xfId="8578"/>
    <cellStyle name="Currency 4 13" xfId="8579"/>
    <cellStyle name="Currency 4 14" xfId="8580"/>
    <cellStyle name="Currency 4 15" xfId="8581"/>
    <cellStyle name="Currency 4 16" xfId="8582"/>
    <cellStyle name="Currency 4 17" xfId="8583"/>
    <cellStyle name="Currency 4 18" xfId="4824"/>
    <cellStyle name="Currency 4 2" xfId="1574"/>
    <cellStyle name="Currency 4 2 2" xfId="5491"/>
    <cellStyle name="Currency 4 3" xfId="1577"/>
    <cellStyle name="Currency 4 3 2" xfId="5494"/>
    <cellStyle name="Currency 4 4" xfId="1580"/>
    <cellStyle name="Currency 4 4 2" xfId="5497"/>
    <cellStyle name="Currency 4 5" xfId="942"/>
    <cellStyle name="Currency 4 5 2" xfId="4867"/>
    <cellStyle name="Currency 4 6" xfId="967"/>
    <cellStyle name="Currency 4 6 2" xfId="4891"/>
    <cellStyle name="Currency 4 7" xfId="298"/>
    <cellStyle name="Currency 4 7 2" xfId="4236"/>
    <cellStyle name="Currency 4 8" xfId="131"/>
    <cellStyle name="Currency 4 8 2" xfId="4076"/>
    <cellStyle name="Currency 4 9" xfId="8584"/>
    <cellStyle name="Currency 5" xfId="1388"/>
    <cellStyle name="Currency 5 10" xfId="8585"/>
    <cellStyle name="Currency 5 11" xfId="8586"/>
    <cellStyle name="Currency 5 12" xfId="8587"/>
    <cellStyle name="Currency 5 13" xfId="8588"/>
    <cellStyle name="Currency 5 14" xfId="8589"/>
    <cellStyle name="Currency 5 15" xfId="8590"/>
    <cellStyle name="Currency 5 16" xfId="8591"/>
    <cellStyle name="Currency 5 17" xfId="8592"/>
    <cellStyle name="Currency 5 18" xfId="5304"/>
    <cellStyle name="Currency 5 2" xfId="377"/>
    <cellStyle name="Currency 5 2 2" xfId="4315"/>
    <cellStyle name="Currency 5 3" xfId="1583"/>
    <cellStyle name="Currency 5 3 2" xfId="5500"/>
    <cellStyle name="Currency 5 4" xfId="1585"/>
    <cellStyle name="Currency 5 4 2" xfId="5502"/>
    <cellStyle name="Currency 5 5" xfId="1588"/>
    <cellStyle name="Currency 5 5 2" xfId="5505"/>
    <cellStyle name="Currency 5 6" xfId="1590"/>
    <cellStyle name="Currency 5 6 2" xfId="5507"/>
    <cellStyle name="Currency 5 7" xfId="1593"/>
    <cellStyle name="Currency 5 7 2" xfId="5510"/>
    <cellStyle name="Currency 5 8" xfId="1597"/>
    <cellStyle name="Currency 5 8 2" xfId="5514"/>
    <cellStyle name="Currency 5 9" xfId="8593"/>
    <cellStyle name="Currency 6" xfId="1392"/>
    <cellStyle name="Currency 6 2" xfId="5308"/>
    <cellStyle name="Emphasis 1" xfId="1598"/>
    <cellStyle name="Emphasis 1 2" xfId="627"/>
    <cellStyle name="Emphasis 1 2 2" xfId="4556"/>
    <cellStyle name="Emphasis 1 3" xfId="1600"/>
    <cellStyle name="Emphasis 1 3 2" xfId="5517"/>
    <cellStyle name="Emphasis 1 4" xfId="5515"/>
    <cellStyle name="Emphasis 2" xfId="1602"/>
    <cellStyle name="Emphasis 2 2" xfId="1605"/>
    <cellStyle name="Emphasis 2 2 2" xfId="5524"/>
    <cellStyle name="Emphasis 2 3" xfId="1612"/>
    <cellStyle name="Emphasis 2 3 2" xfId="5531"/>
    <cellStyle name="Emphasis 2 4" xfId="5519"/>
    <cellStyle name="Emphasis 3" xfId="1619"/>
    <cellStyle name="Emphasis 3 2" xfId="1620"/>
    <cellStyle name="Emphasis 3 2 2" xfId="5535"/>
    <cellStyle name="Emphasis 3 3" xfId="1628"/>
    <cellStyle name="Emphasis 3 3 2" xfId="5541"/>
    <cellStyle name="Emphasis 3 4" xfId="5534"/>
    <cellStyle name="Entered" xfId="701"/>
    <cellStyle name="Entered 2" xfId="1565"/>
    <cellStyle name="Entered 2 2" xfId="1632"/>
    <cellStyle name="Entered 2 2 2" xfId="5547"/>
    <cellStyle name="Entered 2 3" xfId="5483"/>
    <cellStyle name="Entered 3" xfId="1633"/>
    <cellStyle name="Entered 3 2" xfId="5548"/>
    <cellStyle name="Entered 4" xfId="4627"/>
    <cellStyle name="Entered_Kallepally-Gunturpalli (Bejjenki)6m-2v" xfId="1635"/>
    <cellStyle name="Euro" xfId="1638"/>
    <cellStyle name="Euro 10" xfId="8594"/>
    <cellStyle name="Euro 11" xfId="8595"/>
    <cellStyle name="Euro 12" xfId="8596"/>
    <cellStyle name="Euro 13" xfId="8597"/>
    <cellStyle name="Euro 14" xfId="8598"/>
    <cellStyle name="Euro 15" xfId="8599"/>
    <cellStyle name="Euro 16" xfId="8600"/>
    <cellStyle name="Euro 17" xfId="8601"/>
    <cellStyle name="Euro 18" xfId="5551"/>
    <cellStyle name="Euro 2" xfId="1641"/>
    <cellStyle name="Euro 2 2" xfId="5553"/>
    <cellStyle name="Euro 3" xfId="1644"/>
    <cellStyle name="Euro 3 2" xfId="5556"/>
    <cellStyle name="Euro 4" xfId="1647"/>
    <cellStyle name="Euro 4 2" xfId="5558"/>
    <cellStyle name="Euro 5" xfId="1650"/>
    <cellStyle name="Euro 5 2" xfId="5561"/>
    <cellStyle name="Euro 6" xfId="1651"/>
    <cellStyle name="Euro 6 2" xfId="5564"/>
    <cellStyle name="Euro 7" xfId="535"/>
    <cellStyle name="Euro 7 2" xfId="4470"/>
    <cellStyle name="Euro 8" xfId="12"/>
    <cellStyle name="Euro 8 2" xfId="3976"/>
    <cellStyle name="Euro 9" xfId="8602"/>
    <cellStyle name="Excel Built-in Normal" xfId="848"/>
    <cellStyle name="Excel Built-in Normal 2" xfId="1653"/>
    <cellStyle name="Excel Built-in Normal 2 2" xfId="5566"/>
    <cellStyle name="Excel Built-in Normal 3" xfId="1656"/>
    <cellStyle name="Excel Built-in Normal 3 2" xfId="5570"/>
    <cellStyle name="Excel Built-in Normal 4" xfId="4774"/>
    <cellStyle name="Excel Built-in Normal_Schedule-1" xfId="8603"/>
    <cellStyle name="Explanatory Text 2" xfId="1659"/>
    <cellStyle name="Explanatory Text 2 2" xfId="1662"/>
    <cellStyle name="Explanatory Text 2 2 2" xfId="5575"/>
    <cellStyle name="Explanatory Text 2 3" xfId="1120"/>
    <cellStyle name="Explanatory Text 2 3 2" xfId="5043"/>
    <cellStyle name="Explanatory Text 2 4" xfId="5573"/>
    <cellStyle name="Explanatory Text 3" xfId="1664"/>
    <cellStyle name="Explanatory Text 3 2" xfId="5578"/>
    <cellStyle name="Explanatory Text 4" xfId="8604"/>
    <cellStyle name="Explanatory Text 5" xfId="8605"/>
    <cellStyle name="Fixed" xfId="1365"/>
    <cellStyle name="Fixed 10" xfId="8606"/>
    <cellStyle name="Fixed 11" xfId="8607"/>
    <cellStyle name="Fixed 12" xfId="8608"/>
    <cellStyle name="Fixed 13" xfId="8609"/>
    <cellStyle name="Fixed 14" xfId="8610"/>
    <cellStyle name="Fixed 15" xfId="8611"/>
    <cellStyle name="Fixed 16" xfId="8612"/>
    <cellStyle name="Fixed 17" xfId="8613"/>
    <cellStyle name="Fixed 18" xfId="5283"/>
    <cellStyle name="Fixed 2" xfId="1370"/>
    <cellStyle name="Fixed 2 2" xfId="5287"/>
    <cellStyle name="Fixed 3" xfId="1374"/>
    <cellStyle name="Fixed 3 2" xfId="5291"/>
    <cellStyle name="Fixed 4" xfId="532"/>
    <cellStyle name="Fixed 4 2" xfId="8614"/>
    <cellStyle name="Fixed 4 3" xfId="4466"/>
    <cellStyle name="Fixed 5" xfId="73"/>
    <cellStyle name="Fixed 5 2" xfId="4025"/>
    <cellStyle name="Fixed 6" xfId="50"/>
    <cellStyle name="Fixed 6 2" xfId="3999"/>
    <cellStyle name="Fixed 7" xfId="79"/>
    <cellStyle name="Fixed 7 2" xfId="4031"/>
    <cellStyle name="Fixed 8" xfId="87"/>
    <cellStyle name="Fixed 8 2" xfId="4038"/>
    <cellStyle name="Fixed 9" xfId="8615"/>
    <cellStyle name="general" xfId="1530"/>
    <cellStyle name="general 10" xfId="554"/>
    <cellStyle name="general 10 10" xfId="8616"/>
    <cellStyle name="general 10 11" xfId="8617"/>
    <cellStyle name="general 10 12" xfId="8618"/>
    <cellStyle name="general 10 13" xfId="8619"/>
    <cellStyle name="general 10 14" xfId="8620"/>
    <cellStyle name="general 10 15" xfId="8621"/>
    <cellStyle name="general 10 16" xfId="8622"/>
    <cellStyle name="general 10 17" xfId="8623"/>
    <cellStyle name="general 10 18" xfId="4490"/>
    <cellStyle name="general 10 2" xfId="1668"/>
    <cellStyle name="general 10 2 2" xfId="5581"/>
    <cellStyle name="general 10 3" xfId="1670"/>
    <cellStyle name="general 10 3 2" xfId="5584"/>
    <cellStyle name="general 10 4" xfId="776"/>
    <cellStyle name="general 10 4 2" xfId="4705"/>
    <cellStyle name="general 10 5" xfId="1672"/>
    <cellStyle name="general 10 5 2" xfId="5586"/>
    <cellStyle name="general 10 6" xfId="1674"/>
    <cellStyle name="general 10 6 2" xfId="5588"/>
    <cellStyle name="general 10 7" xfId="1676"/>
    <cellStyle name="general 10 7 2" xfId="5590"/>
    <cellStyle name="general 10 8" xfId="1678"/>
    <cellStyle name="general 10 8 2" xfId="5593"/>
    <cellStyle name="general 10 9" xfId="8624"/>
    <cellStyle name="general 11" xfId="1681"/>
    <cellStyle name="general 11 2" xfId="5594"/>
    <cellStyle name="general 12" xfId="1682"/>
    <cellStyle name="general 12 2" xfId="5595"/>
    <cellStyle name="general 13" xfId="1661"/>
    <cellStyle name="general 13 2" xfId="5572"/>
    <cellStyle name="general 14" xfId="1666"/>
    <cellStyle name="general 14 2" xfId="5577"/>
    <cellStyle name="general 15" xfId="764"/>
    <cellStyle name="general 15 2" xfId="4691"/>
    <cellStyle name="general 16" xfId="1684"/>
    <cellStyle name="general 16 2" xfId="5596"/>
    <cellStyle name="general 17" xfId="1686"/>
    <cellStyle name="general 17 2" xfId="5598"/>
    <cellStyle name="general 18" xfId="8625"/>
    <cellStyle name="general 19" xfId="8626"/>
    <cellStyle name="general 2" xfId="1356"/>
    <cellStyle name="general 2 10" xfId="8627"/>
    <cellStyle name="general 2 11" xfId="8628"/>
    <cellStyle name="general 2 12" xfId="8629"/>
    <cellStyle name="general 2 13" xfId="8630"/>
    <cellStyle name="general 2 14" xfId="8631"/>
    <cellStyle name="general 2 15" xfId="8632"/>
    <cellStyle name="general 2 16" xfId="8633"/>
    <cellStyle name="general 2 17" xfId="8634"/>
    <cellStyle name="general 2 18" xfId="5275"/>
    <cellStyle name="general 2 2" xfId="1687"/>
    <cellStyle name="general 2 2 2" xfId="5600"/>
    <cellStyle name="general 2 3" xfId="512"/>
    <cellStyle name="general 2 3 2" xfId="4450"/>
    <cellStyle name="general 2 4" xfId="1689"/>
    <cellStyle name="general 2 4 2" xfId="5602"/>
    <cellStyle name="general 2 5" xfId="1691"/>
    <cellStyle name="general 2 5 2" xfId="5604"/>
    <cellStyle name="general 2 6" xfId="1693"/>
    <cellStyle name="general 2 6 2" xfId="5606"/>
    <cellStyle name="general 2 7" xfId="1695"/>
    <cellStyle name="general 2 7 2" xfId="5608"/>
    <cellStyle name="general 2 8" xfId="1697"/>
    <cellStyle name="general 2 8 2" xfId="5610"/>
    <cellStyle name="general 2 9" xfId="8635"/>
    <cellStyle name="general 20" xfId="8636"/>
    <cellStyle name="general 21" xfId="8637"/>
    <cellStyle name="general 22" xfId="8638"/>
    <cellStyle name="general 23" xfId="8639"/>
    <cellStyle name="general 24" xfId="8640"/>
    <cellStyle name="general 25" xfId="8641"/>
    <cellStyle name="general 26" xfId="8642"/>
    <cellStyle name="general 27" xfId="5446"/>
    <cellStyle name="general 3" xfId="1360"/>
    <cellStyle name="general 3 10" xfId="8643"/>
    <cellStyle name="general 3 11" xfId="8644"/>
    <cellStyle name="general 3 12" xfId="8645"/>
    <cellStyle name="general 3 13" xfId="8646"/>
    <cellStyle name="general 3 14" xfId="8647"/>
    <cellStyle name="general 3 15" xfId="8648"/>
    <cellStyle name="general 3 16" xfId="8649"/>
    <cellStyle name="general 3 17" xfId="8650"/>
    <cellStyle name="general 3 18" xfId="5279"/>
    <cellStyle name="general 3 2" xfId="459"/>
    <cellStyle name="general 3 2 2" xfId="4397"/>
    <cellStyle name="general 3 3" xfId="656"/>
    <cellStyle name="general 3 3 2" xfId="4587"/>
    <cellStyle name="general 3 4" xfId="422"/>
    <cellStyle name="general 3 4 2" xfId="4361"/>
    <cellStyle name="general 3 5" xfId="433"/>
    <cellStyle name="general 3 5 2" xfId="4369"/>
    <cellStyle name="general 3 6" xfId="567"/>
    <cellStyle name="general 3 6 2" xfId="4498"/>
    <cellStyle name="general 3 7" xfId="1153"/>
    <cellStyle name="general 3 7 2" xfId="5072"/>
    <cellStyle name="general 3 8" xfId="1699"/>
    <cellStyle name="general 3 8 2" xfId="5612"/>
    <cellStyle name="general 3 9" xfId="8651"/>
    <cellStyle name="general 4" xfId="239"/>
    <cellStyle name="general 4 10" xfId="8652"/>
    <cellStyle name="general 4 11" xfId="8653"/>
    <cellStyle name="general 4 12" xfId="8654"/>
    <cellStyle name="general 4 13" xfId="8655"/>
    <cellStyle name="general 4 14" xfId="8656"/>
    <cellStyle name="general 4 15" xfId="8657"/>
    <cellStyle name="general 4 16" xfId="8658"/>
    <cellStyle name="general 4 17" xfId="8659"/>
    <cellStyle name="general 4 18" xfId="4189"/>
    <cellStyle name="general 4 2" xfId="244"/>
    <cellStyle name="general 4 2 2" xfId="4194"/>
    <cellStyle name="general 4 3" xfId="246"/>
    <cellStyle name="general 4 3 2" xfId="4196"/>
    <cellStyle name="general 4 4" xfId="435"/>
    <cellStyle name="general 4 4 2" xfId="4375"/>
    <cellStyle name="general 4 5" xfId="444"/>
    <cellStyle name="general 4 5 2" xfId="4381"/>
    <cellStyle name="general 4 6" xfId="1700"/>
    <cellStyle name="general 4 6 2" xfId="5613"/>
    <cellStyle name="general 4 7" xfId="1701"/>
    <cellStyle name="general 4 7 2" xfId="5614"/>
    <cellStyle name="general 4 8" xfId="1702"/>
    <cellStyle name="general 4 8 2" xfId="5615"/>
    <cellStyle name="general 4 9" xfId="8660"/>
    <cellStyle name="general 5" xfId="138"/>
    <cellStyle name="general 5 10" xfId="8661"/>
    <cellStyle name="general 5 11" xfId="8662"/>
    <cellStyle name="general 5 12" xfId="8663"/>
    <cellStyle name="general 5 13" xfId="8664"/>
    <cellStyle name="general 5 14" xfId="8665"/>
    <cellStyle name="general 5 15" xfId="8666"/>
    <cellStyle name="general 5 16" xfId="8667"/>
    <cellStyle name="general 5 17" xfId="8668"/>
    <cellStyle name="general 5 18" xfId="4163"/>
    <cellStyle name="general 5 2" xfId="1703"/>
    <cellStyle name="general 5 2 2" xfId="5616"/>
    <cellStyle name="general 5 3" xfId="1704"/>
    <cellStyle name="general 5 3 2" xfId="5617"/>
    <cellStyle name="general 5 4" xfId="124"/>
    <cellStyle name="general 5 4 2" xfId="4068"/>
    <cellStyle name="general 5 5" xfId="449"/>
    <cellStyle name="general 5 5 2" xfId="4389"/>
    <cellStyle name="general 5 6" xfId="1706"/>
    <cellStyle name="general 5 6 2" xfId="5619"/>
    <cellStyle name="general 5 7" xfId="1708"/>
    <cellStyle name="general 5 7 2" xfId="5621"/>
    <cellStyle name="general 5 8" xfId="1712"/>
    <cellStyle name="general 5 8 2" xfId="5625"/>
    <cellStyle name="general 5 9" xfId="8669"/>
    <cellStyle name="general 6" xfId="1713"/>
    <cellStyle name="general 6 10" xfId="8670"/>
    <cellStyle name="general 6 11" xfId="8671"/>
    <cellStyle name="general 6 12" xfId="8672"/>
    <cellStyle name="general 6 13" xfId="8673"/>
    <cellStyle name="general 6 14" xfId="8674"/>
    <cellStyle name="general 6 15" xfId="8675"/>
    <cellStyle name="general 6 16" xfId="8676"/>
    <cellStyle name="general 6 17" xfId="8677"/>
    <cellStyle name="general 6 18" xfId="5626"/>
    <cellStyle name="general 6 2" xfId="1284"/>
    <cellStyle name="general 6 2 2" xfId="5204"/>
    <cellStyle name="general 6 3" xfId="1286"/>
    <cellStyle name="general 6 3 2" xfId="5206"/>
    <cellStyle name="general 6 4" xfId="451"/>
    <cellStyle name="general 6 4 2" xfId="4391"/>
    <cellStyle name="general 6 5" xfId="411"/>
    <cellStyle name="general 6 5 2" xfId="4352"/>
    <cellStyle name="general 6 6" xfId="1288"/>
    <cellStyle name="general 6 6 2" xfId="5208"/>
    <cellStyle name="general 6 7" xfId="1281"/>
    <cellStyle name="general 6 7 2" xfId="5201"/>
    <cellStyle name="general 6 8" xfId="1290"/>
    <cellStyle name="general 6 8 2" xfId="5210"/>
    <cellStyle name="general 6 9" xfId="8678"/>
    <cellStyle name="general 7" xfId="1714"/>
    <cellStyle name="general 7 10" xfId="8679"/>
    <cellStyle name="general 7 11" xfId="8680"/>
    <cellStyle name="general 7 12" xfId="8681"/>
    <cellStyle name="general 7 13" xfId="8682"/>
    <cellStyle name="general 7 14" xfId="8683"/>
    <cellStyle name="general 7 15" xfId="8684"/>
    <cellStyle name="general 7 16" xfId="8685"/>
    <cellStyle name="general 7 17" xfId="8686"/>
    <cellStyle name="general 7 18" xfId="5627"/>
    <cellStyle name="general 7 2" xfId="1716"/>
    <cellStyle name="general 7 2 2" xfId="5628"/>
    <cellStyle name="general 7 3" xfId="1717"/>
    <cellStyle name="general 7 3 2" xfId="5629"/>
    <cellStyle name="general 7 4" xfId="461"/>
    <cellStyle name="general 7 4 2" xfId="4401"/>
    <cellStyle name="general 7 5" xfId="471"/>
    <cellStyle name="general 7 5 2" xfId="4411"/>
    <cellStyle name="general 7 6" xfId="1718"/>
    <cellStyle name="general 7 6 2" xfId="5630"/>
    <cellStyle name="general 7 7" xfId="1719"/>
    <cellStyle name="general 7 7 2" xfId="5631"/>
    <cellStyle name="general 7 8" xfId="1720"/>
    <cellStyle name="general 7 8 2" xfId="5632"/>
    <cellStyle name="general 7 9" xfId="8687"/>
    <cellStyle name="general 8" xfId="347"/>
    <cellStyle name="general 8 10" xfId="8688"/>
    <cellStyle name="general 8 11" xfId="8689"/>
    <cellStyle name="general 8 12" xfId="8690"/>
    <cellStyle name="general 8 13" xfId="8691"/>
    <cellStyle name="general 8 14" xfId="8692"/>
    <cellStyle name="general 8 15" xfId="8693"/>
    <cellStyle name="general 8 16" xfId="8694"/>
    <cellStyle name="general 8 17" xfId="8695"/>
    <cellStyle name="general 8 18" xfId="4293"/>
    <cellStyle name="general 8 2" xfId="355"/>
    <cellStyle name="general 8 2 2" xfId="4298"/>
    <cellStyle name="general 8 3" xfId="357"/>
    <cellStyle name="general 8 3 2" xfId="4300"/>
    <cellStyle name="general 8 4" xfId="474"/>
    <cellStyle name="general 8 4 2" xfId="4416"/>
    <cellStyle name="general 8 5" xfId="488"/>
    <cellStyle name="general 8 5 2" xfId="4430"/>
    <cellStyle name="general 8 6" xfId="1401"/>
    <cellStyle name="general 8 6 2" xfId="5319"/>
    <cellStyle name="general 8 7" xfId="1405"/>
    <cellStyle name="general 8 7 2" xfId="5323"/>
    <cellStyle name="general 8 8" xfId="1409"/>
    <cellStyle name="general 8 8 2" xfId="5327"/>
    <cellStyle name="general 8 9" xfId="8696"/>
    <cellStyle name="general 9" xfId="360"/>
    <cellStyle name="general 9 10" xfId="8697"/>
    <cellStyle name="general 9 11" xfId="8698"/>
    <cellStyle name="general 9 12" xfId="8699"/>
    <cellStyle name="general 9 13" xfId="8700"/>
    <cellStyle name="general 9 14" xfId="8701"/>
    <cellStyle name="general 9 15" xfId="8702"/>
    <cellStyle name="general 9 16" xfId="8703"/>
    <cellStyle name="general 9 17" xfId="8704"/>
    <cellStyle name="general 9 18" xfId="4303"/>
    <cellStyle name="general 9 2" xfId="1722"/>
    <cellStyle name="general 9 2 2" xfId="5634"/>
    <cellStyle name="general 9 3" xfId="1724"/>
    <cellStyle name="general 9 3 2" xfId="5636"/>
    <cellStyle name="general 9 4" xfId="1726"/>
    <cellStyle name="general 9 4 2" xfId="5638"/>
    <cellStyle name="general 9 5" xfId="1728"/>
    <cellStyle name="general 9 5 2" xfId="5640"/>
    <cellStyle name="general 9 6" xfId="1730"/>
    <cellStyle name="general 9 6 2" xfId="5642"/>
    <cellStyle name="general 9 7" xfId="1732"/>
    <cellStyle name="general 9 7 2" xfId="5644"/>
    <cellStyle name="general 9 8" xfId="1734"/>
    <cellStyle name="general 9 8 2" xfId="5646"/>
    <cellStyle name="general 9 9" xfId="8705"/>
    <cellStyle name="general_Achampally-Gattubuthkur-Ganga-CRR" xfId="1715"/>
    <cellStyle name="Good 2" xfId="1737"/>
    <cellStyle name="Good 2 2" xfId="575"/>
    <cellStyle name="Good 2 2 2" xfId="4508"/>
    <cellStyle name="Good 2 3" xfId="1413"/>
    <cellStyle name="Good 2 3 2" xfId="5331"/>
    <cellStyle name="Good 2 4" xfId="5649"/>
    <cellStyle name="Good 3" xfId="1739"/>
    <cellStyle name="Good 3 2" xfId="5651"/>
    <cellStyle name="Good 4" xfId="8706"/>
    <cellStyle name="Good 5" xfId="8707"/>
    <cellStyle name="Grey" xfId="1710"/>
    <cellStyle name="Grey 2" xfId="789"/>
    <cellStyle name="Grey 2 2" xfId="4717"/>
    <cellStyle name="Grey 3" xfId="934"/>
    <cellStyle name="Grey 3 2" xfId="4856"/>
    <cellStyle name="Grey 4" xfId="5623"/>
    <cellStyle name="Grey_Main-Est-Formats-puligundala" xfId="1742"/>
    <cellStyle name="Header1" xfId="1576"/>
    <cellStyle name="Header1 2" xfId="162"/>
    <cellStyle name="Header1 2 2" xfId="4095"/>
    <cellStyle name="Header1 3" xfId="176"/>
    <cellStyle name="Header1 3 2" xfId="4110"/>
    <cellStyle name="Header1 4" xfId="5493"/>
    <cellStyle name="Header2" xfId="1579"/>
    <cellStyle name="Header2 2" xfId="1213"/>
    <cellStyle name="Header2 2 2" xfId="5133"/>
    <cellStyle name="Header2 3" xfId="1216"/>
    <cellStyle name="Header2 3 2" xfId="5136"/>
    <cellStyle name="Header2 4" xfId="5496"/>
    <cellStyle name="Heading 1 2" xfId="1746"/>
    <cellStyle name="Heading 1 2 2" xfId="1748"/>
    <cellStyle name="Heading 1 2 2 2" xfId="5659"/>
    <cellStyle name="Heading 1 2 3" xfId="1750"/>
    <cellStyle name="Heading 1 2 3 2" xfId="5661"/>
    <cellStyle name="Heading 1 2 4" xfId="5657"/>
    <cellStyle name="Heading 1 3" xfId="1751"/>
    <cellStyle name="Heading 1 3 2" xfId="5662"/>
    <cellStyle name="Heading 1 4" xfId="8708"/>
    <cellStyle name="Heading 1 5" xfId="8709"/>
    <cellStyle name="Heading 2 2" xfId="466"/>
    <cellStyle name="Heading 2 2 2" xfId="1144"/>
    <cellStyle name="Heading 2 2 2 2" xfId="5065"/>
    <cellStyle name="Heading 2 2 3" xfId="107"/>
    <cellStyle name="Heading 2 2 3 2" xfId="4055"/>
    <cellStyle name="Heading 2 2 4" xfId="4408"/>
    <cellStyle name="Heading 2 3" xfId="1752"/>
    <cellStyle name="Heading 2 3 2" xfId="5663"/>
    <cellStyle name="Heading 2 4" xfId="8710"/>
    <cellStyle name="Heading 2 5" xfId="8711"/>
    <cellStyle name="Heading 3 2" xfId="94"/>
    <cellStyle name="Heading 3 2 2" xfId="1230"/>
    <cellStyle name="Heading 3 2 2 2" xfId="5150"/>
    <cellStyle name="Heading 3 2 3" xfId="1235"/>
    <cellStyle name="Heading 3 2 3 2" xfId="5155"/>
    <cellStyle name="Heading 3 2 4" xfId="4159"/>
    <cellStyle name="Heading 3 3" xfId="29"/>
    <cellStyle name="Heading 3 3 2" xfId="4152"/>
    <cellStyle name="Heading 3 4" xfId="8712"/>
    <cellStyle name="Heading 3 5" xfId="8713"/>
    <cellStyle name="Heading 4 2" xfId="1278"/>
    <cellStyle name="Heading 4 2 2" xfId="1636"/>
    <cellStyle name="Heading 4 2 2 2" xfId="5550"/>
    <cellStyle name="Heading 4 2 3" xfId="1753"/>
    <cellStyle name="Heading 4 2 3 2" xfId="5664"/>
    <cellStyle name="Heading 4 2 4" xfId="5198"/>
    <cellStyle name="Heading 4 3" xfId="1555"/>
    <cellStyle name="Heading 4 3 2" xfId="5472"/>
    <cellStyle name="Heading 4 4" xfId="8714"/>
    <cellStyle name="Heading 4 5" xfId="8715"/>
    <cellStyle name="Hyperlink" xfId="25" builtinId="8"/>
    <cellStyle name="Hyperlink 2" xfId="541"/>
    <cellStyle name="Hyperlink 2 2" xfId="1756"/>
    <cellStyle name="Hyperlink 2 2 2" xfId="5667"/>
    <cellStyle name="Hyperlink 2 3" xfId="1759"/>
    <cellStyle name="Hyperlink 2 3 2" xfId="5670"/>
    <cellStyle name="Hyperlink 2 4" xfId="4477"/>
    <cellStyle name="Hyperlink 2_Rukmapur (CPD)-wk" xfId="183"/>
    <cellStyle name="Hyperlink 3" xfId="3983"/>
    <cellStyle name="Input [yellow]" xfId="1384"/>
    <cellStyle name="Input [yellow] 2" xfId="376"/>
    <cellStyle name="Input [yellow] 2 2" xfId="4314"/>
    <cellStyle name="Input [yellow] 3" xfId="1582"/>
    <cellStyle name="Input [yellow] 3 2" xfId="5499"/>
    <cellStyle name="Input [yellow] 4" xfId="5302"/>
    <cellStyle name="Input [yellow]_Main-Est-Formats-puligundala" xfId="1761"/>
    <cellStyle name="Input 10" xfId="8716"/>
    <cellStyle name="Input 11" xfId="8717"/>
    <cellStyle name="Input 12" xfId="8718"/>
    <cellStyle name="Input 13" xfId="8719"/>
    <cellStyle name="Input 14" xfId="8720"/>
    <cellStyle name="Input 15" xfId="8721"/>
    <cellStyle name="Input 16" xfId="8722"/>
    <cellStyle name="Input 17" xfId="8723"/>
    <cellStyle name="Input 2" xfId="862"/>
    <cellStyle name="Input 2 2" xfId="201"/>
    <cellStyle name="Input 2 2 2" xfId="4175"/>
    <cellStyle name="Input 2 3" xfId="1220"/>
    <cellStyle name="Input 2 3 2" xfId="5140"/>
    <cellStyle name="Input 2 4" xfId="4789"/>
    <cellStyle name="Input 3" xfId="871"/>
    <cellStyle name="Input 3 2" xfId="8724"/>
    <cellStyle name="Input 3 3" xfId="8725"/>
    <cellStyle name="Input 3 4" xfId="4793"/>
    <cellStyle name="Input 4" xfId="8726"/>
    <cellStyle name="Input 5" xfId="8727"/>
    <cellStyle name="Input 6" xfId="8728"/>
    <cellStyle name="Input 7" xfId="8729"/>
    <cellStyle name="Input 8" xfId="8730"/>
    <cellStyle name="Input 9" xfId="8731"/>
    <cellStyle name="Linked Cell 2" xfId="1766"/>
    <cellStyle name="Linked Cell 2 2" xfId="1768"/>
    <cellStyle name="Linked Cell 2 2 2" xfId="5678"/>
    <cellStyle name="Linked Cell 2 3" xfId="1770"/>
    <cellStyle name="Linked Cell 2 3 2" xfId="5680"/>
    <cellStyle name="Linked Cell 2 4" xfId="5676"/>
    <cellStyle name="Linked Cell 3" xfId="1772"/>
    <cellStyle name="Linked Cell 3 2" xfId="5682"/>
    <cellStyle name="Linked Cell 4" xfId="8732"/>
    <cellStyle name="Linked Cell 5" xfId="8733"/>
    <cellStyle name="M head" xfId="911"/>
    <cellStyle name="M head 2" xfId="1774"/>
    <cellStyle name="M head 2 2" xfId="5683"/>
    <cellStyle name="M head 3" xfId="1776"/>
    <cellStyle name="M head 3 2" xfId="5685"/>
    <cellStyle name="M head 4" xfId="1779"/>
    <cellStyle name="M head 4 2" xfId="5688"/>
    <cellStyle name="M head 5" xfId="4837"/>
    <cellStyle name="M Head_2015-16 MASTER CC ROAD &amp; DRAIN" xfId="8734"/>
    <cellStyle name="Main Heading" xfId="93"/>
    <cellStyle name="Main Heading 2" xfId="4158"/>
    <cellStyle name="MANKAD" xfId="1624"/>
    <cellStyle name="MANKAD 2" xfId="989"/>
    <cellStyle name="MANKAD 2 2" xfId="4910"/>
    <cellStyle name="MANKAD 3" xfId="992"/>
    <cellStyle name="MANKAD 3 2" xfId="4913"/>
    <cellStyle name="MANKAD 4" xfId="479"/>
    <cellStyle name="MANKAD 4 2" xfId="4418"/>
    <cellStyle name="MANKAD 5" xfId="1780"/>
    <cellStyle name="MANKAD 5 2" xfId="5690"/>
    <cellStyle name="MANKAD 6" xfId="5538"/>
    <cellStyle name="Minor Head" xfId="870"/>
    <cellStyle name="Minor Head 2" xfId="1224"/>
    <cellStyle name="Minor Head 2 2" xfId="5146"/>
    <cellStyle name="Minor Head 3" xfId="731"/>
    <cellStyle name="Minor Head 3 2" xfId="4658"/>
    <cellStyle name="Minor Head 4" xfId="4795"/>
    <cellStyle name="Neutral 2" xfId="1240"/>
    <cellStyle name="Neutral 2 2" xfId="1781"/>
    <cellStyle name="Neutral 2 2 2" xfId="5691"/>
    <cellStyle name="Neutral 2 3" xfId="1741"/>
    <cellStyle name="Neutral 2 3 2" xfId="5653"/>
    <cellStyle name="Neutral 2 4" xfId="5160"/>
    <cellStyle name="Neutral 3" xfId="904"/>
    <cellStyle name="Neutral 3 2" xfId="4830"/>
    <cellStyle name="Neutral 4" xfId="8735"/>
    <cellStyle name="Neutral 5" xfId="8736"/>
    <cellStyle name="no dec" xfId="310"/>
    <cellStyle name="no dec 2" xfId="1785"/>
    <cellStyle name="no dec 2 2" xfId="1199"/>
    <cellStyle name="no dec 2 2 2" xfId="5119"/>
    <cellStyle name="no dec 2 3" xfId="5693"/>
    <cellStyle name="no dec 3" xfId="1787"/>
    <cellStyle name="no dec 3 2" xfId="5696"/>
    <cellStyle name="no dec 4" xfId="1789"/>
    <cellStyle name="no dec 4 2" xfId="5698"/>
    <cellStyle name="no dec 5" xfId="1791"/>
    <cellStyle name="no dec 5 2" xfId="5700"/>
    <cellStyle name="no dec 6" xfId="4257"/>
    <cellStyle name="no dec_Kallepally-Gunturpalli (Bejjenki)6m-2v" xfId="191"/>
    <cellStyle name="Normal" xfId="0" builtinId="0"/>
    <cellStyle name="Normal - Style1" xfId="206"/>
    <cellStyle name="Normal - Style1 10" xfId="539"/>
    <cellStyle name="Normal - Style1 10 2" xfId="8737"/>
    <cellStyle name="Normal - Style1 10 3" xfId="8738"/>
    <cellStyle name="Normal - Style1 10 4" xfId="4473"/>
    <cellStyle name="Normal - Style1 11" xfId="1001"/>
    <cellStyle name="Normal - Style1 11 2" xfId="4920"/>
    <cellStyle name="Normal - Style1 12" xfId="8739"/>
    <cellStyle name="Normal - Style1 13" xfId="8740"/>
    <cellStyle name="Normal - Style1 14" xfId="8741"/>
    <cellStyle name="Normal - Style1 15" xfId="8742"/>
    <cellStyle name="Normal - Style1 16" xfId="8743"/>
    <cellStyle name="Normal - Style1 17" xfId="8744"/>
    <cellStyle name="Normal - Style1 18" xfId="8745"/>
    <cellStyle name="Normal - Style1 19" xfId="8746"/>
    <cellStyle name="Normal - Style1 2" xfId="346"/>
    <cellStyle name="Normal - Style1 2 10" xfId="1077"/>
    <cellStyle name="Normal - Style1 2 10 10" xfId="8747"/>
    <cellStyle name="Normal - Style1 2 10 11" xfId="8748"/>
    <cellStyle name="Normal - Style1 2 10 12" xfId="8749"/>
    <cellStyle name="Normal - Style1 2 10 13" xfId="8750"/>
    <cellStyle name="Normal - Style1 2 10 14" xfId="8751"/>
    <cellStyle name="Normal - Style1 2 10 15" xfId="8752"/>
    <cellStyle name="Normal - Style1 2 10 16" xfId="8753"/>
    <cellStyle name="Normal - Style1 2 10 17" xfId="8754"/>
    <cellStyle name="Normal - Style1 2 10 18" xfId="4994"/>
    <cellStyle name="Normal - Style1 2 10 2" xfId="1587"/>
    <cellStyle name="Normal - Style1 2 10 2 2" xfId="8755"/>
    <cellStyle name="Normal - Style1 2 10 2 3" xfId="5504"/>
    <cellStyle name="Normal - Style1 2 10 3" xfId="1589"/>
    <cellStyle name="Normal - Style1 2 10 3 2" xfId="5506"/>
    <cellStyle name="Normal - Style1 2 10 4" xfId="1591"/>
    <cellStyle name="Normal - Style1 2 10 4 2" xfId="5508"/>
    <cellStyle name="Normal - Style1 2 10 5" xfId="1594"/>
    <cellStyle name="Normal - Style1 2 10 5 2" xfId="5511"/>
    <cellStyle name="Normal - Style1 2 10 6" xfId="1792"/>
    <cellStyle name="Normal - Style1 2 10 6 2" xfId="5702"/>
    <cellStyle name="Normal - Style1 2 10 7" xfId="1794"/>
    <cellStyle name="Normal - Style1 2 10 7 2" xfId="5704"/>
    <cellStyle name="Normal - Style1 2 10 8" xfId="1796"/>
    <cellStyle name="Normal - Style1 2 10 8 2" xfId="5706"/>
    <cellStyle name="Normal - Style1 2 10 9" xfId="8756"/>
    <cellStyle name="Normal - Style1 2 11" xfId="1083"/>
    <cellStyle name="Normal - Style1 2 11 10" xfId="8757"/>
    <cellStyle name="Normal - Style1 2 11 11" xfId="8758"/>
    <cellStyle name="Normal - Style1 2 11 12" xfId="8759"/>
    <cellStyle name="Normal - Style1 2 11 13" xfId="8760"/>
    <cellStyle name="Normal - Style1 2 11 14" xfId="8761"/>
    <cellStyle name="Normal - Style1 2 11 15" xfId="8762"/>
    <cellStyle name="Normal - Style1 2 11 16" xfId="8763"/>
    <cellStyle name="Normal - Style1 2 11 17" xfId="8764"/>
    <cellStyle name="Normal - Style1 2 11 18" xfId="5000"/>
    <cellStyle name="Normal - Style1 2 11 2" xfId="1671"/>
    <cellStyle name="Normal - Style1 2 11 2 2" xfId="5582"/>
    <cellStyle name="Normal - Style1 2 11 3" xfId="777"/>
    <cellStyle name="Normal - Style1 2 11 3 2" xfId="4706"/>
    <cellStyle name="Normal - Style1 2 11 4" xfId="1673"/>
    <cellStyle name="Normal - Style1 2 11 4 2" xfId="5585"/>
    <cellStyle name="Normal - Style1 2 11 5" xfId="1675"/>
    <cellStyle name="Normal - Style1 2 11 5 2" xfId="5587"/>
    <cellStyle name="Normal - Style1 2 11 6" xfId="1677"/>
    <cellStyle name="Normal - Style1 2 11 6 2" xfId="5589"/>
    <cellStyle name="Normal - Style1 2 11 7" xfId="1680"/>
    <cellStyle name="Normal - Style1 2 11 7 2" xfId="5592"/>
    <cellStyle name="Normal - Style1 2 11 8" xfId="1798"/>
    <cellStyle name="Normal - Style1 2 11 8 2" xfId="5708"/>
    <cellStyle name="Normal - Style1 2 11 9" xfId="8765"/>
    <cellStyle name="Normal - Style1 2 12" xfId="1088"/>
    <cellStyle name="Normal - Style1 2 12 2" xfId="5005"/>
    <cellStyle name="Normal - Style1 2 13" xfId="1093"/>
    <cellStyle name="Normal - Style1 2 13 2" xfId="5010"/>
    <cellStyle name="Normal - Style1 2 14" xfId="1098"/>
    <cellStyle name="Normal - Style1 2 14 2" xfId="5015"/>
    <cellStyle name="Normal - Style1 2 15" xfId="1103"/>
    <cellStyle name="Normal - Style1 2 15 2" xfId="5020"/>
    <cellStyle name="Normal - Style1 2 16" xfId="646"/>
    <cellStyle name="Normal - Style1 2 16 2" xfId="4578"/>
    <cellStyle name="Normal - Style1 2 17" xfId="1800"/>
    <cellStyle name="Normal - Style1 2 17 2" xfId="5709"/>
    <cellStyle name="Normal - Style1 2 18" xfId="497"/>
    <cellStyle name="Normal - Style1 2 18 2" xfId="4436"/>
    <cellStyle name="Normal - Style1 2 19" xfId="8766"/>
    <cellStyle name="Normal - Style1 2 2" xfId="354"/>
    <cellStyle name="Normal - Style1 2 2 10" xfId="1801"/>
    <cellStyle name="Normal - Style1 2 2 10 10" xfId="8767"/>
    <cellStyle name="Normal - Style1 2 2 10 11" xfId="8768"/>
    <cellStyle name="Normal - Style1 2 2 10 12" xfId="8769"/>
    <cellStyle name="Normal - Style1 2 2 10 13" xfId="8770"/>
    <cellStyle name="Normal - Style1 2 2 10 14" xfId="8771"/>
    <cellStyle name="Normal - Style1 2 2 10 15" xfId="8772"/>
    <cellStyle name="Normal - Style1 2 2 10 16" xfId="8773"/>
    <cellStyle name="Normal - Style1 2 2 10 17" xfId="8774"/>
    <cellStyle name="Normal - Style1 2 2 10 18" xfId="5711"/>
    <cellStyle name="Normal - Style1 2 2 10 2" xfId="1802"/>
    <cellStyle name="Normal - Style1 2 2 10 2 2" xfId="5712"/>
    <cellStyle name="Normal - Style1 2 2 10 3" xfId="1803"/>
    <cellStyle name="Normal - Style1 2 2 10 3 2" xfId="5713"/>
    <cellStyle name="Normal - Style1 2 2 10 4" xfId="1188"/>
    <cellStyle name="Normal - Style1 2 2 10 4 2" xfId="5105"/>
    <cellStyle name="Normal - Style1 2 2 10 5" xfId="393"/>
    <cellStyle name="Normal - Style1 2 2 10 5 2" xfId="4337"/>
    <cellStyle name="Normal - Style1 2 2 10 6" xfId="404"/>
    <cellStyle name="Normal - Style1 2 2 10 6 2" xfId="4347"/>
    <cellStyle name="Normal - Style1 2 2 10 7" xfId="1193"/>
    <cellStyle name="Normal - Style1 2 2 10 7 2" xfId="5109"/>
    <cellStyle name="Normal - Style1 2 2 10 8" xfId="1197"/>
    <cellStyle name="Normal - Style1 2 2 10 8 2" xfId="5114"/>
    <cellStyle name="Normal - Style1 2 2 10 9" xfId="8775"/>
    <cellStyle name="Normal - Style1 2 2 11" xfId="1804"/>
    <cellStyle name="Normal - Style1 2 2 11 2" xfId="5714"/>
    <cellStyle name="Normal - Style1 2 2 12" xfId="1805"/>
    <cellStyle name="Normal - Style1 2 2 12 2" xfId="5715"/>
    <cellStyle name="Normal - Style1 2 2 13" xfId="1806"/>
    <cellStyle name="Normal - Style1 2 2 13 2" xfId="5716"/>
    <cellStyle name="Normal - Style1 2 2 14" xfId="1807"/>
    <cellStyle name="Normal - Style1 2 2 14 2" xfId="5717"/>
    <cellStyle name="Normal - Style1 2 2 15" xfId="1147"/>
    <cellStyle name="Normal - Style1 2 2 15 2" xfId="5069"/>
    <cellStyle name="Normal - Style1 2 2 16" xfId="1809"/>
    <cellStyle name="Normal - Style1 2 2 16 2" xfId="5719"/>
    <cellStyle name="Normal - Style1 2 2 17" xfId="1812"/>
    <cellStyle name="Normal - Style1 2 2 17 2" xfId="5722"/>
    <cellStyle name="Normal - Style1 2 2 18" xfId="8776"/>
    <cellStyle name="Normal - Style1 2 2 19" xfId="8777"/>
    <cellStyle name="Normal - Style1 2 2 2" xfId="1814"/>
    <cellStyle name="Normal - Style1 2 2 2 10" xfId="8778"/>
    <cellStyle name="Normal - Style1 2 2 2 11" xfId="8779"/>
    <cellStyle name="Normal - Style1 2 2 2 12" xfId="8780"/>
    <cellStyle name="Normal - Style1 2 2 2 13" xfId="8781"/>
    <cellStyle name="Normal - Style1 2 2 2 14" xfId="8782"/>
    <cellStyle name="Normal - Style1 2 2 2 15" xfId="8783"/>
    <cellStyle name="Normal - Style1 2 2 2 16" xfId="8784"/>
    <cellStyle name="Normal - Style1 2 2 2 17" xfId="8785"/>
    <cellStyle name="Normal - Style1 2 2 2 18" xfId="5724"/>
    <cellStyle name="Normal - Style1 2 2 2 2" xfId="1817"/>
    <cellStyle name="Normal - Style1 2 2 2 2 2" xfId="5727"/>
    <cellStyle name="Normal - Style1 2 2 2 3" xfId="1820"/>
    <cellStyle name="Normal - Style1 2 2 2 3 2" xfId="5730"/>
    <cellStyle name="Normal - Style1 2 2 2 4" xfId="1824"/>
    <cellStyle name="Normal - Style1 2 2 2 4 2" xfId="5733"/>
    <cellStyle name="Normal - Style1 2 2 2 5" xfId="1826"/>
    <cellStyle name="Normal - Style1 2 2 2 5 2" xfId="5735"/>
    <cellStyle name="Normal - Style1 2 2 2 6" xfId="796"/>
    <cellStyle name="Normal - Style1 2 2 2 6 2" xfId="4722"/>
    <cellStyle name="Normal - Style1 2 2 2 7" xfId="582"/>
    <cellStyle name="Normal - Style1 2 2 2 7 2" xfId="4517"/>
    <cellStyle name="Normal - Style1 2 2 2 8" xfId="722"/>
    <cellStyle name="Normal - Style1 2 2 2 8 2" xfId="4653"/>
    <cellStyle name="Normal - Style1 2 2 2 9" xfId="8786"/>
    <cellStyle name="Normal - Style1 2 2 20" xfId="8787"/>
    <cellStyle name="Normal - Style1 2 2 21" xfId="8788"/>
    <cellStyle name="Normal - Style1 2 2 22" xfId="8789"/>
    <cellStyle name="Normal - Style1 2 2 23" xfId="8790"/>
    <cellStyle name="Normal - Style1 2 2 24" xfId="8791"/>
    <cellStyle name="Normal - Style1 2 2 25" xfId="8792"/>
    <cellStyle name="Normal - Style1 2 2 26" xfId="8793"/>
    <cellStyle name="Normal - Style1 2 2 27" xfId="4297"/>
    <cellStyle name="Normal - Style1 2 2 3" xfId="1827"/>
    <cellStyle name="Normal - Style1 2 2 3 10" xfId="8794"/>
    <cellStyle name="Normal - Style1 2 2 3 11" xfId="8795"/>
    <cellStyle name="Normal - Style1 2 2 3 12" xfId="8796"/>
    <cellStyle name="Normal - Style1 2 2 3 13" xfId="8797"/>
    <cellStyle name="Normal - Style1 2 2 3 14" xfId="8798"/>
    <cellStyle name="Normal - Style1 2 2 3 15" xfId="8799"/>
    <cellStyle name="Normal - Style1 2 2 3 16" xfId="8800"/>
    <cellStyle name="Normal - Style1 2 2 3 17" xfId="8801"/>
    <cellStyle name="Normal - Style1 2 2 3 18" xfId="5736"/>
    <cellStyle name="Normal - Style1 2 2 3 2" xfId="1764"/>
    <cellStyle name="Normal - Style1 2 2 3 2 2" xfId="5673"/>
    <cellStyle name="Normal - Style1 2 2 3 3" xfId="1830"/>
    <cellStyle name="Normal - Style1 2 2 3 3 2" xfId="5739"/>
    <cellStyle name="Normal - Style1 2 2 3 4" xfId="1833"/>
    <cellStyle name="Normal - Style1 2 2 3 4 2" xfId="5742"/>
    <cellStyle name="Normal - Style1 2 2 3 5" xfId="1835"/>
    <cellStyle name="Normal - Style1 2 2 3 5 2" xfId="5744"/>
    <cellStyle name="Normal - Style1 2 2 3 6" xfId="1837"/>
    <cellStyle name="Normal - Style1 2 2 3 6 2" xfId="5746"/>
    <cellStyle name="Normal - Style1 2 2 3 7" xfId="508"/>
    <cellStyle name="Normal - Style1 2 2 3 7 2" xfId="4446"/>
    <cellStyle name="Normal - Style1 2 2 3 8" xfId="697"/>
    <cellStyle name="Normal - Style1 2 2 3 8 2" xfId="4629"/>
    <cellStyle name="Normal - Style1 2 2 3 9" xfId="8802"/>
    <cellStyle name="Normal - Style1 2 2 4" xfId="729"/>
    <cellStyle name="Normal - Style1 2 2 4 10" xfId="8803"/>
    <cellStyle name="Normal - Style1 2 2 4 11" xfId="8804"/>
    <cellStyle name="Normal - Style1 2 2 4 12" xfId="8805"/>
    <cellStyle name="Normal - Style1 2 2 4 13" xfId="8806"/>
    <cellStyle name="Normal - Style1 2 2 4 14" xfId="8807"/>
    <cellStyle name="Normal - Style1 2 2 4 15" xfId="8808"/>
    <cellStyle name="Normal - Style1 2 2 4 16" xfId="8809"/>
    <cellStyle name="Normal - Style1 2 2 4 17" xfId="8810"/>
    <cellStyle name="Normal - Style1 2 2 4 18" xfId="4656"/>
    <cellStyle name="Normal - Style1 2 2 4 2" xfId="739"/>
    <cellStyle name="Normal - Style1 2 2 4 2 2" xfId="4664"/>
    <cellStyle name="Normal - Style1 2 2 4 3" xfId="749"/>
    <cellStyle name="Normal - Style1 2 2 4 3 2" xfId="4674"/>
    <cellStyle name="Normal - Style1 2 2 4 4" xfId="1840"/>
    <cellStyle name="Normal - Style1 2 2 4 4 2" xfId="5749"/>
    <cellStyle name="Normal - Style1 2 2 4 5" xfId="1843"/>
    <cellStyle name="Normal - Style1 2 2 4 5 2" xfId="5752"/>
    <cellStyle name="Normal - Style1 2 2 4 6" xfId="1846"/>
    <cellStyle name="Normal - Style1 2 2 4 6 2" xfId="5755"/>
    <cellStyle name="Normal - Style1 2 2 4 7" xfId="608"/>
    <cellStyle name="Normal - Style1 2 2 4 7 2" xfId="4538"/>
    <cellStyle name="Normal - Style1 2 2 4 8" xfId="1848"/>
    <cellStyle name="Normal - Style1 2 2 4 8 2" xfId="5757"/>
    <cellStyle name="Normal - Style1 2 2 4 9" xfId="8811"/>
    <cellStyle name="Normal - Style1 2 2 5" xfId="1849"/>
    <cellStyle name="Normal - Style1 2 2 5 10" xfId="8812"/>
    <cellStyle name="Normal - Style1 2 2 5 11" xfId="8813"/>
    <cellStyle name="Normal - Style1 2 2 5 12" xfId="8814"/>
    <cellStyle name="Normal - Style1 2 2 5 13" xfId="8815"/>
    <cellStyle name="Normal - Style1 2 2 5 14" xfId="8816"/>
    <cellStyle name="Normal - Style1 2 2 5 15" xfId="8817"/>
    <cellStyle name="Normal - Style1 2 2 5 16" xfId="8818"/>
    <cellStyle name="Normal - Style1 2 2 5 17" xfId="8819"/>
    <cellStyle name="Normal - Style1 2 2 5 18" xfId="5758"/>
    <cellStyle name="Normal - Style1 2 2 5 2" xfId="1852"/>
    <cellStyle name="Normal - Style1 2 2 5 2 2" xfId="5761"/>
    <cellStyle name="Normal - Style1 2 2 5 3" xfId="306"/>
    <cellStyle name="Normal - Style1 2 2 5 3 2" xfId="4250"/>
    <cellStyle name="Normal - Style1 2 2 5 4" xfId="314"/>
    <cellStyle name="Normal - Style1 2 2 5 4 2" xfId="4256"/>
    <cellStyle name="Normal - Style1 2 2 5 5" xfId="1854"/>
    <cellStyle name="Normal - Style1 2 2 5 5 2" xfId="5763"/>
    <cellStyle name="Normal - Style1 2 2 5 6" xfId="1856"/>
    <cellStyle name="Normal - Style1 2 2 5 6 2" xfId="5765"/>
    <cellStyle name="Normal - Style1 2 2 5 7" xfId="1858"/>
    <cellStyle name="Normal - Style1 2 2 5 7 2" xfId="5767"/>
    <cellStyle name="Normal - Style1 2 2 5 8" xfId="1859"/>
    <cellStyle name="Normal - Style1 2 2 5 8 2" xfId="5768"/>
    <cellStyle name="Normal - Style1 2 2 5 9" xfId="8820"/>
    <cellStyle name="Normal - Style1 2 2 6" xfId="1754"/>
    <cellStyle name="Normal - Style1 2 2 6 10" xfId="8821"/>
    <cellStyle name="Normal - Style1 2 2 6 11" xfId="8822"/>
    <cellStyle name="Normal - Style1 2 2 6 12" xfId="8823"/>
    <cellStyle name="Normal - Style1 2 2 6 13" xfId="8824"/>
    <cellStyle name="Normal - Style1 2 2 6 14" xfId="8825"/>
    <cellStyle name="Normal - Style1 2 2 6 15" xfId="8826"/>
    <cellStyle name="Normal - Style1 2 2 6 16" xfId="8827"/>
    <cellStyle name="Normal - Style1 2 2 6 17" xfId="8828"/>
    <cellStyle name="Normal - Style1 2 2 6 18" xfId="5665"/>
    <cellStyle name="Normal - Style1 2 2 6 2" xfId="1862"/>
    <cellStyle name="Normal - Style1 2 2 6 2 2" xfId="5771"/>
    <cellStyle name="Normal - Style1 2 2 6 3" xfId="1865"/>
    <cellStyle name="Normal - Style1 2 2 6 3 2" xfId="5774"/>
    <cellStyle name="Normal - Style1 2 2 6 4" xfId="1868"/>
    <cellStyle name="Normal - Style1 2 2 6 4 2" xfId="5777"/>
    <cellStyle name="Normal - Style1 2 2 6 5" xfId="1871"/>
    <cellStyle name="Normal - Style1 2 2 6 5 2" xfId="5779"/>
    <cellStyle name="Normal - Style1 2 2 6 6" xfId="1874"/>
    <cellStyle name="Normal - Style1 2 2 6 6 2" xfId="5782"/>
    <cellStyle name="Normal - Style1 2 2 6 7" xfId="626"/>
    <cellStyle name="Normal - Style1 2 2 6 7 2" xfId="4558"/>
    <cellStyle name="Normal - Style1 2 2 6 8" xfId="1599"/>
    <cellStyle name="Normal - Style1 2 2 6 8 2" xfId="5516"/>
    <cellStyle name="Normal - Style1 2 2 6 9" xfId="8829"/>
    <cellStyle name="Normal - Style1 2 2 7" xfId="1757"/>
    <cellStyle name="Normal - Style1 2 2 7 10" xfId="8830"/>
    <cellStyle name="Normal - Style1 2 2 7 11" xfId="8831"/>
    <cellStyle name="Normal - Style1 2 2 7 12" xfId="8832"/>
    <cellStyle name="Normal - Style1 2 2 7 13" xfId="8833"/>
    <cellStyle name="Normal - Style1 2 2 7 14" xfId="8834"/>
    <cellStyle name="Normal - Style1 2 2 7 15" xfId="8835"/>
    <cellStyle name="Normal - Style1 2 2 7 16" xfId="8836"/>
    <cellStyle name="Normal - Style1 2 2 7 17" xfId="8837"/>
    <cellStyle name="Normal - Style1 2 2 7 18" xfId="5668"/>
    <cellStyle name="Normal - Style1 2 2 7 2" xfId="1876"/>
    <cellStyle name="Normal - Style1 2 2 7 2 2" xfId="5784"/>
    <cellStyle name="Normal - Style1 2 2 7 3" xfId="1878"/>
    <cellStyle name="Normal - Style1 2 2 7 3 2" xfId="5786"/>
    <cellStyle name="Normal - Style1 2 2 7 4" xfId="1880"/>
    <cellStyle name="Normal - Style1 2 2 7 4 2" xfId="5788"/>
    <cellStyle name="Normal - Style1 2 2 7 5" xfId="1881"/>
    <cellStyle name="Normal - Style1 2 2 7 5 2" xfId="5789"/>
    <cellStyle name="Normal - Style1 2 2 7 6" xfId="1882"/>
    <cellStyle name="Normal - Style1 2 2 7 6 2" xfId="5790"/>
    <cellStyle name="Normal - Style1 2 2 7 7" xfId="1603"/>
    <cellStyle name="Normal - Style1 2 2 7 7 2" xfId="5520"/>
    <cellStyle name="Normal - Style1 2 2 7 8" xfId="1610"/>
    <cellStyle name="Normal - Style1 2 2 7 8 2" xfId="5527"/>
    <cellStyle name="Normal - Style1 2 2 7 9" xfId="8838"/>
    <cellStyle name="Normal - Style1 2 2 8" xfId="1883"/>
    <cellStyle name="Normal - Style1 2 2 8 10" xfId="8839"/>
    <cellStyle name="Normal - Style1 2 2 8 11" xfId="8840"/>
    <cellStyle name="Normal - Style1 2 2 8 12" xfId="8841"/>
    <cellStyle name="Normal - Style1 2 2 8 13" xfId="8842"/>
    <cellStyle name="Normal - Style1 2 2 8 14" xfId="8843"/>
    <cellStyle name="Normal - Style1 2 2 8 15" xfId="8844"/>
    <cellStyle name="Normal - Style1 2 2 8 16" xfId="8845"/>
    <cellStyle name="Normal - Style1 2 2 8 17" xfId="8846"/>
    <cellStyle name="Normal - Style1 2 2 8 18" xfId="5791"/>
    <cellStyle name="Normal - Style1 2 2 8 2" xfId="1884"/>
    <cellStyle name="Normal - Style1 2 2 8 2 2" xfId="5792"/>
    <cellStyle name="Normal - Style1 2 2 8 3" xfId="1885"/>
    <cellStyle name="Normal - Style1 2 2 8 3 2" xfId="5793"/>
    <cellStyle name="Normal - Style1 2 2 8 4" xfId="1886"/>
    <cellStyle name="Normal - Style1 2 2 8 4 2" xfId="5794"/>
    <cellStyle name="Normal - Style1 2 2 8 5" xfId="1887"/>
    <cellStyle name="Normal - Style1 2 2 8 5 2" xfId="5795"/>
    <cellStyle name="Normal - Style1 2 2 8 6" xfId="1889"/>
    <cellStyle name="Normal - Style1 2 2 8 6 2" xfId="5796"/>
    <cellStyle name="Normal - Style1 2 2 8 7" xfId="1891"/>
    <cellStyle name="Normal - Style1 2 2 8 7 2" xfId="5798"/>
    <cellStyle name="Normal - Style1 2 2 8 8" xfId="1625"/>
    <cellStyle name="Normal - Style1 2 2 8 8 2" xfId="5539"/>
    <cellStyle name="Normal - Style1 2 2 8 9" xfId="8847"/>
    <cellStyle name="Normal - Style1 2 2 9" xfId="888"/>
    <cellStyle name="Normal - Style1 2 2 9 10" xfId="8848"/>
    <cellStyle name="Normal - Style1 2 2 9 11" xfId="8849"/>
    <cellStyle name="Normal - Style1 2 2 9 12" xfId="8850"/>
    <cellStyle name="Normal - Style1 2 2 9 13" xfId="8851"/>
    <cellStyle name="Normal - Style1 2 2 9 14" xfId="8852"/>
    <cellStyle name="Normal - Style1 2 2 9 15" xfId="8853"/>
    <cellStyle name="Normal - Style1 2 2 9 16" xfId="8854"/>
    <cellStyle name="Normal - Style1 2 2 9 17" xfId="8855"/>
    <cellStyle name="Normal - Style1 2 2 9 18" xfId="4811"/>
    <cellStyle name="Normal - Style1 2 2 9 2" xfId="14"/>
    <cellStyle name="Normal - Style1 2 2 9 2 2" xfId="3974"/>
    <cellStyle name="Normal - Style1 2 2 9 3" xfId="1892"/>
    <cellStyle name="Normal - Style1 2 2 9 3 2" xfId="5800"/>
    <cellStyle name="Normal - Style1 2 2 9 4" xfId="1893"/>
    <cellStyle name="Normal - Style1 2 2 9 4 2" xfId="5801"/>
    <cellStyle name="Normal - Style1 2 2 9 5" xfId="1894"/>
    <cellStyle name="Normal - Style1 2 2 9 5 2" xfId="5802"/>
    <cellStyle name="Normal - Style1 2 2 9 6" xfId="1895"/>
    <cellStyle name="Normal - Style1 2 2 9 6 2" xfId="5803"/>
    <cellStyle name="Normal - Style1 2 2 9 7" xfId="1896"/>
    <cellStyle name="Normal - Style1 2 2 9 7 2" xfId="5804"/>
    <cellStyle name="Normal - Style1 2 2 9 8" xfId="1897"/>
    <cellStyle name="Normal - Style1 2 2 9 8 2" xfId="5805"/>
    <cellStyle name="Normal - Style1 2 2 9 9" xfId="8856"/>
    <cellStyle name="Normal - Style1 2 2_Achampally-Gattubuthkur-Ganga-CRR" xfId="1900"/>
    <cellStyle name="Normal - Style1 2 20" xfId="8857"/>
    <cellStyle name="Normal - Style1 2 21" xfId="8858"/>
    <cellStyle name="Normal - Style1 2 22" xfId="8859"/>
    <cellStyle name="Normal - Style1 2 23" xfId="8860"/>
    <cellStyle name="Normal - Style1 2 24" xfId="8861"/>
    <cellStyle name="Normal - Style1 2 25" xfId="8862"/>
    <cellStyle name="Normal - Style1 2 26" xfId="8863"/>
    <cellStyle name="Normal - Style1 2 27" xfId="8864"/>
    <cellStyle name="Normal - Style1 2 28" xfId="4292"/>
    <cellStyle name="Normal - Style1 2 3" xfId="359"/>
    <cellStyle name="Normal - Style1 2 3 10" xfId="8865"/>
    <cellStyle name="Normal - Style1 2 3 11" xfId="8866"/>
    <cellStyle name="Normal - Style1 2 3 12" xfId="8867"/>
    <cellStyle name="Normal - Style1 2 3 13" xfId="8868"/>
    <cellStyle name="Normal - Style1 2 3 14" xfId="8869"/>
    <cellStyle name="Normal - Style1 2 3 15" xfId="8870"/>
    <cellStyle name="Normal - Style1 2 3 16" xfId="8871"/>
    <cellStyle name="Normal - Style1 2 3 17" xfId="8872"/>
    <cellStyle name="Normal - Style1 2 3 18" xfId="4302"/>
    <cellStyle name="Normal - Style1 2 3 2" xfId="154"/>
    <cellStyle name="Normal - Style1 2 3 2 2" xfId="4092"/>
    <cellStyle name="Normal - Style1 2 3 3" xfId="175"/>
    <cellStyle name="Normal - Style1 2 3 3 2" xfId="4106"/>
    <cellStyle name="Normal - Style1 2 3 4" xfId="100"/>
    <cellStyle name="Normal - Style1 2 3 4 2" xfId="4045"/>
    <cellStyle name="Normal - Style1 2 3 5" xfId="32"/>
    <cellStyle name="Normal - Style1 2 3 5 2" xfId="3990"/>
    <cellStyle name="Normal - Style1 2 3 6" xfId="215"/>
    <cellStyle name="Normal - Style1 2 3 6 2" xfId="4140"/>
    <cellStyle name="Normal - Style1 2 3 7" xfId="226"/>
    <cellStyle name="Normal - Style1 2 3 7 2" xfId="4148"/>
    <cellStyle name="Normal - Style1 2 3 8" xfId="1902"/>
    <cellStyle name="Normal - Style1 2 3 8 2" xfId="5809"/>
    <cellStyle name="Normal - Style1 2 3 9" xfId="8873"/>
    <cellStyle name="Normal - Style1 2 4" xfId="476"/>
    <cellStyle name="Normal - Style1 2 4 10" xfId="8874"/>
    <cellStyle name="Normal - Style1 2 4 11" xfId="8875"/>
    <cellStyle name="Normal - Style1 2 4 12" xfId="8876"/>
    <cellStyle name="Normal - Style1 2 4 13" xfId="8877"/>
    <cellStyle name="Normal - Style1 2 4 14" xfId="8878"/>
    <cellStyle name="Normal - Style1 2 4 15" xfId="8879"/>
    <cellStyle name="Normal - Style1 2 4 16" xfId="8880"/>
    <cellStyle name="Normal - Style1 2 4 17" xfId="8881"/>
    <cellStyle name="Normal - Style1 2 4 18" xfId="4414"/>
    <cellStyle name="Normal - Style1 2 4 2" xfId="483"/>
    <cellStyle name="Normal - Style1 2 4 2 2" xfId="4420"/>
    <cellStyle name="Normal - Style1 2 4 3" xfId="485"/>
    <cellStyle name="Normal - Style1 2 4 3 2" xfId="4423"/>
    <cellStyle name="Normal - Style1 2 4 4" xfId="671"/>
    <cellStyle name="Normal - Style1 2 4 4 2" xfId="4601"/>
    <cellStyle name="Normal - Style1 2 4 5" xfId="1904"/>
    <cellStyle name="Normal - Style1 2 4 5 2" xfId="5810"/>
    <cellStyle name="Normal - Style1 2 4 6" xfId="1906"/>
    <cellStyle name="Normal - Style1 2 4 6 2" xfId="5812"/>
    <cellStyle name="Normal - Style1 2 4 7" xfId="1907"/>
    <cellStyle name="Normal - Style1 2 4 7 2" xfId="5814"/>
    <cellStyle name="Normal - Style1 2 4 8" xfId="1908"/>
    <cellStyle name="Normal - Style1 2 4 8 2" xfId="5815"/>
    <cellStyle name="Normal - Style1 2 4 9" xfId="8882"/>
    <cellStyle name="Normal - Style1 2 5" xfId="490"/>
    <cellStyle name="Normal - Style1 2 5 10" xfId="8883"/>
    <cellStyle name="Normal - Style1 2 5 11" xfId="8884"/>
    <cellStyle name="Normal - Style1 2 5 12" xfId="8885"/>
    <cellStyle name="Normal - Style1 2 5 13" xfId="8886"/>
    <cellStyle name="Normal - Style1 2 5 14" xfId="8887"/>
    <cellStyle name="Normal - Style1 2 5 15" xfId="8888"/>
    <cellStyle name="Normal - Style1 2 5 16" xfId="8889"/>
    <cellStyle name="Normal - Style1 2 5 17" xfId="8890"/>
    <cellStyle name="Normal - Style1 2 5 18" xfId="4428"/>
    <cellStyle name="Normal - Style1 2 5 2" xfId="1909"/>
    <cellStyle name="Normal - Style1 2 5 2 2" xfId="5816"/>
    <cellStyle name="Normal - Style1 2 5 3" xfId="1910"/>
    <cellStyle name="Normal - Style1 2 5 3 2" xfId="5817"/>
    <cellStyle name="Normal - Style1 2 5 4" xfId="258"/>
    <cellStyle name="Normal - Style1 2 5 4 2" xfId="4208"/>
    <cellStyle name="Normal - Style1 2 5 5" xfId="1911"/>
    <cellStyle name="Normal - Style1 2 5 5 2" xfId="5818"/>
    <cellStyle name="Normal - Style1 2 5 6" xfId="1912"/>
    <cellStyle name="Normal - Style1 2 5 6 2" xfId="5819"/>
    <cellStyle name="Normal - Style1 2 5 7" xfId="1914"/>
    <cellStyle name="Normal - Style1 2 5 7 2" xfId="5821"/>
    <cellStyle name="Normal - Style1 2 5 8" xfId="1916"/>
    <cellStyle name="Normal - Style1 2 5 8 2" xfId="5823"/>
    <cellStyle name="Normal - Style1 2 5 9" xfId="8891"/>
    <cellStyle name="Normal - Style1 2 6" xfId="1402"/>
    <cellStyle name="Normal - Style1 2 6 10" xfId="8892"/>
    <cellStyle name="Normal - Style1 2 6 11" xfId="8893"/>
    <cellStyle name="Normal - Style1 2 6 12" xfId="8894"/>
    <cellStyle name="Normal - Style1 2 6 13" xfId="8895"/>
    <cellStyle name="Normal - Style1 2 6 14" xfId="8896"/>
    <cellStyle name="Normal - Style1 2 6 15" xfId="8897"/>
    <cellStyle name="Normal - Style1 2 6 16" xfId="8898"/>
    <cellStyle name="Normal - Style1 2 6 17" xfId="8899"/>
    <cellStyle name="Normal - Style1 2 6 18" xfId="5320"/>
    <cellStyle name="Normal - Style1 2 6 2" xfId="1660"/>
    <cellStyle name="Normal - Style1 2 6 2 2" xfId="5574"/>
    <cellStyle name="Normal - Style1 2 6 3" xfId="1665"/>
    <cellStyle name="Normal - Style1 2 6 3 2" xfId="5579"/>
    <cellStyle name="Normal - Style1 2 6 4" xfId="763"/>
    <cellStyle name="Normal - Style1 2 6 4 2" xfId="4689"/>
    <cellStyle name="Normal - Style1 2 6 5" xfId="1683"/>
    <cellStyle name="Normal - Style1 2 6 5 2" xfId="5597"/>
    <cellStyle name="Normal - Style1 2 6 6" xfId="1685"/>
    <cellStyle name="Normal - Style1 2 6 6 2" xfId="5599"/>
    <cellStyle name="Normal - Style1 2 6 7" xfId="1917"/>
    <cellStyle name="Normal - Style1 2 6 7 2" xfId="5824"/>
    <cellStyle name="Normal - Style1 2 6 8" xfId="1918"/>
    <cellStyle name="Normal - Style1 2 6 8 2" xfId="5825"/>
    <cellStyle name="Normal - Style1 2 6 9" xfId="8900"/>
    <cellStyle name="Normal - Style1 2 7" xfId="1406"/>
    <cellStyle name="Normal - Style1 2 7 10" xfId="8901"/>
    <cellStyle name="Normal - Style1 2 7 11" xfId="8902"/>
    <cellStyle name="Normal - Style1 2 7 12" xfId="8903"/>
    <cellStyle name="Normal - Style1 2 7 13" xfId="8904"/>
    <cellStyle name="Normal - Style1 2 7 14" xfId="8905"/>
    <cellStyle name="Normal - Style1 2 7 15" xfId="8906"/>
    <cellStyle name="Normal - Style1 2 7 16" xfId="8907"/>
    <cellStyle name="Normal - Style1 2 7 17" xfId="8908"/>
    <cellStyle name="Normal - Style1 2 7 18" xfId="5324"/>
    <cellStyle name="Normal - Style1 2 7 2" xfId="1920"/>
    <cellStyle name="Normal - Style1 2 7 2 2" xfId="5827"/>
    <cellStyle name="Normal - Style1 2 7 3" xfId="1921"/>
    <cellStyle name="Normal - Style1 2 7 3 2" xfId="5828"/>
    <cellStyle name="Normal - Style1 2 7 4" xfId="538"/>
    <cellStyle name="Normal - Style1 2 7 4 2" xfId="4471"/>
    <cellStyle name="Normal - Style1 2 7 5" xfId="1000"/>
    <cellStyle name="Normal - Style1 2 7 5 2" xfId="4922"/>
    <cellStyle name="Normal - Style1 2 7 6" xfId="1003"/>
    <cellStyle name="Normal - Style1 2 7 6 2" xfId="4924"/>
    <cellStyle name="Normal - Style1 2 7 7" xfId="1005"/>
    <cellStyle name="Normal - Style1 2 7 7 2" xfId="4926"/>
    <cellStyle name="Normal - Style1 2 7 8" xfId="524"/>
    <cellStyle name="Normal - Style1 2 7 8 2" xfId="4457"/>
    <cellStyle name="Normal - Style1 2 7 9" xfId="8909"/>
    <cellStyle name="Normal - Style1 2 8" xfId="1410"/>
    <cellStyle name="Normal - Style1 2 8 10" xfId="8910"/>
    <cellStyle name="Normal - Style1 2 8 11" xfId="8911"/>
    <cellStyle name="Normal - Style1 2 8 12" xfId="8912"/>
    <cellStyle name="Normal - Style1 2 8 13" xfId="8913"/>
    <cellStyle name="Normal - Style1 2 8 14" xfId="8914"/>
    <cellStyle name="Normal - Style1 2 8 15" xfId="8915"/>
    <cellStyle name="Normal - Style1 2 8 16" xfId="8916"/>
    <cellStyle name="Normal - Style1 2 8 17" xfId="8917"/>
    <cellStyle name="Normal - Style1 2 8 18" xfId="5328"/>
    <cellStyle name="Normal - Style1 2 8 2" xfId="1923"/>
    <cellStyle name="Normal - Style1 2 8 2 2" xfId="5830"/>
    <cellStyle name="Normal - Style1 2 8 3" xfId="1927"/>
    <cellStyle name="Normal - Style1 2 8 3 2" xfId="5833"/>
    <cellStyle name="Normal - Style1 2 8 4" xfId="1930"/>
    <cellStyle name="Normal - Style1 2 8 4 2" xfId="5836"/>
    <cellStyle name="Normal - Style1 2 8 5" xfId="1932"/>
    <cellStyle name="Normal - Style1 2 8 5 2" xfId="5838"/>
    <cellStyle name="Normal - Style1 2 8 6" xfId="1934"/>
    <cellStyle name="Normal - Style1 2 8 6 2" xfId="5840"/>
    <cellStyle name="Normal - Style1 2 8 7" xfId="1936"/>
    <cellStyle name="Normal - Style1 2 8 7 2" xfId="5842"/>
    <cellStyle name="Normal - Style1 2 8 8" xfId="1938"/>
    <cellStyle name="Normal - Style1 2 8 8 2" xfId="5844"/>
    <cellStyle name="Normal - Style1 2 8 9" xfId="8918"/>
    <cellStyle name="Normal - Style1 2 9" xfId="1940"/>
    <cellStyle name="Normal - Style1 2 9 10" xfId="8919"/>
    <cellStyle name="Normal - Style1 2 9 11" xfId="8920"/>
    <cellStyle name="Normal - Style1 2 9 12" xfId="8921"/>
    <cellStyle name="Normal - Style1 2 9 13" xfId="8922"/>
    <cellStyle name="Normal - Style1 2 9 14" xfId="8923"/>
    <cellStyle name="Normal - Style1 2 9 15" xfId="8924"/>
    <cellStyle name="Normal - Style1 2 9 16" xfId="8925"/>
    <cellStyle name="Normal - Style1 2 9 17" xfId="8926"/>
    <cellStyle name="Normal - Style1 2 9 18" xfId="5846"/>
    <cellStyle name="Normal - Style1 2 9 2" xfId="1944"/>
    <cellStyle name="Normal - Style1 2 9 2 2" xfId="5847"/>
    <cellStyle name="Normal - Style1 2 9 3" xfId="399"/>
    <cellStyle name="Normal - Style1 2 9 3 2" xfId="4333"/>
    <cellStyle name="Normal - Style1 2 9 4" xfId="410"/>
    <cellStyle name="Normal - Style1 2 9 4 2" xfId="4343"/>
    <cellStyle name="Normal - Style1 2 9 5" xfId="1945"/>
    <cellStyle name="Normal - Style1 2 9 5 2" xfId="5851"/>
    <cellStyle name="Normal - Style1 2 9 6" xfId="1946"/>
    <cellStyle name="Normal - Style1 2 9 6 2" xfId="5852"/>
    <cellStyle name="Normal - Style1 2 9 7" xfId="1947"/>
    <cellStyle name="Normal - Style1 2 9 7 2" xfId="5853"/>
    <cellStyle name="Normal - Style1 2 9 8" xfId="1948"/>
    <cellStyle name="Normal - Style1 2 9 8 2" xfId="5854"/>
    <cellStyle name="Normal - Style1 2 9 9" xfId="8927"/>
    <cellStyle name="Normal - Style1 2_1) NREGS  Report Uppudi" xfId="1949"/>
    <cellStyle name="Normal - Style1 20" xfId="8928"/>
    <cellStyle name="Normal - Style1 21" xfId="8929"/>
    <cellStyle name="Normal - Style1 22" xfId="4131"/>
    <cellStyle name="Normal - Style1 3" xfId="362"/>
    <cellStyle name="Normal - Style1 3 10" xfId="1953"/>
    <cellStyle name="Normal - Style1 3 10 10" xfId="8930"/>
    <cellStyle name="Normal - Style1 3 10 11" xfId="8931"/>
    <cellStyle name="Normal - Style1 3 10 12" xfId="8932"/>
    <cellStyle name="Normal - Style1 3 10 13" xfId="8933"/>
    <cellStyle name="Normal - Style1 3 10 14" xfId="8934"/>
    <cellStyle name="Normal - Style1 3 10 15" xfId="8935"/>
    <cellStyle name="Normal - Style1 3 10 16" xfId="8936"/>
    <cellStyle name="Normal - Style1 3 10 17" xfId="8937"/>
    <cellStyle name="Normal - Style1 3 10 18" xfId="5858"/>
    <cellStyle name="Normal - Style1 3 10 2" xfId="1955"/>
    <cellStyle name="Normal - Style1 3 10 2 2" xfId="5860"/>
    <cellStyle name="Normal - Style1 3 10 3" xfId="1783"/>
    <cellStyle name="Normal - Style1 3 10 3 2" xfId="5695"/>
    <cellStyle name="Normal - Style1 3 10 4" xfId="1786"/>
    <cellStyle name="Normal - Style1 3 10 4 2" xfId="5697"/>
    <cellStyle name="Normal - Style1 3 10 5" xfId="1788"/>
    <cellStyle name="Normal - Style1 3 10 5 2" xfId="5699"/>
    <cellStyle name="Normal - Style1 3 10 6" xfId="1790"/>
    <cellStyle name="Normal - Style1 3 10 6 2" xfId="5701"/>
    <cellStyle name="Normal - Style1 3 10 7" xfId="1956"/>
    <cellStyle name="Normal - Style1 3 10 7 2" xfId="5861"/>
    <cellStyle name="Normal - Style1 3 10 8" xfId="1957"/>
    <cellStyle name="Normal - Style1 3 10 8 2" xfId="5862"/>
    <cellStyle name="Normal - Style1 3 10 9" xfId="8938"/>
    <cellStyle name="Normal - Style1 3 11" xfId="1959"/>
    <cellStyle name="Normal - Style1 3 11 2" xfId="5864"/>
    <cellStyle name="Normal - Style1 3 12" xfId="1961"/>
    <cellStyle name="Normal - Style1 3 12 2" xfId="5866"/>
    <cellStyle name="Normal - Style1 3 13" xfId="1963"/>
    <cellStyle name="Normal - Style1 3 13 2" xfId="5868"/>
    <cellStyle name="Normal - Style1 3 14" xfId="1966"/>
    <cellStyle name="Normal - Style1 3 14 2" xfId="5871"/>
    <cellStyle name="Normal - Style1 3 15" xfId="1968"/>
    <cellStyle name="Normal - Style1 3 15 2" xfId="5873"/>
    <cellStyle name="Normal - Style1 3 16" xfId="1970"/>
    <cellStyle name="Normal - Style1 3 16 2" xfId="5875"/>
    <cellStyle name="Normal - Style1 3 17" xfId="1972"/>
    <cellStyle name="Normal - Style1 3 17 2" xfId="5877"/>
    <cellStyle name="Normal - Style1 3 18" xfId="8939"/>
    <cellStyle name="Normal - Style1 3 19" xfId="8940"/>
    <cellStyle name="Normal - Style1 3 2" xfId="1723"/>
    <cellStyle name="Normal - Style1 3 2 10" xfId="8941"/>
    <cellStyle name="Normal - Style1 3 2 11" xfId="8942"/>
    <cellStyle name="Normal - Style1 3 2 12" xfId="8943"/>
    <cellStyle name="Normal - Style1 3 2 13" xfId="8944"/>
    <cellStyle name="Normal - Style1 3 2 14" xfId="8945"/>
    <cellStyle name="Normal - Style1 3 2 15" xfId="8946"/>
    <cellStyle name="Normal - Style1 3 2 16" xfId="8947"/>
    <cellStyle name="Normal - Style1 3 2 17" xfId="8948"/>
    <cellStyle name="Normal - Style1 3 2 18" xfId="5635"/>
    <cellStyle name="Normal - Style1 3 2 2" xfId="11"/>
    <cellStyle name="Normal - Style1 3 2 2 2" xfId="3970"/>
    <cellStyle name="Normal - Style1 3 2 3" xfId="1974"/>
    <cellStyle name="Normal - Style1 3 2 3 2" xfId="5879"/>
    <cellStyle name="Normal - Style1 3 2 4" xfId="1975"/>
    <cellStyle name="Normal - Style1 3 2 4 2" xfId="5880"/>
    <cellStyle name="Normal - Style1 3 2 5" xfId="1976"/>
    <cellStyle name="Normal - Style1 3 2 5 2" xfId="5881"/>
    <cellStyle name="Normal - Style1 3 2 6" xfId="1977"/>
    <cellStyle name="Normal - Style1 3 2 6 2" xfId="5882"/>
    <cellStyle name="Normal - Style1 3 2 7" xfId="1552"/>
    <cellStyle name="Normal - Style1 3 2 7 2" xfId="5469"/>
    <cellStyle name="Normal - Style1 3 2 8" xfId="1979"/>
    <cellStyle name="Normal - Style1 3 2 8 2" xfId="5883"/>
    <cellStyle name="Normal - Style1 3 2 9" xfId="8949"/>
    <cellStyle name="Normal - Style1 3 20" xfId="8950"/>
    <cellStyle name="Normal - Style1 3 21" xfId="8951"/>
    <cellStyle name="Normal - Style1 3 22" xfId="8952"/>
    <cellStyle name="Normal - Style1 3 23" xfId="8953"/>
    <cellStyle name="Normal - Style1 3 24" xfId="8954"/>
    <cellStyle name="Normal - Style1 3 25" xfId="8955"/>
    <cellStyle name="Normal - Style1 3 26" xfId="8956"/>
    <cellStyle name="Normal - Style1 3 27" xfId="4305"/>
    <cellStyle name="Normal - Style1 3 3" xfId="1725"/>
    <cellStyle name="Normal - Style1 3 3 10" xfId="8957"/>
    <cellStyle name="Normal - Style1 3 3 11" xfId="8958"/>
    <cellStyle name="Normal - Style1 3 3 12" xfId="8959"/>
    <cellStyle name="Normal - Style1 3 3 13" xfId="8960"/>
    <cellStyle name="Normal - Style1 3 3 14" xfId="8961"/>
    <cellStyle name="Normal - Style1 3 3 15" xfId="8962"/>
    <cellStyle name="Normal - Style1 3 3 16" xfId="8963"/>
    <cellStyle name="Normal - Style1 3 3 17" xfId="8964"/>
    <cellStyle name="Normal - Style1 3 3 18" xfId="5637"/>
    <cellStyle name="Normal - Style1 3 3 2" xfId="1980"/>
    <cellStyle name="Normal - Style1 3 3 2 2" xfId="5884"/>
    <cellStyle name="Normal - Style1 3 3 3" xfId="1981"/>
    <cellStyle name="Normal - Style1 3 3 3 2" xfId="5885"/>
    <cellStyle name="Normal - Style1 3 3 4" xfId="1982"/>
    <cellStyle name="Normal - Style1 3 3 4 2" xfId="5886"/>
    <cellStyle name="Normal - Style1 3 3 5" xfId="1983"/>
    <cellStyle name="Normal - Style1 3 3 5 2" xfId="5887"/>
    <cellStyle name="Normal - Style1 3 3 6" xfId="1984"/>
    <cellStyle name="Normal - Style1 3 3 6 2" xfId="5888"/>
    <cellStyle name="Normal - Style1 3 3 7" xfId="1985"/>
    <cellStyle name="Normal - Style1 3 3 7 2" xfId="5889"/>
    <cellStyle name="Normal - Style1 3 3 8" xfId="1987"/>
    <cellStyle name="Normal - Style1 3 3 8 2" xfId="5891"/>
    <cellStyle name="Normal - Style1 3 3 9" xfId="8965"/>
    <cellStyle name="Normal - Style1 3 4" xfId="1727"/>
    <cellStyle name="Normal - Style1 3 4 10" xfId="8966"/>
    <cellStyle name="Normal - Style1 3 4 11" xfId="8967"/>
    <cellStyle name="Normal - Style1 3 4 12" xfId="8968"/>
    <cellStyle name="Normal - Style1 3 4 13" xfId="8969"/>
    <cellStyle name="Normal - Style1 3 4 14" xfId="8970"/>
    <cellStyle name="Normal - Style1 3 4 15" xfId="8971"/>
    <cellStyle name="Normal - Style1 3 4 16" xfId="8972"/>
    <cellStyle name="Normal - Style1 3 4 17" xfId="8973"/>
    <cellStyle name="Normal - Style1 3 4 18" xfId="5639"/>
    <cellStyle name="Normal - Style1 3 4 2" xfId="1658"/>
    <cellStyle name="Normal - Style1 3 4 2 2" xfId="5568"/>
    <cellStyle name="Normal - Style1 3 4 3" xfId="1990"/>
    <cellStyle name="Normal - Style1 3 4 3 2" xfId="5892"/>
    <cellStyle name="Normal - Style1 3 4 4" xfId="1993"/>
    <cellStyle name="Normal - Style1 3 4 4 2" xfId="5895"/>
    <cellStyle name="Normal - Style1 3 4 5" xfId="1663"/>
    <cellStyle name="Normal - Style1 3 4 5 2" xfId="5576"/>
    <cellStyle name="Normal - Style1 3 4 6" xfId="1121"/>
    <cellStyle name="Normal - Style1 3 4 6 2" xfId="5044"/>
    <cellStyle name="Normal - Style1 3 4 7" xfId="1994"/>
    <cellStyle name="Normal - Style1 3 4 7 2" xfId="5898"/>
    <cellStyle name="Normal - Style1 3 4 8" xfId="1995"/>
    <cellStyle name="Normal - Style1 3 4 8 2" xfId="5899"/>
    <cellStyle name="Normal - Style1 3 4 9" xfId="8974"/>
    <cellStyle name="Normal - Style1 3 5" xfId="1729"/>
    <cellStyle name="Normal - Style1 3 5 10" xfId="8975"/>
    <cellStyle name="Normal - Style1 3 5 11" xfId="8976"/>
    <cellStyle name="Normal - Style1 3 5 12" xfId="8977"/>
    <cellStyle name="Normal - Style1 3 5 13" xfId="8978"/>
    <cellStyle name="Normal - Style1 3 5 14" xfId="8979"/>
    <cellStyle name="Normal - Style1 3 5 15" xfId="8980"/>
    <cellStyle name="Normal - Style1 3 5 16" xfId="8981"/>
    <cellStyle name="Normal - Style1 3 5 17" xfId="8982"/>
    <cellStyle name="Normal - Style1 3 5 18" xfId="5641"/>
    <cellStyle name="Normal - Style1 3 5 2" xfId="1996"/>
    <cellStyle name="Normal - Style1 3 5 2 2" xfId="5900"/>
    <cellStyle name="Normal - Style1 3 5 3" xfId="1997"/>
    <cellStyle name="Normal - Style1 3 5 3 2" xfId="5901"/>
    <cellStyle name="Normal - Style1 3 5 4" xfId="1999"/>
    <cellStyle name="Normal - Style1 3 5 4 2" xfId="5902"/>
    <cellStyle name="Normal - Style1 3 5 5" xfId="2001"/>
    <cellStyle name="Normal - Style1 3 5 5 2" xfId="5904"/>
    <cellStyle name="Normal - Style1 3 5 6" xfId="2003"/>
    <cellStyle name="Normal - Style1 3 5 6 2" xfId="5906"/>
    <cellStyle name="Normal - Style1 3 5 7" xfId="2005"/>
    <cellStyle name="Normal - Style1 3 5 7 2" xfId="5908"/>
    <cellStyle name="Normal - Style1 3 5 8" xfId="2007"/>
    <cellStyle name="Normal - Style1 3 5 8 2" xfId="5910"/>
    <cellStyle name="Normal - Style1 3 5 9" xfId="8983"/>
    <cellStyle name="Normal - Style1 3 6" xfId="1731"/>
    <cellStyle name="Normal - Style1 3 6 10" xfId="8984"/>
    <cellStyle name="Normal - Style1 3 6 11" xfId="8985"/>
    <cellStyle name="Normal - Style1 3 6 12" xfId="8986"/>
    <cellStyle name="Normal - Style1 3 6 13" xfId="8987"/>
    <cellStyle name="Normal - Style1 3 6 14" xfId="8988"/>
    <cellStyle name="Normal - Style1 3 6 15" xfId="8989"/>
    <cellStyle name="Normal - Style1 3 6 16" xfId="8990"/>
    <cellStyle name="Normal - Style1 3 6 17" xfId="8991"/>
    <cellStyle name="Normal - Style1 3 6 18" xfId="5643"/>
    <cellStyle name="Normal - Style1 3 6 2" xfId="2009"/>
    <cellStyle name="Normal - Style1 3 6 2 2" xfId="5912"/>
    <cellStyle name="Normal - Style1 3 6 3" xfId="2011"/>
    <cellStyle name="Normal - Style1 3 6 3 2" xfId="5914"/>
    <cellStyle name="Normal - Style1 3 6 4" xfId="2013"/>
    <cellStyle name="Normal - Style1 3 6 4 2" xfId="5917"/>
    <cellStyle name="Normal - Style1 3 6 5" xfId="198"/>
    <cellStyle name="Normal - Style1 3 6 5 2" xfId="4125"/>
    <cellStyle name="Normal - Style1 3 6 6" xfId="150"/>
    <cellStyle name="Normal - Style1 3 6 6 2" xfId="4087"/>
    <cellStyle name="Normal - Style1 3 6 7" xfId="2016"/>
    <cellStyle name="Normal - Style1 3 6 7 2" xfId="5920"/>
    <cellStyle name="Normal - Style1 3 6 8" xfId="2019"/>
    <cellStyle name="Normal - Style1 3 6 8 2" xfId="5923"/>
    <cellStyle name="Normal - Style1 3 6 9" xfId="8992"/>
    <cellStyle name="Normal - Style1 3 7" xfId="1733"/>
    <cellStyle name="Normal - Style1 3 7 10" xfId="8993"/>
    <cellStyle name="Normal - Style1 3 7 11" xfId="8994"/>
    <cellStyle name="Normal - Style1 3 7 12" xfId="8995"/>
    <cellStyle name="Normal - Style1 3 7 13" xfId="8996"/>
    <cellStyle name="Normal - Style1 3 7 14" xfId="8997"/>
    <cellStyle name="Normal - Style1 3 7 15" xfId="8998"/>
    <cellStyle name="Normal - Style1 3 7 16" xfId="8999"/>
    <cellStyle name="Normal - Style1 3 7 17" xfId="9000"/>
    <cellStyle name="Normal - Style1 3 7 18" xfId="5645"/>
    <cellStyle name="Normal - Style1 3 7 2" xfId="2022"/>
    <cellStyle name="Normal - Style1 3 7 2 2" xfId="5926"/>
    <cellStyle name="Normal - Style1 3 7 3" xfId="2026"/>
    <cellStyle name="Normal - Style1 3 7 3 2" xfId="5929"/>
    <cellStyle name="Normal - Style1 3 7 4" xfId="2029"/>
    <cellStyle name="Normal - Style1 3 7 4 2" xfId="5932"/>
    <cellStyle name="Normal - Style1 3 7 5" xfId="2032"/>
    <cellStyle name="Normal - Style1 3 7 5 2" xfId="5936"/>
    <cellStyle name="Normal - Style1 3 7 6" xfId="2035"/>
    <cellStyle name="Normal - Style1 3 7 6 2" xfId="5939"/>
    <cellStyle name="Normal - Style1 3 7 7" xfId="2038"/>
    <cellStyle name="Normal - Style1 3 7 7 2" xfId="5942"/>
    <cellStyle name="Normal - Style1 3 7 8" xfId="2041"/>
    <cellStyle name="Normal - Style1 3 7 8 2" xfId="5945"/>
    <cellStyle name="Normal - Style1 3 7 9" xfId="9001"/>
    <cellStyle name="Normal - Style1 3 8" xfId="1735"/>
    <cellStyle name="Normal - Style1 3 8 10" xfId="9002"/>
    <cellStyle name="Normal - Style1 3 8 11" xfId="9003"/>
    <cellStyle name="Normal - Style1 3 8 12" xfId="9004"/>
    <cellStyle name="Normal - Style1 3 8 13" xfId="9005"/>
    <cellStyle name="Normal - Style1 3 8 14" xfId="9006"/>
    <cellStyle name="Normal - Style1 3 8 15" xfId="9007"/>
    <cellStyle name="Normal - Style1 3 8 16" xfId="9008"/>
    <cellStyle name="Normal - Style1 3 8 17" xfId="9009"/>
    <cellStyle name="Normal - Style1 3 8 18" xfId="5647"/>
    <cellStyle name="Normal - Style1 3 8 2" xfId="2043"/>
    <cellStyle name="Normal - Style1 3 8 2 2" xfId="5947"/>
    <cellStyle name="Normal - Style1 3 8 3" xfId="2045"/>
    <cellStyle name="Normal - Style1 3 8 3 2" xfId="5948"/>
    <cellStyle name="Normal - Style1 3 8 4" xfId="2048"/>
    <cellStyle name="Normal - Style1 3 8 4 2" xfId="5951"/>
    <cellStyle name="Normal - Style1 3 8 5" xfId="2051"/>
    <cellStyle name="Normal - Style1 3 8 5 2" xfId="5955"/>
    <cellStyle name="Normal - Style1 3 8 6" xfId="2054"/>
    <cellStyle name="Normal - Style1 3 8 6 2" xfId="5958"/>
    <cellStyle name="Normal - Style1 3 8 7" xfId="2057"/>
    <cellStyle name="Normal - Style1 3 8 7 2" xfId="5961"/>
    <cellStyle name="Normal - Style1 3 8 8" xfId="2060"/>
    <cellStyle name="Normal - Style1 3 8 8 2" xfId="5964"/>
    <cellStyle name="Normal - Style1 3 8 9" xfId="9010"/>
    <cellStyle name="Normal - Style1 3 9" xfId="2064"/>
    <cellStyle name="Normal - Style1 3 9 10" xfId="9011"/>
    <cellStyle name="Normal - Style1 3 9 11" xfId="9012"/>
    <cellStyle name="Normal - Style1 3 9 12" xfId="9013"/>
    <cellStyle name="Normal - Style1 3 9 13" xfId="9014"/>
    <cellStyle name="Normal - Style1 3 9 14" xfId="9015"/>
    <cellStyle name="Normal - Style1 3 9 15" xfId="9016"/>
    <cellStyle name="Normal - Style1 3 9 16" xfId="9017"/>
    <cellStyle name="Normal - Style1 3 9 17" xfId="9018"/>
    <cellStyle name="Normal - Style1 3 9 18" xfId="5966"/>
    <cellStyle name="Normal - Style1 3 9 2" xfId="2065"/>
    <cellStyle name="Normal - Style1 3 9 2 2" xfId="5968"/>
    <cellStyle name="Normal - Style1 3 9 3" xfId="2067"/>
    <cellStyle name="Normal - Style1 3 9 3 2" xfId="5969"/>
    <cellStyle name="Normal - Style1 3 9 4" xfId="2070"/>
    <cellStyle name="Normal - Style1 3 9 4 2" xfId="5972"/>
    <cellStyle name="Normal - Style1 3 9 5" xfId="2073"/>
    <cellStyle name="Normal - Style1 3 9 5 2" xfId="5976"/>
    <cellStyle name="Normal - Style1 3 9 6" xfId="1247"/>
    <cellStyle name="Normal - Style1 3 9 6 2" xfId="5168"/>
    <cellStyle name="Normal - Style1 3 9 7" xfId="1250"/>
    <cellStyle name="Normal - Style1 3 9 7 2" xfId="5171"/>
    <cellStyle name="Normal - Style1 3 9 8" xfId="2076"/>
    <cellStyle name="Normal - Style1 3 9 8 2" xfId="5978"/>
    <cellStyle name="Normal - Style1 3 9 9" xfId="9019"/>
    <cellStyle name="Normal - Style1 3_Achampally-Gattubuthkur-Ganga-CRR" xfId="2078"/>
    <cellStyle name="Normal - Style1 4" xfId="2079"/>
    <cellStyle name="Normal - Style1 4 2" xfId="5981"/>
    <cellStyle name="Normal - Style1 5" xfId="2080"/>
    <cellStyle name="Normal - Style1 5 2" xfId="5982"/>
    <cellStyle name="Normal - Style1 6" xfId="478"/>
    <cellStyle name="Normal - Style1 6 2" xfId="9020"/>
    <cellStyle name="Normal - Style1 6 3" xfId="4412"/>
    <cellStyle name="Normal - Style1 7" xfId="492"/>
    <cellStyle name="Normal - Style1 7 2" xfId="9021"/>
    <cellStyle name="Normal - Style1 7 3" xfId="4426"/>
    <cellStyle name="Normal - Style1 8" xfId="1404"/>
    <cellStyle name="Normal - Style1 8 2" xfId="9022"/>
    <cellStyle name="Normal - Style1 8 3" xfId="5322"/>
    <cellStyle name="Normal - Style1 9" xfId="1408"/>
    <cellStyle name="Normal - Style1 9 2" xfId="9023"/>
    <cellStyle name="Normal - Style1 9 3" xfId="5326"/>
    <cellStyle name="Normal - Style1_1_Pattapupalem_road estt-NCRMP" xfId="2081"/>
    <cellStyle name="Normal 10" xfId="2082"/>
    <cellStyle name="Normal 10 10" xfId="2083"/>
    <cellStyle name="Normal 10 10 10" xfId="9024"/>
    <cellStyle name="Normal 10 10 11" xfId="9025"/>
    <cellStyle name="Normal 10 10 12" xfId="9026"/>
    <cellStyle name="Normal 10 10 13" xfId="9027"/>
    <cellStyle name="Normal 10 10 14" xfId="9028"/>
    <cellStyle name="Normal 10 10 15" xfId="9029"/>
    <cellStyle name="Normal 10 10 16" xfId="9030"/>
    <cellStyle name="Normal 10 10 17" xfId="9031"/>
    <cellStyle name="Normal 10 10 18" xfId="5985"/>
    <cellStyle name="Normal 10 10 2" xfId="2085"/>
    <cellStyle name="Normal 10 10 2 2" xfId="5986"/>
    <cellStyle name="Normal 10 10 3" xfId="2086"/>
    <cellStyle name="Normal 10 10 3 2" xfId="5987"/>
    <cellStyle name="Normal 10 10 4" xfId="2087"/>
    <cellStyle name="Normal 10 10 4 2" xfId="5988"/>
    <cellStyle name="Normal 10 10 5" xfId="2088"/>
    <cellStyle name="Normal 10 10 5 2" xfId="5989"/>
    <cellStyle name="Normal 10 10 6" xfId="628"/>
    <cellStyle name="Normal 10 10 6 2" xfId="4555"/>
    <cellStyle name="Normal 10 10 7" xfId="1601"/>
    <cellStyle name="Normal 10 10 7 2" xfId="5518"/>
    <cellStyle name="Normal 10 10 8" xfId="2089"/>
    <cellStyle name="Normal 10 10 8 2" xfId="5990"/>
    <cellStyle name="Normal 10 10 9" xfId="9032"/>
    <cellStyle name="Normal 10 11" xfId="2090"/>
    <cellStyle name="Normal 10 11 10" xfId="9033"/>
    <cellStyle name="Normal 10 11 11" xfId="9034"/>
    <cellStyle name="Normal 10 11 12" xfId="9035"/>
    <cellStyle name="Normal 10 11 13" xfId="9036"/>
    <cellStyle name="Normal 10 11 14" xfId="9037"/>
    <cellStyle name="Normal 10 11 15" xfId="9038"/>
    <cellStyle name="Normal 10 11 16" xfId="9039"/>
    <cellStyle name="Normal 10 11 17" xfId="9040"/>
    <cellStyle name="Normal 10 11 18" xfId="5992"/>
    <cellStyle name="Normal 10 11 2" xfId="2092"/>
    <cellStyle name="Normal 10 11 2 2" xfId="5993"/>
    <cellStyle name="Normal 10 11 3" xfId="2094"/>
    <cellStyle name="Normal 10 11 3 2" xfId="5995"/>
    <cellStyle name="Normal 10 11 4" xfId="2097"/>
    <cellStyle name="Normal 10 11 4 2" xfId="5998"/>
    <cellStyle name="Normal 10 11 5" xfId="2102"/>
    <cellStyle name="Normal 10 11 5 2" xfId="6003"/>
    <cellStyle name="Normal 10 11 6" xfId="1606"/>
    <cellStyle name="Normal 10 11 6 2" xfId="5525"/>
    <cellStyle name="Normal 10 11 7" xfId="1613"/>
    <cellStyle name="Normal 10 11 7 2" xfId="5532"/>
    <cellStyle name="Normal 10 11 8" xfId="2107"/>
    <cellStyle name="Normal 10 11 8 2" xfId="6008"/>
    <cellStyle name="Normal 10 11 9" xfId="9041"/>
    <cellStyle name="Normal 10 12" xfId="2111"/>
    <cellStyle name="Normal 10 12 10" xfId="9042"/>
    <cellStyle name="Normal 10 12 11" xfId="9043"/>
    <cellStyle name="Normal 10 12 12" xfId="9044"/>
    <cellStyle name="Normal 10 12 13" xfId="9045"/>
    <cellStyle name="Normal 10 12 14" xfId="9046"/>
    <cellStyle name="Normal 10 12 15" xfId="9047"/>
    <cellStyle name="Normal 10 12 16" xfId="9048"/>
    <cellStyle name="Normal 10 12 17" xfId="9049"/>
    <cellStyle name="Normal 10 12 18" xfId="6012"/>
    <cellStyle name="Normal 10 12 2" xfId="2112"/>
    <cellStyle name="Normal 10 12 2 2" xfId="6013"/>
    <cellStyle name="Normal 10 12 3" xfId="2113"/>
    <cellStyle name="Normal 10 12 3 2" xfId="6015"/>
    <cellStyle name="Normal 10 12 4" xfId="2115"/>
    <cellStyle name="Normal 10 12 4 2" xfId="6017"/>
    <cellStyle name="Normal 10 12 5" xfId="2117"/>
    <cellStyle name="Normal 10 12 5 2" xfId="6019"/>
    <cellStyle name="Normal 10 12 6" xfId="1621"/>
    <cellStyle name="Normal 10 12 6 2" xfId="5536"/>
    <cellStyle name="Normal 10 12 7" xfId="1629"/>
    <cellStyle name="Normal 10 12 7 2" xfId="5542"/>
    <cellStyle name="Normal 10 12 8" xfId="2119"/>
    <cellStyle name="Normal 10 12 8 2" xfId="6021"/>
    <cellStyle name="Normal 10 12 9" xfId="9050"/>
    <cellStyle name="Normal 10 13" xfId="2121"/>
    <cellStyle name="Normal 10 13 2" xfId="6022"/>
    <cellStyle name="Normal 10 14" xfId="2122"/>
    <cellStyle name="Normal 10 14 2" xfId="6023"/>
    <cellStyle name="Normal 10 15" xfId="481"/>
    <cellStyle name="Normal 10 15 2" xfId="4419"/>
    <cellStyle name="Normal 10 16" xfId="487"/>
    <cellStyle name="Normal 10 16 2" xfId="4425"/>
    <cellStyle name="Normal 10 17" xfId="670"/>
    <cellStyle name="Normal 10 17 2" xfId="4599"/>
    <cellStyle name="Normal 10 18" xfId="1903"/>
    <cellStyle name="Normal 10 18 2" xfId="5811"/>
    <cellStyle name="Normal 10 19" xfId="1905"/>
    <cellStyle name="Normal 10 19 2" xfId="5813"/>
    <cellStyle name="Normal 10 2" xfId="668"/>
    <cellStyle name="Normal 10 2 10" xfId="2124"/>
    <cellStyle name="Normal 10 2 10 10" xfId="9051"/>
    <cellStyle name="Normal 10 2 10 11" xfId="9052"/>
    <cellStyle name="Normal 10 2 10 12" xfId="9053"/>
    <cellStyle name="Normal 10 2 10 13" xfId="9054"/>
    <cellStyle name="Normal 10 2 10 14" xfId="9055"/>
    <cellStyle name="Normal 10 2 10 15" xfId="9056"/>
    <cellStyle name="Normal 10 2 10 16" xfId="9057"/>
    <cellStyle name="Normal 10 2 10 17" xfId="9058"/>
    <cellStyle name="Normal 10 2 10 18" xfId="6024"/>
    <cellStyle name="Normal 10 2 10 2" xfId="2126"/>
    <cellStyle name="Normal 10 2 10 2 2" xfId="6026"/>
    <cellStyle name="Normal 10 2 10 3" xfId="2127"/>
    <cellStyle name="Normal 10 2 10 3 2" xfId="6028"/>
    <cellStyle name="Normal 10 2 10 4" xfId="2128"/>
    <cellStyle name="Normal 10 2 10 4 2" xfId="6029"/>
    <cellStyle name="Normal 10 2 10 5" xfId="2129"/>
    <cellStyle name="Normal 10 2 10 5 2" xfId="6030"/>
    <cellStyle name="Normal 10 2 10 6" xfId="2130"/>
    <cellStyle name="Normal 10 2 10 6 2" xfId="6031"/>
    <cellStyle name="Normal 10 2 10 7" xfId="2131"/>
    <cellStyle name="Normal 10 2 10 7 2" xfId="6032"/>
    <cellStyle name="Normal 10 2 10 8" xfId="2132"/>
    <cellStyle name="Normal 10 2 10 8 2" xfId="6033"/>
    <cellStyle name="Normal 10 2 10 9" xfId="9059"/>
    <cellStyle name="Normal 10 2 11" xfId="2134"/>
    <cellStyle name="Normal 10 2 11 2" xfId="6035"/>
    <cellStyle name="Normal 10 2 12" xfId="1074"/>
    <cellStyle name="Normal 10 2 12 2" xfId="4997"/>
    <cellStyle name="Normal 10 2 13" xfId="1080"/>
    <cellStyle name="Normal 10 2 13 2" xfId="5003"/>
    <cellStyle name="Normal 10 2 14" xfId="1086"/>
    <cellStyle name="Normal 10 2 14 2" xfId="5008"/>
    <cellStyle name="Normal 10 2 15" xfId="1091"/>
    <cellStyle name="Normal 10 2 15 2" xfId="5013"/>
    <cellStyle name="Normal 10 2 16" xfId="1096"/>
    <cellStyle name="Normal 10 2 16 2" xfId="5018"/>
    <cellStyle name="Normal 10 2 17" xfId="1100"/>
    <cellStyle name="Normal 10 2 17 2" xfId="5022"/>
    <cellStyle name="Normal 10 2 18" xfId="9060"/>
    <cellStyle name="Normal 10 2 19" xfId="9061"/>
    <cellStyle name="Normal 10 2 2" xfId="674"/>
    <cellStyle name="Normal 10 2 2 10" xfId="9062"/>
    <cellStyle name="Normal 10 2 2 11" xfId="9063"/>
    <cellStyle name="Normal 10 2 2 12" xfId="9064"/>
    <cellStyle name="Normal 10 2 2 13" xfId="9065"/>
    <cellStyle name="Normal 10 2 2 14" xfId="9066"/>
    <cellStyle name="Normal 10 2 2 15" xfId="9067"/>
    <cellStyle name="Normal 10 2 2 16" xfId="9068"/>
    <cellStyle name="Normal 10 2 2 17" xfId="9069"/>
    <cellStyle name="Normal 10 2 2 18" xfId="4602"/>
    <cellStyle name="Normal 10 2 2 2" xfId="2136"/>
    <cellStyle name="Normal 10 2 2 2 2" xfId="6037"/>
    <cellStyle name="Normal 10 2 2 3" xfId="756"/>
    <cellStyle name="Normal 10 2 2 3 2" xfId="4680"/>
    <cellStyle name="Normal 10 2 2 4" xfId="67"/>
    <cellStyle name="Normal 10 2 2 4 2" xfId="4020"/>
    <cellStyle name="Normal 10 2 2 5" xfId="2137"/>
    <cellStyle name="Normal 10 2 2 5 2" xfId="6038"/>
    <cellStyle name="Normal 10 2 2 6" xfId="2138"/>
    <cellStyle name="Normal 10 2 2 6 2" xfId="6039"/>
    <cellStyle name="Normal 10 2 2 7" xfId="1950"/>
    <cellStyle name="Normal 10 2 2 7 2" xfId="5855"/>
    <cellStyle name="Normal 10 2 2 8" xfId="2139"/>
    <cellStyle name="Normal 10 2 2 8 2" xfId="6040"/>
    <cellStyle name="Normal 10 2 2 9" xfId="9070"/>
    <cellStyle name="Normal 10 2 20" xfId="9071"/>
    <cellStyle name="Normal 10 2 21" xfId="9072"/>
    <cellStyle name="Normal 10 2 22" xfId="9073"/>
    <cellStyle name="Normal 10 2 23" xfId="9074"/>
    <cellStyle name="Normal 10 2 24" xfId="9075"/>
    <cellStyle name="Normal 10 2 25" xfId="9076"/>
    <cellStyle name="Normal 10 2 26" xfId="9077"/>
    <cellStyle name="Normal 10 2 27" xfId="4591"/>
    <cellStyle name="Normal 10 2 3" xfId="677"/>
    <cellStyle name="Normal 10 2 3 10" xfId="9078"/>
    <cellStyle name="Normal 10 2 3 11" xfId="9079"/>
    <cellStyle name="Normal 10 2 3 12" xfId="9080"/>
    <cellStyle name="Normal 10 2 3 13" xfId="9081"/>
    <cellStyle name="Normal 10 2 3 14" xfId="9082"/>
    <cellStyle name="Normal 10 2 3 15" xfId="9083"/>
    <cellStyle name="Normal 10 2 3 16" xfId="9084"/>
    <cellStyle name="Normal 10 2 3 17" xfId="9085"/>
    <cellStyle name="Normal 10 2 3 18" xfId="4605"/>
    <cellStyle name="Normal 10 2 3 2" xfId="2140"/>
    <cellStyle name="Normal 10 2 3 2 2" xfId="6041"/>
    <cellStyle name="Normal 10 2 3 3" xfId="2141"/>
    <cellStyle name="Normal 10 2 3 3 2" xfId="6042"/>
    <cellStyle name="Normal 10 2 3 4" xfId="2142"/>
    <cellStyle name="Normal 10 2 3 4 2" xfId="6043"/>
    <cellStyle name="Normal 10 2 3 5" xfId="2143"/>
    <cellStyle name="Normal 10 2 3 5 2" xfId="6044"/>
    <cellStyle name="Normal 10 2 3 6" xfId="2144"/>
    <cellStyle name="Normal 10 2 3 6 2" xfId="6045"/>
    <cellStyle name="Normal 10 2 3 7" xfId="2145"/>
    <cellStyle name="Normal 10 2 3 7 2" xfId="6046"/>
    <cellStyle name="Normal 10 2 3 8" xfId="714"/>
    <cellStyle name="Normal 10 2 3 8 2" xfId="4641"/>
    <cellStyle name="Normal 10 2 3 9" xfId="9086"/>
    <cellStyle name="Normal 10 2 4" xfId="2147"/>
    <cellStyle name="Normal 10 2 4 10" xfId="9087"/>
    <cellStyle name="Normal 10 2 4 11" xfId="9088"/>
    <cellStyle name="Normal 10 2 4 12" xfId="9089"/>
    <cellStyle name="Normal 10 2 4 13" xfId="9090"/>
    <cellStyle name="Normal 10 2 4 14" xfId="9091"/>
    <cellStyle name="Normal 10 2 4 15" xfId="9092"/>
    <cellStyle name="Normal 10 2 4 16" xfId="9093"/>
    <cellStyle name="Normal 10 2 4 17" xfId="9094"/>
    <cellStyle name="Normal 10 2 4 18" xfId="6048"/>
    <cellStyle name="Normal 10 2 4 2" xfId="2148"/>
    <cellStyle name="Normal 10 2 4 2 2" xfId="6049"/>
    <cellStyle name="Normal 10 2 4 3" xfId="2149"/>
    <cellStyle name="Normal 10 2 4 3 2" xfId="6050"/>
    <cellStyle name="Normal 10 2 4 4" xfId="2151"/>
    <cellStyle name="Normal 10 2 4 4 2" xfId="6052"/>
    <cellStyle name="Normal 10 2 4 5" xfId="2152"/>
    <cellStyle name="Normal 10 2 4 5 2" xfId="6053"/>
    <cellStyle name="Normal 10 2 4 6" xfId="2153"/>
    <cellStyle name="Normal 10 2 4 6 2" xfId="6054"/>
    <cellStyle name="Normal 10 2 4 7" xfId="2084"/>
    <cellStyle name="Normal 10 2 4 7 2" xfId="5984"/>
    <cellStyle name="Normal 10 2 4 8" xfId="2091"/>
    <cellStyle name="Normal 10 2 4 8 2" xfId="5991"/>
    <cellStyle name="Normal 10 2 4 9" xfId="9095"/>
    <cellStyle name="Normal 10 2 5" xfId="2155"/>
    <cellStyle name="Normal 10 2 5 10" xfId="9096"/>
    <cellStyle name="Normal 10 2 5 11" xfId="9097"/>
    <cellStyle name="Normal 10 2 5 12" xfId="9098"/>
    <cellStyle name="Normal 10 2 5 13" xfId="9099"/>
    <cellStyle name="Normal 10 2 5 14" xfId="9100"/>
    <cellStyle name="Normal 10 2 5 15" xfId="9101"/>
    <cellStyle name="Normal 10 2 5 16" xfId="9102"/>
    <cellStyle name="Normal 10 2 5 17" xfId="9103"/>
    <cellStyle name="Normal 10 2 5 18" xfId="6056"/>
    <cellStyle name="Normal 10 2 5 2" xfId="2156"/>
    <cellStyle name="Normal 10 2 5 2 2" xfId="6057"/>
    <cellStyle name="Normal 10 2 5 3" xfId="2157"/>
    <cellStyle name="Normal 10 2 5 3 2" xfId="6058"/>
    <cellStyle name="Normal 10 2 5 4" xfId="2158"/>
    <cellStyle name="Normal 10 2 5 4 2" xfId="6059"/>
    <cellStyle name="Normal 10 2 5 5" xfId="2161"/>
    <cellStyle name="Normal 10 2 5 5 2" xfId="6062"/>
    <cellStyle name="Normal 10 2 5 6" xfId="2163"/>
    <cellStyle name="Normal 10 2 5 6 2" xfId="6064"/>
    <cellStyle name="Normal 10 2 5 7" xfId="2164"/>
    <cellStyle name="Normal 10 2 5 7 2" xfId="6065"/>
    <cellStyle name="Normal 10 2 5 8" xfId="2165"/>
    <cellStyle name="Normal 10 2 5 8 2" xfId="6066"/>
    <cellStyle name="Normal 10 2 5 9" xfId="9104"/>
    <cellStyle name="Normal 10 2 6" xfId="1467"/>
    <cellStyle name="Normal 10 2 6 10" xfId="9105"/>
    <cellStyle name="Normal 10 2 6 11" xfId="9106"/>
    <cellStyle name="Normal 10 2 6 12" xfId="9107"/>
    <cellStyle name="Normal 10 2 6 13" xfId="9108"/>
    <cellStyle name="Normal 10 2 6 14" xfId="9109"/>
    <cellStyle name="Normal 10 2 6 15" xfId="9110"/>
    <cellStyle name="Normal 10 2 6 16" xfId="9111"/>
    <cellStyle name="Normal 10 2 6 17" xfId="9112"/>
    <cellStyle name="Normal 10 2 6 18" xfId="5382"/>
    <cellStyle name="Normal 10 2 6 2" xfId="2166"/>
    <cellStyle name="Normal 10 2 6 2 2" xfId="6067"/>
    <cellStyle name="Normal 10 2 6 3" xfId="2168"/>
    <cellStyle name="Normal 10 2 6 3 2" xfId="6068"/>
    <cellStyle name="Normal 10 2 6 4" xfId="2169"/>
    <cellStyle name="Normal 10 2 6 4 2" xfId="6069"/>
    <cellStyle name="Normal 10 2 6 5" xfId="2170"/>
    <cellStyle name="Normal 10 2 6 5 2" xfId="6070"/>
    <cellStyle name="Normal 10 2 6 6" xfId="2171"/>
    <cellStyle name="Normal 10 2 6 6 2" xfId="6071"/>
    <cellStyle name="Normal 10 2 6 7" xfId="2172"/>
    <cellStyle name="Normal 10 2 6 7 2" xfId="6072"/>
    <cellStyle name="Normal 10 2 6 8" xfId="2173"/>
    <cellStyle name="Normal 10 2 6 8 2" xfId="6073"/>
    <cellStyle name="Normal 10 2 6 9" xfId="9113"/>
    <cellStyle name="Normal 10 2 7" xfId="1471"/>
    <cellStyle name="Normal 10 2 7 10" xfId="9114"/>
    <cellStyle name="Normal 10 2 7 11" xfId="9115"/>
    <cellStyle name="Normal 10 2 7 12" xfId="9116"/>
    <cellStyle name="Normal 10 2 7 13" xfId="9117"/>
    <cellStyle name="Normal 10 2 7 14" xfId="9118"/>
    <cellStyle name="Normal 10 2 7 15" xfId="9119"/>
    <cellStyle name="Normal 10 2 7 16" xfId="9120"/>
    <cellStyle name="Normal 10 2 7 17" xfId="9121"/>
    <cellStyle name="Normal 10 2 7 18" xfId="5386"/>
    <cellStyle name="Normal 10 2 7 2" xfId="547"/>
    <cellStyle name="Normal 10 2 7 2 2" xfId="4483"/>
    <cellStyle name="Normal 10 2 7 3" xfId="1062"/>
    <cellStyle name="Normal 10 2 7 3 2" xfId="4984"/>
    <cellStyle name="Normal 10 2 7 4" xfId="2174"/>
    <cellStyle name="Normal 10 2 7 4 2" xfId="6074"/>
    <cellStyle name="Normal 10 2 7 5" xfId="2175"/>
    <cellStyle name="Normal 10 2 7 5 2" xfId="6075"/>
    <cellStyle name="Normal 10 2 7 6" xfId="2176"/>
    <cellStyle name="Normal 10 2 7 6 2" xfId="6076"/>
    <cellStyle name="Normal 10 2 7 7" xfId="2177"/>
    <cellStyle name="Normal 10 2 7 7 2" xfId="6077"/>
    <cellStyle name="Normal 10 2 7 8" xfId="59"/>
    <cellStyle name="Normal 10 2 7 8 2" xfId="4012"/>
    <cellStyle name="Normal 10 2 7 9" xfId="9122"/>
    <cellStyle name="Normal 10 2 8" xfId="1476"/>
    <cellStyle name="Normal 10 2 8 10" xfId="9123"/>
    <cellStyle name="Normal 10 2 8 11" xfId="9124"/>
    <cellStyle name="Normal 10 2 8 12" xfId="9125"/>
    <cellStyle name="Normal 10 2 8 13" xfId="9126"/>
    <cellStyle name="Normal 10 2 8 14" xfId="9127"/>
    <cellStyle name="Normal 10 2 8 15" xfId="9128"/>
    <cellStyle name="Normal 10 2 8 16" xfId="9129"/>
    <cellStyle name="Normal 10 2 8 17" xfId="9130"/>
    <cellStyle name="Normal 10 2 8 18" xfId="5390"/>
    <cellStyle name="Normal 10 2 8 2" xfId="2178"/>
    <cellStyle name="Normal 10 2 8 2 2" xfId="6078"/>
    <cellStyle name="Normal 10 2 8 3" xfId="2179"/>
    <cellStyle name="Normal 10 2 8 3 2" xfId="6079"/>
    <cellStyle name="Normal 10 2 8 4" xfId="2180"/>
    <cellStyle name="Normal 10 2 8 4 2" xfId="6080"/>
    <cellStyle name="Normal 10 2 8 5" xfId="2181"/>
    <cellStyle name="Normal 10 2 8 5 2" xfId="6081"/>
    <cellStyle name="Normal 10 2 8 6" xfId="2182"/>
    <cellStyle name="Normal 10 2 8 6 2" xfId="6082"/>
    <cellStyle name="Normal 10 2 8 7" xfId="499"/>
    <cellStyle name="Normal 10 2 8 7 2" xfId="4433"/>
    <cellStyle name="Normal 10 2 8 8" xfId="502"/>
    <cellStyle name="Normal 10 2 8 8 2" xfId="4437"/>
    <cellStyle name="Normal 10 2 8 9" xfId="9131"/>
    <cellStyle name="Normal 10 2 9" xfId="1546"/>
    <cellStyle name="Normal 10 2 9 10" xfId="9132"/>
    <cellStyle name="Normal 10 2 9 11" xfId="9133"/>
    <cellStyle name="Normal 10 2 9 12" xfId="9134"/>
    <cellStyle name="Normal 10 2 9 13" xfId="9135"/>
    <cellStyle name="Normal 10 2 9 14" xfId="9136"/>
    <cellStyle name="Normal 10 2 9 15" xfId="9137"/>
    <cellStyle name="Normal 10 2 9 16" xfId="9138"/>
    <cellStyle name="Normal 10 2 9 17" xfId="9139"/>
    <cellStyle name="Normal 10 2 9 18" xfId="5460"/>
    <cellStyle name="Normal 10 2 9 2" xfId="1108"/>
    <cellStyle name="Normal 10 2 9 2 2" xfId="5031"/>
    <cellStyle name="Normal 10 2 9 3" xfId="1114"/>
    <cellStyle name="Normal 10 2 9 3 2" xfId="5037"/>
    <cellStyle name="Normal 10 2 9 4" xfId="2183"/>
    <cellStyle name="Normal 10 2 9 4 2" xfId="6083"/>
    <cellStyle name="Normal 10 2 9 5" xfId="2184"/>
    <cellStyle name="Normal 10 2 9 5 2" xfId="6084"/>
    <cellStyle name="Normal 10 2 9 6" xfId="2185"/>
    <cellStyle name="Normal 10 2 9 6 2" xfId="6085"/>
    <cellStyle name="Normal 10 2 9 7" xfId="2186"/>
    <cellStyle name="Normal 10 2 9 7 2" xfId="6087"/>
    <cellStyle name="Normal 10 2 9 8" xfId="2189"/>
    <cellStyle name="Normal 10 2 9 8 2" xfId="6089"/>
    <cellStyle name="Normal 10 2 9 9" xfId="9140"/>
    <cellStyle name="Normal 10 2_Achampally-Gattubuthkur-Ganga-CRR" xfId="682"/>
    <cellStyle name="Normal 10 20" xfId="9141"/>
    <cellStyle name="Normal 10 21" xfId="9142"/>
    <cellStyle name="Normal 10 22" xfId="9143"/>
    <cellStyle name="Normal 10 23" xfId="9144"/>
    <cellStyle name="Normal 10 24" xfId="9145"/>
    <cellStyle name="Normal 10 25" xfId="9146"/>
    <cellStyle name="Normal 10 26" xfId="9147"/>
    <cellStyle name="Normal 10 27" xfId="9148"/>
    <cellStyle name="Normal 10 28" xfId="9149"/>
    <cellStyle name="Normal 10 29" xfId="5983"/>
    <cellStyle name="Normal 10 3" xfId="2192"/>
    <cellStyle name="Normal 10 3 2" xfId="2193"/>
    <cellStyle name="Normal 10 3 2 2" xfId="6093"/>
    <cellStyle name="Normal 10 3 3" xfId="9150"/>
    <cellStyle name="Normal 10 3 3 2" xfId="9151"/>
    <cellStyle name="Normal 10 3 4" xfId="6091"/>
    <cellStyle name="Normal 10 4" xfId="2194"/>
    <cellStyle name="Normal 10 4 10" xfId="9152"/>
    <cellStyle name="Normal 10 4 11" xfId="9153"/>
    <cellStyle name="Normal 10 4 12" xfId="9154"/>
    <cellStyle name="Normal 10 4 13" xfId="9155"/>
    <cellStyle name="Normal 10 4 14" xfId="9156"/>
    <cellStyle name="Normal 10 4 15" xfId="9157"/>
    <cellStyle name="Normal 10 4 16" xfId="9158"/>
    <cellStyle name="Normal 10 4 17" xfId="9159"/>
    <cellStyle name="Normal 10 4 18" xfId="6094"/>
    <cellStyle name="Normal 10 4 2" xfId="2195"/>
    <cellStyle name="Normal 10 4 2 2" xfId="6095"/>
    <cellStyle name="Normal 10 4 3" xfId="2196"/>
    <cellStyle name="Normal 10 4 3 2" xfId="6096"/>
    <cellStyle name="Normal 10 4 4" xfId="2197"/>
    <cellStyle name="Normal 10 4 4 2" xfId="6097"/>
    <cellStyle name="Normal 10 4 5" xfId="2198"/>
    <cellStyle name="Normal 10 4 5 2" xfId="6098"/>
    <cellStyle name="Normal 10 4 6" xfId="1507"/>
    <cellStyle name="Normal 10 4 6 2" xfId="5425"/>
    <cellStyle name="Normal 10 4 7" xfId="1512"/>
    <cellStyle name="Normal 10 4 7 2" xfId="5430"/>
    <cellStyle name="Normal 10 4 8" xfId="2200"/>
    <cellStyle name="Normal 10 4 8 2" xfId="6100"/>
    <cellStyle name="Normal 10 4 9" xfId="9160"/>
    <cellStyle name="Normal 10 5" xfId="2201"/>
    <cellStyle name="Normal 10 5 10" xfId="9161"/>
    <cellStyle name="Normal 10 5 11" xfId="9162"/>
    <cellStyle name="Normal 10 5 12" xfId="9163"/>
    <cellStyle name="Normal 10 5 13" xfId="9164"/>
    <cellStyle name="Normal 10 5 14" xfId="9165"/>
    <cellStyle name="Normal 10 5 15" xfId="9166"/>
    <cellStyle name="Normal 10 5 16" xfId="9167"/>
    <cellStyle name="Normal 10 5 17" xfId="9168"/>
    <cellStyle name="Normal 10 5 18" xfId="6101"/>
    <cellStyle name="Normal 10 5 2" xfId="2202"/>
    <cellStyle name="Normal 10 5 2 2" xfId="6102"/>
    <cellStyle name="Normal 10 5 3" xfId="2203"/>
    <cellStyle name="Normal 10 5 3 2" xfId="6103"/>
    <cellStyle name="Normal 10 5 4" xfId="2204"/>
    <cellStyle name="Normal 10 5 4 2" xfId="6104"/>
    <cellStyle name="Normal 10 5 5" xfId="2205"/>
    <cellStyle name="Normal 10 5 5 2" xfId="6105"/>
    <cellStyle name="Normal 10 5 6" xfId="2206"/>
    <cellStyle name="Normal 10 5 6 2" xfId="6106"/>
    <cellStyle name="Normal 10 5 7" xfId="1529"/>
    <cellStyle name="Normal 10 5 7 2" xfId="5447"/>
    <cellStyle name="Normal 10 5 8" xfId="2207"/>
    <cellStyle name="Normal 10 5 8 2" xfId="6107"/>
    <cellStyle name="Normal 10 5 9" xfId="9169"/>
    <cellStyle name="Normal 10 6" xfId="2208"/>
    <cellStyle name="Normal 10 6 10" xfId="9170"/>
    <cellStyle name="Normal 10 6 11" xfId="9171"/>
    <cellStyle name="Normal 10 6 12" xfId="9172"/>
    <cellStyle name="Normal 10 6 13" xfId="9173"/>
    <cellStyle name="Normal 10 6 14" xfId="9174"/>
    <cellStyle name="Normal 10 6 15" xfId="9175"/>
    <cellStyle name="Normal 10 6 16" xfId="9176"/>
    <cellStyle name="Normal 10 6 17" xfId="9177"/>
    <cellStyle name="Normal 10 6 18" xfId="6108"/>
    <cellStyle name="Normal 10 6 2" xfId="1178"/>
    <cellStyle name="Normal 10 6 2 2" xfId="5099"/>
    <cellStyle name="Normal 10 6 3" xfId="2209"/>
    <cellStyle name="Normal 10 6 3 2" xfId="6109"/>
    <cellStyle name="Normal 10 6 4" xfId="2211"/>
    <cellStyle name="Normal 10 6 4 2" xfId="6110"/>
    <cellStyle name="Normal 10 6 5" xfId="2213"/>
    <cellStyle name="Normal 10 6 5 2" xfId="6112"/>
    <cellStyle name="Normal 10 6 6" xfId="2215"/>
    <cellStyle name="Normal 10 6 6 2" xfId="6114"/>
    <cellStyle name="Normal 10 6 7" xfId="2217"/>
    <cellStyle name="Normal 10 6 7 2" xfId="6116"/>
    <cellStyle name="Normal 10 6 8" xfId="2218"/>
    <cellStyle name="Normal 10 6 8 2" xfId="6119"/>
    <cellStyle name="Normal 10 6 9" xfId="9178"/>
    <cellStyle name="Normal 10 7" xfId="1575"/>
    <cellStyle name="Normal 10 7 10" xfId="9179"/>
    <cellStyle name="Normal 10 7 11" xfId="9180"/>
    <cellStyle name="Normal 10 7 12" xfId="9181"/>
    <cellStyle name="Normal 10 7 13" xfId="9182"/>
    <cellStyle name="Normal 10 7 14" xfId="9183"/>
    <cellStyle name="Normal 10 7 15" xfId="9184"/>
    <cellStyle name="Normal 10 7 16" xfId="9185"/>
    <cellStyle name="Normal 10 7 17" xfId="9186"/>
    <cellStyle name="Normal 10 7 18" xfId="5492"/>
    <cellStyle name="Normal 10 7 2" xfId="2220"/>
    <cellStyle name="Normal 10 7 2 2" xfId="6120"/>
    <cellStyle name="Normal 10 7 3" xfId="2221"/>
    <cellStyle name="Normal 10 7 3 2" xfId="6121"/>
    <cellStyle name="Normal 10 7 4" xfId="1200"/>
    <cellStyle name="Normal 10 7 4 2" xfId="5120"/>
    <cellStyle name="Normal 10 7 5" xfId="2223"/>
    <cellStyle name="Normal 10 7 5 2" xfId="6122"/>
    <cellStyle name="Normal 10 7 6" xfId="2225"/>
    <cellStyle name="Normal 10 7 6 2" xfId="6124"/>
    <cellStyle name="Normal 10 7 7" xfId="2227"/>
    <cellStyle name="Normal 10 7 7 2" xfId="6126"/>
    <cellStyle name="Normal 10 7 8" xfId="2228"/>
    <cellStyle name="Normal 10 7 8 2" xfId="6128"/>
    <cellStyle name="Normal 10 7 9" xfId="9187"/>
    <cellStyle name="Normal 10 8" xfId="1578"/>
    <cellStyle name="Normal 10 8 10" xfId="9188"/>
    <cellStyle name="Normal 10 8 11" xfId="9189"/>
    <cellStyle name="Normal 10 8 12" xfId="9190"/>
    <cellStyle name="Normal 10 8 13" xfId="9191"/>
    <cellStyle name="Normal 10 8 14" xfId="9192"/>
    <cellStyle name="Normal 10 8 15" xfId="9193"/>
    <cellStyle name="Normal 10 8 16" xfId="9194"/>
    <cellStyle name="Normal 10 8 17" xfId="9195"/>
    <cellStyle name="Normal 10 8 18" xfId="5495"/>
    <cellStyle name="Normal 10 8 2" xfId="163"/>
    <cellStyle name="Normal 10 8 2 2" xfId="4096"/>
    <cellStyle name="Normal 10 8 3" xfId="177"/>
    <cellStyle name="Normal 10 8 3 2" xfId="4111"/>
    <cellStyle name="Normal 10 8 4" xfId="2229"/>
    <cellStyle name="Normal 10 8 4 2" xfId="6129"/>
    <cellStyle name="Normal 10 8 5" xfId="2230"/>
    <cellStyle name="Normal 10 8 5 2" xfId="6130"/>
    <cellStyle name="Normal 10 8 6" xfId="2231"/>
    <cellStyle name="Normal 10 8 6 2" xfId="6131"/>
    <cellStyle name="Normal 10 8 7" xfId="2232"/>
    <cellStyle name="Normal 10 8 7 2" xfId="6132"/>
    <cellStyle name="Normal 10 8 8" xfId="2233"/>
    <cellStyle name="Normal 10 8 8 2" xfId="6133"/>
    <cellStyle name="Normal 10 8 9" xfId="9196"/>
    <cellStyle name="Normal 10 9" xfId="1581"/>
    <cellStyle name="Normal 10 9 10" xfId="9197"/>
    <cellStyle name="Normal 10 9 11" xfId="9198"/>
    <cellStyle name="Normal 10 9 12" xfId="9199"/>
    <cellStyle name="Normal 10 9 13" xfId="9200"/>
    <cellStyle name="Normal 10 9 14" xfId="9201"/>
    <cellStyle name="Normal 10 9 15" xfId="9202"/>
    <cellStyle name="Normal 10 9 16" xfId="9203"/>
    <cellStyle name="Normal 10 9 17" xfId="9204"/>
    <cellStyle name="Normal 10 9 18" xfId="5498"/>
    <cellStyle name="Normal 10 9 2" xfId="1214"/>
    <cellStyle name="Normal 10 9 2 2" xfId="5134"/>
    <cellStyle name="Normal 10 9 3" xfId="1217"/>
    <cellStyle name="Normal 10 9 3 2" xfId="5137"/>
    <cellStyle name="Normal 10 9 4" xfId="2234"/>
    <cellStyle name="Normal 10 9 4 2" xfId="6134"/>
    <cellStyle name="Normal 10 9 5" xfId="2235"/>
    <cellStyle name="Normal 10 9 5 2" xfId="6135"/>
    <cellStyle name="Normal 10 9 6" xfId="2236"/>
    <cellStyle name="Normal 10 9 6 2" xfId="6136"/>
    <cellStyle name="Normal 10 9 7" xfId="2237"/>
    <cellStyle name="Normal 10 9 7 2" xfId="6137"/>
    <cellStyle name="Normal 10 9 8" xfId="2241"/>
    <cellStyle name="Normal 10 9 8 2" xfId="6141"/>
    <cellStyle name="Normal 10 9 9" xfId="9205"/>
    <cellStyle name="Normal 10_2bhk_19122016" xfId="9206"/>
    <cellStyle name="Normal 11" xfId="2242"/>
    <cellStyle name="Normal 11 10" xfId="2187"/>
    <cellStyle name="Normal 11 10 10" xfId="9207"/>
    <cellStyle name="Normal 11 10 11" xfId="9208"/>
    <cellStyle name="Normal 11 10 12" xfId="9209"/>
    <cellStyle name="Normal 11 10 13" xfId="9210"/>
    <cellStyle name="Normal 11 10 14" xfId="9211"/>
    <cellStyle name="Normal 11 10 15" xfId="9212"/>
    <cellStyle name="Normal 11 10 16" xfId="9213"/>
    <cellStyle name="Normal 11 10 17" xfId="9214"/>
    <cellStyle name="Normal 11 10 18" xfId="6086"/>
    <cellStyle name="Normal 11 10 2" xfId="1888"/>
    <cellStyle name="Normal 11 10 2 2" xfId="5797"/>
    <cellStyle name="Normal 11 10 3" xfId="1890"/>
    <cellStyle name="Normal 11 10 3 2" xfId="5799"/>
    <cellStyle name="Normal 11 10 4" xfId="1623"/>
    <cellStyle name="Normal 11 10 4 2" xfId="5540"/>
    <cellStyle name="Normal 11 10 5" xfId="2243"/>
    <cellStyle name="Normal 11 10 5 2" xfId="6143"/>
    <cellStyle name="Normal 11 10 6" xfId="2244"/>
    <cellStyle name="Normal 11 10 6 2" xfId="6144"/>
    <cellStyle name="Normal 11 10 7" xfId="2245"/>
    <cellStyle name="Normal 11 10 7 2" xfId="6145"/>
    <cellStyle name="Normal 11 10 8" xfId="2246"/>
    <cellStyle name="Normal 11 10 8 2" xfId="6146"/>
    <cellStyle name="Normal 11 10 9" xfId="9215"/>
    <cellStyle name="Normal 11 11" xfId="2190"/>
    <cellStyle name="Normal 11 11 2" xfId="6088"/>
    <cellStyle name="Normal 11 12" xfId="2250"/>
    <cellStyle name="Normal 11 12 2" xfId="6147"/>
    <cellStyle name="Normal 11 13" xfId="2253"/>
    <cellStyle name="Normal 11 13 2" xfId="6151"/>
    <cellStyle name="Normal 11 14" xfId="2255"/>
    <cellStyle name="Normal 11 14 2" xfId="6154"/>
    <cellStyle name="Normal 11 15" xfId="1943"/>
    <cellStyle name="Normal 11 15 2" xfId="5850"/>
    <cellStyle name="Normal 11 16" xfId="396"/>
    <cellStyle name="Normal 11 16 2" xfId="4336"/>
    <cellStyle name="Normal 11 17" xfId="407"/>
    <cellStyle name="Normal 11 17 2" xfId="4346"/>
    <cellStyle name="Normal 11 18" xfId="9216"/>
    <cellStyle name="Normal 11 19" xfId="9217"/>
    <cellStyle name="Normal 11 2" xfId="2256"/>
    <cellStyle name="Normal 11 2 10" xfId="9218"/>
    <cellStyle name="Normal 11 2 11" xfId="9219"/>
    <cellStyle name="Normal 11 2 12" xfId="9220"/>
    <cellStyle name="Normal 11 2 13" xfId="9221"/>
    <cellStyle name="Normal 11 2 14" xfId="9222"/>
    <cellStyle name="Normal 11 2 15" xfId="9223"/>
    <cellStyle name="Normal 11 2 16" xfId="9224"/>
    <cellStyle name="Normal 11 2 17" xfId="9225"/>
    <cellStyle name="Normal 11 2 18" xfId="6156"/>
    <cellStyle name="Normal 11 2 2" xfId="1111"/>
    <cellStyle name="Normal 11 2 2 2" xfId="5034"/>
    <cellStyle name="Normal 11 2 3" xfId="1117"/>
    <cellStyle name="Normal 11 2 3 2" xfId="5040"/>
    <cellStyle name="Normal 11 2 4" xfId="1127"/>
    <cellStyle name="Normal 11 2 4 2" xfId="5045"/>
    <cellStyle name="Normal 11 2 5" xfId="1131"/>
    <cellStyle name="Normal 11 2 5 2" xfId="5049"/>
    <cellStyle name="Normal 11 2 6" xfId="2259"/>
    <cellStyle name="Normal 11 2 6 2" xfId="6159"/>
    <cellStyle name="Normal 11 2 7" xfId="2262"/>
    <cellStyle name="Normal 11 2 7 2" xfId="6162"/>
    <cellStyle name="Normal 11 2 8" xfId="2263"/>
    <cellStyle name="Normal 11 2 8 2" xfId="6164"/>
    <cellStyle name="Normal 11 2 9" xfId="9226"/>
    <cellStyle name="Normal 11 20" xfId="9227"/>
    <cellStyle name="Normal 11 21" xfId="9228"/>
    <cellStyle name="Normal 11 22" xfId="9229"/>
    <cellStyle name="Normal 11 23" xfId="9230"/>
    <cellStyle name="Normal 11 24" xfId="9231"/>
    <cellStyle name="Normal 11 25" xfId="9232"/>
    <cellStyle name="Normal 11 26" xfId="9233"/>
    <cellStyle name="Normal 11 27" xfId="6142"/>
    <cellStyle name="Normal 11 3" xfId="2267"/>
    <cellStyle name="Normal 11 3 10" xfId="9234"/>
    <cellStyle name="Normal 11 3 11" xfId="9235"/>
    <cellStyle name="Normal 11 3 12" xfId="9236"/>
    <cellStyle name="Normal 11 3 13" xfId="9237"/>
    <cellStyle name="Normal 11 3 14" xfId="9238"/>
    <cellStyle name="Normal 11 3 15" xfId="9239"/>
    <cellStyle name="Normal 11 3 16" xfId="9240"/>
    <cellStyle name="Normal 11 3 17" xfId="9241"/>
    <cellStyle name="Normal 11 3 18" xfId="6167"/>
    <cellStyle name="Normal 11 3 2" xfId="276"/>
    <cellStyle name="Normal 11 3 2 2" xfId="4229"/>
    <cellStyle name="Normal 11 3 3" xfId="1138"/>
    <cellStyle name="Normal 11 3 3 2" xfId="5061"/>
    <cellStyle name="Normal 11 3 4" xfId="1141"/>
    <cellStyle name="Normal 11 3 4 2" xfId="5063"/>
    <cellStyle name="Normal 11 3 5" xfId="935"/>
    <cellStyle name="Normal 11 3 5 2" xfId="4857"/>
    <cellStyle name="Normal 11 3 6" xfId="2268"/>
    <cellStyle name="Normal 11 3 6 2" xfId="6168"/>
    <cellStyle name="Normal 11 3 7" xfId="2269"/>
    <cellStyle name="Normal 11 3 7 2" xfId="6169"/>
    <cellStyle name="Normal 11 3 8" xfId="2270"/>
    <cellStyle name="Normal 11 3 8 2" xfId="6171"/>
    <cellStyle name="Normal 11 3 9" xfId="9242"/>
    <cellStyle name="Normal 11 4" xfId="2272"/>
    <cellStyle name="Normal 11 4 10" xfId="9243"/>
    <cellStyle name="Normal 11 4 11" xfId="9244"/>
    <cellStyle name="Normal 11 4 12" xfId="9245"/>
    <cellStyle name="Normal 11 4 13" xfId="9246"/>
    <cellStyle name="Normal 11 4 14" xfId="9247"/>
    <cellStyle name="Normal 11 4 15" xfId="9248"/>
    <cellStyle name="Normal 11 4 16" xfId="9249"/>
    <cellStyle name="Normal 11 4 17" xfId="9250"/>
    <cellStyle name="Normal 11 4 18" xfId="6172"/>
    <cellStyle name="Normal 11 4 2" xfId="184"/>
    <cellStyle name="Normal 11 4 2 2" xfId="4118"/>
    <cellStyle name="Normal 11 4 3" xfId="192"/>
    <cellStyle name="Normal 11 4 3 2" xfId="4129"/>
    <cellStyle name="Normal 11 4 4" xfId="147"/>
    <cellStyle name="Normal 11 4 4 2" xfId="4090"/>
    <cellStyle name="Normal 11 4 5" xfId="172"/>
    <cellStyle name="Normal 11 4 5 2" xfId="4104"/>
    <cellStyle name="Normal 11 4 6" xfId="2273"/>
    <cellStyle name="Normal 11 4 6 2" xfId="6173"/>
    <cellStyle name="Normal 11 4 7" xfId="2274"/>
    <cellStyle name="Normal 11 4 7 2" xfId="6174"/>
    <cellStyle name="Normal 11 4 8" xfId="2275"/>
    <cellStyle name="Normal 11 4 8 2" xfId="6175"/>
    <cellStyle name="Normal 11 4 9" xfId="9251"/>
    <cellStyle name="Normal 11 5" xfId="2276"/>
    <cellStyle name="Normal 11 5 10" xfId="9252"/>
    <cellStyle name="Normal 11 5 11" xfId="9253"/>
    <cellStyle name="Normal 11 5 12" xfId="9254"/>
    <cellStyle name="Normal 11 5 13" xfId="9255"/>
    <cellStyle name="Normal 11 5 14" xfId="9256"/>
    <cellStyle name="Normal 11 5 15" xfId="9257"/>
    <cellStyle name="Normal 11 5 16" xfId="9258"/>
    <cellStyle name="Normal 11 5 17" xfId="9259"/>
    <cellStyle name="Normal 11 5 18" xfId="6176"/>
    <cellStyle name="Normal 11 5 2" xfId="2279"/>
    <cellStyle name="Normal 11 5 2 2" xfId="6177"/>
    <cellStyle name="Normal 11 5 3" xfId="2280"/>
    <cellStyle name="Normal 11 5 3 2" xfId="6180"/>
    <cellStyle name="Normal 11 5 4" xfId="2281"/>
    <cellStyle name="Normal 11 5 4 2" xfId="6181"/>
    <cellStyle name="Normal 11 5 5" xfId="2282"/>
    <cellStyle name="Normal 11 5 5 2" xfId="6182"/>
    <cellStyle name="Normal 11 5 6" xfId="2283"/>
    <cellStyle name="Normal 11 5 6 2" xfId="6183"/>
    <cellStyle name="Normal 11 5 7" xfId="2284"/>
    <cellStyle name="Normal 11 5 7 2" xfId="6184"/>
    <cellStyle name="Normal 11 5 8" xfId="2286"/>
    <cellStyle name="Normal 11 5 8 2" xfId="6185"/>
    <cellStyle name="Normal 11 5 9" xfId="9260"/>
    <cellStyle name="Normal 11 6" xfId="371"/>
    <cellStyle name="Normal 11 6 10" xfId="9261"/>
    <cellStyle name="Normal 11 6 11" xfId="9262"/>
    <cellStyle name="Normal 11 6 12" xfId="9263"/>
    <cellStyle name="Normal 11 6 13" xfId="9264"/>
    <cellStyle name="Normal 11 6 14" xfId="9265"/>
    <cellStyle name="Normal 11 6 15" xfId="9266"/>
    <cellStyle name="Normal 11 6 16" xfId="9267"/>
    <cellStyle name="Normal 11 6 17" xfId="9268"/>
    <cellStyle name="Normal 11 6 18" xfId="4310"/>
    <cellStyle name="Normal 11 6 2" xfId="1964"/>
    <cellStyle name="Normal 11 6 2 2" xfId="5869"/>
    <cellStyle name="Normal 11 6 3" xfId="1967"/>
    <cellStyle name="Normal 11 6 3 2" xfId="5872"/>
    <cellStyle name="Normal 11 6 4" xfId="1969"/>
    <cellStyle name="Normal 11 6 4 2" xfId="5874"/>
    <cellStyle name="Normal 11 6 5" xfId="1971"/>
    <cellStyle name="Normal 11 6 5 2" xfId="5876"/>
    <cellStyle name="Normal 11 6 6" xfId="1973"/>
    <cellStyle name="Normal 11 6 6 2" xfId="5878"/>
    <cellStyle name="Normal 11 6 7" xfId="2287"/>
    <cellStyle name="Normal 11 6 7 2" xfId="6186"/>
    <cellStyle name="Normal 11 6 8" xfId="2288"/>
    <cellStyle name="Normal 11 6 8 2" xfId="6187"/>
    <cellStyle name="Normal 11 6 9" xfId="9269"/>
    <cellStyle name="Normal 11 7" xfId="379"/>
    <cellStyle name="Normal 11 7 10" xfId="9270"/>
    <cellStyle name="Normal 11 7 11" xfId="9271"/>
    <cellStyle name="Normal 11 7 12" xfId="9272"/>
    <cellStyle name="Normal 11 7 13" xfId="9273"/>
    <cellStyle name="Normal 11 7 14" xfId="9274"/>
    <cellStyle name="Normal 11 7 15" xfId="9275"/>
    <cellStyle name="Normal 11 7 16" xfId="9276"/>
    <cellStyle name="Normal 11 7 17" xfId="9277"/>
    <cellStyle name="Normal 11 7 18" xfId="4317"/>
    <cellStyle name="Normal 11 7 2" xfId="2289"/>
    <cellStyle name="Normal 11 7 2 2" xfId="6188"/>
    <cellStyle name="Normal 11 7 3" xfId="2290"/>
    <cellStyle name="Normal 11 7 3 2" xfId="6189"/>
    <cellStyle name="Normal 11 7 4" xfId="2291"/>
    <cellStyle name="Normal 11 7 4 2" xfId="6190"/>
    <cellStyle name="Normal 11 7 5" xfId="2292"/>
    <cellStyle name="Normal 11 7 5 2" xfId="6191"/>
    <cellStyle name="Normal 11 7 6" xfId="2293"/>
    <cellStyle name="Normal 11 7 6 2" xfId="6192"/>
    <cellStyle name="Normal 11 7 7" xfId="2294"/>
    <cellStyle name="Normal 11 7 7 2" xfId="6193"/>
    <cellStyle name="Normal 11 7 8" xfId="2295"/>
    <cellStyle name="Normal 11 7 8 2" xfId="6194"/>
    <cellStyle name="Normal 11 7 9" xfId="9278"/>
    <cellStyle name="Normal 11 8" xfId="1584"/>
    <cellStyle name="Normal 11 8 10" xfId="9279"/>
    <cellStyle name="Normal 11 8 11" xfId="9280"/>
    <cellStyle name="Normal 11 8 12" xfId="9281"/>
    <cellStyle name="Normal 11 8 13" xfId="9282"/>
    <cellStyle name="Normal 11 8 14" xfId="9283"/>
    <cellStyle name="Normal 11 8 15" xfId="9284"/>
    <cellStyle name="Normal 11 8 16" xfId="9285"/>
    <cellStyle name="Normal 11 8 17" xfId="9286"/>
    <cellStyle name="Normal 11 8 18" xfId="5501"/>
    <cellStyle name="Normal 11 8 2" xfId="260"/>
    <cellStyle name="Normal 11 8 2 2" xfId="4209"/>
    <cellStyle name="Normal 11 8 3" xfId="2296"/>
    <cellStyle name="Normal 11 8 3 2" xfId="6195"/>
    <cellStyle name="Normal 11 8 4" xfId="2297"/>
    <cellStyle name="Normal 11 8 4 2" xfId="6196"/>
    <cellStyle name="Normal 11 8 5" xfId="2298"/>
    <cellStyle name="Normal 11 8 5 2" xfId="6197"/>
    <cellStyle name="Normal 11 8 6" xfId="2299"/>
    <cellStyle name="Normal 11 8 6 2" xfId="6198"/>
    <cellStyle name="Normal 11 8 7" xfId="2300"/>
    <cellStyle name="Normal 11 8 7 2" xfId="6199"/>
    <cellStyle name="Normal 11 8 8" xfId="2301"/>
    <cellStyle name="Normal 11 8 8 2" xfId="6200"/>
    <cellStyle name="Normal 11 8 9" xfId="9287"/>
    <cellStyle name="Normal 11 9" xfId="1586"/>
    <cellStyle name="Normal 11 9 10" xfId="9288"/>
    <cellStyle name="Normal 11 9 11" xfId="9289"/>
    <cellStyle name="Normal 11 9 12" xfId="9290"/>
    <cellStyle name="Normal 11 9 13" xfId="9291"/>
    <cellStyle name="Normal 11 9 14" xfId="9292"/>
    <cellStyle name="Normal 11 9 15" xfId="9293"/>
    <cellStyle name="Normal 11 9 16" xfId="9294"/>
    <cellStyle name="Normal 11 9 17" xfId="9295"/>
    <cellStyle name="Normal 11 9 18" xfId="5503"/>
    <cellStyle name="Normal 11 9 2" xfId="2302"/>
    <cellStyle name="Normal 11 9 2 2" xfId="6201"/>
    <cellStyle name="Normal 11 9 3" xfId="2303"/>
    <cellStyle name="Normal 11 9 3 2" xfId="6202"/>
    <cellStyle name="Normal 11 9 4" xfId="2305"/>
    <cellStyle name="Normal 11 9 4 2" xfId="6203"/>
    <cellStyle name="Normal 11 9 5" xfId="2306"/>
    <cellStyle name="Normal 11 9 5 2" xfId="6205"/>
    <cellStyle name="Normal 11 9 6" xfId="2307"/>
    <cellStyle name="Normal 11 9 6 2" xfId="6206"/>
    <cellStyle name="Normal 11 9 7" xfId="2308"/>
    <cellStyle name="Normal 11 9 7 2" xfId="6207"/>
    <cellStyle name="Normal 11 9 8" xfId="2309"/>
    <cellStyle name="Normal 11 9 8 2" xfId="6208"/>
    <cellStyle name="Normal 11 9 9" xfId="9296"/>
    <cellStyle name="Normal 11_Achampally-Gattubuthkur-Ganga-CRR" xfId="2310"/>
    <cellStyle name="Normal 12" xfId="2311"/>
    <cellStyle name="Normal 12 2" xfId="614"/>
    <cellStyle name="Normal 12 2 10" xfId="9297"/>
    <cellStyle name="Normal 12 2 11" xfId="9298"/>
    <cellStyle name="Normal 12 2 12" xfId="9299"/>
    <cellStyle name="Normal 12 2 13" xfId="9300"/>
    <cellStyle name="Normal 12 2 14" xfId="9301"/>
    <cellStyle name="Normal 12 2 15" xfId="9302"/>
    <cellStyle name="Normal 12 2 16" xfId="9303"/>
    <cellStyle name="Normal 12 2 17" xfId="9304"/>
    <cellStyle name="Normal 12 2 18" xfId="9305"/>
    <cellStyle name="Normal 12 2 19" xfId="4545"/>
    <cellStyle name="Normal 12 2 2" xfId="684"/>
    <cellStyle name="Normal 12 2 2 10" xfId="9306"/>
    <cellStyle name="Normal 12 2 2 11" xfId="9307"/>
    <cellStyle name="Normal 12 2 2 12" xfId="9308"/>
    <cellStyle name="Normal 12 2 2 13" xfId="4612"/>
    <cellStyle name="Normal 12 2 2 2" xfId="1323"/>
    <cellStyle name="Normal 12 2 2 2 10" xfId="9309"/>
    <cellStyle name="Normal 12 2 2 2 11" xfId="5243"/>
    <cellStyle name="Normal 12 2 2 2 2" xfId="9310"/>
    <cellStyle name="Normal 12 2 2 2 3" xfId="9311"/>
    <cellStyle name="Normal 12 2 2 2 4" xfId="9312"/>
    <cellStyle name="Normal 12 2 2 2 5" xfId="9313"/>
    <cellStyle name="Normal 12 2 2 2 6" xfId="9314"/>
    <cellStyle name="Normal 12 2 2 2 7" xfId="9315"/>
    <cellStyle name="Normal 12 2 2 2 8" xfId="9316"/>
    <cellStyle name="Normal 12 2 2 2 9" xfId="9317"/>
    <cellStyle name="Normal 12 2 2 3" xfId="1344"/>
    <cellStyle name="Normal 12 2 2 3 10" xfId="9318"/>
    <cellStyle name="Normal 12 2 2 3 11" xfId="5263"/>
    <cellStyle name="Normal 12 2 2 3 2" xfId="9319"/>
    <cellStyle name="Normal 12 2 2 3 3" xfId="9320"/>
    <cellStyle name="Normal 12 2 2 3 4" xfId="9321"/>
    <cellStyle name="Normal 12 2 2 3 5" xfId="9322"/>
    <cellStyle name="Normal 12 2 2 3 6" xfId="9323"/>
    <cellStyle name="Normal 12 2 2 3 7" xfId="9324"/>
    <cellStyle name="Normal 12 2 2 3 8" xfId="9325"/>
    <cellStyle name="Normal 12 2 2 3 9" xfId="9326"/>
    <cellStyle name="Normal 12 2 2 4" xfId="9327"/>
    <cellStyle name="Normal 12 2 2 5" xfId="9328"/>
    <cellStyle name="Normal 12 2 2 6" xfId="9329"/>
    <cellStyle name="Normal 12 2 2 7" xfId="9330"/>
    <cellStyle name="Normal 12 2 2 8" xfId="9331"/>
    <cellStyle name="Normal 12 2 2 9" xfId="9332"/>
    <cellStyle name="Normal 12 2 3" xfId="690"/>
    <cellStyle name="Normal 12 2 3 10" xfId="9333"/>
    <cellStyle name="Normal 12 2 3 11" xfId="9334"/>
    <cellStyle name="Normal 12 2 3 12" xfId="9335"/>
    <cellStyle name="Normal 12 2 3 13" xfId="4618"/>
    <cellStyle name="Normal 12 2 3 2" xfId="1449"/>
    <cellStyle name="Normal 12 2 3 2 10" xfId="9336"/>
    <cellStyle name="Normal 12 2 3 2 11" xfId="5365"/>
    <cellStyle name="Normal 12 2 3 2 2" xfId="9337"/>
    <cellStyle name="Normal 12 2 3 2 3" xfId="9338"/>
    <cellStyle name="Normal 12 2 3 2 4" xfId="9339"/>
    <cellStyle name="Normal 12 2 3 2 5" xfId="9340"/>
    <cellStyle name="Normal 12 2 3 2 6" xfId="9341"/>
    <cellStyle name="Normal 12 2 3 2 7" xfId="9342"/>
    <cellStyle name="Normal 12 2 3 2 8" xfId="9343"/>
    <cellStyle name="Normal 12 2 3 2 9" xfId="9344"/>
    <cellStyle name="Normal 12 2 3 3" xfId="664"/>
    <cellStyle name="Normal 12 2 3 3 10" xfId="9345"/>
    <cellStyle name="Normal 12 2 3 3 11" xfId="4597"/>
    <cellStyle name="Normal 12 2 3 3 2" xfId="9346"/>
    <cellStyle name="Normal 12 2 3 3 3" xfId="9347"/>
    <cellStyle name="Normal 12 2 3 3 4" xfId="9348"/>
    <cellStyle name="Normal 12 2 3 3 5" xfId="9349"/>
    <cellStyle name="Normal 12 2 3 3 6" xfId="9350"/>
    <cellStyle name="Normal 12 2 3 3 7" xfId="9351"/>
    <cellStyle name="Normal 12 2 3 3 8" xfId="9352"/>
    <cellStyle name="Normal 12 2 3 3 9" xfId="9353"/>
    <cellStyle name="Normal 12 2 3 4" xfId="9354"/>
    <cellStyle name="Normal 12 2 3 5" xfId="9355"/>
    <cellStyle name="Normal 12 2 3 6" xfId="9356"/>
    <cellStyle name="Normal 12 2 3 7" xfId="9357"/>
    <cellStyle name="Normal 12 2 3 8" xfId="9358"/>
    <cellStyle name="Normal 12 2 3 9" xfId="9359"/>
    <cellStyle name="Normal 12 2 4" xfId="974"/>
    <cellStyle name="Normal 12 2 4 10" xfId="9360"/>
    <cellStyle name="Normal 12 2 4 11" xfId="9361"/>
    <cellStyle name="Normal 12 2 4 12" xfId="9362"/>
    <cellStyle name="Normal 12 2 4 13" xfId="4896"/>
    <cellStyle name="Normal 12 2 4 2" xfId="1474"/>
    <cellStyle name="Normal 12 2 4 2 10" xfId="9363"/>
    <cellStyle name="Normal 12 2 4 2 11" xfId="5392"/>
    <cellStyle name="Normal 12 2 4 2 2" xfId="9364"/>
    <cellStyle name="Normal 12 2 4 2 3" xfId="9365"/>
    <cellStyle name="Normal 12 2 4 2 4" xfId="9366"/>
    <cellStyle name="Normal 12 2 4 2 5" xfId="9367"/>
    <cellStyle name="Normal 12 2 4 2 6" xfId="9368"/>
    <cellStyle name="Normal 12 2 4 2 7" xfId="9369"/>
    <cellStyle name="Normal 12 2 4 2 8" xfId="9370"/>
    <cellStyle name="Normal 12 2 4 2 9" xfId="9371"/>
    <cellStyle name="Normal 12 2 4 3" xfId="1544"/>
    <cellStyle name="Normal 12 2 4 3 10" xfId="9372"/>
    <cellStyle name="Normal 12 2 4 3 11" xfId="5462"/>
    <cellStyle name="Normal 12 2 4 3 2" xfId="9373"/>
    <cellStyle name="Normal 12 2 4 3 3" xfId="9374"/>
    <cellStyle name="Normal 12 2 4 3 4" xfId="9375"/>
    <cellStyle name="Normal 12 2 4 3 5" xfId="9376"/>
    <cellStyle name="Normal 12 2 4 3 6" xfId="9377"/>
    <cellStyle name="Normal 12 2 4 3 7" xfId="9378"/>
    <cellStyle name="Normal 12 2 4 3 8" xfId="9379"/>
    <cellStyle name="Normal 12 2 4 3 9" xfId="9380"/>
    <cellStyle name="Normal 12 2 4 4" xfId="9381"/>
    <cellStyle name="Normal 12 2 4 5" xfId="9382"/>
    <cellStyle name="Normal 12 2 4 6" xfId="9383"/>
    <cellStyle name="Normal 12 2 4 7" xfId="9384"/>
    <cellStyle name="Normal 12 2 4 8" xfId="9385"/>
    <cellStyle name="Normal 12 2 4 9" xfId="9386"/>
    <cellStyle name="Normal 12 2 5" xfId="604"/>
    <cellStyle name="Normal 12 2 5 10" xfId="9387"/>
    <cellStyle name="Normal 12 2 5 11" xfId="9388"/>
    <cellStyle name="Normal 12 2 5 12" xfId="9389"/>
    <cellStyle name="Normal 12 2 5 13" xfId="4535"/>
    <cellStyle name="Normal 12 2 5 2" xfId="2313"/>
    <cellStyle name="Normal 12 2 5 2 10" xfId="9390"/>
    <cellStyle name="Normal 12 2 5 2 11" xfId="6211"/>
    <cellStyle name="Normal 12 2 5 2 2" xfId="9391"/>
    <cellStyle name="Normal 12 2 5 2 3" xfId="9392"/>
    <cellStyle name="Normal 12 2 5 2 4" xfId="9393"/>
    <cellStyle name="Normal 12 2 5 2 5" xfId="9394"/>
    <cellStyle name="Normal 12 2 5 2 6" xfId="9395"/>
    <cellStyle name="Normal 12 2 5 2 7" xfId="9396"/>
    <cellStyle name="Normal 12 2 5 2 8" xfId="9397"/>
    <cellStyle name="Normal 12 2 5 2 9" xfId="9398"/>
    <cellStyle name="Normal 12 2 5 3" xfId="2316"/>
    <cellStyle name="Normal 12 2 5 3 10" xfId="9399"/>
    <cellStyle name="Normal 12 2 5 3 11" xfId="6214"/>
    <cellStyle name="Normal 12 2 5 3 2" xfId="9400"/>
    <cellStyle name="Normal 12 2 5 3 3" xfId="9401"/>
    <cellStyle name="Normal 12 2 5 3 4" xfId="9402"/>
    <cellStyle name="Normal 12 2 5 3 5" xfId="9403"/>
    <cellStyle name="Normal 12 2 5 3 6" xfId="9404"/>
    <cellStyle name="Normal 12 2 5 3 7" xfId="9405"/>
    <cellStyle name="Normal 12 2 5 3 8" xfId="9406"/>
    <cellStyle name="Normal 12 2 5 3 9" xfId="9407"/>
    <cellStyle name="Normal 12 2 5 4" xfId="9408"/>
    <cellStyle name="Normal 12 2 5 5" xfId="9409"/>
    <cellStyle name="Normal 12 2 5 6" xfId="9410"/>
    <cellStyle name="Normal 12 2 5 7" xfId="9411"/>
    <cellStyle name="Normal 12 2 5 8" xfId="9412"/>
    <cellStyle name="Normal 12 2 5 9" xfId="9413"/>
    <cellStyle name="Normal 12 2 6" xfId="979"/>
    <cellStyle name="Normal 12 2 6 10" xfId="9414"/>
    <cellStyle name="Normal 12 2 6 11" xfId="9415"/>
    <cellStyle name="Normal 12 2 6 12" xfId="9416"/>
    <cellStyle name="Normal 12 2 6 13" xfId="4898"/>
    <cellStyle name="Normal 12 2 6 2" xfId="2199"/>
    <cellStyle name="Normal 12 2 6 2 10" xfId="9417"/>
    <cellStyle name="Normal 12 2 6 2 11" xfId="6099"/>
    <cellStyle name="Normal 12 2 6 2 2" xfId="9418"/>
    <cellStyle name="Normal 12 2 6 2 3" xfId="9419"/>
    <cellStyle name="Normal 12 2 6 2 4" xfId="9420"/>
    <cellStyle name="Normal 12 2 6 2 5" xfId="9421"/>
    <cellStyle name="Normal 12 2 6 2 6" xfId="9422"/>
    <cellStyle name="Normal 12 2 6 2 7" xfId="9423"/>
    <cellStyle name="Normal 12 2 6 2 8" xfId="9424"/>
    <cellStyle name="Normal 12 2 6 2 9" xfId="9425"/>
    <cellStyle name="Normal 12 2 6 3" xfId="2318"/>
    <cellStyle name="Normal 12 2 6 3 10" xfId="9426"/>
    <cellStyle name="Normal 12 2 6 3 11" xfId="6216"/>
    <cellStyle name="Normal 12 2 6 3 2" xfId="9427"/>
    <cellStyle name="Normal 12 2 6 3 3" xfId="9428"/>
    <cellStyle name="Normal 12 2 6 3 4" xfId="9429"/>
    <cellStyle name="Normal 12 2 6 3 5" xfId="9430"/>
    <cellStyle name="Normal 12 2 6 3 6" xfId="9431"/>
    <cellStyle name="Normal 12 2 6 3 7" xfId="9432"/>
    <cellStyle name="Normal 12 2 6 3 8" xfId="9433"/>
    <cellStyle name="Normal 12 2 6 3 9" xfId="9434"/>
    <cellStyle name="Normal 12 2 6 4" xfId="9435"/>
    <cellStyle name="Normal 12 2 6 5" xfId="9436"/>
    <cellStyle name="Normal 12 2 6 6" xfId="9437"/>
    <cellStyle name="Normal 12 2 6 7" xfId="9438"/>
    <cellStyle name="Normal 12 2 6 8" xfId="9439"/>
    <cellStyle name="Normal 12 2 6 9" xfId="9440"/>
    <cellStyle name="Normal 12 2 7" xfId="982"/>
    <cellStyle name="Normal 12 2 7 2" xfId="4901"/>
    <cellStyle name="Normal 12 2 8" xfId="2319"/>
    <cellStyle name="Normal 12 2 8 10" xfId="9441"/>
    <cellStyle name="Normal 12 2 8 11" xfId="6218"/>
    <cellStyle name="Normal 12 2 8 2" xfId="9442"/>
    <cellStyle name="Normal 12 2 8 3" xfId="9443"/>
    <cellStyle name="Normal 12 2 8 4" xfId="9444"/>
    <cellStyle name="Normal 12 2 8 5" xfId="9445"/>
    <cellStyle name="Normal 12 2 8 6" xfId="9446"/>
    <cellStyle name="Normal 12 2 8 7" xfId="9447"/>
    <cellStyle name="Normal 12 2 8 8" xfId="9448"/>
    <cellStyle name="Normal 12 2 8 9" xfId="9449"/>
    <cellStyle name="Normal 12 2 9" xfId="2323"/>
    <cellStyle name="Normal 12 2 9 10" xfId="9450"/>
    <cellStyle name="Normal 12 2 9 11" xfId="6221"/>
    <cellStyle name="Normal 12 2 9 2" xfId="9451"/>
    <cellStyle name="Normal 12 2 9 3" xfId="9452"/>
    <cellStyle name="Normal 12 2 9 4" xfId="9453"/>
    <cellStyle name="Normal 12 2 9 5" xfId="9454"/>
    <cellStyle name="Normal 12 2 9 6" xfId="9455"/>
    <cellStyle name="Normal 12 2 9 7" xfId="9456"/>
    <cellStyle name="Normal 12 2 9 8" xfId="9457"/>
    <cellStyle name="Normal 12 2 9 9" xfId="9458"/>
    <cellStyle name="Normal 12 3" xfId="114"/>
    <cellStyle name="Normal 12 3 10" xfId="9459"/>
    <cellStyle name="Normal 12 3 11" xfId="4058"/>
    <cellStyle name="Normal 12 3 2" xfId="9460"/>
    <cellStyle name="Normal 12 3 2 2" xfId="9461"/>
    <cellStyle name="Normal 12 3 2 2 2" xfId="9462"/>
    <cellStyle name="Normal 12 3 2 2 2 2" xfId="9463"/>
    <cellStyle name="Normal 12 3 2 2 2 2 2" xfId="9464"/>
    <cellStyle name="Normal 12 3 2 2 2 3" xfId="9465"/>
    <cellStyle name="Normal 12 3 2 2 3" xfId="9466"/>
    <cellStyle name="Normal 12 3 2 2 3 2" xfId="9467"/>
    <cellStyle name="Normal 12 3 2 2 4" xfId="9468"/>
    <cellStyle name="Normal 12 3 2 2 4 2" xfId="9469"/>
    <cellStyle name="Normal 12 3 2 2 5" xfId="9470"/>
    <cellStyle name="Normal 12 3 2 3" xfId="9471"/>
    <cellStyle name="Normal 12 3 2 3 2" xfId="9472"/>
    <cellStyle name="Normal 12 3 2 3 2 2" xfId="9473"/>
    <cellStyle name="Normal 12 3 2 3 2 2 2" xfId="9474"/>
    <cellStyle name="Normal 12 3 2 3 2 3" xfId="9475"/>
    <cellStyle name="Normal 12 3 2 3 3" xfId="9476"/>
    <cellStyle name="Normal 12 3 2 3 3 2" xfId="9477"/>
    <cellStyle name="Normal 12 3 2 3 4" xfId="9478"/>
    <cellStyle name="Normal 12 3 2 3 4 2" xfId="9479"/>
    <cellStyle name="Normal 12 3 2 3 5" xfId="9480"/>
    <cellStyle name="Normal 12 3 2 4" xfId="9481"/>
    <cellStyle name="Normal 12 3 2 4 2" xfId="9482"/>
    <cellStyle name="Normal 12 3 2 4 2 2" xfId="9483"/>
    <cellStyle name="Normal 12 3 2 4 3" xfId="9484"/>
    <cellStyle name="Normal 12 3 2 5" xfId="9485"/>
    <cellStyle name="Normal 12 3 2 5 2" xfId="9486"/>
    <cellStyle name="Normal 12 3 2 6" xfId="9487"/>
    <cellStyle name="Normal 12 3 2 6 2" xfId="9488"/>
    <cellStyle name="Normal 12 3 2 7" xfId="9489"/>
    <cellStyle name="Normal 12 3 3" xfId="9490"/>
    <cellStyle name="Normal 12 3 3 2" xfId="9491"/>
    <cellStyle name="Normal 12 3 3 2 2" xfId="9492"/>
    <cellStyle name="Normal 12 3 3 2 2 2" xfId="9493"/>
    <cellStyle name="Normal 12 3 3 2 3" xfId="9494"/>
    <cellStyle name="Normal 12 3 3 3" xfId="9495"/>
    <cellStyle name="Normal 12 3 3 3 2" xfId="9496"/>
    <cellStyle name="Normal 12 3 3 4" xfId="9497"/>
    <cellStyle name="Normal 12 3 3 4 2" xfId="9498"/>
    <cellStyle name="Normal 12 3 3 5" xfId="9499"/>
    <cellStyle name="Normal 12 3 4" xfId="9500"/>
    <cellStyle name="Normal 12 3 4 2" xfId="9501"/>
    <cellStyle name="Normal 12 3 4 2 2" xfId="9502"/>
    <cellStyle name="Normal 12 3 4 2 2 2" xfId="9503"/>
    <cellStyle name="Normal 12 3 4 2 3" xfId="9504"/>
    <cellStyle name="Normal 12 3 4 3" xfId="9505"/>
    <cellStyle name="Normal 12 3 4 3 2" xfId="9506"/>
    <cellStyle name="Normal 12 3 4 4" xfId="9507"/>
    <cellStyle name="Normal 12 3 4 4 2" xfId="9508"/>
    <cellStyle name="Normal 12 3 4 5" xfId="9509"/>
    <cellStyle name="Normal 12 3 5" xfId="9510"/>
    <cellStyle name="Normal 12 3 5 2" xfId="9511"/>
    <cellStyle name="Normal 12 3 5 2 2" xfId="9512"/>
    <cellStyle name="Normal 12 3 5 2 2 2" xfId="9513"/>
    <cellStyle name="Normal 12 3 5 2 3" xfId="9514"/>
    <cellStyle name="Normal 12 3 5 3" xfId="9515"/>
    <cellStyle name="Normal 12 3 5 3 2" xfId="9516"/>
    <cellStyle name="Normal 12 3 5 4" xfId="9517"/>
    <cellStyle name="Normal 12 3 5 4 2" xfId="9518"/>
    <cellStyle name="Normal 12 3 5 5" xfId="9519"/>
    <cellStyle name="Normal 12 3 6" xfId="9520"/>
    <cellStyle name="Normal 12 3 6 2" xfId="9521"/>
    <cellStyle name="Normal 12 3 6 2 2" xfId="9522"/>
    <cellStyle name="Normal 12 3 6 2 2 2" xfId="9523"/>
    <cellStyle name="Normal 12 3 6 2 3" xfId="9524"/>
    <cellStyle name="Normal 12 3 6 3" xfId="9525"/>
    <cellStyle name="Normal 12 3 6 3 2" xfId="9526"/>
    <cellStyle name="Normal 12 3 6 4" xfId="9527"/>
    <cellStyle name="Normal 12 3 6 4 2" xfId="9528"/>
    <cellStyle name="Normal 12 3 6 5" xfId="9529"/>
    <cellStyle name="Normal 12 3 7" xfId="9530"/>
    <cellStyle name="Normal 12 3 7 2" xfId="9531"/>
    <cellStyle name="Normal 12 3 7 2 2" xfId="9532"/>
    <cellStyle name="Normal 12 3 7 3" xfId="9533"/>
    <cellStyle name="Normal 12 3 8" xfId="9534"/>
    <cellStyle name="Normal 12 3 8 2" xfId="9535"/>
    <cellStyle name="Normal 12 3 9" xfId="9536"/>
    <cellStyle name="Normal 12 3 9 2" xfId="9537"/>
    <cellStyle name="Normal 12 4" xfId="2324"/>
    <cellStyle name="Normal 12 4 2" xfId="6222"/>
    <cellStyle name="Normal 12 5" xfId="2325"/>
    <cellStyle name="Normal 12 5 2" xfId="9538"/>
    <cellStyle name="Normal 12 5 3" xfId="6223"/>
    <cellStyle name="Normal 12 6" xfId="6209"/>
    <cellStyle name="Normal 12_2bhk_19122016" xfId="9539"/>
    <cellStyle name="Normal 13" xfId="2326"/>
    <cellStyle name="Normal 13 10" xfId="2330"/>
    <cellStyle name="Normal 13 10 10" xfId="9540"/>
    <cellStyle name="Normal 13 10 11" xfId="9541"/>
    <cellStyle name="Normal 13 10 12" xfId="9542"/>
    <cellStyle name="Normal 13 10 13" xfId="9543"/>
    <cellStyle name="Normal 13 10 14" xfId="9544"/>
    <cellStyle name="Normal 13 10 15" xfId="9545"/>
    <cellStyle name="Normal 13 10 16" xfId="9546"/>
    <cellStyle name="Normal 13 10 17" xfId="9547"/>
    <cellStyle name="Normal 13 10 18" xfId="6227"/>
    <cellStyle name="Normal 13 10 2" xfId="2331"/>
    <cellStyle name="Normal 13 10 2 2" xfId="6228"/>
    <cellStyle name="Normal 13 10 3" xfId="2332"/>
    <cellStyle name="Normal 13 10 3 2" xfId="6229"/>
    <cellStyle name="Normal 13 10 4" xfId="2333"/>
    <cellStyle name="Normal 13 10 4 2" xfId="6230"/>
    <cellStyle name="Normal 13 10 5" xfId="2334"/>
    <cellStyle name="Normal 13 10 5 2" xfId="6231"/>
    <cellStyle name="Normal 13 10 6" xfId="2335"/>
    <cellStyle name="Normal 13 10 6 2" xfId="6232"/>
    <cellStyle name="Normal 13 10 7" xfId="2337"/>
    <cellStyle name="Normal 13 10 7 2" xfId="6234"/>
    <cellStyle name="Normal 13 10 8" xfId="2340"/>
    <cellStyle name="Normal 13 10 8 2" xfId="6237"/>
    <cellStyle name="Normal 13 10 9" xfId="9548"/>
    <cellStyle name="Normal 13 11" xfId="2343"/>
    <cellStyle name="Normal 13 11 2" xfId="6240"/>
    <cellStyle name="Normal 13 12" xfId="2346"/>
    <cellStyle name="Normal 13 12 2" xfId="6243"/>
    <cellStyle name="Normal 13 13" xfId="2348"/>
    <cellStyle name="Normal 13 13 2" xfId="6245"/>
    <cellStyle name="Normal 13 14" xfId="2351"/>
    <cellStyle name="Normal 13 14 2" xfId="6247"/>
    <cellStyle name="Normal 13 15" xfId="2353"/>
    <cellStyle name="Normal 13 15 2" xfId="6249"/>
    <cellStyle name="Normal 13 16" xfId="2354"/>
    <cellStyle name="Normal 13 16 2" xfId="6250"/>
    <cellStyle name="Normal 13 17" xfId="2355"/>
    <cellStyle name="Normal 13 17 2" xfId="6251"/>
    <cellStyle name="Normal 13 18" xfId="9549"/>
    <cellStyle name="Normal 13 19" xfId="9550"/>
    <cellStyle name="Normal 13 2" xfId="2356"/>
    <cellStyle name="Normal 13 2 10" xfId="9551"/>
    <cellStyle name="Normal 13 2 11" xfId="9552"/>
    <cellStyle name="Normal 13 2 12" xfId="9553"/>
    <cellStyle name="Normal 13 2 13" xfId="9554"/>
    <cellStyle name="Normal 13 2 14" xfId="9555"/>
    <cellStyle name="Normal 13 2 15" xfId="9556"/>
    <cellStyle name="Normal 13 2 16" xfId="9557"/>
    <cellStyle name="Normal 13 2 17" xfId="9558"/>
    <cellStyle name="Normal 13 2 18" xfId="9559"/>
    <cellStyle name="Normal 13 2 19" xfId="6252"/>
    <cellStyle name="Normal 13 2 2" xfId="1808"/>
    <cellStyle name="Normal 13 2 2 10" xfId="9560"/>
    <cellStyle name="Normal 13 2 2 11" xfId="9561"/>
    <cellStyle name="Normal 13 2 2 12" xfId="9562"/>
    <cellStyle name="Normal 13 2 2 13" xfId="9563"/>
    <cellStyle name="Normal 13 2 2 14" xfId="9564"/>
    <cellStyle name="Normal 13 2 2 15" xfId="9565"/>
    <cellStyle name="Normal 13 2 2 16" xfId="9566"/>
    <cellStyle name="Normal 13 2 2 17" xfId="9567"/>
    <cellStyle name="Normal 13 2 2 18" xfId="5718"/>
    <cellStyle name="Normal 13 2 2 2" xfId="1637"/>
    <cellStyle name="Normal 13 2 2 2 2" xfId="5552"/>
    <cellStyle name="Normal 13 2 2 3" xfId="2358"/>
    <cellStyle name="Normal 13 2 2 3 2" xfId="6253"/>
    <cellStyle name="Normal 13 2 2 4" xfId="1225"/>
    <cellStyle name="Normal 13 2 2 4 2" xfId="5147"/>
    <cellStyle name="Normal 13 2 2 5" xfId="732"/>
    <cellStyle name="Normal 13 2 2 5 2" xfId="4657"/>
    <cellStyle name="Normal 13 2 2 6" xfId="741"/>
    <cellStyle name="Normal 13 2 2 6 2" xfId="4667"/>
    <cellStyle name="Normal 13 2 2 7" xfId="685"/>
    <cellStyle name="Normal 13 2 2 7 2" xfId="4611"/>
    <cellStyle name="Normal 13 2 2 8" xfId="691"/>
    <cellStyle name="Normal 13 2 2 8 2" xfId="4617"/>
    <cellStyle name="Normal 13 2 2 9" xfId="9568"/>
    <cellStyle name="Normal 13 2 3" xfId="1148"/>
    <cellStyle name="Normal 13 2 3 2" xfId="5070"/>
    <cellStyle name="Normal 13 2 4" xfId="1810"/>
    <cellStyle name="Normal 13 2 4 2" xfId="5720"/>
    <cellStyle name="Normal 13 2 5" xfId="1813"/>
    <cellStyle name="Normal 13 2 5 2" xfId="5723"/>
    <cellStyle name="Normal 13 2 6" xfId="1640"/>
    <cellStyle name="Normal 13 2 6 2" xfId="5555"/>
    <cellStyle name="Normal 13 2 7" xfId="1643"/>
    <cellStyle name="Normal 13 2 7 2" xfId="5557"/>
    <cellStyle name="Normal 13 2 8" xfId="1646"/>
    <cellStyle name="Normal 13 2 8 2" xfId="5560"/>
    <cellStyle name="Normal 13 2 9" xfId="1649"/>
    <cellStyle name="Normal 13 2 9 2" xfId="5563"/>
    <cellStyle name="Normal 13 2_Achampally-Gattubuthkur-Ganga-CRR" xfId="2285"/>
    <cellStyle name="Normal 13 20" xfId="9569"/>
    <cellStyle name="Normal 13 21" xfId="9570"/>
    <cellStyle name="Normal 13 22" xfId="9571"/>
    <cellStyle name="Normal 13 23" xfId="9572"/>
    <cellStyle name="Normal 13 24" xfId="9573"/>
    <cellStyle name="Normal 13 25" xfId="9574"/>
    <cellStyle name="Normal 13 26" xfId="9575"/>
    <cellStyle name="Normal 13 27" xfId="6224"/>
    <cellStyle name="Normal 13 3" xfId="437"/>
    <cellStyle name="Normal 13 3 10" xfId="9576"/>
    <cellStyle name="Normal 13 3 11" xfId="9577"/>
    <cellStyle name="Normal 13 3 12" xfId="9578"/>
    <cellStyle name="Normal 13 3 13" xfId="9579"/>
    <cellStyle name="Normal 13 3 14" xfId="9580"/>
    <cellStyle name="Normal 13 3 15" xfId="9581"/>
    <cellStyle name="Normal 13 3 16" xfId="9582"/>
    <cellStyle name="Normal 13 3 17" xfId="9583"/>
    <cellStyle name="Normal 13 3 18" xfId="4378"/>
    <cellStyle name="Normal 13 3 2" xfId="2359"/>
    <cellStyle name="Normal 13 3 2 2" xfId="6254"/>
    <cellStyle name="Normal 13 3 3" xfId="2360"/>
    <cellStyle name="Normal 13 3 3 2" xfId="6255"/>
    <cellStyle name="Normal 13 3 4" xfId="2361"/>
    <cellStyle name="Normal 13 3 4 2" xfId="6256"/>
    <cellStyle name="Normal 13 3 5" xfId="2362"/>
    <cellStyle name="Normal 13 3 5 2" xfId="6258"/>
    <cellStyle name="Normal 13 3 6" xfId="2328"/>
    <cellStyle name="Normal 13 3 6 2" xfId="6226"/>
    <cellStyle name="Normal 13 3 7" xfId="2341"/>
    <cellStyle name="Normal 13 3 7 2" xfId="6239"/>
    <cellStyle name="Normal 13 3 8" xfId="2344"/>
    <cellStyle name="Normal 13 3 8 2" xfId="6242"/>
    <cellStyle name="Normal 13 3 9" xfId="9584"/>
    <cellStyle name="Normal 13 4" xfId="439"/>
    <cellStyle name="Normal 13 4 10" xfId="9585"/>
    <cellStyle name="Normal 13 4 11" xfId="9586"/>
    <cellStyle name="Normal 13 4 12" xfId="9587"/>
    <cellStyle name="Normal 13 4 13" xfId="9588"/>
    <cellStyle name="Normal 13 4 14" xfId="9589"/>
    <cellStyle name="Normal 13 4 15" xfId="9590"/>
    <cellStyle name="Normal 13 4 16" xfId="9591"/>
    <cellStyle name="Normal 13 4 17" xfId="9592"/>
    <cellStyle name="Normal 13 4 18" xfId="4380"/>
    <cellStyle name="Normal 13 4 2" xfId="2364"/>
    <cellStyle name="Normal 13 4 2 2" xfId="6259"/>
    <cellStyle name="Normal 13 4 3" xfId="2365"/>
    <cellStyle name="Normal 13 4 3 2" xfId="6260"/>
    <cellStyle name="Normal 13 4 4" xfId="995"/>
    <cellStyle name="Normal 13 4 4 2" xfId="4916"/>
    <cellStyle name="Normal 13 4 5" xfId="838"/>
    <cellStyle name="Normal 13 4 5 2" xfId="4763"/>
    <cellStyle name="Normal 13 4 6" xfId="116"/>
    <cellStyle name="Normal 13 4 6 2" xfId="4063"/>
    <cellStyle name="Normal 13 4 7" xfId="841"/>
    <cellStyle name="Normal 13 4 7 2" xfId="4766"/>
    <cellStyle name="Normal 13 4 8" xfId="844"/>
    <cellStyle name="Normal 13 4 8 2" xfId="4769"/>
    <cellStyle name="Normal 13 4 9" xfId="9593"/>
    <cellStyle name="Normal 13 5" xfId="2366"/>
    <cellStyle name="Normal 13 5 10" xfId="9594"/>
    <cellStyle name="Normal 13 5 11" xfId="9595"/>
    <cellStyle name="Normal 13 5 12" xfId="9596"/>
    <cellStyle name="Normal 13 5 13" xfId="9597"/>
    <cellStyle name="Normal 13 5 14" xfId="9598"/>
    <cellStyle name="Normal 13 5 15" xfId="9599"/>
    <cellStyle name="Normal 13 5 16" xfId="9600"/>
    <cellStyle name="Normal 13 5 17" xfId="9601"/>
    <cellStyle name="Normal 13 5 18" xfId="6261"/>
    <cellStyle name="Normal 13 5 2" xfId="2367"/>
    <cellStyle name="Normal 13 5 2 2" xfId="6262"/>
    <cellStyle name="Normal 13 5 3" xfId="2368"/>
    <cellStyle name="Normal 13 5 3 2" xfId="6263"/>
    <cellStyle name="Normal 13 5 4" xfId="1172"/>
    <cellStyle name="Normal 13 5 4 2" xfId="5093"/>
    <cellStyle name="Normal 13 5 5" xfId="852"/>
    <cellStyle name="Normal 13 5 5 2" xfId="4776"/>
    <cellStyle name="Normal 13 5 6" xfId="856"/>
    <cellStyle name="Normal 13 5 6 2" xfId="4780"/>
    <cellStyle name="Normal 13 5 7" xfId="860"/>
    <cellStyle name="Normal 13 5 7 2" xfId="4784"/>
    <cellStyle name="Normal 13 5 8" xfId="864"/>
    <cellStyle name="Normal 13 5 8 2" xfId="4787"/>
    <cellStyle name="Normal 13 5 9" xfId="9602"/>
    <cellStyle name="Normal 13 6" xfId="2369"/>
    <cellStyle name="Normal 13 6 10" xfId="9603"/>
    <cellStyle name="Normal 13 6 11" xfId="9604"/>
    <cellStyle name="Normal 13 6 12" xfId="9605"/>
    <cellStyle name="Normal 13 6 13" xfId="9606"/>
    <cellStyle name="Normal 13 6 14" xfId="9607"/>
    <cellStyle name="Normal 13 6 15" xfId="9608"/>
    <cellStyle name="Normal 13 6 16" xfId="9609"/>
    <cellStyle name="Normal 13 6 17" xfId="9610"/>
    <cellStyle name="Normal 13 6 18" xfId="6264"/>
    <cellStyle name="Normal 13 6 2" xfId="2336"/>
    <cellStyle name="Normal 13 6 2 2" xfId="6233"/>
    <cellStyle name="Normal 13 6 3" xfId="2339"/>
    <cellStyle name="Normal 13 6 3 2" xfId="6235"/>
    <cellStyle name="Normal 13 6 4" xfId="1254"/>
    <cellStyle name="Normal 13 6 4 2" xfId="5174"/>
    <cellStyle name="Normal 13 6 5" xfId="878"/>
    <cellStyle name="Normal 13 6 5 2" xfId="4800"/>
    <cellStyle name="Normal 13 6 6" xfId="1273"/>
    <cellStyle name="Normal 13 6 6 2" xfId="5193"/>
    <cellStyle name="Normal 13 6 7" xfId="651"/>
    <cellStyle name="Normal 13 6 7 2" xfId="4583"/>
    <cellStyle name="Normal 13 6 8" xfId="1275"/>
    <cellStyle name="Normal 13 6 8 2" xfId="5195"/>
    <cellStyle name="Normal 13 6 9" xfId="9611"/>
    <cellStyle name="Normal 13 7" xfId="546"/>
    <cellStyle name="Normal 13 7 10" xfId="9612"/>
    <cellStyle name="Normal 13 7 11" xfId="9613"/>
    <cellStyle name="Normal 13 7 12" xfId="9614"/>
    <cellStyle name="Normal 13 7 13" xfId="9615"/>
    <cellStyle name="Normal 13 7 14" xfId="9616"/>
    <cellStyle name="Normal 13 7 15" xfId="9617"/>
    <cellStyle name="Normal 13 7 16" xfId="9618"/>
    <cellStyle name="Normal 13 7 17" xfId="9619"/>
    <cellStyle name="Normal 13 7 18" xfId="4478"/>
    <cellStyle name="Normal 13 7 2" xfId="2370"/>
    <cellStyle name="Normal 13 7 2 2" xfId="6265"/>
    <cellStyle name="Normal 13 7 3" xfId="2371"/>
    <cellStyle name="Normal 13 7 3 2" xfId="6266"/>
    <cellStyle name="Normal 13 7 4" xfId="1295"/>
    <cellStyle name="Normal 13 7 4 2" xfId="5215"/>
    <cellStyle name="Normal 13 7 5" xfId="1302"/>
    <cellStyle name="Normal 13 7 5 2" xfId="5222"/>
    <cellStyle name="Normal 13 7 6" xfId="1324"/>
    <cellStyle name="Normal 13 7 6 2" xfId="5244"/>
    <cellStyle name="Normal 13 7 7" xfId="1345"/>
    <cellStyle name="Normal 13 7 7 2" xfId="5264"/>
    <cellStyle name="Normal 13 7 8" xfId="1367"/>
    <cellStyle name="Normal 13 7 8 2" xfId="5285"/>
    <cellStyle name="Normal 13 7 9" xfId="9620"/>
    <cellStyle name="Normal 13 8" xfId="553"/>
    <cellStyle name="Normal 13 8 10" xfId="9621"/>
    <cellStyle name="Normal 13 8 11" xfId="9622"/>
    <cellStyle name="Normal 13 8 12" xfId="9623"/>
    <cellStyle name="Normal 13 8 13" xfId="9624"/>
    <cellStyle name="Normal 13 8 14" xfId="9625"/>
    <cellStyle name="Normal 13 8 15" xfId="9626"/>
    <cellStyle name="Normal 13 8 16" xfId="9627"/>
    <cellStyle name="Normal 13 8 17" xfId="9628"/>
    <cellStyle name="Normal 13 8 18" xfId="4485"/>
    <cellStyle name="Normal 13 8 2" xfId="2372"/>
    <cellStyle name="Normal 13 8 2 2" xfId="6267"/>
    <cellStyle name="Normal 13 8 3" xfId="2373"/>
    <cellStyle name="Normal 13 8 3 2" xfId="6268"/>
    <cellStyle name="Normal 13 8 4" xfId="1426"/>
    <cellStyle name="Normal 13 8 4 2" xfId="5344"/>
    <cellStyle name="Normal 13 8 5" xfId="1435"/>
    <cellStyle name="Normal 13 8 5 2" xfId="5353"/>
    <cellStyle name="Normal 13 8 6" xfId="1450"/>
    <cellStyle name="Normal 13 8 6 2" xfId="5366"/>
    <cellStyle name="Normal 13 8 7" xfId="665"/>
    <cellStyle name="Normal 13 8 7 2" xfId="4596"/>
    <cellStyle name="Normal 13 8 8" xfId="1481"/>
    <cellStyle name="Normal 13 8 8 2" xfId="5396"/>
    <cellStyle name="Normal 13 8 9" xfId="9629"/>
    <cellStyle name="Normal 13 9" xfId="2374"/>
    <cellStyle name="Normal 13 9 10" xfId="9630"/>
    <cellStyle name="Normal 13 9 11" xfId="9631"/>
    <cellStyle name="Normal 13 9 12" xfId="9632"/>
    <cellStyle name="Normal 13 9 13" xfId="9633"/>
    <cellStyle name="Normal 13 9 14" xfId="9634"/>
    <cellStyle name="Normal 13 9 15" xfId="9635"/>
    <cellStyle name="Normal 13 9 16" xfId="9636"/>
    <cellStyle name="Normal 13 9 17" xfId="9637"/>
    <cellStyle name="Normal 13 9 18" xfId="6269"/>
    <cellStyle name="Normal 13 9 2" xfId="2146"/>
    <cellStyle name="Normal 13 9 2 2" xfId="6047"/>
    <cellStyle name="Normal 13 9 3" xfId="2154"/>
    <cellStyle name="Normal 13 9 3 2" xfId="6055"/>
    <cellStyle name="Normal 13 9 4" xfId="1466"/>
    <cellStyle name="Normal 13 9 4 2" xfId="5384"/>
    <cellStyle name="Normal 13 9 5" xfId="1470"/>
    <cellStyle name="Normal 13 9 5 2" xfId="5388"/>
    <cellStyle name="Normal 13 9 6" xfId="1475"/>
    <cellStyle name="Normal 13 9 6 2" xfId="5393"/>
    <cellStyle name="Normal 13 9 7" xfId="1545"/>
    <cellStyle name="Normal 13 9 7 2" xfId="5463"/>
    <cellStyle name="Normal 13 9 8" xfId="1548"/>
    <cellStyle name="Normal 13 9 8 2" xfId="5465"/>
    <cellStyle name="Normal 13 9 9" xfId="9638"/>
    <cellStyle name="Normal 13_Achampally-Gattubuthkur-Ganga-CRR" xfId="2376"/>
    <cellStyle name="Normal 14" xfId="2378"/>
    <cellStyle name="Normal 14 10" xfId="1447"/>
    <cellStyle name="Normal 14 10 10" xfId="9639"/>
    <cellStyle name="Normal 14 10 11" xfId="9640"/>
    <cellStyle name="Normal 14 10 12" xfId="9641"/>
    <cellStyle name="Normal 14 10 13" xfId="9642"/>
    <cellStyle name="Normal 14 10 14" xfId="9643"/>
    <cellStyle name="Normal 14 10 15" xfId="9644"/>
    <cellStyle name="Normal 14 10 16" xfId="9645"/>
    <cellStyle name="Normal 14 10 17" xfId="9646"/>
    <cellStyle name="Normal 14 10 18" xfId="5368"/>
    <cellStyle name="Normal 14 10 2" xfId="1452"/>
    <cellStyle name="Normal 14 10 2 2" xfId="5371"/>
    <cellStyle name="Normal 14 10 3" xfId="1456"/>
    <cellStyle name="Normal 14 10 3 2" xfId="5374"/>
    <cellStyle name="Normal 14 10 4" xfId="1458"/>
    <cellStyle name="Normal 14 10 4 2" xfId="5377"/>
    <cellStyle name="Normal 14 10 5" xfId="1461"/>
    <cellStyle name="Normal 14 10 5 2" xfId="5380"/>
    <cellStyle name="Normal 14 10 6" xfId="1423"/>
    <cellStyle name="Normal 14 10 6 2" xfId="5342"/>
    <cellStyle name="Normal 14 10 7" xfId="1432"/>
    <cellStyle name="Normal 14 10 7 2" xfId="5351"/>
    <cellStyle name="Normal 14 10 8" xfId="1444"/>
    <cellStyle name="Normal 14 10 8 2" xfId="5363"/>
    <cellStyle name="Normal 14 10 9" xfId="9647"/>
    <cellStyle name="Normal 14 11" xfId="662"/>
    <cellStyle name="Normal 14 11 2" xfId="4594"/>
    <cellStyle name="Normal 14 12" xfId="1479"/>
    <cellStyle name="Normal 14 12 2" xfId="5398"/>
    <cellStyle name="Normal 14 13" xfId="1497"/>
    <cellStyle name="Normal 14 13 2" xfId="5415"/>
    <cellStyle name="Normal 14 14" xfId="1518"/>
    <cellStyle name="Normal 14 14 2" xfId="5436"/>
    <cellStyle name="Normal 14 15" xfId="1536"/>
    <cellStyle name="Normal 14 15 2" xfId="5454"/>
    <cellStyle name="Normal 14 16" xfId="2380"/>
    <cellStyle name="Normal 14 16 2" xfId="6273"/>
    <cellStyle name="Normal 14 17" xfId="2382"/>
    <cellStyle name="Normal 14 17 2" xfId="6275"/>
    <cellStyle name="Normal 14 18" xfId="9648"/>
    <cellStyle name="Normal 14 19" xfId="9649"/>
    <cellStyle name="Normal 14 2" xfId="2384"/>
    <cellStyle name="Normal 14 2 10" xfId="9650"/>
    <cellStyle name="Normal 14 2 11" xfId="9651"/>
    <cellStyle name="Normal 14 2 12" xfId="9652"/>
    <cellStyle name="Normal 14 2 13" xfId="9653"/>
    <cellStyle name="Normal 14 2 14" xfId="9654"/>
    <cellStyle name="Normal 14 2 15" xfId="9655"/>
    <cellStyle name="Normal 14 2 16" xfId="9656"/>
    <cellStyle name="Normal 14 2 17" xfId="9657"/>
    <cellStyle name="Normal 14 2 18" xfId="6278"/>
    <cellStyle name="Normal 14 2 2" xfId="64"/>
    <cellStyle name="Normal 14 2 2 10" xfId="9658"/>
    <cellStyle name="Normal 14 2 2 11" xfId="9659"/>
    <cellStyle name="Normal 14 2 2 12" xfId="9660"/>
    <cellStyle name="Normal 14 2 2 13" xfId="4018"/>
    <cellStyle name="Normal 14 2 2 2" xfId="2386"/>
    <cellStyle name="Normal 14 2 2 2 10" xfId="9661"/>
    <cellStyle name="Normal 14 2 2 2 11" xfId="6279"/>
    <cellStyle name="Normal 14 2 2 2 2" xfId="9662"/>
    <cellStyle name="Normal 14 2 2 2 3" xfId="9663"/>
    <cellStyle name="Normal 14 2 2 2 4" xfId="9664"/>
    <cellStyle name="Normal 14 2 2 2 5" xfId="9665"/>
    <cellStyle name="Normal 14 2 2 2 6" xfId="9666"/>
    <cellStyle name="Normal 14 2 2 2 7" xfId="9667"/>
    <cellStyle name="Normal 14 2 2 2 8" xfId="9668"/>
    <cellStyle name="Normal 14 2 2 2 9" xfId="9669"/>
    <cellStyle name="Normal 14 2 2 3" xfId="2388"/>
    <cellStyle name="Normal 14 2 2 3 10" xfId="9670"/>
    <cellStyle name="Normal 14 2 2 3 11" xfId="6281"/>
    <cellStyle name="Normal 14 2 2 3 2" xfId="9671"/>
    <cellStyle name="Normal 14 2 2 3 3" xfId="9672"/>
    <cellStyle name="Normal 14 2 2 3 4" xfId="9673"/>
    <cellStyle name="Normal 14 2 2 3 5" xfId="9674"/>
    <cellStyle name="Normal 14 2 2 3 6" xfId="9675"/>
    <cellStyle name="Normal 14 2 2 3 7" xfId="9676"/>
    <cellStyle name="Normal 14 2 2 3 8" xfId="9677"/>
    <cellStyle name="Normal 14 2 2 3 9" xfId="9678"/>
    <cellStyle name="Normal 14 2 2 4" xfId="9679"/>
    <cellStyle name="Normal 14 2 2 5" xfId="9680"/>
    <cellStyle name="Normal 14 2 2 6" xfId="9681"/>
    <cellStyle name="Normal 14 2 2 7" xfId="9682"/>
    <cellStyle name="Normal 14 2 2 8" xfId="9683"/>
    <cellStyle name="Normal 14 2 2 9" xfId="9684"/>
    <cellStyle name="Normal 14 2 3" xfId="1381"/>
    <cellStyle name="Normal 14 2 3 10" xfId="9685"/>
    <cellStyle name="Normal 14 2 3 11" xfId="9686"/>
    <cellStyle name="Normal 14 2 3 12" xfId="9687"/>
    <cellStyle name="Normal 14 2 3 13" xfId="5301"/>
    <cellStyle name="Normal 14 2 3 2" xfId="2389"/>
    <cellStyle name="Normal 14 2 3 2 10" xfId="9688"/>
    <cellStyle name="Normal 14 2 3 2 11" xfId="6283"/>
    <cellStyle name="Normal 14 2 3 2 2" xfId="9689"/>
    <cellStyle name="Normal 14 2 3 2 3" xfId="9690"/>
    <cellStyle name="Normal 14 2 3 2 4" xfId="9691"/>
    <cellStyle name="Normal 14 2 3 2 5" xfId="9692"/>
    <cellStyle name="Normal 14 2 3 2 6" xfId="9693"/>
    <cellStyle name="Normal 14 2 3 2 7" xfId="9694"/>
    <cellStyle name="Normal 14 2 3 2 8" xfId="9695"/>
    <cellStyle name="Normal 14 2 3 2 9" xfId="9696"/>
    <cellStyle name="Normal 14 2 3 3" xfId="2390"/>
    <cellStyle name="Normal 14 2 3 3 10" xfId="9697"/>
    <cellStyle name="Normal 14 2 3 3 11" xfId="6284"/>
    <cellStyle name="Normal 14 2 3 3 2" xfId="9698"/>
    <cellStyle name="Normal 14 2 3 3 3" xfId="9699"/>
    <cellStyle name="Normal 14 2 3 3 4" xfId="9700"/>
    <cellStyle name="Normal 14 2 3 3 5" xfId="9701"/>
    <cellStyle name="Normal 14 2 3 3 6" xfId="9702"/>
    <cellStyle name="Normal 14 2 3 3 7" xfId="9703"/>
    <cellStyle name="Normal 14 2 3 3 8" xfId="9704"/>
    <cellStyle name="Normal 14 2 3 3 9" xfId="9705"/>
    <cellStyle name="Normal 14 2 3 4" xfId="9706"/>
    <cellStyle name="Normal 14 2 3 5" xfId="9707"/>
    <cellStyle name="Normal 14 2 3 6" xfId="9708"/>
    <cellStyle name="Normal 14 2 3 7" xfId="9709"/>
    <cellStyle name="Normal 14 2 3 8" xfId="9710"/>
    <cellStyle name="Normal 14 2 3 9" xfId="9711"/>
    <cellStyle name="Normal 14 2 4" xfId="252"/>
    <cellStyle name="Normal 14 2 4 10" xfId="9712"/>
    <cellStyle name="Normal 14 2 4 11" xfId="9713"/>
    <cellStyle name="Normal 14 2 4 12" xfId="9714"/>
    <cellStyle name="Normal 14 2 4 13" xfId="4199"/>
    <cellStyle name="Normal 14 2 4 2" xfId="254"/>
    <cellStyle name="Normal 14 2 4 2 10" xfId="9715"/>
    <cellStyle name="Normal 14 2 4 2 11" xfId="4204"/>
    <cellStyle name="Normal 14 2 4 2 2" xfId="9716"/>
    <cellStyle name="Normal 14 2 4 2 3" xfId="9717"/>
    <cellStyle name="Normal 14 2 4 2 4" xfId="9718"/>
    <cellStyle name="Normal 14 2 4 2 5" xfId="9719"/>
    <cellStyle name="Normal 14 2 4 2 6" xfId="9720"/>
    <cellStyle name="Normal 14 2 4 2 7" xfId="9721"/>
    <cellStyle name="Normal 14 2 4 2 8" xfId="9722"/>
    <cellStyle name="Normal 14 2 4 2 9" xfId="9723"/>
    <cellStyle name="Normal 14 2 4 3" xfId="256"/>
    <cellStyle name="Normal 14 2 4 3 10" xfId="9724"/>
    <cellStyle name="Normal 14 2 4 3 11" xfId="4206"/>
    <cellStyle name="Normal 14 2 4 3 2" xfId="9725"/>
    <cellStyle name="Normal 14 2 4 3 3" xfId="9726"/>
    <cellStyle name="Normal 14 2 4 3 4" xfId="9727"/>
    <cellStyle name="Normal 14 2 4 3 5" xfId="9728"/>
    <cellStyle name="Normal 14 2 4 3 6" xfId="9729"/>
    <cellStyle name="Normal 14 2 4 3 7" xfId="9730"/>
    <cellStyle name="Normal 14 2 4 3 8" xfId="9731"/>
    <cellStyle name="Normal 14 2 4 3 9" xfId="9732"/>
    <cellStyle name="Normal 14 2 4 4" xfId="9733"/>
    <cellStyle name="Normal 14 2 4 5" xfId="9734"/>
    <cellStyle name="Normal 14 2 4 6" xfId="9735"/>
    <cellStyle name="Normal 14 2 4 7" xfId="9736"/>
    <cellStyle name="Normal 14 2 4 8" xfId="9737"/>
    <cellStyle name="Normal 14 2 4 9" xfId="9738"/>
    <cellStyle name="Normal 14 2 5" xfId="263"/>
    <cellStyle name="Normal 14 2 5 10" xfId="9739"/>
    <cellStyle name="Normal 14 2 5 11" xfId="9740"/>
    <cellStyle name="Normal 14 2 5 12" xfId="9741"/>
    <cellStyle name="Normal 14 2 5 13" xfId="4213"/>
    <cellStyle name="Normal 14 2 5 2" xfId="2391"/>
    <cellStyle name="Normal 14 2 5 2 10" xfId="9742"/>
    <cellStyle name="Normal 14 2 5 2 11" xfId="6285"/>
    <cellStyle name="Normal 14 2 5 2 2" xfId="9743"/>
    <cellStyle name="Normal 14 2 5 2 3" xfId="9744"/>
    <cellStyle name="Normal 14 2 5 2 4" xfId="9745"/>
    <cellStyle name="Normal 14 2 5 2 5" xfId="9746"/>
    <cellStyle name="Normal 14 2 5 2 6" xfId="9747"/>
    <cellStyle name="Normal 14 2 5 2 7" xfId="9748"/>
    <cellStyle name="Normal 14 2 5 2 8" xfId="9749"/>
    <cellStyle name="Normal 14 2 5 2 9" xfId="9750"/>
    <cellStyle name="Normal 14 2 5 3" xfId="2392"/>
    <cellStyle name="Normal 14 2 5 3 10" xfId="9751"/>
    <cellStyle name="Normal 14 2 5 3 11" xfId="6286"/>
    <cellStyle name="Normal 14 2 5 3 2" xfId="9752"/>
    <cellStyle name="Normal 14 2 5 3 3" xfId="9753"/>
    <cellStyle name="Normal 14 2 5 3 4" xfId="9754"/>
    <cellStyle name="Normal 14 2 5 3 5" xfId="9755"/>
    <cellStyle name="Normal 14 2 5 3 6" xfId="9756"/>
    <cellStyle name="Normal 14 2 5 3 7" xfId="9757"/>
    <cellStyle name="Normal 14 2 5 3 8" xfId="9758"/>
    <cellStyle name="Normal 14 2 5 3 9" xfId="9759"/>
    <cellStyle name="Normal 14 2 5 4" xfId="9760"/>
    <cellStyle name="Normal 14 2 5 5" xfId="9761"/>
    <cellStyle name="Normal 14 2 5 6" xfId="9762"/>
    <cellStyle name="Normal 14 2 5 7" xfId="9763"/>
    <cellStyle name="Normal 14 2 5 8" xfId="9764"/>
    <cellStyle name="Normal 14 2 5 9" xfId="9765"/>
    <cellStyle name="Normal 14 2 6" xfId="2394"/>
    <cellStyle name="Normal 14 2 6 10" xfId="9766"/>
    <cellStyle name="Normal 14 2 6 11" xfId="9767"/>
    <cellStyle name="Normal 14 2 6 12" xfId="9768"/>
    <cellStyle name="Normal 14 2 6 13" xfId="6287"/>
    <cellStyle name="Normal 14 2 6 2" xfId="2395"/>
    <cellStyle name="Normal 14 2 6 2 10" xfId="9769"/>
    <cellStyle name="Normal 14 2 6 2 11" xfId="6289"/>
    <cellStyle name="Normal 14 2 6 2 2" xfId="9770"/>
    <cellStyle name="Normal 14 2 6 2 3" xfId="9771"/>
    <cellStyle name="Normal 14 2 6 2 4" xfId="9772"/>
    <cellStyle name="Normal 14 2 6 2 5" xfId="9773"/>
    <cellStyle name="Normal 14 2 6 2 6" xfId="9774"/>
    <cellStyle name="Normal 14 2 6 2 7" xfId="9775"/>
    <cellStyle name="Normal 14 2 6 2 8" xfId="9776"/>
    <cellStyle name="Normal 14 2 6 2 9" xfId="9777"/>
    <cellStyle name="Normal 14 2 6 3" xfId="2396"/>
    <cellStyle name="Normal 14 2 6 3 10" xfId="9778"/>
    <cellStyle name="Normal 14 2 6 3 11" xfId="6290"/>
    <cellStyle name="Normal 14 2 6 3 2" xfId="9779"/>
    <cellStyle name="Normal 14 2 6 3 3" xfId="9780"/>
    <cellStyle name="Normal 14 2 6 3 4" xfId="9781"/>
    <cellStyle name="Normal 14 2 6 3 5" xfId="9782"/>
    <cellStyle name="Normal 14 2 6 3 6" xfId="9783"/>
    <cellStyle name="Normal 14 2 6 3 7" xfId="9784"/>
    <cellStyle name="Normal 14 2 6 3 8" xfId="9785"/>
    <cellStyle name="Normal 14 2 6 3 9" xfId="9786"/>
    <cellStyle name="Normal 14 2 6 4" xfId="9787"/>
    <cellStyle name="Normal 14 2 6 5" xfId="9788"/>
    <cellStyle name="Normal 14 2 6 6" xfId="9789"/>
    <cellStyle name="Normal 14 2 6 7" xfId="9790"/>
    <cellStyle name="Normal 14 2 6 8" xfId="9791"/>
    <cellStyle name="Normal 14 2 6 9" xfId="9792"/>
    <cellStyle name="Normal 14 2 7" xfId="427"/>
    <cellStyle name="Normal 14 2 7 10" xfId="9793"/>
    <cellStyle name="Normal 14 2 7 11" xfId="4367"/>
    <cellStyle name="Normal 14 2 7 2" xfId="9794"/>
    <cellStyle name="Normal 14 2 7 3" xfId="9795"/>
    <cellStyle name="Normal 14 2 7 4" xfId="9796"/>
    <cellStyle name="Normal 14 2 7 5" xfId="9797"/>
    <cellStyle name="Normal 14 2 7 6" xfId="9798"/>
    <cellStyle name="Normal 14 2 7 7" xfId="9799"/>
    <cellStyle name="Normal 14 2 7 8" xfId="9800"/>
    <cellStyle name="Normal 14 2 7 9" xfId="9801"/>
    <cellStyle name="Normal 14 2 8" xfId="389"/>
    <cellStyle name="Normal 14 2 8 10" xfId="9802"/>
    <cellStyle name="Normal 14 2 8 11" xfId="4330"/>
    <cellStyle name="Normal 14 2 8 2" xfId="9803"/>
    <cellStyle name="Normal 14 2 8 3" xfId="9804"/>
    <cellStyle name="Normal 14 2 8 4" xfId="9805"/>
    <cellStyle name="Normal 14 2 8 5" xfId="9806"/>
    <cellStyle name="Normal 14 2 8 6" xfId="9807"/>
    <cellStyle name="Normal 14 2 8 7" xfId="9808"/>
    <cellStyle name="Normal 14 2 8 8" xfId="9809"/>
    <cellStyle name="Normal 14 2 8 9" xfId="9810"/>
    <cellStyle name="Normal 14 2 9" xfId="9811"/>
    <cellStyle name="Normal 14 20" xfId="9812"/>
    <cellStyle name="Normal 14 21" xfId="9813"/>
    <cellStyle name="Normal 14 22" xfId="9814"/>
    <cellStyle name="Normal 14 23" xfId="9815"/>
    <cellStyle name="Normal 14 24" xfId="9816"/>
    <cellStyle name="Normal 14 25" xfId="9817"/>
    <cellStyle name="Normal 14 26" xfId="9818"/>
    <cellStyle name="Normal 14 27" xfId="6271"/>
    <cellStyle name="Normal 14 3" xfId="2398"/>
    <cellStyle name="Normal 14 3 10" xfId="9819"/>
    <cellStyle name="Normal 14 3 11" xfId="9820"/>
    <cellStyle name="Normal 14 3 12" xfId="9821"/>
    <cellStyle name="Normal 14 3 13" xfId="9822"/>
    <cellStyle name="Normal 14 3 14" xfId="9823"/>
    <cellStyle name="Normal 14 3 15" xfId="9824"/>
    <cellStyle name="Normal 14 3 16" xfId="9825"/>
    <cellStyle name="Normal 14 3 17" xfId="9826"/>
    <cellStyle name="Normal 14 3 18" xfId="6292"/>
    <cellStyle name="Normal 14 3 2" xfId="1393"/>
    <cellStyle name="Normal 14 3 2 2" xfId="5313"/>
    <cellStyle name="Normal 14 3 3" xfId="1396"/>
    <cellStyle name="Normal 14 3 3 2" xfId="5316"/>
    <cellStyle name="Normal 14 3 4" xfId="266"/>
    <cellStyle name="Normal 14 3 4 2" xfId="4218"/>
    <cellStyle name="Normal 14 3 5" xfId="285"/>
    <cellStyle name="Normal 14 3 5 2" xfId="4235"/>
    <cellStyle name="Normal 14 3 6" xfId="2399"/>
    <cellStyle name="Normal 14 3 6 2" xfId="6293"/>
    <cellStyle name="Normal 14 3 7" xfId="2401"/>
    <cellStyle name="Normal 14 3 7 2" xfId="6294"/>
    <cellStyle name="Normal 14 3 8" xfId="2403"/>
    <cellStyle name="Normal 14 3 8 2" xfId="6296"/>
    <cellStyle name="Normal 14 3 9" xfId="9827"/>
    <cellStyle name="Normal 14 4" xfId="2405"/>
    <cellStyle name="Normal 14 4 10" xfId="9828"/>
    <cellStyle name="Normal 14 4 11" xfId="9829"/>
    <cellStyle name="Normal 14 4 12" xfId="9830"/>
    <cellStyle name="Normal 14 4 13" xfId="9831"/>
    <cellStyle name="Normal 14 4 14" xfId="9832"/>
    <cellStyle name="Normal 14 4 15" xfId="9833"/>
    <cellStyle name="Normal 14 4 16" xfId="9834"/>
    <cellStyle name="Normal 14 4 17" xfId="9835"/>
    <cellStyle name="Normal 14 4 18" xfId="6299"/>
    <cellStyle name="Normal 14 4 2" xfId="939"/>
    <cellStyle name="Normal 14 4 2 2" xfId="4860"/>
    <cellStyle name="Normal 14 4 3" xfId="964"/>
    <cellStyle name="Normal 14 4 3 2" xfId="4885"/>
    <cellStyle name="Normal 14 4 4" xfId="291"/>
    <cellStyle name="Normal 14 4 4 2" xfId="4247"/>
    <cellStyle name="Normal 14 4 5" xfId="135"/>
    <cellStyle name="Normal 14 4 5 2" xfId="4073"/>
    <cellStyle name="Normal 14 4 6" xfId="2406"/>
    <cellStyle name="Normal 14 4 6 2" xfId="6300"/>
    <cellStyle name="Normal 14 4 7" xfId="2408"/>
    <cellStyle name="Normal 14 4 7 2" xfId="6301"/>
    <cellStyle name="Normal 14 4 8" xfId="2410"/>
    <cellStyle name="Normal 14 4 8 2" xfId="6303"/>
    <cellStyle name="Normal 14 4 9" xfId="9836"/>
    <cellStyle name="Normal 14 5" xfId="2411"/>
    <cellStyle name="Normal 14 5 10" xfId="9837"/>
    <cellStyle name="Normal 14 5 11" xfId="9838"/>
    <cellStyle name="Normal 14 5 12" xfId="9839"/>
    <cellStyle name="Normal 14 5 13" xfId="9840"/>
    <cellStyle name="Normal 14 5 14" xfId="9841"/>
    <cellStyle name="Normal 14 5 15" xfId="9842"/>
    <cellStyle name="Normal 14 5 16" xfId="9843"/>
    <cellStyle name="Normal 14 5 17" xfId="9844"/>
    <cellStyle name="Normal 14 5 18" xfId="6305"/>
    <cellStyle name="Normal 14 5 2" xfId="1029"/>
    <cellStyle name="Normal 14 5 2 2" xfId="4950"/>
    <cellStyle name="Normal 14 5 3" xfId="1032"/>
    <cellStyle name="Normal 14 5 3 2" xfId="4953"/>
    <cellStyle name="Normal 14 5 4" xfId="2412"/>
    <cellStyle name="Normal 14 5 4 2" xfId="6306"/>
    <cellStyle name="Normal 14 5 5" xfId="2413"/>
    <cellStyle name="Normal 14 5 5 2" xfId="6307"/>
    <cellStyle name="Normal 14 5 6" xfId="2414"/>
    <cellStyle name="Normal 14 5 6 2" xfId="6308"/>
    <cellStyle name="Normal 14 5 7" xfId="1155"/>
    <cellStyle name="Normal 14 5 7 2" xfId="5077"/>
    <cellStyle name="Normal 14 5 8" xfId="1158"/>
    <cellStyle name="Normal 14 5 8 2" xfId="5080"/>
    <cellStyle name="Normal 14 5 9" xfId="9845"/>
    <cellStyle name="Normal 14 6" xfId="2415"/>
    <cellStyle name="Normal 14 6 10" xfId="9846"/>
    <cellStyle name="Normal 14 6 11" xfId="9847"/>
    <cellStyle name="Normal 14 6 12" xfId="9848"/>
    <cellStyle name="Normal 14 6 13" xfId="9849"/>
    <cellStyle name="Normal 14 6 14" xfId="9850"/>
    <cellStyle name="Normal 14 6 15" xfId="9851"/>
    <cellStyle name="Normal 14 6 16" xfId="9852"/>
    <cellStyle name="Normal 14 6 17" xfId="9853"/>
    <cellStyle name="Normal 14 6 18" xfId="6309"/>
    <cellStyle name="Normal 14 6 2" xfId="1057"/>
    <cellStyle name="Normal 14 6 2 2" xfId="4978"/>
    <cellStyle name="Normal 14 6 3" xfId="774"/>
    <cellStyle name="Normal 14 6 3 2" xfId="4698"/>
    <cellStyle name="Normal 14 6 4" xfId="2417"/>
    <cellStyle name="Normal 14 6 4 2" xfId="6310"/>
    <cellStyle name="Normal 14 6 5" xfId="2419"/>
    <cellStyle name="Normal 14 6 5 2" xfId="6312"/>
    <cellStyle name="Normal 14 6 6" xfId="2421"/>
    <cellStyle name="Normal 14 6 6 2" xfId="6314"/>
    <cellStyle name="Normal 14 6 7" xfId="557"/>
    <cellStyle name="Normal 14 6 7 2" xfId="4487"/>
    <cellStyle name="Normal 14 6 8" xfId="2423"/>
    <cellStyle name="Normal 14 6 8 2" xfId="6316"/>
    <cellStyle name="Normal 14 6 9" xfId="9854"/>
    <cellStyle name="Normal 14 7" xfId="2424"/>
    <cellStyle name="Normal 14 7 10" xfId="9855"/>
    <cellStyle name="Normal 14 7 11" xfId="9856"/>
    <cellStyle name="Normal 14 7 12" xfId="9857"/>
    <cellStyle name="Normal 14 7 13" xfId="9858"/>
    <cellStyle name="Normal 14 7 14" xfId="9859"/>
    <cellStyle name="Normal 14 7 15" xfId="9860"/>
    <cellStyle name="Normal 14 7 16" xfId="9861"/>
    <cellStyle name="Normal 14 7 17" xfId="9862"/>
    <cellStyle name="Normal 14 7 18" xfId="6318"/>
    <cellStyle name="Normal 14 7 2" xfId="1068"/>
    <cellStyle name="Normal 14 7 2 2" xfId="4989"/>
    <cellStyle name="Normal 14 7 3" xfId="1071"/>
    <cellStyle name="Normal 14 7 3 2" xfId="4992"/>
    <cellStyle name="Normal 14 7 4" xfId="2425"/>
    <cellStyle name="Normal 14 7 4 2" xfId="6319"/>
    <cellStyle name="Normal 14 7 5" xfId="2426"/>
    <cellStyle name="Normal 14 7 5 2" xfId="6320"/>
    <cellStyle name="Normal 14 7 6" xfId="62"/>
    <cellStyle name="Normal 14 7 6 2" xfId="4014"/>
    <cellStyle name="Normal 14 7 7" xfId="783"/>
    <cellStyle name="Normal 14 7 7 2" xfId="4707"/>
    <cellStyle name="Normal 14 7 8" xfId="319"/>
    <cellStyle name="Normal 14 7 8 2" xfId="4265"/>
    <cellStyle name="Normal 14 7 9" xfId="9863"/>
    <cellStyle name="Normal 14 8" xfId="2427"/>
    <cellStyle name="Normal 14 8 10" xfId="9864"/>
    <cellStyle name="Normal 14 8 11" xfId="9865"/>
    <cellStyle name="Normal 14 8 12" xfId="9866"/>
    <cellStyle name="Normal 14 8 13" xfId="9867"/>
    <cellStyle name="Normal 14 8 14" xfId="9868"/>
    <cellStyle name="Normal 14 8 15" xfId="9869"/>
    <cellStyle name="Normal 14 8 16" xfId="9870"/>
    <cellStyle name="Normal 14 8 17" xfId="9871"/>
    <cellStyle name="Normal 14 8 18" xfId="6321"/>
    <cellStyle name="Normal 14 8 2" xfId="1101"/>
    <cellStyle name="Normal 14 8 2 2" xfId="5023"/>
    <cellStyle name="Normal 14 8 3" xfId="644"/>
    <cellStyle name="Normal 14 8 3 2" xfId="4576"/>
    <cellStyle name="Normal 14 8 4" xfId="1799"/>
    <cellStyle name="Normal 14 8 4 2" xfId="5710"/>
    <cellStyle name="Normal 14 8 5" xfId="496"/>
    <cellStyle name="Normal 14 8 5 2" xfId="4435"/>
    <cellStyle name="Normal 14 8 6" xfId="2428"/>
    <cellStyle name="Normal 14 8 6 2" xfId="6322"/>
    <cellStyle name="Normal 14 8 7" xfId="2429"/>
    <cellStyle name="Normal 14 8 7 2" xfId="6323"/>
    <cellStyle name="Normal 14 8 8" xfId="2430"/>
    <cellStyle name="Normal 14 8 8 2" xfId="6324"/>
    <cellStyle name="Normal 14 8 9" xfId="9872"/>
    <cellStyle name="Normal 14 9" xfId="2431"/>
    <cellStyle name="Normal 14 9 10" xfId="9873"/>
    <cellStyle name="Normal 14 9 11" xfId="9874"/>
    <cellStyle name="Normal 14 9 12" xfId="9875"/>
    <cellStyle name="Normal 14 9 13" xfId="9876"/>
    <cellStyle name="Normal 14 9 14" xfId="9877"/>
    <cellStyle name="Normal 14 9 15" xfId="9878"/>
    <cellStyle name="Normal 14 9 16" xfId="9879"/>
    <cellStyle name="Normal 14 9 17" xfId="9880"/>
    <cellStyle name="Normal 14 9 18" xfId="6325"/>
    <cellStyle name="Normal 14 9 2" xfId="1126"/>
    <cellStyle name="Normal 14 9 2 2" xfId="5048"/>
    <cellStyle name="Normal 14 9 3" xfId="1130"/>
    <cellStyle name="Normal 14 9 3 2" xfId="5052"/>
    <cellStyle name="Normal 14 9 4" xfId="2258"/>
    <cellStyle name="Normal 14 9 4 2" xfId="6157"/>
    <cellStyle name="Normal 14 9 5" xfId="2261"/>
    <cellStyle name="Normal 14 9 5 2" xfId="6160"/>
    <cellStyle name="Normal 14 9 6" xfId="2266"/>
    <cellStyle name="Normal 14 9 6 2" xfId="6165"/>
    <cellStyle name="Normal 14 9 7" xfId="2434"/>
    <cellStyle name="Normal 14 9 7 2" xfId="6327"/>
    <cellStyle name="Normal 14 9 8" xfId="2437"/>
    <cellStyle name="Normal 14 9 8 2" xfId="6330"/>
    <cellStyle name="Normal 14 9 9" xfId="9881"/>
    <cellStyle name="Normal 14_Achampally-Gattubuthkur-Ganga-CRR" xfId="1978"/>
    <cellStyle name="Normal 15" xfId="1233"/>
    <cellStyle name="Normal 15 10" xfId="2219"/>
    <cellStyle name="Normal 15 10 10" xfId="9882"/>
    <cellStyle name="Normal 15 10 11" xfId="9883"/>
    <cellStyle name="Normal 15 10 12" xfId="9884"/>
    <cellStyle name="Normal 15 10 13" xfId="9885"/>
    <cellStyle name="Normal 15 10 14" xfId="9886"/>
    <cellStyle name="Normal 15 10 15" xfId="9887"/>
    <cellStyle name="Normal 15 10 16" xfId="9888"/>
    <cellStyle name="Normal 15 10 17" xfId="9889"/>
    <cellStyle name="Normal 15 10 18" xfId="6118"/>
    <cellStyle name="Normal 15 10 2" xfId="2438"/>
    <cellStyle name="Normal 15 10 2 2" xfId="6332"/>
    <cellStyle name="Normal 15 10 3" xfId="1488"/>
    <cellStyle name="Normal 15 10 3 2" xfId="5405"/>
    <cellStyle name="Normal 15 10 4" xfId="1492"/>
    <cellStyle name="Normal 15 10 4 2" xfId="5409"/>
    <cellStyle name="Normal 15 10 5" xfId="2314"/>
    <cellStyle name="Normal 15 10 5 2" xfId="6210"/>
    <cellStyle name="Normal 15 10 6" xfId="2317"/>
    <cellStyle name="Normal 15 10 6 2" xfId="6213"/>
    <cellStyle name="Normal 15 10 7" xfId="2440"/>
    <cellStyle name="Normal 15 10 7 2" xfId="6333"/>
    <cellStyle name="Normal 15 10 8" xfId="2442"/>
    <cellStyle name="Normal 15 10 8 2" xfId="6335"/>
    <cellStyle name="Normal 15 10 9" xfId="9890"/>
    <cellStyle name="Normal 15 11" xfId="2443"/>
    <cellStyle name="Normal 15 11 2" xfId="6337"/>
    <cellStyle name="Normal 15 12" xfId="2445"/>
    <cellStyle name="Normal 15 12 2" xfId="6338"/>
    <cellStyle name="Normal 15 13" xfId="2448"/>
    <cellStyle name="Normal 15 13 2" xfId="6340"/>
    <cellStyle name="Normal 15 14" xfId="1654"/>
    <cellStyle name="Normal 15 14 2" xfId="5567"/>
    <cellStyle name="Normal 15 15" xfId="1657"/>
    <cellStyle name="Normal 15 15 2" xfId="5571"/>
    <cellStyle name="Normal 15 16" xfId="1989"/>
    <cellStyle name="Normal 15 16 2" xfId="5894"/>
    <cellStyle name="Normal 15 17" xfId="1992"/>
    <cellStyle name="Normal 15 17 2" xfId="5897"/>
    <cellStyle name="Normal 15 18" xfId="9891"/>
    <cellStyle name="Normal 15 19" xfId="9892"/>
    <cellStyle name="Normal 15 2" xfId="2449"/>
    <cellStyle name="Normal 15 2 2" xfId="1504"/>
    <cellStyle name="Normal 15 2 2 2" xfId="5422"/>
    <cellStyle name="Normal 15 2 3" xfId="1509"/>
    <cellStyle name="Normal 15 2 3 2" xfId="5427"/>
    <cellStyle name="Normal 15 2 4" xfId="6344"/>
    <cellStyle name="Normal 15 2_Rukmapur (CPD)-wk" xfId="652"/>
    <cellStyle name="Normal 15 20" xfId="9893"/>
    <cellStyle name="Normal 15 21" xfId="9894"/>
    <cellStyle name="Normal 15 22" xfId="9895"/>
    <cellStyle name="Normal 15 23" xfId="9896"/>
    <cellStyle name="Normal 15 24" xfId="9897"/>
    <cellStyle name="Normal 15 25" xfId="9898"/>
    <cellStyle name="Normal 15 26" xfId="9899"/>
    <cellStyle name="Normal 15 27" xfId="5153"/>
    <cellStyle name="Normal 15 3" xfId="2452"/>
    <cellStyle name="Normal 15 3 10" xfId="9900"/>
    <cellStyle name="Normal 15 3 11" xfId="9901"/>
    <cellStyle name="Normal 15 3 12" xfId="9902"/>
    <cellStyle name="Normal 15 3 13" xfId="9903"/>
    <cellStyle name="Normal 15 3 14" xfId="9904"/>
    <cellStyle name="Normal 15 3 15" xfId="9905"/>
    <cellStyle name="Normal 15 3 16" xfId="9906"/>
    <cellStyle name="Normal 15 3 17" xfId="9907"/>
    <cellStyle name="Normal 15 3 18" xfId="6347"/>
    <cellStyle name="Normal 15 3 2" xfId="1523"/>
    <cellStyle name="Normal 15 3 2 2" xfId="5441"/>
    <cellStyle name="Normal 15 3 3" xfId="1526"/>
    <cellStyle name="Normal 15 3 3 2" xfId="5444"/>
    <cellStyle name="Normal 15 3 4" xfId="1531"/>
    <cellStyle name="Normal 15 3 4 2" xfId="5449"/>
    <cellStyle name="Normal 15 3 5" xfId="1533"/>
    <cellStyle name="Normal 15 3 5 2" xfId="5451"/>
    <cellStyle name="Normal 15 3 6" xfId="2383"/>
    <cellStyle name="Normal 15 3 6 2" xfId="6277"/>
    <cellStyle name="Normal 15 3 7" xfId="2397"/>
    <cellStyle name="Normal 15 3 7 2" xfId="6291"/>
    <cellStyle name="Normal 15 3 8" xfId="2404"/>
    <cellStyle name="Normal 15 3 8 2" xfId="6298"/>
    <cellStyle name="Normal 15 3 9" xfId="9908"/>
    <cellStyle name="Normal 15 4" xfId="2455"/>
    <cellStyle name="Normal 15 4 10" xfId="9909"/>
    <cellStyle name="Normal 15 4 11" xfId="9910"/>
    <cellStyle name="Normal 15 4 12" xfId="9911"/>
    <cellStyle name="Normal 15 4 13" xfId="9912"/>
    <cellStyle name="Normal 15 4 14" xfId="9913"/>
    <cellStyle name="Normal 15 4 15" xfId="9914"/>
    <cellStyle name="Normal 15 4 16" xfId="9915"/>
    <cellStyle name="Normal 15 4 17" xfId="9916"/>
    <cellStyle name="Normal 15 4 18" xfId="6350"/>
    <cellStyle name="Normal 15 4 2" xfId="104"/>
    <cellStyle name="Normal 15 4 2 2" xfId="4050"/>
    <cellStyle name="Normal 15 4 3" xfId="569"/>
    <cellStyle name="Normal 15 4 3 2" xfId="4501"/>
    <cellStyle name="Normal 15 4 4" xfId="1538"/>
    <cellStyle name="Normal 15 4 4 2" xfId="5456"/>
    <cellStyle name="Normal 15 4 5" xfId="1540"/>
    <cellStyle name="Normal 15 4 5 2" xfId="5458"/>
    <cellStyle name="Normal 15 4 6" xfId="2451"/>
    <cellStyle name="Normal 15 4 6 2" xfId="6345"/>
    <cellStyle name="Normal 15 4 7" xfId="2454"/>
    <cellStyle name="Normal 15 4 7 2" xfId="6348"/>
    <cellStyle name="Normal 15 4 8" xfId="2457"/>
    <cellStyle name="Normal 15 4 8 2" xfId="6351"/>
    <cellStyle name="Normal 15 4 9" xfId="9917"/>
    <cellStyle name="Normal 15 5" xfId="2458"/>
    <cellStyle name="Normal 15 5 10" xfId="9918"/>
    <cellStyle name="Normal 15 5 11" xfId="9919"/>
    <cellStyle name="Normal 15 5 12" xfId="9920"/>
    <cellStyle name="Normal 15 5 13" xfId="9921"/>
    <cellStyle name="Normal 15 5 14" xfId="9922"/>
    <cellStyle name="Normal 15 5 15" xfId="9923"/>
    <cellStyle name="Normal 15 5 16" xfId="9924"/>
    <cellStyle name="Normal 15 5 17" xfId="9925"/>
    <cellStyle name="Normal 15 5 18" xfId="6353"/>
    <cellStyle name="Normal 15 5 2" xfId="1204"/>
    <cellStyle name="Normal 15 5 2 2" xfId="5124"/>
    <cellStyle name="Normal 15 5 3" xfId="639"/>
    <cellStyle name="Normal 15 5 3 2" xfId="4570"/>
    <cellStyle name="Normal 15 5 4" xfId="122"/>
    <cellStyle name="Normal 15 5 4 2" xfId="4065"/>
    <cellStyle name="Normal 15 5 5" xfId="2460"/>
    <cellStyle name="Normal 15 5 5 2" xfId="6355"/>
    <cellStyle name="Normal 15 5 6" xfId="2462"/>
    <cellStyle name="Normal 15 5 6 2" xfId="6357"/>
    <cellStyle name="Normal 15 5 7" xfId="2465"/>
    <cellStyle name="Normal 15 5 7 2" xfId="6361"/>
    <cellStyle name="Normal 15 5 8" xfId="2469"/>
    <cellStyle name="Normal 15 5 8 2" xfId="6365"/>
    <cellStyle name="Normal 15 5 9" xfId="9926"/>
    <cellStyle name="Normal 15 6" xfId="2473"/>
    <cellStyle name="Normal 15 6 10" xfId="9927"/>
    <cellStyle name="Normal 15 6 11" xfId="9928"/>
    <cellStyle name="Normal 15 6 12" xfId="9929"/>
    <cellStyle name="Normal 15 6 13" xfId="9930"/>
    <cellStyle name="Normal 15 6 14" xfId="9931"/>
    <cellStyle name="Normal 15 6 15" xfId="9932"/>
    <cellStyle name="Normal 15 6 16" xfId="9933"/>
    <cellStyle name="Normal 15 6 17" xfId="9934"/>
    <cellStyle name="Normal 15 6 18" xfId="6368"/>
    <cellStyle name="Normal 15 6 2" xfId="209"/>
    <cellStyle name="Normal 15 6 2 2" xfId="4135"/>
    <cellStyle name="Normal 15 6 3" xfId="217"/>
    <cellStyle name="Normal 15 6 3 2" xfId="4144"/>
    <cellStyle name="Normal 15 6 4" xfId="2475"/>
    <cellStyle name="Normal 15 6 4 2" xfId="6369"/>
    <cellStyle name="Normal 15 6 5" xfId="2476"/>
    <cellStyle name="Normal 15 6 5 2" xfId="6370"/>
    <cellStyle name="Normal 15 6 6" xfId="2479"/>
    <cellStyle name="Normal 15 6 6 2" xfId="6373"/>
    <cellStyle name="Normal 15 6 7" xfId="1745"/>
    <cellStyle name="Normal 15 6 7 2" xfId="5654"/>
    <cellStyle name="Normal 15 6 8" xfId="2482"/>
    <cellStyle name="Normal 15 6 8 2" xfId="6376"/>
    <cellStyle name="Normal 15 6 9" xfId="9935"/>
    <cellStyle name="Normal 15 7" xfId="2483"/>
    <cellStyle name="Normal 15 7 10" xfId="9936"/>
    <cellStyle name="Normal 15 7 11" xfId="9937"/>
    <cellStyle name="Normal 15 7 12" xfId="9938"/>
    <cellStyle name="Normal 15 7 13" xfId="9939"/>
    <cellStyle name="Normal 15 7 14" xfId="9940"/>
    <cellStyle name="Normal 15 7 15" xfId="9941"/>
    <cellStyle name="Normal 15 7 16" xfId="9942"/>
    <cellStyle name="Normal 15 7 17" xfId="9943"/>
    <cellStyle name="Normal 15 7 18" xfId="6378"/>
    <cellStyle name="Normal 15 7 2" xfId="793"/>
    <cellStyle name="Normal 15 7 2 2" xfId="4719"/>
    <cellStyle name="Normal 15 7 3" xfId="579"/>
    <cellStyle name="Normal 15 7 3 2" xfId="4511"/>
    <cellStyle name="Normal 15 7 4" xfId="2485"/>
    <cellStyle name="Normal 15 7 4 2" xfId="6379"/>
    <cellStyle name="Normal 15 7 5" xfId="2486"/>
    <cellStyle name="Normal 15 7 5 2" xfId="6380"/>
    <cellStyle name="Normal 15 7 6" xfId="2489"/>
    <cellStyle name="Normal 15 7 6 2" xfId="6383"/>
    <cellStyle name="Normal 15 7 7" xfId="2492"/>
    <cellStyle name="Normal 15 7 7 2" xfId="6386"/>
    <cellStyle name="Normal 15 7 8" xfId="329"/>
    <cellStyle name="Normal 15 7 8 2" xfId="4271"/>
    <cellStyle name="Normal 15 7 9" xfId="9944"/>
    <cellStyle name="Normal 15 8" xfId="2493"/>
    <cellStyle name="Normal 15 8 10" xfId="9945"/>
    <cellStyle name="Normal 15 8 11" xfId="9946"/>
    <cellStyle name="Normal 15 8 12" xfId="9947"/>
    <cellStyle name="Normal 15 8 13" xfId="9948"/>
    <cellStyle name="Normal 15 8 14" xfId="9949"/>
    <cellStyle name="Normal 15 8 15" xfId="9950"/>
    <cellStyle name="Normal 15 8 16" xfId="9951"/>
    <cellStyle name="Normal 15 8 17" xfId="9952"/>
    <cellStyle name="Normal 15 8 18" xfId="6388"/>
    <cellStyle name="Normal 15 8 2" xfId="960"/>
    <cellStyle name="Normal 15 8 2 2" xfId="4879"/>
    <cellStyle name="Normal 15 8 3" xfId="506"/>
    <cellStyle name="Normal 15 8 3 2" xfId="4440"/>
    <cellStyle name="Normal 15 8 4" xfId="696"/>
    <cellStyle name="Normal 15 8 4 2" xfId="4623"/>
    <cellStyle name="Normal 15 8 5" xfId="962"/>
    <cellStyle name="Normal 15 8 5 2" xfId="4883"/>
    <cellStyle name="Normal 15 8 6" xfId="1773"/>
    <cellStyle name="Normal 15 8 6 2" xfId="5684"/>
    <cellStyle name="Normal 15 8 7" xfId="1775"/>
    <cellStyle name="Normal 15 8 7 2" xfId="5686"/>
    <cellStyle name="Normal 15 8 8" xfId="1777"/>
    <cellStyle name="Normal 15 8 8 2" xfId="5689"/>
    <cellStyle name="Normal 15 8 9" xfId="9953"/>
    <cellStyle name="Normal 15 9" xfId="2495"/>
    <cellStyle name="Normal 15 9 10" xfId="9954"/>
    <cellStyle name="Normal 15 9 11" xfId="9955"/>
    <cellStyle name="Normal 15 9 12" xfId="9956"/>
    <cellStyle name="Normal 15 9 13" xfId="9957"/>
    <cellStyle name="Normal 15 9 14" xfId="9958"/>
    <cellStyle name="Normal 15 9 15" xfId="9959"/>
    <cellStyle name="Normal 15 9 16" xfId="9960"/>
    <cellStyle name="Normal 15 9 17" xfId="9961"/>
    <cellStyle name="Normal 15 9 18" xfId="6390"/>
    <cellStyle name="Normal 15 9 2" xfId="973"/>
    <cellStyle name="Normal 15 9 2 2" xfId="4892"/>
    <cellStyle name="Normal 15 9 3" xfId="602"/>
    <cellStyle name="Normal 15 9 3 2" xfId="4530"/>
    <cellStyle name="Normal 15 9 4" xfId="977"/>
    <cellStyle name="Normal 15 9 4 2" xfId="4900"/>
    <cellStyle name="Normal 15 9 5" xfId="981"/>
    <cellStyle name="Normal 15 9 5 2" xfId="4903"/>
    <cellStyle name="Normal 15 9 6" xfId="2321"/>
    <cellStyle name="Normal 15 9 6 2" xfId="6219"/>
    <cellStyle name="Normal 15 9 7" xfId="2322"/>
    <cellStyle name="Normal 15 9 7 2" xfId="6220"/>
    <cellStyle name="Normal 15 9 8" xfId="2497"/>
    <cellStyle name="Normal 15 9 8 2" xfId="6391"/>
    <cellStyle name="Normal 15 9 9" xfId="9962"/>
    <cellStyle name="Normal 15_2bhk_19122016" xfId="9963"/>
    <cellStyle name="Normal 16" xfId="1238"/>
    <cellStyle name="Normal 16 2" xfId="2464"/>
    <cellStyle name="Normal 16 2 2" xfId="2498"/>
    <cellStyle name="Normal 16 2 2 10" xfId="9964"/>
    <cellStyle name="Normal 16 2 2 11" xfId="9965"/>
    <cellStyle name="Normal 16 2 2 12" xfId="9966"/>
    <cellStyle name="Normal 16 2 2 13" xfId="6392"/>
    <cellStyle name="Normal 16 2 2 2" xfId="297"/>
    <cellStyle name="Normal 16 2 2 2 10" xfId="9967"/>
    <cellStyle name="Normal 16 2 2 2 11" xfId="4239"/>
    <cellStyle name="Normal 16 2 2 2 2" xfId="9968"/>
    <cellStyle name="Normal 16 2 2 2 3" xfId="9969"/>
    <cellStyle name="Normal 16 2 2 2 4" xfId="9970"/>
    <cellStyle name="Normal 16 2 2 2 5" xfId="9971"/>
    <cellStyle name="Normal 16 2 2 2 6" xfId="9972"/>
    <cellStyle name="Normal 16 2 2 2 7" xfId="9973"/>
    <cellStyle name="Normal 16 2 2 2 8" xfId="9974"/>
    <cellStyle name="Normal 16 2 2 2 9" xfId="9975"/>
    <cellStyle name="Normal 16 2 2 3" xfId="128"/>
    <cellStyle name="Normal 16 2 2 3 10" xfId="9976"/>
    <cellStyle name="Normal 16 2 2 3 11" xfId="4079"/>
    <cellStyle name="Normal 16 2 2 3 2" xfId="9977"/>
    <cellStyle name="Normal 16 2 2 3 3" xfId="9978"/>
    <cellStyle name="Normal 16 2 2 3 4" xfId="9979"/>
    <cellStyle name="Normal 16 2 2 3 5" xfId="9980"/>
    <cellStyle name="Normal 16 2 2 3 6" xfId="9981"/>
    <cellStyle name="Normal 16 2 2 3 7" xfId="9982"/>
    <cellStyle name="Normal 16 2 2 3 8" xfId="9983"/>
    <cellStyle name="Normal 16 2 2 3 9" xfId="9984"/>
    <cellStyle name="Normal 16 2 2 4" xfId="9985"/>
    <cellStyle name="Normal 16 2 2 5" xfId="9986"/>
    <cellStyle name="Normal 16 2 2 6" xfId="9987"/>
    <cellStyle name="Normal 16 2 2 7" xfId="9988"/>
    <cellStyle name="Normal 16 2 2 8" xfId="9989"/>
    <cellStyle name="Normal 16 2 2 9" xfId="9990"/>
    <cellStyle name="Normal 16 2 3" xfId="6358"/>
    <cellStyle name="Normal 16 2_Schedule-1" xfId="9991"/>
    <cellStyle name="Normal 16 3" xfId="2468"/>
    <cellStyle name="Normal 16 3 2" xfId="9992"/>
    <cellStyle name="Normal 16 3 2 2" xfId="9993"/>
    <cellStyle name="Normal 16 3 3" xfId="6362"/>
    <cellStyle name="Normal 16 4" xfId="2472"/>
    <cellStyle name="Normal 16 4 2" xfId="9994"/>
    <cellStyle name="Normal 16 4 3" xfId="6366"/>
    <cellStyle name="Normal 16 5" xfId="2499"/>
    <cellStyle name="Normal 16 5 2" xfId="9995"/>
    <cellStyle name="Normal 16 5 3" xfId="6394"/>
    <cellStyle name="Normal 16 6" xfId="9996"/>
    <cellStyle name="Normal 16 6 2" xfId="9997"/>
    <cellStyle name="Normal 16 7" xfId="9998"/>
    <cellStyle name="Normal 16 7 2" xfId="9999"/>
    <cellStyle name="Normal 16 8" xfId="10000"/>
    <cellStyle name="Normal 16 8 2" xfId="10001"/>
    <cellStyle name="Normal 16 9" xfId="5158"/>
    <cellStyle name="Normal 16_10.Estimate- BEERVELLY" xfId="17"/>
    <cellStyle name="Normal 17" xfId="1243"/>
    <cellStyle name="Normal 17 10" xfId="2502"/>
    <cellStyle name="Normal 17 10 2" xfId="6396"/>
    <cellStyle name="Normal 17 11" xfId="10002"/>
    <cellStyle name="Normal 17 12" xfId="10003"/>
    <cellStyle name="Normal 17 13" xfId="10004"/>
    <cellStyle name="Normal 17 14" xfId="10005"/>
    <cellStyle name="Normal 17 15" xfId="10006"/>
    <cellStyle name="Normal 17 16" xfId="10007"/>
    <cellStyle name="Normal 17 17" xfId="10008"/>
    <cellStyle name="Normal 17 18" xfId="10009"/>
    <cellStyle name="Normal 17 19" xfId="10010"/>
    <cellStyle name="Normal 17 2" xfId="2477"/>
    <cellStyle name="Normal 17 2 2" xfId="616"/>
    <cellStyle name="Normal 17 2 2 10" xfId="10011"/>
    <cellStyle name="Normal 17 2 2 11" xfId="10012"/>
    <cellStyle name="Normal 17 2 2 12" xfId="10013"/>
    <cellStyle name="Normal 17 2 2 13" xfId="4551"/>
    <cellStyle name="Normal 17 2 2 2" xfId="631"/>
    <cellStyle name="Normal 17 2 2 2 10" xfId="10014"/>
    <cellStyle name="Normal 17 2 2 2 11" xfId="4561"/>
    <cellStyle name="Normal 17 2 2 2 2" xfId="10015"/>
    <cellStyle name="Normal 17 2 2 2 3" xfId="10016"/>
    <cellStyle name="Normal 17 2 2 2 4" xfId="10017"/>
    <cellStyle name="Normal 17 2 2 2 5" xfId="10018"/>
    <cellStyle name="Normal 17 2 2 2 6" xfId="10019"/>
    <cellStyle name="Normal 17 2 2 2 7" xfId="10020"/>
    <cellStyle name="Normal 17 2 2 2 8" xfId="10021"/>
    <cellStyle name="Normal 17 2 2 2 9" xfId="10022"/>
    <cellStyle name="Normal 17 2 2 3" xfId="634"/>
    <cellStyle name="Normal 17 2 2 3 10" xfId="10023"/>
    <cellStyle name="Normal 17 2 2 3 11" xfId="4565"/>
    <cellStyle name="Normal 17 2 2 3 2" xfId="10024"/>
    <cellStyle name="Normal 17 2 2 3 3" xfId="10025"/>
    <cellStyle name="Normal 17 2 2 3 4" xfId="10026"/>
    <cellStyle name="Normal 17 2 2 3 5" xfId="10027"/>
    <cellStyle name="Normal 17 2 2 3 6" xfId="10028"/>
    <cellStyle name="Normal 17 2 2 3 7" xfId="10029"/>
    <cellStyle name="Normal 17 2 2 3 8" xfId="10030"/>
    <cellStyle name="Normal 17 2 2 3 9" xfId="10031"/>
    <cellStyle name="Normal 17 2 2 4" xfId="10032"/>
    <cellStyle name="Normal 17 2 2 5" xfId="10033"/>
    <cellStyle name="Normal 17 2 2 6" xfId="10034"/>
    <cellStyle name="Normal 17 2 2 7" xfId="10035"/>
    <cellStyle name="Normal 17 2 2 8" xfId="10036"/>
    <cellStyle name="Normal 17 2 2 9" xfId="10037"/>
    <cellStyle name="Normal 17 2 3" xfId="918"/>
    <cellStyle name="Normal 17 2 3 10" xfId="10038"/>
    <cellStyle name="Normal 17 2 3 11" xfId="10039"/>
    <cellStyle name="Normal 17 2 3 12" xfId="10040"/>
    <cellStyle name="Normal 17 2 3 13" xfId="4840"/>
    <cellStyle name="Normal 17 2 3 2" xfId="928"/>
    <cellStyle name="Normal 17 2 3 2 10" xfId="10041"/>
    <cellStyle name="Normal 17 2 3 2 11" xfId="4847"/>
    <cellStyle name="Normal 17 2 3 2 2" xfId="10042"/>
    <cellStyle name="Normal 17 2 3 2 3" xfId="10043"/>
    <cellStyle name="Normal 17 2 3 2 4" xfId="10044"/>
    <cellStyle name="Normal 17 2 3 2 5" xfId="10045"/>
    <cellStyle name="Normal 17 2 3 2 6" xfId="10046"/>
    <cellStyle name="Normal 17 2 3 2 7" xfId="10047"/>
    <cellStyle name="Normal 17 2 3 2 8" xfId="10048"/>
    <cellStyle name="Normal 17 2 3 2 9" xfId="10049"/>
    <cellStyle name="Normal 17 2 3 3" xfId="931"/>
    <cellStyle name="Normal 17 2 3 3 10" xfId="10050"/>
    <cellStyle name="Normal 17 2 3 3 11" xfId="4851"/>
    <cellStyle name="Normal 17 2 3 3 2" xfId="10051"/>
    <cellStyle name="Normal 17 2 3 3 3" xfId="10052"/>
    <cellStyle name="Normal 17 2 3 3 4" xfId="10053"/>
    <cellStyle name="Normal 17 2 3 3 5" xfId="10054"/>
    <cellStyle name="Normal 17 2 3 3 6" xfId="10055"/>
    <cellStyle name="Normal 17 2 3 3 7" xfId="10056"/>
    <cellStyle name="Normal 17 2 3 3 8" xfId="10057"/>
    <cellStyle name="Normal 17 2 3 3 9" xfId="10058"/>
    <cellStyle name="Normal 17 2 3 4" xfId="10059"/>
    <cellStyle name="Normal 17 2 3 5" xfId="10060"/>
    <cellStyle name="Normal 17 2 3 6" xfId="10061"/>
    <cellStyle name="Normal 17 2 3 7" xfId="10062"/>
    <cellStyle name="Normal 17 2 3 8" xfId="10063"/>
    <cellStyle name="Normal 17 2 3 9" xfId="10064"/>
    <cellStyle name="Normal 17 2 4" xfId="6372"/>
    <cellStyle name="Normal 17 20" xfId="5163"/>
    <cellStyle name="Normal 17 3" xfId="1743"/>
    <cellStyle name="Normal 17 3 2" xfId="5655"/>
    <cellStyle name="Normal 17 4" xfId="2480"/>
    <cellStyle name="Normal 17 4 2" xfId="6375"/>
    <cellStyle name="Normal 17 5" xfId="2503"/>
    <cellStyle name="Normal 17 5 2" xfId="6398"/>
    <cellStyle name="Normal 17 6" xfId="110"/>
    <cellStyle name="Normal 17 6 2" xfId="4053"/>
    <cellStyle name="Normal 17 7" xfId="170"/>
    <cellStyle name="Normal 17 7 2" xfId="4099"/>
    <cellStyle name="Normal 17 8" xfId="187"/>
    <cellStyle name="Normal 17 8 10" xfId="10065"/>
    <cellStyle name="Normal 17 8 11" xfId="10066"/>
    <cellStyle name="Normal 17 8 12" xfId="10067"/>
    <cellStyle name="Normal 17 8 13" xfId="4114"/>
    <cellStyle name="Normal 17 8 2" xfId="81"/>
    <cellStyle name="Normal 17 8 2 10" xfId="10068"/>
    <cellStyle name="Normal 17 8 2 11" xfId="4033"/>
    <cellStyle name="Normal 17 8 2 2" xfId="10069"/>
    <cellStyle name="Normal 17 8 2 3" xfId="10070"/>
    <cellStyle name="Normal 17 8 2 4" xfId="10071"/>
    <cellStyle name="Normal 17 8 2 5" xfId="10072"/>
    <cellStyle name="Normal 17 8 2 6" xfId="10073"/>
    <cellStyle name="Normal 17 8 2 7" xfId="10074"/>
    <cellStyle name="Normal 17 8 2 8" xfId="10075"/>
    <cellStyle name="Normal 17 8 2 9" xfId="10076"/>
    <cellStyle name="Normal 17 8 3" xfId="89"/>
    <cellStyle name="Normal 17 8 3 10" xfId="10077"/>
    <cellStyle name="Normal 17 8 3 11" xfId="4040"/>
    <cellStyle name="Normal 17 8 3 2" xfId="10078"/>
    <cellStyle name="Normal 17 8 3 3" xfId="10079"/>
    <cellStyle name="Normal 17 8 3 4" xfId="10080"/>
    <cellStyle name="Normal 17 8 3 5" xfId="10081"/>
    <cellStyle name="Normal 17 8 3 6" xfId="10082"/>
    <cellStyle name="Normal 17 8 3 7" xfId="10083"/>
    <cellStyle name="Normal 17 8 3 8" xfId="10084"/>
    <cellStyle name="Normal 17 8 3 9" xfId="10085"/>
    <cellStyle name="Normal 17 8 4" xfId="10086"/>
    <cellStyle name="Normal 17 8 4 2 2" xfId="10087"/>
    <cellStyle name="Normal 17 8 4 3" xfId="10088"/>
    <cellStyle name="Normal 17 8 5" xfId="10089"/>
    <cellStyle name="Normal 17 8 6" xfId="10090"/>
    <cellStyle name="Normal 17 8 7" xfId="10091"/>
    <cellStyle name="Normal 17 8 8" xfId="10092"/>
    <cellStyle name="Normal 17 8 9" xfId="10093"/>
    <cellStyle name="Normal 17 9" xfId="195"/>
    <cellStyle name="Normal 17 9 2" xfId="4121"/>
    <cellStyle name="Normal 17_2bhk_19122016" xfId="10094"/>
    <cellStyle name="Normal 18" xfId="908"/>
    <cellStyle name="Normal 18 10" xfId="10095"/>
    <cellStyle name="Normal 18 11" xfId="10096"/>
    <cellStyle name="Normal 18 12" xfId="10097"/>
    <cellStyle name="Normal 18 13" xfId="10098"/>
    <cellStyle name="Normal 18 14" xfId="10099"/>
    <cellStyle name="Normal 18 15" xfId="10100"/>
    <cellStyle name="Normal 18 16" xfId="10101"/>
    <cellStyle name="Normal 18 17" xfId="10102"/>
    <cellStyle name="Normal 18 18" xfId="4826"/>
    <cellStyle name="Normal 18 2" xfId="2487"/>
    <cellStyle name="Normal 18 2 2" xfId="10103"/>
    <cellStyle name="Normal 18 2 3" xfId="6382"/>
    <cellStyle name="Normal 18 3" xfId="2490"/>
    <cellStyle name="Normal 18 3 2" xfId="6385"/>
    <cellStyle name="Normal 18 4" xfId="326"/>
    <cellStyle name="Normal 18 4 2" xfId="4272"/>
    <cellStyle name="Normal 18 5" xfId="331"/>
    <cellStyle name="Normal 18 5 2" xfId="4276"/>
    <cellStyle name="Normal 18 6" xfId="2505"/>
    <cellStyle name="Normal 18 6 2" xfId="6400"/>
    <cellStyle name="Normal 18 7" xfId="1898"/>
    <cellStyle name="Normal 18 7 2" xfId="5806"/>
    <cellStyle name="Normal 18 8" xfId="2507"/>
    <cellStyle name="Normal 18 8 2" xfId="6402"/>
    <cellStyle name="Normal 18 9" xfId="10104"/>
    <cellStyle name="Normal 19" xfId="913"/>
    <cellStyle name="Normal 19 2" xfId="10105"/>
    <cellStyle name="Normal 19 2 2" xfId="10106"/>
    <cellStyle name="Normal 19 3" xfId="4835"/>
    <cellStyle name="Normal 19 5" xfId="2510"/>
    <cellStyle name="Normal 19 5 2" xfId="6404"/>
    <cellStyle name="Normal 2" xfId="1044"/>
    <cellStyle name="Normal 2 10" xfId="2100"/>
    <cellStyle name="Normal 2 10 2" xfId="6000"/>
    <cellStyle name="Normal 2 11" xfId="2105"/>
    <cellStyle name="Normal 2 11 2" xfId="6005"/>
    <cellStyle name="Normal 2 12" xfId="1609"/>
    <cellStyle name="Normal 2 12 2" xfId="5522"/>
    <cellStyle name="Normal 2 13" xfId="1616"/>
    <cellStyle name="Normal 2 13 2" xfId="5529"/>
    <cellStyle name="Normal 2 14" xfId="2110"/>
    <cellStyle name="Normal 2 14 2" xfId="6010"/>
    <cellStyle name="Normal 2 15" xfId="2516"/>
    <cellStyle name="Normal 2 15 2" xfId="6410"/>
    <cellStyle name="Normal 2 16" xfId="2519"/>
    <cellStyle name="Normal 2 16 2" xfId="6413"/>
    <cellStyle name="Normal 2 17" xfId="2522"/>
    <cellStyle name="Normal 2 17 2" xfId="6416"/>
    <cellStyle name="Normal 2 18" xfId="2525"/>
    <cellStyle name="Normal 2 18 2" xfId="6419"/>
    <cellStyle name="Normal 2 19" xfId="2528"/>
    <cellStyle name="Normal 2 19 2" xfId="6421"/>
    <cellStyle name="Normal 2 2" xfId="2529"/>
    <cellStyle name="Normal 2 2 10" xfId="1205"/>
    <cellStyle name="Normal 2 2 10 2" xfId="5125"/>
    <cellStyle name="Normal 2 2 11" xfId="640"/>
    <cellStyle name="Normal 2 2 11 2" xfId="4569"/>
    <cellStyle name="Normal 2 2 12" xfId="123"/>
    <cellStyle name="Normal 2 2 12 2" xfId="4066"/>
    <cellStyle name="Normal 2 2 13" xfId="2461"/>
    <cellStyle name="Normal 2 2 13 2" xfId="6354"/>
    <cellStyle name="Normal 2 2 14" xfId="2463"/>
    <cellStyle name="Normal 2 2 14 2" xfId="6356"/>
    <cellStyle name="Normal 2 2 15" xfId="2466"/>
    <cellStyle name="Normal 2 2 15 2" xfId="6360"/>
    <cellStyle name="Normal 2 2 16" xfId="2470"/>
    <cellStyle name="Normal 2 2 16 2" xfId="6364"/>
    <cellStyle name="Normal 2 2 17" xfId="2501"/>
    <cellStyle name="Normal 2 2 17 2" xfId="6395"/>
    <cellStyle name="Normal 2 2 18" xfId="2531"/>
    <cellStyle name="Normal 2 2 18 2" xfId="6425"/>
    <cellStyle name="Normal 2 2 19" xfId="272"/>
    <cellStyle name="Normal 2 2 19 2" xfId="4220"/>
    <cellStyle name="Normal 2 2 2" xfId="2533"/>
    <cellStyle name="Normal 2 2 2 10" xfId="2534"/>
    <cellStyle name="Normal 2 2 2 10 2" xfId="6428"/>
    <cellStyle name="Normal 2 2 2 11" xfId="2535"/>
    <cellStyle name="Normal 2 2 2 11 2" xfId="6429"/>
    <cellStyle name="Normal 2 2 2 12" xfId="10107"/>
    <cellStyle name="Normal 2 2 2 13" xfId="10108"/>
    <cellStyle name="Normal 2 2 2 14" xfId="10109"/>
    <cellStyle name="Normal 2 2 2 15" xfId="6426"/>
    <cellStyle name="Normal 2 2 2 2" xfId="2014"/>
    <cellStyle name="Normal 2 2 2 2 2" xfId="83"/>
    <cellStyle name="Normal 2 2 2 2 2 10" xfId="10110"/>
    <cellStyle name="Normal 2 2 2 2 2 11" xfId="10111"/>
    <cellStyle name="Normal 2 2 2 2 2 12" xfId="10112"/>
    <cellStyle name="Normal 2 2 2 2 2 13" xfId="10113"/>
    <cellStyle name="Normal 2 2 2 2 2 14" xfId="10114"/>
    <cellStyle name="Normal 2 2 2 2 2 15" xfId="10115"/>
    <cellStyle name="Normal 2 2 2 2 2 16" xfId="10116"/>
    <cellStyle name="Normal 2 2 2 2 2 17" xfId="10117"/>
    <cellStyle name="Normal 2 2 2 2 2 18" xfId="4029"/>
    <cellStyle name="Normal 2 2 2 2 2 2" xfId="92"/>
    <cellStyle name="Normal 2 2 2 2 2 2 2" xfId="4160"/>
    <cellStyle name="Normal 2 2 2 2 2 3" xfId="28"/>
    <cellStyle name="Normal 2 2 2 2 2 3 2" xfId="4153"/>
    <cellStyle name="Normal 2 2 2 2 2 4" xfId="2536"/>
    <cellStyle name="Normal 2 2 2 2 2 4 2" xfId="6430"/>
    <cellStyle name="Normal 2 2 2 2 2 5" xfId="2538"/>
    <cellStyle name="Normal 2 2 2 2 2 5 2" xfId="6432"/>
    <cellStyle name="Normal 2 2 2 2 2 6" xfId="2542"/>
    <cellStyle name="Normal 2 2 2 2 2 6 2" xfId="6436"/>
    <cellStyle name="Normal 2 2 2 2 2 7" xfId="46"/>
    <cellStyle name="Normal 2 2 2 2 2 7 2" xfId="4003"/>
    <cellStyle name="Normal 2 2 2 2 2 8" xfId="2546"/>
    <cellStyle name="Normal 2 2 2 2 2 8 2" xfId="6440"/>
    <cellStyle name="Normal 2 2 2 2 2 9" xfId="10118"/>
    <cellStyle name="Normal 2 2 2 2 3" xfId="5916"/>
    <cellStyle name="Normal 2 2 2 3" xfId="199"/>
    <cellStyle name="Normal 2 2 2 3 2" xfId="10119"/>
    <cellStyle name="Normal 2 2 2 3 3" xfId="4126"/>
    <cellStyle name="Normal 2 2 2 4" xfId="151"/>
    <cellStyle name="Normal 2 2 2 4 2" xfId="10120"/>
    <cellStyle name="Normal 2 2 2 4 3" xfId="4088"/>
    <cellStyle name="Normal 2 2 2 5" xfId="2017"/>
    <cellStyle name="Normal 2 2 2 5 2" xfId="10121"/>
    <cellStyle name="Normal 2 2 2 5 3" xfId="5919"/>
    <cellStyle name="Normal 2 2 2 6" xfId="2020"/>
    <cellStyle name="Normal 2 2 2 6 2" xfId="5922"/>
    <cellStyle name="Normal 2 2 2 7" xfId="2549"/>
    <cellStyle name="Normal 2 2 2 7 2" xfId="6442"/>
    <cellStyle name="Normal 2 2 2 8" xfId="2551"/>
    <cellStyle name="Normal 2 2 2 8 2" xfId="6444"/>
    <cellStyle name="Normal 2 2 2 9" xfId="2552"/>
    <cellStyle name="Normal 2 2 2 9 2" xfId="6446"/>
    <cellStyle name="Normal 2 2 2_A163.00 Thimmajipet to Nertella pally 25.11.14" xfId="10122"/>
    <cellStyle name="Normal 2 2 20" xfId="2467"/>
    <cellStyle name="Normal 2 2 20 2" xfId="6359"/>
    <cellStyle name="Normal 2 2 21" xfId="2471"/>
    <cellStyle name="Normal 2 2 21 2" xfId="6363"/>
    <cellStyle name="Normal 2 2 22" xfId="10123"/>
    <cellStyle name="Normal 2 2 23" xfId="10124"/>
    <cellStyle name="Normal 2 2 24" xfId="10125"/>
    <cellStyle name="Normal 2 2 25" xfId="279"/>
    <cellStyle name="Normal 2 2 25 2" xfId="4224"/>
    <cellStyle name="Normal 2 2 26" xfId="10126"/>
    <cellStyle name="Normal 2 2 27" xfId="10127"/>
    <cellStyle name="Normal 2 2 28" xfId="10128"/>
    <cellStyle name="Normal 2 2 29" xfId="10129"/>
    <cellStyle name="Normal 2 2 3" xfId="1022"/>
    <cellStyle name="Normal 2 2 3 10" xfId="486"/>
    <cellStyle name="Normal 2 2 3 10 2" xfId="4422"/>
    <cellStyle name="Normal 2 2 3 11" xfId="10130"/>
    <cellStyle name="Normal 2 2 3 12" xfId="10131"/>
    <cellStyle name="Normal 2 2 3 13" xfId="4943"/>
    <cellStyle name="Normal 2 2 3 2" xfId="2030"/>
    <cellStyle name="Normal 2 2 3 2 2" xfId="10132"/>
    <cellStyle name="Normal 2 2 3 2 3" xfId="5931"/>
    <cellStyle name="Normal 2 2 3 3" xfId="2033"/>
    <cellStyle name="Normal 2 2 3 3 2" xfId="5935"/>
    <cellStyle name="Normal 2 2 3 4" xfId="2036"/>
    <cellStyle name="Normal 2 2 3 4 2" xfId="5938"/>
    <cellStyle name="Normal 2 2 3 5" xfId="2039"/>
    <cellStyle name="Normal 2 2 3 5 2" xfId="5941"/>
    <cellStyle name="Normal 2 2 3 6" xfId="2042"/>
    <cellStyle name="Normal 2 2 3 6 2" xfId="5944"/>
    <cellStyle name="Normal 2 2 3 7" xfId="2554"/>
    <cellStyle name="Normal 2 2 3 7 2" xfId="6447"/>
    <cellStyle name="Normal 2 2 3 8" xfId="2557"/>
    <cellStyle name="Normal 2 2 3 8 2" xfId="6449"/>
    <cellStyle name="Normal 2 2 3 9" xfId="2559"/>
    <cellStyle name="Normal 2 2 3 9 2" xfId="6452"/>
    <cellStyle name="Normal 2 2 3_Rukmapur (CPD)-wk" xfId="4"/>
    <cellStyle name="Normal 2 2 30" xfId="10133"/>
    <cellStyle name="Normal 2 2 31" xfId="2560"/>
    <cellStyle name="Normal 2 2 31 2" xfId="6454"/>
    <cellStyle name="Normal 2 2 32" xfId="10134"/>
    <cellStyle name="Normal 2 2 33" xfId="6424"/>
    <cellStyle name="Normal 2 2 4" xfId="368"/>
    <cellStyle name="Normal 2 2 4 10" xfId="10135"/>
    <cellStyle name="Normal 2 2 4 11" xfId="10136"/>
    <cellStyle name="Normal 2 2 4 12" xfId="10137"/>
    <cellStyle name="Normal 2 2 4 13" xfId="10138"/>
    <cellStyle name="Normal 2 2 4 14" xfId="10139"/>
    <cellStyle name="Normal 2 2 4 15" xfId="10140"/>
    <cellStyle name="Normal 2 2 4 16" xfId="10141"/>
    <cellStyle name="Normal 2 2 4 17" xfId="10142"/>
    <cellStyle name="Normal 2 2 4 18" xfId="4313"/>
    <cellStyle name="Normal 2 2 4 2" xfId="2049"/>
    <cellStyle name="Normal 2 2 4 2 2" xfId="5950"/>
    <cellStyle name="Normal 2 2 4 3" xfId="2052"/>
    <cellStyle name="Normal 2 2 4 3 2" xfId="5954"/>
    <cellStyle name="Normal 2 2 4 4" xfId="2055"/>
    <cellStyle name="Normal 2 2 4 4 2" xfId="5957"/>
    <cellStyle name="Normal 2 2 4 5" xfId="2058"/>
    <cellStyle name="Normal 2 2 4 5 2" xfId="5960"/>
    <cellStyle name="Normal 2 2 4 6" xfId="2061"/>
    <cellStyle name="Normal 2 2 4 6 2" xfId="5963"/>
    <cellStyle name="Normal 2 2 4 7" xfId="2562"/>
    <cellStyle name="Normal 2 2 4 7 2" xfId="6455"/>
    <cellStyle name="Normal 2 2 4 8" xfId="2565"/>
    <cellStyle name="Normal 2 2 4 8 2" xfId="6457"/>
    <cellStyle name="Normal 2 2 4 9" xfId="10143"/>
    <cellStyle name="Normal 2 2 5" xfId="375"/>
    <cellStyle name="Normal 2 2 5 2" xfId="2071"/>
    <cellStyle name="Normal 2 2 5 2 2" xfId="5971"/>
    <cellStyle name="Normal 2 2 5 3" xfId="2074"/>
    <cellStyle name="Normal 2 2 5 3 2" xfId="5975"/>
    <cellStyle name="Normal 2 2 5 4" xfId="4321"/>
    <cellStyle name="Normal 2 2 6" xfId="1026"/>
    <cellStyle name="Normal 2 2 6 2" xfId="10144"/>
    <cellStyle name="Normal 2 2 6 3" xfId="4947"/>
    <cellStyle name="Normal 2 2 7" xfId="562"/>
    <cellStyle name="Normal 2 2 7 2" xfId="10145"/>
    <cellStyle name="Normal 2 2 7 3" xfId="4491"/>
    <cellStyle name="Normal 2 2 8" xfId="1030"/>
    <cellStyle name="Normal 2 2 8 2" xfId="443"/>
    <cellStyle name="Normal 2 2 8 2 2" xfId="4385"/>
    <cellStyle name="Normal 2 2 8 3" xfId="4951"/>
    <cellStyle name="Normal 2 2 9" xfId="1033"/>
    <cellStyle name="Normal 2 2 9 2" xfId="4954"/>
    <cellStyle name="Normal 2 2_125 CHERLA ITIKYAL ZP ROAD TO LINGASANIPALLY ZP ROAD - 30 LAKHS" xfId="10146"/>
    <cellStyle name="Normal 2 20" xfId="2517"/>
    <cellStyle name="Normal 2 20 2" xfId="6409"/>
    <cellStyle name="Normal 2 21" xfId="2520"/>
    <cellStyle name="Normal 2 21 2" xfId="6412"/>
    <cellStyle name="Normal 2 22" xfId="2523"/>
    <cellStyle name="Normal 2 22 2" xfId="6415"/>
    <cellStyle name="Normal 2 23" xfId="2526"/>
    <cellStyle name="Normal 2 23 2" xfId="6418"/>
    <cellStyle name="Normal 2 24" xfId="10147"/>
    <cellStyle name="Normal 2 25" xfId="10148"/>
    <cellStyle name="Normal 2 26" xfId="10149"/>
    <cellStyle name="Normal 2 27" xfId="10150"/>
    <cellStyle name="Normal 2 28" xfId="10151"/>
    <cellStyle name="Normal 2 29" xfId="10152"/>
    <cellStyle name="Normal 2 3" xfId="2566"/>
    <cellStyle name="Normal 2 3 10" xfId="1165"/>
    <cellStyle name="Normal 2 3 10 10" xfId="10153"/>
    <cellStyle name="Normal 2 3 10 11" xfId="10154"/>
    <cellStyle name="Normal 2 3 10 12" xfId="10155"/>
    <cellStyle name="Normal 2 3 10 13" xfId="10156"/>
    <cellStyle name="Normal 2 3 10 14" xfId="10157"/>
    <cellStyle name="Normal 2 3 10 15" xfId="10158"/>
    <cellStyle name="Normal 2 3 10 16" xfId="10159"/>
    <cellStyle name="Normal 2 3 10 17" xfId="10160"/>
    <cellStyle name="Normal 2 3 10 18" xfId="5086"/>
    <cellStyle name="Normal 2 3 10 2" xfId="2264"/>
    <cellStyle name="Normal 2 3 10 2 2" xfId="6163"/>
    <cellStyle name="Normal 2 3 10 3" xfId="2432"/>
    <cellStyle name="Normal 2 3 10 3 2" xfId="6326"/>
    <cellStyle name="Normal 2 3 10 4" xfId="2435"/>
    <cellStyle name="Normal 2 3 10 4 2" xfId="6329"/>
    <cellStyle name="Normal 2 3 10 5" xfId="2568"/>
    <cellStyle name="Normal 2 3 10 5 2" xfId="6462"/>
    <cellStyle name="Normal 2 3 10 6" xfId="2569"/>
    <cellStyle name="Normal 2 3 10 6 2" xfId="6463"/>
    <cellStyle name="Normal 2 3 10 7" xfId="2571"/>
    <cellStyle name="Normal 2 3 10 7 2" xfId="6464"/>
    <cellStyle name="Normal 2 3 10 8" xfId="2573"/>
    <cellStyle name="Normal 2 3 10 8 2" xfId="6466"/>
    <cellStyle name="Normal 2 3 10 9" xfId="10161"/>
    <cellStyle name="Normal 2 3 11" xfId="1169"/>
    <cellStyle name="Normal 2 3 11 10" xfId="10162"/>
    <cellStyle name="Normal 2 3 11 11" xfId="10163"/>
    <cellStyle name="Normal 2 3 11 12" xfId="10164"/>
    <cellStyle name="Normal 2 3 11 13" xfId="10165"/>
    <cellStyle name="Normal 2 3 11 14" xfId="10166"/>
    <cellStyle name="Normal 2 3 11 15" xfId="10167"/>
    <cellStyle name="Normal 2 3 11 16" xfId="10168"/>
    <cellStyle name="Normal 2 3 11 17" xfId="10169"/>
    <cellStyle name="Normal 2 3 11 18" xfId="5090"/>
    <cellStyle name="Normal 2 3 11 2" xfId="2271"/>
    <cellStyle name="Normal 2 3 11 2 2" xfId="6170"/>
    <cellStyle name="Normal 2 3 11 3" xfId="2574"/>
    <cellStyle name="Normal 2 3 11 3 2" xfId="6468"/>
    <cellStyle name="Normal 2 3 11 4" xfId="2575"/>
    <cellStyle name="Normal 2 3 11 4 2" xfId="6469"/>
    <cellStyle name="Normal 2 3 11 5" xfId="2576"/>
    <cellStyle name="Normal 2 3 11 5 2" xfId="6470"/>
    <cellStyle name="Normal 2 3 11 6" xfId="2577"/>
    <cellStyle name="Normal 2 3 11 6 2" xfId="6471"/>
    <cellStyle name="Normal 2 3 11 7" xfId="2580"/>
    <cellStyle name="Normal 2 3 11 7 2" xfId="6472"/>
    <cellStyle name="Normal 2 3 11 8" xfId="2582"/>
    <cellStyle name="Normal 2 3 11 8 2" xfId="6474"/>
    <cellStyle name="Normal 2 3 11 9" xfId="10170"/>
    <cellStyle name="Normal 2 3 12" xfId="2583"/>
    <cellStyle name="Normal 2 3 12 2" xfId="6476"/>
    <cellStyle name="Normal 2 3 13" xfId="2584"/>
    <cellStyle name="Normal 2 3 13 2" xfId="6477"/>
    <cellStyle name="Normal 2 3 14" xfId="2585"/>
    <cellStyle name="Normal 2 3 14 2" xfId="6478"/>
    <cellStyle name="Normal 2 3 15" xfId="2586"/>
    <cellStyle name="Normal 2 3 15 2" xfId="6479"/>
    <cellStyle name="Normal 2 3 16" xfId="2587"/>
    <cellStyle name="Normal 2 3 16 2" xfId="6480"/>
    <cellStyle name="Normal 2 3 17" xfId="2589"/>
    <cellStyle name="Normal 2 3 17 2" xfId="6482"/>
    <cellStyle name="Normal 2 3 18" xfId="514"/>
    <cellStyle name="Normal 2 3 18 2" xfId="4448"/>
    <cellStyle name="Normal 2 3 19" xfId="10171"/>
    <cellStyle name="Normal 2 3 2" xfId="2591"/>
    <cellStyle name="Normal 2 3 2 2" xfId="10172"/>
    <cellStyle name="Normal 2 3 2 3" xfId="10173"/>
    <cellStyle name="Normal 2 3 2 4" xfId="6483"/>
    <cellStyle name="Normal 2 3 2_2015-16 MASTER CC ROAD &amp; DRAIN" xfId="10174"/>
    <cellStyle name="Normal 2 3 20" xfId="10175"/>
    <cellStyle name="Normal 2 3 21" xfId="10176"/>
    <cellStyle name="Normal 2 3 22" xfId="10177"/>
    <cellStyle name="Normal 2 3 23" xfId="10178"/>
    <cellStyle name="Normal 2 3 24" xfId="10179"/>
    <cellStyle name="Normal 2 3 25" xfId="10180"/>
    <cellStyle name="Normal 2 3 26" xfId="10181"/>
    <cellStyle name="Normal 2 3 27" xfId="10182"/>
    <cellStyle name="Normal 2 3 28" xfId="6461"/>
    <cellStyle name="Normal 2 3 3" xfId="1037"/>
    <cellStyle name="Normal 2 3 3 10" xfId="10183"/>
    <cellStyle name="Normal 2 3 3 11" xfId="10184"/>
    <cellStyle name="Normal 2 3 3 12" xfId="10185"/>
    <cellStyle name="Normal 2 3 3 13" xfId="10186"/>
    <cellStyle name="Normal 2 3 3 14" xfId="10187"/>
    <cellStyle name="Normal 2 3 3 15" xfId="10188"/>
    <cellStyle name="Normal 2 3 3 16" xfId="10189"/>
    <cellStyle name="Normal 2 3 3 17" xfId="10190"/>
    <cellStyle name="Normal 2 3 3 18" xfId="4958"/>
    <cellStyle name="Normal 2 3 3 2" xfId="2095"/>
    <cellStyle name="Normal 2 3 3 2 2" xfId="5994"/>
    <cellStyle name="Normal 2 3 3 3" xfId="2098"/>
    <cellStyle name="Normal 2 3 3 3 2" xfId="5997"/>
    <cellStyle name="Normal 2 3 3 4" xfId="2103"/>
    <cellStyle name="Normal 2 3 3 4 2" xfId="6002"/>
    <cellStyle name="Normal 2 3 3 5" xfId="1607"/>
    <cellStyle name="Normal 2 3 3 5 2" xfId="5526"/>
    <cellStyle name="Normal 2 3 3 6" xfId="1614"/>
    <cellStyle name="Normal 2 3 3 6 2" xfId="5533"/>
    <cellStyle name="Normal 2 3 3 7" xfId="2108"/>
    <cellStyle name="Normal 2 3 3 7 2" xfId="6007"/>
    <cellStyle name="Normal 2 3 3 8" xfId="2514"/>
    <cellStyle name="Normal 2 3 3 8 2" xfId="6406"/>
    <cellStyle name="Normal 2 3 3 9" xfId="10191"/>
    <cellStyle name="Normal 2 3 4" xfId="1040"/>
    <cellStyle name="Normal 2 3 4 10" xfId="10192"/>
    <cellStyle name="Normal 2 3 4 11" xfId="10193"/>
    <cellStyle name="Normal 2 3 4 12" xfId="10194"/>
    <cellStyle name="Normal 2 3 4 13" xfId="10195"/>
    <cellStyle name="Normal 2 3 4 14" xfId="10196"/>
    <cellStyle name="Normal 2 3 4 15" xfId="10197"/>
    <cellStyle name="Normal 2 3 4 16" xfId="10198"/>
    <cellStyle name="Normal 2 3 4 17" xfId="10199"/>
    <cellStyle name="Normal 2 3 4 18" xfId="4961"/>
    <cellStyle name="Normal 2 3 4 2" xfId="2114"/>
    <cellStyle name="Normal 2 3 4 2 2" xfId="6014"/>
    <cellStyle name="Normal 2 3 4 3" xfId="2116"/>
    <cellStyle name="Normal 2 3 4 3 2" xfId="6016"/>
    <cellStyle name="Normal 2 3 4 4" xfId="2118"/>
    <cellStyle name="Normal 2 3 4 4 2" xfId="6018"/>
    <cellStyle name="Normal 2 3 4 5" xfId="1622"/>
    <cellStyle name="Normal 2 3 4 5 2" xfId="5537"/>
    <cellStyle name="Normal 2 3 4 6" xfId="1630"/>
    <cellStyle name="Normal 2 3 4 6 2" xfId="5543"/>
    <cellStyle name="Normal 2 3 4 7" xfId="2120"/>
    <cellStyle name="Normal 2 3 4 7 2" xfId="6020"/>
    <cellStyle name="Normal 2 3 4 8" xfId="2593"/>
    <cellStyle name="Normal 2 3 4 8 2" xfId="6485"/>
    <cellStyle name="Normal 2 3 4 9" xfId="10200"/>
    <cellStyle name="Normal 2 3 5" xfId="1045"/>
    <cellStyle name="Normal 2 3 5 10" xfId="10201"/>
    <cellStyle name="Normal 2 3 5 11" xfId="10202"/>
    <cellStyle name="Normal 2 3 5 12" xfId="10203"/>
    <cellStyle name="Normal 2 3 5 13" xfId="10204"/>
    <cellStyle name="Normal 2 3 5 14" xfId="10205"/>
    <cellStyle name="Normal 2 3 5 15" xfId="10206"/>
    <cellStyle name="Normal 2 3 5 16" xfId="10207"/>
    <cellStyle name="Normal 2 3 5 17" xfId="10208"/>
    <cellStyle name="Normal 2 3 5 18" xfId="4966"/>
    <cellStyle name="Normal 2 3 5 2" xfId="2530"/>
    <cellStyle name="Normal 2 3 5 2 2" xfId="6423"/>
    <cellStyle name="Normal 2 3 5 3" xfId="2567"/>
    <cellStyle name="Normal 2 3 5 3 2" xfId="6460"/>
    <cellStyle name="Normal 2 3 5 4" xfId="2594"/>
    <cellStyle name="Normal 2 3 5 4 2" xfId="6488"/>
    <cellStyle name="Normal 2 3 5 5" xfId="2596"/>
    <cellStyle name="Normal 2 3 5 5 2" xfId="6490"/>
    <cellStyle name="Normal 2 3 5 6" xfId="2598"/>
    <cellStyle name="Normal 2 3 5 6 2" xfId="6492"/>
    <cellStyle name="Normal 2 3 5 7" xfId="2600"/>
    <cellStyle name="Normal 2 3 5 7 2" xfId="6494"/>
    <cellStyle name="Normal 2 3 5 8" xfId="2603"/>
    <cellStyle name="Normal 2 3 5 8 2" xfId="6496"/>
    <cellStyle name="Normal 2 3 5 9" xfId="10209"/>
    <cellStyle name="Normal 2 3 6" xfId="1049"/>
    <cellStyle name="Normal 2 3 6 10" xfId="10210"/>
    <cellStyle name="Normal 2 3 6 11" xfId="10211"/>
    <cellStyle name="Normal 2 3 6 12" xfId="10212"/>
    <cellStyle name="Normal 2 3 6 13" xfId="10213"/>
    <cellStyle name="Normal 2 3 6 14" xfId="10214"/>
    <cellStyle name="Normal 2 3 6 15" xfId="10215"/>
    <cellStyle name="Normal 2 3 6 16" xfId="10216"/>
    <cellStyle name="Normal 2 3 6 17" xfId="10217"/>
    <cellStyle name="Normal 2 3 6 18" xfId="4970"/>
    <cellStyle name="Normal 2 3 6 2" xfId="2605"/>
    <cellStyle name="Normal 2 3 6 2 2" xfId="6499"/>
    <cellStyle name="Normal 2 3 6 3" xfId="2608"/>
    <cellStyle name="Normal 2 3 6 3 2" xfId="6500"/>
    <cellStyle name="Normal 2 3 6 4" xfId="382"/>
    <cellStyle name="Normal 2 3 6 4 2" xfId="4323"/>
    <cellStyle name="Normal 2 3 6 5" xfId="2610"/>
    <cellStyle name="Normal 2 3 6 5 2" xfId="6502"/>
    <cellStyle name="Normal 2 3 6 6" xfId="2612"/>
    <cellStyle name="Normal 2 3 6 6 2" xfId="6504"/>
    <cellStyle name="Normal 2 3 6 7" xfId="2614"/>
    <cellStyle name="Normal 2 3 6 7 2" xfId="6506"/>
    <cellStyle name="Normal 2 3 6 8" xfId="2617"/>
    <cellStyle name="Normal 2 3 6 8 2" xfId="6508"/>
    <cellStyle name="Normal 2 3 6 9" xfId="10218"/>
    <cellStyle name="Normal 2 3 7" xfId="1054"/>
    <cellStyle name="Normal 2 3 7 10" xfId="10219"/>
    <cellStyle name="Normal 2 3 7 11" xfId="10220"/>
    <cellStyle name="Normal 2 3 7 12" xfId="10221"/>
    <cellStyle name="Normal 2 3 7 13" xfId="10222"/>
    <cellStyle name="Normal 2 3 7 14" xfId="10223"/>
    <cellStyle name="Normal 2 3 7 15" xfId="10224"/>
    <cellStyle name="Normal 2 3 7 16" xfId="10225"/>
    <cellStyle name="Normal 2 3 7 17" xfId="10226"/>
    <cellStyle name="Normal 2 3 7 18" xfId="4975"/>
    <cellStyle name="Normal 2 3 7 2" xfId="2619"/>
    <cellStyle name="Normal 2 3 7 2 2" xfId="6511"/>
    <cellStyle name="Normal 2 3 7 3" xfId="2622"/>
    <cellStyle name="Normal 2 3 7 3 2" xfId="6513"/>
    <cellStyle name="Normal 2 3 7 4" xfId="2624"/>
    <cellStyle name="Normal 2 3 7 4 2" xfId="6516"/>
    <cellStyle name="Normal 2 3 7 5" xfId="2626"/>
    <cellStyle name="Normal 2 3 7 5 2" xfId="6518"/>
    <cellStyle name="Normal 2 3 7 6" xfId="2628"/>
    <cellStyle name="Normal 2 3 7 6 2" xfId="6520"/>
    <cellStyle name="Normal 2 3 7 7" xfId="2630"/>
    <cellStyle name="Normal 2 3 7 7 2" xfId="6522"/>
    <cellStyle name="Normal 2 3 7 8" xfId="2633"/>
    <cellStyle name="Normal 2 3 7 8 2" xfId="6524"/>
    <cellStyle name="Normal 2 3 7 9" xfId="10227"/>
    <cellStyle name="Normal 2 3 8" xfId="1058"/>
    <cellStyle name="Normal 2 3 8 10" xfId="10228"/>
    <cellStyle name="Normal 2 3 8 11" xfId="10229"/>
    <cellStyle name="Normal 2 3 8 12" xfId="10230"/>
    <cellStyle name="Normal 2 3 8 13" xfId="10231"/>
    <cellStyle name="Normal 2 3 8 14" xfId="10232"/>
    <cellStyle name="Normal 2 3 8 15" xfId="10233"/>
    <cellStyle name="Normal 2 3 8 16" xfId="10234"/>
    <cellStyle name="Normal 2 3 8 17" xfId="10235"/>
    <cellStyle name="Normal 2 3 8 18" xfId="4979"/>
    <cellStyle name="Normal 2 3 8 2" xfId="2539"/>
    <cellStyle name="Normal 2 3 8 2 2" xfId="6431"/>
    <cellStyle name="Normal 2 3 8 3" xfId="2543"/>
    <cellStyle name="Normal 2 3 8 3 2" xfId="6435"/>
    <cellStyle name="Normal 2 3 8 4" xfId="47"/>
    <cellStyle name="Normal 2 3 8 4 2" xfId="4004"/>
    <cellStyle name="Normal 2 3 8 5" xfId="2547"/>
    <cellStyle name="Normal 2 3 8 5 2" xfId="6439"/>
    <cellStyle name="Normal 2 3 8 6" xfId="85"/>
    <cellStyle name="Normal 2 3 8 6 2" xfId="4043"/>
    <cellStyle name="Normal 2 3 8 7" xfId="767"/>
    <cellStyle name="Normal 2 3 8 7 2" xfId="4692"/>
    <cellStyle name="Normal 2 3 8 8" xfId="2635"/>
    <cellStyle name="Normal 2 3 8 8 2" xfId="6527"/>
    <cellStyle name="Normal 2 3 8 9" xfId="10236"/>
    <cellStyle name="Normal 2 3 9" xfId="775"/>
    <cellStyle name="Normal 2 3 9 10" xfId="10237"/>
    <cellStyle name="Normal 2 3 9 11" xfId="10238"/>
    <cellStyle name="Normal 2 3 9 12" xfId="10239"/>
    <cellStyle name="Normal 2 3 9 13" xfId="10240"/>
    <cellStyle name="Normal 2 3 9 14" xfId="10241"/>
    <cellStyle name="Normal 2 3 9 15" xfId="10242"/>
    <cellStyle name="Normal 2 3 9 16" xfId="10243"/>
    <cellStyle name="Normal 2 3 9 17" xfId="10244"/>
    <cellStyle name="Normal 2 3 9 18" xfId="4697"/>
    <cellStyle name="Normal 2 3 9 2" xfId="761"/>
    <cellStyle name="Normal 2 3 9 2 2" xfId="4685"/>
    <cellStyle name="Normal 2 3 9 3" xfId="1558"/>
    <cellStyle name="Normal 2 3 9 3 2" xfId="5476"/>
    <cellStyle name="Normal 2 3 9 4" xfId="1561"/>
    <cellStyle name="Normal 2 3 9 4 2" xfId="5479"/>
    <cellStyle name="Normal 2 3 9 5" xfId="1563"/>
    <cellStyle name="Normal 2 3 9 5 2" xfId="5481"/>
    <cellStyle name="Normal 2 3 9 6" xfId="1566"/>
    <cellStyle name="Normal 2 3 9 6 2" xfId="5484"/>
    <cellStyle name="Normal 2 3 9 7" xfId="1634"/>
    <cellStyle name="Normal 2 3 9 7 2" xfId="5549"/>
    <cellStyle name="Normal 2 3 9 8" xfId="2636"/>
    <cellStyle name="Normal 2 3 9 8 2" xfId="6529"/>
    <cellStyle name="Normal 2 3 9 9" xfId="10245"/>
    <cellStyle name="Normal 2 3_2015-16 MASTER CC ROAD &amp; DRAIN" xfId="10246"/>
    <cellStyle name="Normal 2 30" xfId="10247"/>
    <cellStyle name="Normal 2 31" xfId="10248"/>
    <cellStyle name="Normal 2 32" xfId="10249"/>
    <cellStyle name="Normal 2 33" xfId="4965"/>
    <cellStyle name="Normal 2 4" xfId="2595"/>
    <cellStyle name="Normal 2 4 10" xfId="2637"/>
    <cellStyle name="Normal 2 4 10 2" xfId="7823"/>
    <cellStyle name="Normal 2 4 11" xfId="10250"/>
    <cellStyle name="Normal 2 4 12" xfId="10251"/>
    <cellStyle name="Normal 2 4 13" xfId="10252"/>
    <cellStyle name="Normal 2 4 14" xfId="10253"/>
    <cellStyle name="Normal 2 4 15" xfId="10254"/>
    <cellStyle name="Normal 2 4 16" xfId="10255"/>
    <cellStyle name="Normal 2 4 17" xfId="10256"/>
    <cellStyle name="Normal 2 4 18" xfId="6487"/>
    <cellStyle name="Normal 2 4 2" xfId="2639"/>
    <cellStyle name="Normal 2 4 2 2" xfId="2640"/>
    <cellStyle name="Normal 2 4 2 2 2" xfId="6532"/>
    <cellStyle name="Normal 2 4 2 3" xfId="6530"/>
    <cellStyle name="Normal 2 4 3" xfId="1061"/>
    <cellStyle name="Normal 2 4 3 2" xfId="10257"/>
    <cellStyle name="Normal 2 4 3 3" xfId="4982"/>
    <cellStyle name="Normal 2 4 4" xfId="10"/>
    <cellStyle name="Normal 2 4 4 2" xfId="3971"/>
    <cellStyle name="Normal 2 4 5" xfId="544"/>
    <cellStyle name="Normal 2 4 5 2" xfId="4474"/>
    <cellStyle name="Normal 2 4 6" xfId="551"/>
    <cellStyle name="Normal 2 4 6 2" xfId="10258"/>
    <cellStyle name="Normal 2 4 6 3" xfId="4480"/>
    <cellStyle name="Normal 2 4 7" xfId="1066"/>
    <cellStyle name="Normal 2 4 7 2" xfId="4987"/>
    <cellStyle name="Normal 2 4 8" xfId="1069"/>
    <cellStyle name="Normal 2 4 8 2" xfId="4990"/>
    <cellStyle name="Normal 2 4 9" xfId="10259"/>
    <cellStyle name="Normal 2 4_A163.00 Thimmajipet to Nertella pally 25.11.14" xfId="10260"/>
    <cellStyle name="Normal 2 5" xfId="2597"/>
    <cellStyle name="Normal 2 5 10" xfId="10261"/>
    <cellStyle name="Normal 2 5 11" xfId="10262"/>
    <cellStyle name="Normal 2 5 12" xfId="10263"/>
    <cellStyle name="Normal 2 5 13" xfId="10264"/>
    <cellStyle name="Normal 2 5 14" xfId="10265"/>
    <cellStyle name="Normal 2 5 15" xfId="10266"/>
    <cellStyle name="Normal 2 5 16" xfId="10267"/>
    <cellStyle name="Normal 2 5 17" xfId="10268"/>
    <cellStyle name="Normal 2 5 18" xfId="10269"/>
    <cellStyle name="Normal 2 5 19" xfId="6489"/>
    <cellStyle name="Normal 2 5 2" xfId="2135"/>
    <cellStyle name="Normal 2 5 2 10" xfId="10270"/>
    <cellStyle name="Normal 2 5 2 11" xfId="10271"/>
    <cellStyle name="Normal 2 5 2 12" xfId="10272"/>
    <cellStyle name="Normal 2 5 2 13" xfId="10273"/>
    <cellStyle name="Normal 2 5 2 14" xfId="10274"/>
    <cellStyle name="Normal 2 5 2 15" xfId="10275"/>
    <cellStyle name="Normal 2 5 2 16" xfId="10276"/>
    <cellStyle name="Normal 2 5 2 17" xfId="10277"/>
    <cellStyle name="Normal 2 5 2 18" xfId="6034"/>
    <cellStyle name="Normal 2 5 2 2" xfId="945"/>
    <cellStyle name="Normal 2 5 2 2 2" xfId="950"/>
    <cellStyle name="Normal 2 5 2 2 2 2" xfId="4868"/>
    <cellStyle name="Normal 2 5 2 2 3" xfId="4864"/>
    <cellStyle name="Normal 2 5 2 3" xfId="969"/>
    <cellStyle name="Normal 2 5 2 3 2" xfId="4889"/>
    <cellStyle name="Normal 2 5 2 4" xfId="300"/>
    <cellStyle name="Normal 2 5 2 4 2" xfId="4241"/>
    <cellStyle name="Normal 2 5 2 5" xfId="133"/>
    <cellStyle name="Normal 2 5 2 5 2" xfId="4081"/>
    <cellStyle name="Normal 2 5 2 6" xfId="984"/>
    <cellStyle name="Normal 2 5 2 6 2" xfId="4905"/>
    <cellStyle name="Normal 2 5 2 7" xfId="986"/>
    <cellStyle name="Normal 2 5 2 7 2" xfId="4907"/>
    <cellStyle name="Normal 2 5 2 8" xfId="991"/>
    <cellStyle name="Normal 2 5 2 8 2" xfId="4912"/>
    <cellStyle name="Normal 2 5 2 9" xfId="10278"/>
    <cellStyle name="Normal 2 5 3" xfId="1075"/>
    <cellStyle name="Normal 2 5 3 2" xfId="4998"/>
    <cellStyle name="Normal 2 5 4" xfId="1081"/>
    <cellStyle name="Normal 2 5 4 2" xfId="5004"/>
    <cellStyle name="Normal 2 5 5" xfId="1087"/>
    <cellStyle name="Normal 2 5 5 2" xfId="5009"/>
    <cellStyle name="Normal 2 5 6" xfId="1092"/>
    <cellStyle name="Normal 2 5 6 2" xfId="5014"/>
    <cellStyle name="Normal 2 5 7" xfId="1097"/>
    <cellStyle name="Normal 2 5 7 2" xfId="5019"/>
    <cellStyle name="Normal 2 5 8" xfId="1102"/>
    <cellStyle name="Normal 2 5 8 2" xfId="5024"/>
    <cellStyle name="Normal 2 5 9" xfId="645"/>
    <cellStyle name="Normal 2 5 9 2" xfId="4575"/>
    <cellStyle name="Normal 2 5_Achampally-Gattubuthkur-Ganga-CRR" xfId="2"/>
    <cellStyle name="Normal 2 6" xfId="2599"/>
    <cellStyle name="Normal 2 6 2" xfId="2642"/>
    <cellStyle name="Normal 2 6 2 2" xfId="6533"/>
    <cellStyle name="Normal 2 6 3" xfId="712"/>
    <cellStyle name="Normal 2 6 3 2" xfId="4637"/>
    <cellStyle name="Normal 2 6 4" xfId="6491"/>
    <cellStyle name="Normal 2 63" xfId="1627"/>
    <cellStyle name="Normal 2 63 2" xfId="5545"/>
    <cellStyle name="Normal 2 7" xfId="2601"/>
    <cellStyle name="Normal 2 7 2" xfId="6493"/>
    <cellStyle name="Normal 2 8" xfId="2604"/>
    <cellStyle name="Normal 2 8 2" xfId="6495"/>
    <cellStyle name="Normal 2 9" xfId="2644"/>
    <cellStyle name="Normal 2 9 2" xfId="6535"/>
    <cellStyle name="Normal 2_1 Bonguloor Modified model school type 1.200" xfId="10279"/>
    <cellStyle name="Normal 20" xfId="1234"/>
    <cellStyle name="Normal 20 10" xfId="10280"/>
    <cellStyle name="Normal 20 11" xfId="10281"/>
    <cellStyle name="Normal 20 12" xfId="10282"/>
    <cellStyle name="Normal 20 13" xfId="10283"/>
    <cellStyle name="Normal 20 14" xfId="10284"/>
    <cellStyle name="Normal 20 15" xfId="10285"/>
    <cellStyle name="Normal 20 16" xfId="10286"/>
    <cellStyle name="Normal 20 17" xfId="10287"/>
    <cellStyle name="Normal 20 18" xfId="10288"/>
    <cellStyle name="Normal 20 19" xfId="5154"/>
    <cellStyle name="Normal 20 2" xfId="2450"/>
    <cellStyle name="Normal 20 2 10" xfId="10289"/>
    <cellStyle name="Normal 20 2 11" xfId="10290"/>
    <cellStyle name="Normal 20 2 12" xfId="10291"/>
    <cellStyle name="Normal 20 2 13" xfId="6343"/>
    <cellStyle name="Normal 20 2 2" xfId="1505"/>
    <cellStyle name="Normal 20 2 2 10" xfId="10292"/>
    <cellStyle name="Normal 20 2 2 11" xfId="5423"/>
    <cellStyle name="Normal 20 2 2 2" xfId="10293"/>
    <cellStyle name="Normal 20 2 2 3" xfId="10294"/>
    <cellStyle name="Normal 20 2 2 4" xfId="10295"/>
    <cellStyle name="Normal 20 2 2 5" xfId="10296"/>
    <cellStyle name="Normal 20 2 2 6" xfId="10297"/>
    <cellStyle name="Normal 20 2 2 7" xfId="10298"/>
    <cellStyle name="Normal 20 2 2 8" xfId="10299"/>
    <cellStyle name="Normal 20 2 2 9" xfId="10300"/>
    <cellStyle name="Normal 20 2 3" xfId="1510"/>
    <cellStyle name="Normal 20 2 3 10" xfId="10301"/>
    <cellStyle name="Normal 20 2 3 11" xfId="5428"/>
    <cellStyle name="Normal 20 2 3 2" xfId="10302"/>
    <cellStyle name="Normal 20 2 3 3" xfId="10303"/>
    <cellStyle name="Normal 20 2 3 4" xfId="10304"/>
    <cellStyle name="Normal 20 2 3 5" xfId="10305"/>
    <cellStyle name="Normal 20 2 3 6" xfId="10306"/>
    <cellStyle name="Normal 20 2 3 7" xfId="10307"/>
    <cellStyle name="Normal 20 2 3 8" xfId="10308"/>
    <cellStyle name="Normal 20 2 3 9" xfId="10309"/>
    <cellStyle name="Normal 20 2 4" xfId="10310"/>
    <cellStyle name="Normal 20 2 5" xfId="10311"/>
    <cellStyle name="Normal 20 2 6" xfId="10312"/>
    <cellStyle name="Normal 20 2 7" xfId="10313"/>
    <cellStyle name="Normal 20 2 8" xfId="10314"/>
    <cellStyle name="Normal 20 2 9" xfId="10315"/>
    <cellStyle name="Normal 20 3" xfId="2453"/>
    <cellStyle name="Normal 20 3 10" xfId="10316"/>
    <cellStyle name="Normal 20 3 11" xfId="10317"/>
    <cellStyle name="Normal 20 3 12" xfId="10318"/>
    <cellStyle name="Normal 20 3 13" xfId="6346"/>
    <cellStyle name="Normal 20 3 2" xfId="1524"/>
    <cellStyle name="Normal 20 3 2 10" xfId="10319"/>
    <cellStyle name="Normal 20 3 2 11" xfId="5442"/>
    <cellStyle name="Normal 20 3 2 2" xfId="10320"/>
    <cellStyle name="Normal 20 3 2 3" xfId="10321"/>
    <cellStyle name="Normal 20 3 2 4" xfId="10322"/>
    <cellStyle name="Normal 20 3 2 5" xfId="10323"/>
    <cellStyle name="Normal 20 3 2 6" xfId="10324"/>
    <cellStyle name="Normal 20 3 2 7" xfId="10325"/>
    <cellStyle name="Normal 20 3 2 8" xfId="10326"/>
    <cellStyle name="Normal 20 3 2 9" xfId="10327"/>
    <cellStyle name="Normal 20 3 3" xfId="1527"/>
    <cellStyle name="Normal 20 3 3 10" xfId="10328"/>
    <cellStyle name="Normal 20 3 3 11" xfId="5445"/>
    <cellStyle name="Normal 20 3 3 2" xfId="10329"/>
    <cellStyle name="Normal 20 3 3 3" xfId="10330"/>
    <cellStyle name="Normal 20 3 3 4" xfId="10331"/>
    <cellStyle name="Normal 20 3 3 5" xfId="10332"/>
    <cellStyle name="Normal 20 3 3 6" xfId="10333"/>
    <cellStyle name="Normal 20 3 3 7" xfId="10334"/>
    <cellStyle name="Normal 20 3 3 8" xfId="10335"/>
    <cellStyle name="Normal 20 3 3 9" xfId="10336"/>
    <cellStyle name="Normal 20 3 4" xfId="10337"/>
    <cellStyle name="Normal 20 3 5" xfId="10338"/>
    <cellStyle name="Normal 20 3 6" xfId="10339"/>
    <cellStyle name="Normal 20 3 7" xfId="10340"/>
    <cellStyle name="Normal 20 3 8" xfId="10341"/>
    <cellStyle name="Normal 20 3 9" xfId="10342"/>
    <cellStyle name="Normal 20 4" xfId="2456"/>
    <cellStyle name="Normal 20 4 10" xfId="10343"/>
    <cellStyle name="Normal 20 4 11" xfId="10344"/>
    <cellStyle name="Normal 20 4 12" xfId="10345"/>
    <cellStyle name="Normal 20 4 13" xfId="6349"/>
    <cellStyle name="Normal 20 4 2" xfId="105"/>
    <cellStyle name="Normal 20 4 2 10" xfId="10346"/>
    <cellStyle name="Normal 20 4 2 11" xfId="4051"/>
    <cellStyle name="Normal 20 4 2 2" xfId="10347"/>
    <cellStyle name="Normal 20 4 2 3" xfId="10348"/>
    <cellStyle name="Normal 20 4 2 4" xfId="10349"/>
    <cellStyle name="Normal 20 4 2 5" xfId="10350"/>
    <cellStyle name="Normal 20 4 2 6" xfId="10351"/>
    <cellStyle name="Normal 20 4 2 7" xfId="10352"/>
    <cellStyle name="Normal 20 4 2 8" xfId="10353"/>
    <cellStyle name="Normal 20 4 2 9" xfId="10354"/>
    <cellStyle name="Normal 20 4 3" xfId="570"/>
    <cellStyle name="Normal 20 4 3 10" xfId="10355"/>
    <cellStyle name="Normal 20 4 3 11" xfId="4500"/>
    <cellStyle name="Normal 20 4 3 2" xfId="10356"/>
    <cellStyle name="Normal 20 4 3 3" xfId="10357"/>
    <cellStyle name="Normal 20 4 3 4" xfId="10358"/>
    <cellStyle name="Normal 20 4 3 5" xfId="10359"/>
    <cellStyle name="Normal 20 4 3 6" xfId="10360"/>
    <cellStyle name="Normal 20 4 3 7" xfId="10361"/>
    <cellStyle name="Normal 20 4 3 8" xfId="10362"/>
    <cellStyle name="Normal 20 4 3 9" xfId="10363"/>
    <cellStyle name="Normal 20 4 4" xfId="10364"/>
    <cellStyle name="Normal 20 4 5" xfId="10365"/>
    <cellStyle name="Normal 20 4 6" xfId="10366"/>
    <cellStyle name="Normal 20 4 7" xfId="10367"/>
    <cellStyle name="Normal 20 4 8" xfId="10368"/>
    <cellStyle name="Normal 20 4 9" xfId="10369"/>
    <cellStyle name="Normal 20 5" xfId="2459"/>
    <cellStyle name="Normal 20 5 10" xfId="10370"/>
    <cellStyle name="Normal 20 5 11" xfId="10371"/>
    <cellStyle name="Normal 20 5 12" xfId="10372"/>
    <cellStyle name="Normal 20 5 13" xfId="6352"/>
    <cellStyle name="Normal 20 5 2" xfId="1206"/>
    <cellStyle name="Normal 20 5 2 10" xfId="10373"/>
    <cellStyle name="Normal 20 5 2 11" xfId="5126"/>
    <cellStyle name="Normal 20 5 2 2" xfId="10374"/>
    <cellStyle name="Normal 20 5 2 3" xfId="10375"/>
    <cellStyle name="Normal 20 5 2 4" xfId="10376"/>
    <cellStyle name="Normal 20 5 2 5" xfId="10377"/>
    <cellStyle name="Normal 20 5 2 6" xfId="10378"/>
    <cellStyle name="Normal 20 5 2 7" xfId="10379"/>
    <cellStyle name="Normal 20 5 2 8" xfId="10380"/>
    <cellStyle name="Normal 20 5 2 9" xfId="10381"/>
    <cellStyle name="Normal 20 5 3" xfId="641"/>
    <cellStyle name="Normal 20 5 3 10" xfId="10382"/>
    <cellStyle name="Normal 20 5 3 11" xfId="4568"/>
    <cellStyle name="Normal 20 5 3 2" xfId="10383"/>
    <cellStyle name="Normal 20 5 3 3" xfId="10384"/>
    <cellStyle name="Normal 20 5 3 4" xfId="10385"/>
    <cellStyle name="Normal 20 5 3 5" xfId="10386"/>
    <cellStyle name="Normal 20 5 3 6" xfId="10387"/>
    <cellStyle name="Normal 20 5 3 7" xfId="10388"/>
    <cellStyle name="Normal 20 5 3 8" xfId="10389"/>
    <cellStyle name="Normal 20 5 3 9" xfId="10390"/>
    <cellStyle name="Normal 20 5 4" xfId="10391"/>
    <cellStyle name="Normal 20 5 5" xfId="10392"/>
    <cellStyle name="Normal 20 5 6" xfId="10393"/>
    <cellStyle name="Normal 20 5 7" xfId="10394"/>
    <cellStyle name="Normal 20 5 8" xfId="10395"/>
    <cellStyle name="Normal 20 5 9" xfId="10396"/>
    <cellStyle name="Normal 20 6" xfId="2474"/>
    <cellStyle name="Normal 20 6 10" xfId="10397"/>
    <cellStyle name="Normal 20 6 11" xfId="10398"/>
    <cellStyle name="Normal 20 6 12" xfId="10399"/>
    <cellStyle name="Normal 20 6 13" xfId="6367"/>
    <cellStyle name="Normal 20 6 2" xfId="210"/>
    <cellStyle name="Normal 20 6 2 10" xfId="10400"/>
    <cellStyle name="Normal 20 6 2 11" xfId="4136"/>
    <cellStyle name="Normal 20 6 2 2" xfId="10401"/>
    <cellStyle name="Normal 20 6 2 3" xfId="10402"/>
    <cellStyle name="Normal 20 6 2 4" xfId="10403"/>
    <cellStyle name="Normal 20 6 2 5" xfId="10404"/>
    <cellStyle name="Normal 20 6 2 6" xfId="10405"/>
    <cellStyle name="Normal 20 6 2 7" xfId="10406"/>
    <cellStyle name="Normal 20 6 2 8" xfId="10407"/>
    <cellStyle name="Normal 20 6 2 9" xfId="10408"/>
    <cellStyle name="Normal 20 6 3" xfId="218"/>
    <cellStyle name="Normal 20 6 3 10" xfId="10409"/>
    <cellStyle name="Normal 20 6 3 11" xfId="4145"/>
    <cellStyle name="Normal 20 6 3 2" xfId="10410"/>
    <cellStyle name="Normal 20 6 3 3" xfId="10411"/>
    <cellStyle name="Normal 20 6 3 4" xfId="10412"/>
    <cellStyle name="Normal 20 6 3 5" xfId="10413"/>
    <cellStyle name="Normal 20 6 3 6" xfId="10414"/>
    <cellStyle name="Normal 20 6 3 7" xfId="10415"/>
    <cellStyle name="Normal 20 6 3 8" xfId="10416"/>
    <cellStyle name="Normal 20 6 3 9" xfId="10417"/>
    <cellStyle name="Normal 20 6 4" xfId="10418"/>
    <cellStyle name="Normal 20 6 5" xfId="10419"/>
    <cellStyle name="Normal 20 6 6" xfId="10420"/>
    <cellStyle name="Normal 20 6 7" xfId="10421"/>
    <cellStyle name="Normal 20 6 8" xfId="10422"/>
    <cellStyle name="Normal 20 6 9" xfId="10423"/>
    <cellStyle name="Normal 20 7" xfId="2484"/>
    <cellStyle name="Normal 20 7 10" xfId="10424"/>
    <cellStyle name="Normal 20 7 11" xfId="10425"/>
    <cellStyle name="Normal 20 7 12" xfId="10426"/>
    <cellStyle name="Normal 20 7 13" xfId="6377"/>
    <cellStyle name="Normal 20 7 2" xfId="794"/>
    <cellStyle name="Normal 20 7 2 10" xfId="10427"/>
    <cellStyle name="Normal 20 7 2 11" xfId="4718"/>
    <cellStyle name="Normal 20 7 2 2" xfId="10428"/>
    <cellStyle name="Normal 20 7 2 3" xfId="10429"/>
    <cellStyle name="Normal 20 7 2 4" xfId="10430"/>
    <cellStyle name="Normal 20 7 2 5" xfId="10431"/>
    <cellStyle name="Normal 20 7 2 6" xfId="10432"/>
    <cellStyle name="Normal 20 7 2 7" xfId="10433"/>
    <cellStyle name="Normal 20 7 2 8" xfId="10434"/>
    <cellStyle name="Normal 20 7 2 9" xfId="10435"/>
    <cellStyle name="Normal 20 7 3" xfId="580"/>
    <cellStyle name="Normal 20 7 3 10" xfId="10436"/>
    <cellStyle name="Normal 20 7 3 11" xfId="4510"/>
    <cellStyle name="Normal 20 7 3 2" xfId="10437"/>
    <cellStyle name="Normal 20 7 3 3" xfId="10438"/>
    <cellStyle name="Normal 20 7 3 4" xfId="10439"/>
    <cellStyle name="Normal 20 7 3 5" xfId="10440"/>
    <cellStyle name="Normal 20 7 3 6" xfId="10441"/>
    <cellStyle name="Normal 20 7 3 7" xfId="10442"/>
    <cellStyle name="Normal 20 7 3 8" xfId="10443"/>
    <cellStyle name="Normal 20 7 3 9" xfId="10444"/>
    <cellStyle name="Normal 20 7 4" xfId="10445"/>
    <cellStyle name="Normal 20 7 5" xfId="10446"/>
    <cellStyle name="Normal 20 7 6" xfId="10447"/>
    <cellStyle name="Normal 20 7 7" xfId="10448"/>
    <cellStyle name="Normal 20 7 8" xfId="10449"/>
    <cellStyle name="Normal 20 7 9" xfId="10450"/>
    <cellStyle name="Normal 20 8" xfId="2494"/>
    <cellStyle name="Normal 20 8 10" xfId="10451"/>
    <cellStyle name="Normal 20 8 11" xfId="6387"/>
    <cellStyle name="Normal 20 8 2" xfId="10452"/>
    <cellStyle name="Normal 20 8 3" xfId="10453"/>
    <cellStyle name="Normal 20 8 4" xfId="10454"/>
    <cellStyle name="Normal 20 8 5" xfId="10455"/>
    <cellStyle name="Normal 20 8 6" xfId="10456"/>
    <cellStyle name="Normal 20 8 7" xfId="10457"/>
    <cellStyle name="Normal 20 8 8" xfId="10458"/>
    <cellStyle name="Normal 20 8 9" xfId="10459"/>
    <cellStyle name="Normal 20 9" xfId="2496"/>
    <cellStyle name="Normal 20 9 10" xfId="10460"/>
    <cellStyle name="Normal 20 9 11" xfId="6389"/>
    <cellStyle name="Normal 20 9 2" xfId="10461"/>
    <cellStyle name="Normal 20 9 3" xfId="10462"/>
    <cellStyle name="Normal 20 9 4" xfId="10463"/>
    <cellStyle name="Normal 20 9 5" xfId="10464"/>
    <cellStyle name="Normal 20 9 6" xfId="10465"/>
    <cellStyle name="Normal 20 9 7" xfId="10466"/>
    <cellStyle name="Normal 20 9 8" xfId="10467"/>
    <cellStyle name="Normal 20 9 9" xfId="10468"/>
    <cellStyle name="Normal 21" xfId="1239"/>
    <cellStyle name="Normal 21 2" xfId="10469"/>
    <cellStyle name="Normal 21 2 2" xfId="10470"/>
    <cellStyle name="Normal 21 3" xfId="10471"/>
    <cellStyle name="Normal 21 4" xfId="10472"/>
    <cellStyle name="Normal 21 5" xfId="2500"/>
    <cellStyle name="Normal 21 5 2" xfId="6393"/>
    <cellStyle name="Normal 21 6" xfId="5159"/>
    <cellStyle name="Normal 22" xfId="1244"/>
    <cellStyle name="Normal 22 10" xfId="10473"/>
    <cellStyle name="Normal 22 11" xfId="10474"/>
    <cellStyle name="Normal 22 12" xfId="10475"/>
    <cellStyle name="Normal 22 13" xfId="10476"/>
    <cellStyle name="Normal 22 14" xfId="10477"/>
    <cellStyle name="Normal 22 15" xfId="10478"/>
    <cellStyle name="Normal 22 16" xfId="10479"/>
    <cellStyle name="Normal 22 17" xfId="10480"/>
    <cellStyle name="Normal 22 18" xfId="5164"/>
    <cellStyle name="Normal 22 2" xfId="2478"/>
    <cellStyle name="Normal 22 2 10" xfId="10481"/>
    <cellStyle name="Normal 22 2 11" xfId="10482"/>
    <cellStyle name="Normal 22 2 12" xfId="10483"/>
    <cellStyle name="Normal 22 2 13" xfId="6371"/>
    <cellStyle name="Normal 22 2 2" xfId="617"/>
    <cellStyle name="Normal 22 2 2 10" xfId="10484"/>
    <cellStyle name="Normal 22 2 2 11" xfId="4550"/>
    <cellStyle name="Normal 22 2 2 2" xfId="10485"/>
    <cellStyle name="Normal 22 2 2 3" xfId="10486"/>
    <cellStyle name="Normal 22 2 2 4" xfId="10487"/>
    <cellStyle name="Normal 22 2 2 5" xfId="10488"/>
    <cellStyle name="Normal 22 2 2 6" xfId="10489"/>
    <cellStyle name="Normal 22 2 2 7" xfId="10490"/>
    <cellStyle name="Normal 22 2 2 8" xfId="10491"/>
    <cellStyle name="Normal 22 2 2 9" xfId="10492"/>
    <cellStyle name="Normal 22 2 3" xfId="919"/>
    <cellStyle name="Normal 22 2 3 10" xfId="10493"/>
    <cellStyle name="Normal 22 2 3 11" xfId="4839"/>
    <cellStyle name="Normal 22 2 3 2" xfId="10494"/>
    <cellStyle name="Normal 22 2 3 3" xfId="10495"/>
    <cellStyle name="Normal 22 2 3 4" xfId="10496"/>
    <cellStyle name="Normal 22 2 3 5" xfId="10497"/>
    <cellStyle name="Normal 22 2 3 6" xfId="10498"/>
    <cellStyle name="Normal 22 2 3 7" xfId="10499"/>
    <cellStyle name="Normal 22 2 3 8" xfId="10500"/>
    <cellStyle name="Normal 22 2 3 9" xfId="10501"/>
    <cellStyle name="Normal 22 2 4" xfId="10502"/>
    <cellStyle name="Normal 22 2 5" xfId="10503"/>
    <cellStyle name="Normal 22 2 6" xfId="10504"/>
    <cellStyle name="Normal 22 2 7" xfId="10505"/>
    <cellStyle name="Normal 22 2 8" xfId="10506"/>
    <cellStyle name="Normal 22 2 9" xfId="10507"/>
    <cellStyle name="Normal 22 3" xfId="1744"/>
    <cellStyle name="Normal 22 3 10" xfId="10508"/>
    <cellStyle name="Normal 22 3 11" xfId="10509"/>
    <cellStyle name="Normal 22 3 12" xfId="10510"/>
    <cellStyle name="Normal 22 3 13" xfId="5656"/>
    <cellStyle name="Normal 22 3 2" xfId="2645"/>
    <cellStyle name="Normal 22 3 2 10" xfId="10511"/>
    <cellStyle name="Normal 22 3 2 11" xfId="6537"/>
    <cellStyle name="Normal 22 3 2 2" xfId="10512"/>
    <cellStyle name="Normal 22 3 2 3" xfId="10513"/>
    <cellStyle name="Normal 22 3 2 4" xfId="10514"/>
    <cellStyle name="Normal 22 3 2 5" xfId="10515"/>
    <cellStyle name="Normal 22 3 2 6" xfId="10516"/>
    <cellStyle name="Normal 22 3 2 7" xfId="10517"/>
    <cellStyle name="Normal 22 3 2 8" xfId="10518"/>
    <cellStyle name="Normal 22 3 2 9" xfId="10519"/>
    <cellStyle name="Normal 22 3 3" xfId="2646"/>
    <cellStyle name="Normal 22 3 3 10" xfId="10520"/>
    <cellStyle name="Normal 22 3 3 11" xfId="6538"/>
    <cellStyle name="Normal 22 3 3 2" xfId="10521"/>
    <cellStyle name="Normal 22 3 3 3" xfId="10522"/>
    <cellStyle name="Normal 22 3 3 4" xfId="10523"/>
    <cellStyle name="Normal 22 3 3 5" xfId="10524"/>
    <cellStyle name="Normal 22 3 3 6" xfId="10525"/>
    <cellStyle name="Normal 22 3 3 7" xfId="10526"/>
    <cellStyle name="Normal 22 3 3 8" xfId="10527"/>
    <cellStyle name="Normal 22 3 3 9" xfId="10528"/>
    <cellStyle name="Normal 22 3 4" xfId="10529"/>
    <cellStyle name="Normal 22 3 5" xfId="10530"/>
    <cellStyle name="Normal 22 3 6" xfId="10531"/>
    <cellStyle name="Normal 22 3 7" xfId="10532"/>
    <cellStyle name="Normal 22 3 8" xfId="10533"/>
    <cellStyle name="Normal 22 3 9" xfId="10534"/>
    <cellStyle name="Normal 22 4" xfId="2481"/>
    <cellStyle name="Normal 22 4 10" xfId="10535"/>
    <cellStyle name="Normal 22 4 11" xfId="10536"/>
    <cellStyle name="Normal 22 4 12" xfId="10537"/>
    <cellStyle name="Normal 22 4 13" xfId="6374"/>
    <cellStyle name="Normal 22 4 2" xfId="1297"/>
    <cellStyle name="Normal 22 4 2 10" xfId="10538"/>
    <cellStyle name="Normal 22 4 2 11" xfId="5217"/>
    <cellStyle name="Normal 22 4 2 2" xfId="10539"/>
    <cellStyle name="Normal 22 4 2 3" xfId="10540"/>
    <cellStyle name="Normal 22 4 2 4" xfId="10541"/>
    <cellStyle name="Normal 22 4 2 5" xfId="10542"/>
    <cellStyle name="Normal 22 4 2 6" xfId="10543"/>
    <cellStyle name="Normal 22 4 2 7" xfId="10544"/>
    <cellStyle name="Normal 22 4 2 8" xfId="10545"/>
    <cellStyle name="Normal 22 4 2 9" xfId="10546"/>
    <cellStyle name="Normal 22 4 3" xfId="1299"/>
    <cellStyle name="Normal 22 4 3 10" xfId="10547"/>
    <cellStyle name="Normal 22 4 3 11" xfId="5219"/>
    <cellStyle name="Normal 22 4 3 2" xfId="10548"/>
    <cellStyle name="Normal 22 4 3 3" xfId="10549"/>
    <cellStyle name="Normal 22 4 3 4" xfId="10550"/>
    <cellStyle name="Normal 22 4 3 5" xfId="10551"/>
    <cellStyle name="Normal 22 4 3 6" xfId="10552"/>
    <cellStyle name="Normal 22 4 3 7" xfId="10553"/>
    <cellStyle name="Normal 22 4 3 8" xfId="10554"/>
    <cellStyle name="Normal 22 4 3 9" xfId="10555"/>
    <cellStyle name="Normal 22 4 4" xfId="10556"/>
    <cellStyle name="Normal 22 4 5" xfId="10557"/>
    <cellStyle name="Normal 22 4 6" xfId="10558"/>
    <cellStyle name="Normal 22 4 7" xfId="10559"/>
    <cellStyle name="Normal 22 4 8" xfId="10560"/>
    <cellStyle name="Normal 22 4 9" xfId="10561"/>
    <cellStyle name="Normal 22 5" xfId="2504"/>
    <cellStyle name="Normal 22 5 10" xfId="10562"/>
    <cellStyle name="Normal 22 5 11" xfId="10563"/>
    <cellStyle name="Normal 22 5 12" xfId="10564"/>
    <cellStyle name="Normal 22 5 13" xfId="6397"/>
    <cellStyle name="Normal 22 5 2" xfId="1317"/>
    <cellStyle name="Normal 22 5 2 10" xfId="10565"/>
    <cellStyle name="Normal 22 5 2 11" xfId="5237"/>
    <cellStyle name="Normal 22 5 2 2" xfId="10566"/>
    <cellStyle name="Normal 22 5 2 3" xfId="10567"/>
    <cellStyle name="Normal 22 5 2 4" xfId="10568"/>
    <cellStyle name="Normal 22 5 2 5" xfId="10569"/>
    <cellStyle name="Normal 22 5 2 6" xfId="10570"/>
    <cellStyle name="Normal 22 5 2 7" xfId="10571"/>
    <cellStyle name="Normal 22 5 2 8" xfId="10572"/>
    <cellStyle name="Normal 22 5 2 9" xfId="10573"/>
    <cellStyle name="Normal 22 5 3" xfId="1320"/>
    <cellStyle name="Normal 22 5 3 10" xfId="10574"/>
    <cellStyle name="Normal 22 5 3 11" xfId="5240"/>
    <cellStyle name="Normal 22 5 3 2" xfId="10575"/>
    <cellStyle name="Normal 22 5 3 3" xfId="10576"/>
    <cellStyle name="Normal 22 5 3 4" xfId="10577"/>
    <cellStyle name="Normal 22 5 3 5" xfId="10578"/>
    <cellStyle name="Normal 22 5 3 6" xfId="10579"/>
    <cellStyle name="Normal 22 5 3 7" xfId="10580"/>
    <cellStyle name="Normal 22 5 3 8" xfId="10581"/>
    <cellStyle name="Normal 22 5 3 9" xfId="10582"/>
    <cellStyle name="Normal 22 5 4" xfId="10583"/>
    <cellStyle name="Normal 22 5 5" xfId="10584"/>
    <cellStyle name="Normal 22 5 6" xfId="10585"/>
    <cellStyle name="Normal 22 5 7" xfId="10586"/>
    <cellStyle name="Normal 22 5 8" xfId="10587"/>
    <cellStyle name="Normal 22 5 9" xfId="10588"/>
    <cellStyle name="Normal 22 6" xfId="111"/>
    <cellStyle name="Normal 22 6 10" xfId="10589"/>
    <cellStyle name="Normal 22 6 11" xfId="10590"/>
    <cellStyle name="Normal 22 6 12" xfId="10591"/>
    <cellStyle name="Normal 22 6 13" xfId="4054"/>
    <cellStyle name="Normal 22 6 2" xfId="232"/>
    <cellStyle name="Normal 22 6 2 10" xfId="10592"/>
    <cellStyle name="Normal 22 6 2 11" xfId="4180"/>
    <cellStyle name="Normal 22 6 2 2" xfId="10593"/>
    <cellStyle name="Normal 22 6 2 3" xfId="10594"/>
    <cellStyle name="Normal 22 6 2 4" xfId="10595"/>
    <cellStyle name="Normal 22 6 2 5" xfId="10596"/>
    <cellStyle name="Normal 22 6 2 6" xfId="10597"/>
    <cellStyle name="Normal 22 6 2 7" xfId="10598"/>
    <cellStyle name="Normal 22 6 2 8" xfId="10599"/>
    <cellStyle name="Normal 22 6 2 9" xfId="10600"/>
    <cellStyle name="Normal 22 6 3" xfId="235"/>
    <cellStyle name="Normal 22 6 3 10" xfId="10601"/>
    <cellStyle name="Normal 22 6 3 11" xfId="4188"/>
    <cellStyle name="Normal 22 6 3 2" xfId="10602"/>
    <cellStyle name="Normal 22 6 3 3" xfId="10603"/>
    <cellStyle name="Normal 22 6 3 4" xfId="10604"/>
    <cellStyle name="Normal 22 6 3 5" xfId="10605"/>
    <cellStyle name="Normal 22 6 3 6" xfId="10606"/>
    <cellStyle name="Normal 22 6 3 7" xfId="10607"/>
    <cellStyle name="Normal 22 6 3 8" xfId="10608"/>
    <cellStyle name="Normal 22 6 3 9" xfId="10609"/>
    <cellStyle name="Normal 22 6 4" xfId="10610"/>
    <cellStyle name="Normal 22 6 5" xfId="10611"/>
    <cellStyle name="Normal 22 6 6" xfId="10612"/>
    <cellStyle name="Normal 22 6 7" xfId="10613"/>
    <cellStyle name="Normal 22 6 8" xfId="10614"/>
    <cellStyle name="Normal 22 6 9" xfId="10615"/>
    <cellStyle name="Normal 22 7" xfId="171"/>
    <cellStyle name="Normal 22 7 10" xfId="10616"/>
    <cellStyle name="Normal 22 7 11" xfId="4100"/>
    <cellStyle name="Normal 22 7 2" xfId="10617"/>
    <cellStyle name="Normal 22 7 3" xfId="10618"/>
    <cellStyle name="Normal 22 7 4" xfId="10619"/>
    <cellStyle name="Normal 22 7 5" xfId="10620"/>
    <cellStyle name="Normal 22 7 6" xfId="10621"/>
    <cellStyle name="Normal 22 7 7" xfId="10622"/>
    <cellStyle name="Normal 22 7 8" xfId="10623"/>
    <cellStyle name="Normal 22 7 9" xfId="10624"/>
    <cellStyle name="Normal 22 8" xfId="188"/>
    <cellStyle name="Normal 22 8 10" xfId="10625"/>
    <cellStyle name="Normal 22 8 11" xfId="4115"/>
    <cellStyle name="Normal 22 8 2" xfId="10626"/>
    <cellStyle name="Normal 22 8 3" xfId="10627"/>
    <cellStyle name="Normal 22 8 4" xfId="10628"/>
    <cellStyle name="Normal 22 8 5" xfId="10629"/>
    <cellStyle name="Normal 22 8 6" xfId="10630"/>
    <cellStyle name="Normal 22 8 7" xfId="10631"/>
    <cellStyle name="Normal 22 8 8" xfId="10632"/>
    <cellStyle name="Normal 22 8 9" xfId="10633"/>
    <cellStyle name="Normal 22 9" xfId="196"/>
    <cellStyle name="Normal 22 9 2" xfId="250"/>
    <cellStyle name="Normal 22 9 2 2" xfId="4202"/>
    <cellStyle name="Normal 22 9 3" xfId="4122"/>
    <cellStyle name="Normal 23" xfId="909"/>
    <cellStyle name="Normal 23 10" xfId="10634"/>
    <cellStyle name="Normal 23 10 2" xfId="10635"/>
    <cellStyle name="Normal 23 11" xfId="10636"/>
    <cellStyle name="Normal 23 12" xfId="10637"/>
    <cellStyle name="Normal 23 13" xfId="10638"/>
    <cellStyle name="Normal 23 14" xfId="10639"/>
    <cellStyle name="Normal 23 15" xfId="10640"/>
    <cellStyle name="Normal 23 16" xfId="10641"/>
    <cellStyle name="Normal 23 17" xfId="10642"/>
    <cellStyle name="Normal 23 18" xfId="4825"/>
    <cellStyle name="Normal 23 2" xfId="2488"/>
    <cellStyle name="Normal 23 2 2" xfId="10643"/>
    <cellStyle name="Normal 23 2 3" xfId="6381"/>
    <cellStyle name="Normal 23 3" xfId="2491"/>
    <cellStyle name="Normal 23 3 2" xfId="10644"/>
    <cellStyle name="Normal 23 3 2 2" xfId="10645"/>
    <cellStyle name="Normal 23 3 2 2 2" xfId="10646"/>
    <cellStyle name="Normal 23 3 2 2 2 2" xfId="10647"/>
    <cellStyle name="Normal 23 3 2 2 3" xfId="10648"/>
    <cellStyle name="Normal 23 3 2 3" xfId="10649"/>
    <cellStyle name="Normal 23 3 2 3 2" xfId="10650"/>
    <cellStyle name="Normal 23 3 2 4" xfId="10651"/>
    <cellStyle name="Normal 23 3 2 4 2" xfId="10652"/>
    <cellStyle name="Normal 23 3 2 5" xfId="10653"/>
    <cellStyle name="Normal 23 3 3" xfId="10654"/>
    <cellStyle name="Normal 23 3 3 2" xfId="10655"/>
    <cellStyle name="Normal 23 3 3 2 2" xfId="10656"/>
    <cellStyle name="Normal 23 3 3 2 2 2" xfId="10657"/>
    <cellStyle name="Normal 23 3 3 2 3" xfId="10658"/>
    <cellStyle name="Normal 23 3 3 3" xfId="10659"/>
    <cellStyle name="Normal 23 3 3 3 2" xfId="10660"/>
    <cellStyle name="Normal 23 3 3 4" xfId="10661"/>
    <cellStyle name="Normal 23 3 3 4 2" xfId="10662"/>
    <cellStyle name="Normal 23 3 3 5" xfId="10663"/>
    <cellStyle name="Normal 23 3 4" xfId="10664"/>
    <cellStyle name="Normal 23 3 4 2" xfId="10665"/>
    <cellStyle name="Normal 23 3 4 2 2" xfId="10666"/>
    <cellStyle name="Normal 23 3 4 3" xfId="10667"/>
    <cellStyle name="Normal 23 3 5" xfId="10668"/>
    <cellStyle name="Normal 23 3 5 2" xfId="10669"/>
    <cellStyle name="Normal 23 3 6" xfId="10670"/>
    <cellStyle name="Normal 23 3 6 2" xfId="10671"/>
    <cellStyle name="Normal 23 3 7" xfId="10672"/>
    <cellStyle name="Normal 23 3 8" xfId="6384"/>
    <cellStyle name="Normal 23 4" xfId="327"/>
    <cellStyle name="Normal 23 4 2" xfId="10673"/>
    <cellStyle name="Normal 23 4 2 2" xfId="10674"/>
    <cellStyle name="Normal 23 4 2 2 2" xfId="10675"/>
    <cellStyle name="Normal 23 4 2 3" xfId="10676"/>
    <cellStyle name="Normal 23 4 3" xfId="10677"/>
    <cellStyle name="Normal 23 4 3 2" xfId="10678"/>
    <cellStyle name="Normal 23 4 4" xfId="10679"/>
    <cellStyle name="Normal 23 4 4 2" xfId="10680"/>
    <cellStyle name="Normal 23 4 5" xfId="10681"/>
    <cellStyle name="Normal 23 4 6" xfId="4273"/>
    <cellStyle name="Normal 23 5" xfId="332"/>
    <cellStyle name="Normal 23 5 2" xfId="10682"/>
    <cellStyle name="Normal 23 5 2 2" xfId="10683"/>
    <cellStyle name="Normal 23 5 2 2 2" xfId="10684"/>
    <cellStyle name="Normal 23 5 2 3" xfId="10685"/>
    <cellStyle name="Normal 23 5 3" xfId="10686"/>
    <cellStyle name="Normal 23 5 3 2" xfId="10687"/>
    <cellStyle name="Normal 23 5 4" xfId="10688"/>
    <cellStyle name="Normal 23 5 4 2" xfId="10689"/>
    <cellStyle name="Normal 23 5 5" xfId="10690"/>
    <cellStyle name="Normal 23 5 6" xfId="4277"/>
    <cellStyle name="Normal 23 6" xfId="2506"/>
    <cellStyle name="Normal 23 6 2" xfId="10691"/>
    <cellStyle name="Normal 23 6 2 2" xfId="10692"/>
    <cellStyle name="Normal 23 6 2 2 2" xfId="10693"/>
    <cellStyle name="Normal 23 6 2 3" xfId="10694"/>
    <cellStyle name="Normal 23 6 3" xfId="10695"/>
    <cellStyle name="Normal 23 6 3 2" xfId="10696"/>
    <cellStyle name="Normal 23 6 4" xfId="10697"/>
    <cellStyle name="Normal 23 6 4 2" xfId="10698"/>
    <cellStyle name="Normal 23 6 5" xfId="10699"/>
    <cellStyle name="Normal 23 6 6" xfId="6399"/>
    <cellStyle name="Normal 23 7" xfId="1899"/>
    <cellStyle name="Normal 23 7 2" xfId="10700"/>
    <cellStyle name="Normal 23 7 2 2" xfId="10701"/>
    <cellStyle name="Normal 23 7 2 2 2" xfId="10702"/>
    <cellStyle name="Normal 23 7 2 3" xfId="10703"/>
    <cellStyle name="Normal 23 7 3" xfId="10704"/>
    <cellStyle name="Normal 23 7 3 2" xfId="10705"/>
    <cellStyle name="Normal 23 7 4" xfId="10706"/>
    <cellStyle name="Normal 23 7 4 2" xfId="10707"/>
    <cellStyle name="Normal 23 7 5" xfId="10708"/>
    <cellStyle name="Normal 23 7 6" xfId="5807"/>
    <cellStyle name="Normal 23 8" xfId="2508"/>
    <cellStyle name="Normal 23 8 2" xfId="10709"/>
    <cellStyle name="Normal 23 8 2 2" xfId="10710"/>
    <cellStyle name="Normal 23 8 3" xfId="10711"/>
    <cellStyle name="Normal 23 8 4" xfId="6401"/>
    <cellStyle name="Normal 23 9" xfId="10712"/>
    <cellStyle name="Normal 23 9 2" xfId="10713"/>
    <cellStyle name="Normal 24" xfId="914"/>
    <cellStyle name="Normal 24 2" xfId="10714"/>
    <cellStyle name="Normal 24 2 2" xfId="10715"/>
    <cellStyle name="Normal 24 3" xfId="10716"/>
    <cellStyle name="Normal 24 4" xfId="4834"/>
    <cellStyle name="Normal 24 5" xfId="2511"/>
    <cellStyle name="Normal 24 5 2" xfId="6403"/>
    <cellStyle name="Normal 25" xfId="161"/>
    <cellStyle name="Normal 25 2" xfId="2320"/>
    <cellStyle name="Normal 25 2 2" xfId="6217"/>
    <cellStyle name="Normal 25 3" xfId="10717"/>
    <cellStyle name="Normal 25 3 2" xfId="10718"/>
    <cellStyle name="Normal 25 4" xfId="4173"/>
    <cellStyle name="Normal 25 5" xfId="2649"/>
    <cellStyle name="Normal 25 5 2" xfId="6539"/>
    <cellStyle name="Normal 26" xfId="622"/>
    <cellStyle name="Normal 26 2" xfId="10719"/>
    <cellStyle name="Normal 26 2 2" xfId="10720"/>
    <cellStyle name="Normal 26 3" xfId="10721"/>
    <cellStyle name="Normal 26 4" xfId="4547"/>
    <cellStyle name="Normal 26 5" xfId="2588"/>
    <cellStyle name="Normal 26 5 2" xfId="6481"/>
    <cellStyle name="Normal 27" xfId="2651"/>
    <cellStyle name="Normal 27 2" xfId="10722"/>
    <cellStyle name="Normal 27 3" xfId="10723"/>
    <cellStyle name="Normal 27 4" xfId="10724"/>
    <cellStyle name="Normal 27 5" xfId="2652"/>
    <cellStyle name="Normal 27 5 2" xfId="6544"/>
    <cellStyle name="Normal 27 6" xfId="6542"/>
    <cellStyle name="Normal 28" xfId="2654"/>
    <cellStyle name="Normal 28 10" xfId="10725"/>
    <cellStyle name="Normal 28 11" xfId="6545"/>
    <cellStyle name="Normal 28 2" xfId="2656"/>
    <cellStyle name="Normal 28 2 2" xfId="10726"/>
    <cellStyle name="Normal 28 2 2 2" xfId="10727"/>
    <cellStyle name="Normal 28 2 2 2 2" xfId="10728"/>
    <cellStyle name="Normal 28 2 2 2 2 2" xfId="10729"/>
    <cellStyle name="Normal 28 2 2 2 3" xfId="10730"/>
    <cellStyle name="Normal 28 2 2 3" xfId="10731"/>
    <cellStyle name="Normal 28 2 2 3 2" xfId="10732"/>
    <cellStyle name="Normal 28 2 2 4" xfId="10733"/>
    <cellStyle name="Normal 28 2 2 4 2" xfId="10734"/>
    <cellStyle name="Normal 28 2 2 5" xfId="10735"/>
    <cellStyle name="Normal 28 2 3" xfId="10736"/>
    <cellStyle name="Normal 28 2 3 2" xfId="10737"/>
    <cellStyle name="Normal 28 2 3 2 2" xfId="10738"/>
    <cellStyle name="Normal 28 2 3 2 2 2" xfId="10739"/>
    <cellStyle name="Normal 28 2 3 2 3" xfId="10740"/>
    <cellStyle name="Normal 28 2 3 3" xfId="10741"/>
    <cellStyle name="Normal 28 2 3 3 2" xfId="10742"/>
    <cellStyle name="Normal 28 2 3 4" xfId="10743"/>
    <cellStyle name="Normal 28 2 3 4 2" xfId="10744"/>
    <cellStyle name="Normal 28 2 3 5" xfId="10745"/>
    <cellStyle name="Normal 28 2 4" xfId="10746"/>
    <cellStyle name="Normal 28 2 4 2" xfId="10747"/>
    <cellStyle name="Normal 28 2 4 2 2" xfId="10748"/>
    <cellStyle name="Normal 28 2 4 3" xfId="10749"/>
    <cellStyle name="Normal 28 2 5" xfId="10750"/>
    <cellStyle name="Normal 28 2 5 2" xfId="10751"/>
    <cellStyle name="Normal 28 2 6" xfId="10752"/>
    <cellStyle name="Normal 28 2 6 2" xfId="10753"/>
    <cellStyle name="Normal 28 2 7" xfId="10754"/>
    <cellStyle name="Normal 28 2 8" xfId="6547"/>
    <cellStyle name="Normal 28 3" xfId="10755"/>
    <cellStyle name="Normal 28 3 2" xfId="10756"/>
    <cellStyle name="Normal 28 3 2 2" xfId="10757"/>
    <cellStyle name="Normal 28 3 2 2 2" xfId="10758"/>
    <cellStyle name="Normal 28 3 2 3" xfId="10759"/>
    <cellStyle name="Normal 28 3 3" xfId="10760"/>
    <cellStyle name="Normal 28 3 3 2" xfId="10761"/>
    <cellStyle name="Normal 28 3 4" xfId="10762"/>
    <cellStyle name="Normal 28 3 4 2" xfId="10763"/>
    <cellStyle name="Normal 28 3 5" xfId="10764"/>
    <cellStyle name="Normal 28 4" xfId="10765"/>
    <cellStyle name="Normal 28 4 2" xfId="10766"/>
    <cellStyle name="Normal 28 4 2 2" xfId="10767"/>
    <cellStyle name="Normal 28 4 2 2 2" xfId="10768"/>
    <cellStyle name="Normal 28 4 2 3" xfId="10769"/>
    <cellStyle name="Normal 28 4 3" xfId="10770"/>
    <cellStyle name="Normal 28 4 3 2" xfId="10771"/>
    <cellStyle name="Normal 28 4 4" xfId="10772"/>
    <cellStyle name="Normal 28 4 4 2" xfId="10773"/>
    <cellStyle name="Normal 28 4 5" xfId="10774"/>
    <cellStyle name="Normal 28 5" xfId="10775"/>
    <cellStyle name="Normal 28 5 2" xfId="10776"/>
    <cellStyle name="Normal 28 5 2 2" xfId="10777"/>
    <cellStyle name="Normal 28 5 2 2 2" xfId="10778"/>
    <cellStyle name="Normal 28 5 2 3" xfId="10779"/>
    <cellStyle name="Normal 28 5 3" xfId="10780"/>
    <cellStyle name="Normal 28 5 3 2" xfId="10781"/>
    <cellStyle name="Normal 28 5 4" xfId="10782"/>
    <cellStyle name="Normal 28 5 4 2" xfId="10783"/>
    <cellStyle name="Normal 28 5 5" xfId="10784"/>
    <cellStyle name="Normal 28 6" xfId="10785"/>
    <cellStyle name="Normal 28 6 2" xfId="10786"/>
    <cellStyle name="Normal 28 6 2 2" xfId="10787"/>
    <cellStyle name="Normal 28 6 2 2 2" xfId="10788"/>
    <cellStyle name="Normal 28 6 2 3" xfId="10789"/>
    <cellStyle name="Normal 28 6 3" xfId="10790"/>
    <cellStyle name="Normal 28 6 3 2" xfId="10791"/>
    <cellStyle name="Normal 28 6 4" xfId="10792"/>
    <cellStyle name="Normal 28 6 4 2" xfId="10793"/>
    <cellStyle name="Normal 28 6 5" xfId="10794"/>
    <cellStyle name="Normal 28 7" xfId="10795"/>
    <cellStyle name="Normal 28 7 2" xfId="10796"/>
    <cellStyle name="Normal 28 7 2 2" xfId="10797"/>
    <cellStyle name="Normal 28 7 3" xfId="10798"/>
    <cellStyle name="Normal 28 8" xfId="10799"/>
    <cellStyle name="Normal 28 8 2" xfId="10800"/>
    <cellStyle name="Normal 28 9" xfId="10801"/>
    <cellStyle name="Normal 28 9 2" xfId="10802"/>
    <cellStyle name="Normal 29" xfId="2658"/>
    <cellStyle name="Normal 29 10" xfId="10803"/>
    <cellStyle name="Normal 29 11" xfId="6549"/>
    <cellStyle name="Normal 29 2" xfId="2659"/>
    <cellStyle name="Normal 29 2 2" xfId="10804"/>
    <cellStyle name="Normal 29 2 2 2" xfId="10805"/>
    <cellStyle name="Normal 29 2 2 2 2" xfId="10806"/>
    <cellStyle name="Normal 29 2 2 2 2 2" xfId="10807"/>
    <cellStyle name="Normal 29 2 2 2 3" xfId="10808"/>
    <cellStyle name="Normal 29 2 2 3" xfId="10809"/>
    <cellStyle name="Normal 29 2 2 3 2" xfId="10810"/>
    <cellStyle name="Normal 29 2 2 4" xfId="10811"/>
    <cellStyle name="Normal 29 2 2 4 2" xfId="10812"/>
    <cellStyle name="Normal 29 2 2 5" xfId="10813"/>
    <cellStyle name="Normal 29 2 3" xfId="10814"/>
    <cellStyle name="Normal 29 2 3 2" xfId="10815"/>
    <cellStyle name="Normal 29 2 3 2 2" xfId="10816"/>
    <cellStyle name="Normal 29 2 3 2 2 2" xfId="10817"/>
    <cellStyle name="Normal 29 2 3 2 3" xfId="10818"/>
    <cellStyle name="Normal 29 2 3 3" xfId="10819"/>
    <cellStyle name="Normal 29 2 3 3 2" xfId="10820"/>
    <cellStyle name="Normal 29 2 3 4" xfId="10821"/>
    <cellStyle name="Normal 29 2 3 4 2" xfId="10822"/>
    <cellStyle name="Normal 29 2 3 5" xfId="10823"/>
    <cellStyle name="Normal 29 2 4" xfId="10824"/>
    <cellStyle name="Normal 29 2 4 2" xfId="10825"/>
    <cellStyle name="Normal 29 2 4 2 2" xfId="10826"/>
    <cellStyle name="Normal 29 2 4 3" xfId="10827"/>
    <cellStyle name="Normal 29 2 5" xfId="10828"/>
    <cellStyle name="Normal 29 2 5 2" xfId="10829"/>
    <cellStyle name="Normal 29 2 6" xfId="10830"/>
    <cellStyle name="Normal 29 2 6 2" xfId="10831"/>
    <cellStyle name="Normal 29 2 7" xfId="10832"/>
    <cellStyle name="Normal 29 2 8" xfId="6551"/>
    <cellStyle name="Normal 29 3" xfId="10833"/>
    <cellStyle name="Normal 29 3 2" xfId="10834"/>
    <cellStyle name="Normal 29 3 2 2" xfId="10835"/>
    <cellStyle name="Normal 29 3 2 2 2" xfId="10836"/>
    <cellStyle name="Normal 29 3 2 3" xfId="10837"/>
    <cellStyle name="Normal 29 3 3" xfId="10838"/>
    <cellStyle name="Normal 29 3 3 2" xfId="10839"/>
    <cellStyle name="Normal 29 3 4" xfId="10840"/>
    <cellStyle name="Normal 29 3 4 2" xfId="10841"/>
    <cellStyle name="Normal 29 3 5" xfId="10842"/>
    <cellStyle name="Normal 29 4" xfId="10843"/>
    <cellStyle name="Normal 29 4 2" xfId="10844"/>
    <cellStyle name="Normal 29 4 2 2" xfId="10845"/>
    <cellStyle name="Normal 29 4 2 2 2" xfId="10846"/>
    <cellStyle name="Normal 29 4 2 3" xfId="10847"/>
    <cellStyle name="Normal 29 4 3" xfId="10848"/>
    <cellStyle name="Normal 29 4 3 2" xfId="10849"/>
    <cellStyle name="Normal 29 4 4" xfId="10850"/>
    <cellStyle name="Normal 29 4 4 2" xfId="10851"/>
    <cellStyle name="Normal 29 4 5" xfId="10852"/>
    <cellStyle name="Normal 29 5" xfId="10853"/>
    <cellStyle name="Normal 29 5 2" xfId="10854"/>
    <cellStyle name="Normal 29 5 2 2" xfId="10855"/>
    <cellStyle name="Normal 29 5 2 2 2" xfId="10856"/>
    <cellStyle name="Normal 29 5 2 3" xfId="10857"/>
    <cellStyle name="Normal 29 5 3" xfId="10858"/>
    <cellStyle name="Normal 29 5 3 2" xfId="10859"/>
    <cellStyle name="Normal 29 5 4" xfId="10860"/>
    <cellStyle name="Normal 29 5 4 2" xfId="10861"/>
    <cellStyle name="Normal 29 5 5" xfId="10862"/>
    <cellStyle name="Normal 29 6" xfId="10863"/>
    <cellStyle name="Normal 29 6 2" xfId="10864"/>
    <cellStyle name="Normal 29 6 2 2" xfId="10865"/>
    <cellStyle name="Normal 29 6 2 2 2" xfId="10866"/>
    <cellStyle name="Normal 29 6 2 3" xfId="10867"/>
    <cellStyle name="Normal 29 6 3" xfId="10868"/>
    <cellStyle name="Normal 29 6 3 2" xfId="10869"/>
    <cellStyle name="Normal 29 6 4" xfId="10870"/>
    <cellStyle name="Normal 29 6 4 2" xfId="10871"/>
    <cellStyle name="Normal 29 6 5" xfId="10872"/>
    <cellStyle name="Normal 29 7" xfId="10873"/>
    <cellStyle name="Normal 29 7 2" xfId="10874"/>
    <cellStyle name="Normal 29 7 2 2" xfId="10875"/>
    <cellStyle name="Normal 29 7 3" xfId="10876"/>
    <cellStyle name="Normal 29 8" xfId="10877"/>
    <cellStyle name="Normal 29 8 2" xfId="10878"/>
    <cellStyle name="Normal 29 9" xfId="10879"/>
    <cellStyle name="Normal 29 9 2" xfId="10880"/>
    <cellStyle name="Normal 3" xfId="1050"/>
    <cellStyle name="Normal 3 10" xfId="2540"/>
    <cellStyle name="Normal 3 10 10" xfId="10881"/>
    <cellStyle name="Normal 3 10 11" xfId="10882"/>
    <cellStyle name="Normal 3 10 12" xfId="10883"/>
    <cellStyle name="Normal 3 10 13" xfId="10884"/>
    <cellStyle name="Normal 3 10 14" xfId="10885"/>
    <cellStyle name="Normal 3 10 15" xfId="10886"/>
    <cellStyle name="Normal 3 10 16" xfId="10887"/>
    <cellStyle name="Normal 3 10 17" xfId="10888"/>
    <cellStyle name="Normal 3 10 18" xfId="6434"/>
    <cellStyle name="Normal 3 10 2" xfId="2660"/>
    <cellStyle name="Normal 3 10 2 2" xfId="6552"/>
    <cellStyle name="Normal 3 10 3" xfId="1325"/>
    <cellStyle name="Normal 3 10 3 2" xfId="5247"/>
    <cellStyle name="Normal 3 10 4" xfId="1328"/>
    <cellStyle name="Normal 3 10 4 2" xfId="5250"/>
    <cellStyle name="Normal 3 10 5" xfId="1331"/>
    <cellStyle name="Normal 3 10 5 2" xfId="5254"/>
    <cellStyle name="Normal 3 10 6" xfId="1335"/>
    <cellStyle name="Normal 3 10 6 2" xfId="5258"/>
    <cellStyle name="Normal 3 10 7" xfId="1340"/>
    <cellStyle name="Normal 3 10 7 2" xfId="5261"/>
    <cellStyle name="Normal 3 10 8" xfId="229"/>
    <cellStyle name="Normal 3 10 8 2" xfId="4183"/>
    <cellStyle name="Normal 3 10 9" xfId="10889"/>
    <cellStyle name="Normal 3 11" xfId="44"/>
    <cellStyle name="Normal 3 11 10" xfId="10890"/>
    <cellStyle name="Normal 3 11 11" xfId="10891"/>
    <cellStyle name="Normal 3 11 12" xfId="10892"/>
    <cellStyle name="Normal 3 11 13" xfId="10893"/>
    <cellStyle name="Normal 3 11 14" xfId="10894"/>
    <cellStyle name="Normal 3 11 15" xfId="10895"/>
    <cellStyle name="Normal 3 11 16" xfId="10896"/>
    <cellStyle name="Normal 3 11 17" xfId="10897"/>
    <cellStyle name="Normal 3 11 18" xfId="4005"/>
    <cellStyle name="Normal 3 11 2" xfId="2661"/>
    <cellStyle name="Normal 3 11 2 2" xfId="6553"/>
    <cellStyle name="Normal 3 11 3" xfId="1346"/>
    <cellStyle name="Normal 3 11 3 2" xfId="5267"/>
    <cellStyle name="Normal 3 11 4" xfId="1349"/>
    <cellStyle name="Normal 3 11 4 2" xfId="5270"/>
    <cellStyle name="Normal 3 11 5" xfId="1352"/>
    <cellStyle name="Normal 3 11 5 2" xfId="5273"/>
    <cellStyle name="Normal 3 11 6" xfId="1357"/>
    <cellStyle name="Normal 3 11 6 2" xfId="5278"/>
    <cellStyle name="Normal 3 11 7" xfId="1362"/>
    <cellStyle name="Normal 3 11 7 2" xfId="5282"/>
    <cellStyle name="Normal 3 11 8" xfId="241"/>
    <cellStyle name="Normal 3 11 8 2" xfId="4193"/>
    <cellStyle name="Normal 3 11 9" xfId="10898"/>
    <cellStyle name="Normal 3 12" xfId="2544"/>
    <cellStyle name="Normal 3 12 10" xfId="10899"/>
    <cellStyle name="Normal 3 12 11" xfId="10900"/>
    <cellStyle name="Normal 3 12 12" xfId="10901"/>
    <cellStyle name="Normal 3 12 13" xfId="10902"/>
    <cellStyle name="Normal 3 12 14" xfId="10903"/>
    <cellStyle name="Normal 3 12 15" xfId="10904"/>
    <cellStyle name="Normal 3 12 16" xfId="10905"/>
    <cellStyle name="Normal 3 12 17" xfId="10906"/>
    <cellStyle name="Normal 3 12 18" xfId="6438"/>
    <cellStyle name="Normal 3 12 2" xfId="2663"/>
    <cellStyle name="Normal 3 12 2 2" xfId="6554"/>
    <cellStyle name="Normal 3 12 3" xfId="1368"/>
    <cellStyle name="Normal 3 12 3 2" xfId="5289"/>
    <cellStyle name="Normal 3 12 4" xfId="1372"/>
    <cellStyle name="Normal 3 12 4 2" xfId="5293"/>
    <cellStyle name="Normal 3 12 5" xfId="530"/>
    <cellStyle name="Normal 3 12 5 2" xfId="4463"/>
    <cellStyle name="Normal 3 12 6" xfId="71"/>
    <cellStyle name="Normal 3 12 6 2" xfId="4027"/>
    <cellStyle name="Normal 3 12 7" xfId="48"/>
    <cellStyle name="Normal 3 12 7 2" xfId="4001"/>
    <cellStyle name="Normal 3 12 8" xfId="77"/>
    <cellStyle name="Normal 3 12 8 2" xfId="4035"/>
    <cellStyle name="Normal 3 12 9" xfId="10907"/>
    <cellStyle name="Normal 3 13" xfId="10908"/>
    <cellStyle name="Normal 3 14" xfId="10909"/>
    <cellStyle name="Normal 3 15" xfId="4971"/>
    <cellStyle name="Normal 3 17" xfId="2664"/>
    <cellStyle name="Normal 3 17 2" xfId="6556"/>
    <cellStyle name="Normal 3 2" xfId="2606"/>
    <cellStyle name="Normal 3 2 10" xfId="2240"/>
    <cellStyle name="Normal 3 2 10 10" xfId="10910"/>
    <cellStyle name="Normal 3 2 10 11" xfId="10911"/>
    <cellStyle name="Normal 3 2 10 12" xfId="10912"/>
    <cellStyle name="Normal 3 2 10 13" xfId="10913"/>
    <cellStyle name="Normal 3 2 10 14" xfId="10914"/>
    <cellStyle name="Normal 3 2 10 15" xfId="10915"/>
    <cellStyle name="Normal 3 2 10 16" xfId="10916"/>
    <cellStyle name="Normal 3 2 10 17" xfId="10917"/>
    <cellStyle name="Normal 3 2 10 18" xfId="6138"/>
    <cellStyle name="Normal 3 2 10 2" xfId="2363"/>
    <cellStyle name="Normal 3 2 10 2 2" xfId="6257"/>
    <cellStyle name="Normal 3 2 10 3" xfId="2329"/>
    <cellStyle name="Normal 3 2 10 3 2" xfId="6225"/>
    <cellStyle name="Normal 3 2 10 4" xfId="2342"/>
    <cellStyle name="Normal 3 2 10 4 2" xfId="6238"/>
    <cellStyle name="Normal 3 2 10 5" xfId="2345"/>
    <cellStyle name="Normal 3 2 10 5 2" xfId="6241"/>
    <cellStyle name="Normal 3 2 10 6" xfId="2347"/>
    <cellStyle name="Normal 3 2 10 6 2" xfId="6244"/>
    <cellStyle name="Normal 3 2 10 7" xfId="2350"/>
    <cellStyle name="Normal 3 2 10 7 2" xfId="6246"/>
    <cellStyle name="Normal 3 2 10 8" xfId="2352"/>
    <cellStyle name="Normal 3 2 10 8 2" xfId="6248"/>
    <cellStyle name="Normal 3 2 10 9" xfId="10918"/>
    <cellStyle name="Normal 3 2 11" xfId="833"/>
    <cellStyle name="Normal 3 2 11 2" xfId="4757"/>
    <cellStyle name="Normal 3 2 12" xfId="2666"/>
    <cellStyle name="Normal 3 2 12 2" xfId="6557"/>
    <cellStyle name="Normal 3 2 13" xfId="2668"/>
    <cellStyle name="Normal 3 2 13 2" xfId="6559"/>
    <cellStyle name="Normal 3 2 14" xfId="2670"/>
    <cellStyle name="Normal 3 2 14 2" xfId="6561"/>
    <cellStyle name="Normal 3 2 15" xfId="2023"/>
    <cellStyle name="Normal 3 2 15 2" xfId="5925"/>
    <cellStyle name="Normal 3 2 16" xfId="2025"/>
    <cellStyle name="Normal 3 2 16 2" xfId="5928"/>
    <cellStyle name="Normal 3 2 17" xfId="2028"/>
    <cellStyle name="Normal 3 2 17 2" xfId="5933"/>
    <cellStyle name="Normal 3 2 18" xfId="10919"/>
    <cellStyle name="Normal 3 2 19" xfId="10920"/>
    <cellStyle name="Normal 3 2 2" xfId="2671"/>
    <cellStyle name="Normal 3 2 2 10" xfId="10921"/>
    <cellStyle name="Normal 3 2 2 11" xfId="10922"/>
    <cellStyle name="Normal 3 2 2 12" xfId="10923"/>
    <cellStyle name="Normal 3 2 2 13" xfId="10924"/>
    <cellStyle name="Normal 3 2 2 14" xfId="10925"/>
    <cellStyle name="Normal 3 2 2 15" xfId="10926"/>
    <cellStyle name="Normal 3 2 2 16" xfId="10927"/>
    <cellStyle name="Normal 3 2 2 17" xfId="10928"/>
    <cellStyle name="Normal 3 2 2 18" xfId="6563"/>
    <cellStyle name="Normal 3 2 2 2" xfId="2672"/>
    <cellStyle name="Normal 3 2 2 2 2" xfId="10929"/>
    <cellStyle name="Normal 3 2 2 2 3" xfId="6564"/>
    <cellStyle name="Normal 3 2 2 3" xfId="82"/>
    <cellStyle name="Normal 3 2 2 3 2" xfId="4028"/>
    <cellStyle name="Normal 3 2 2 4" xfId="2673"/>
    <cellStyle name="Normal 3 2 2 4 2" xfId="6565"/>
    <cellStyle name="Normal 3 2 2 5" xfId="2674"/>
    <cellStyle name="Normal 3 2 2 5 2" xfId="6566"/>
    <cellStyle name="Normal 3 2 2 6" xfId="2675"/>
    <cellStyle name="Normal 3 2 2 6 2" xfId="6567"/>
    <cellStyle name="Normal 3 2 2 7" xfId="2676"/>
    <cellStyle name="Normal 3 2 2 7 2" xfId="6568"/>
    <cellStyle name="Normal 3 2 2 8" xfId="2677"/>
    <cellStyle name="Normal 3 2 2 8 2" xfId="6569"/>
    <cellStyle name="Normal 3 2 2 9" xfId="10930"/>
    <cellStyle name="Normal 3 2 20" xfId="10931"/>
    <cellStyle name="Normal 3 2 21" xfId="10932"/>
    <cellStyle name="Normal 3 2 22" xfId="10933"/>
    <cellStyle name="Normal 3 2 23" xfId="10934"/>
    <cellStyle name="Normal 3 2 24" xfId="10935"/>
    <cellStyle name="Normal 3 2 25" xfId="10936"/>
    <cellStyle name="Normal 3 2 26" xfId="10937"/>
    <cellStyle name="Normal 3 2 27" xfId="6498"/>
    <cellStyle name="Normal 3 2 3" xfId="1186"/>
    <cellStyle name="Normal 3 2 3 10" xfId="10938"/>
    <cellStyle name="Normal 3 2 3 11" xfId="10939"/>
    <cellStyle name="Normal 3 2 3 12" xfId="10940"/>
    <cellStyle name="Normal 3 2 3 13" xfId="10941"/>
    <cellStyle name="Normal 3 2 3 14" xfId="10942"/>
    <cellStyle name="Normal 3 2 3 15" xfId="10943"/>
    <cellStyle name="Normal 3 2 3 16" xfId="10944"/>
    <cellStyle name="Normal 3 2 3 17" xfId="10945"/>
    <cellStyle name="Normal 3 2 3 18" xfId="5107"/>
    <cellStyle name="Normal 3 2 3 2" xfId="2679"/>
    <cellStyle name="Normal 3 2 3 2 2" xfId="6570"/>
    <cellStyle name="Normal 3 2 3 3" xfId="2681"/>
    <cellStyle name="Normal 3 2 3 3 2" xfId="6572"/>
    <cellStyle name="Normal 3 2 3 4" xfId="2683"/>
    <cellStyle name="Normal 3 2 3 4 2" xfId="6574"/>
    <cellStyle name="Normal 3 2 3 5" xfId="2685"/>
    <cellStyle name="Normal 3 2 3 5 2" xfId="6576"/>
    <cellStyle name="Normal 3 2 3 6" xfId="2687"/>
    <cellStyle name="Normal 3 2 3 6 2" xfId="6578"/>
    <cellStyle name="Normal 3 2 3 7" xfId="2689"/>
    <cellStyle name="Normal 3 2 3 7 2" xfId="6580"/>
    <cellStyle name="Normal 3 2 3 8" xfId="2691"/>
    <cellStyle name="Normal 3 2 3 8 2" xfId="6582"/>
    <cellStyle name="Normal 3 2 3 9" xfId="10946"/>
    <cellStyle name="Normal 3 2 4" xfId="391"/>
    <cellStyle name="Normal 3 2 4 10" xfId="10947"/>
    <cellStyle name="Normal 3 2 4 11" xfId="10948"/>
    <cellStyle name="Normal 3 2 4 12" xfId="10949"/>
    <cellStyle name="Normal 3 2 4 13" xfId="10950"/>
    <cellStyle name="Normal 3 2 4 14" xfId="10951"/>
    <cellStyle name="Normal 3 2 4 15" xfId="10952"/>
    <cellStyle name="Normal 3 2 4 16" xfId="10953"/>
    <cellStyle name="Normal 3 2 4 17" xfId="10954"/>
    <cellStyle name="Normal 3 2 4 18" xfId="4339"/>
    <cellStyle name="Normal 3 2 4 2" xfId="2692"/>
    <cellStyle name="Normal 3 2 4 2 2" xfId="6584"/>
    <cellStyle name="Normal 3 2 4 3" xfId="2693"/>
    <cellStyle name="Normal 3 2 4 3 2" xfId="6585"/>
    <cellStyle name="Normal 3 2 4 4" xfId="2694"/>
    <cellStyle name="Normal 3 2 4 4 2" xfId="6586"/>
    <cellStyle name="Normal 3 2 4 5" xfId="715"/>
    <cellStyle name="Normal 3 2 4 5 2" xfId="4643"/>
    <cellStyle name="Normal 3 2 4 6" xfId="718"/>
    <cellStyle name="Normal 3 2 4 6 2" xfId="4645"/>
    <cellStyle name="Normal 3 2 4 7" xfId="2696"/>
    <cellStyle name="Normal 3 2 4 7 2" xfId="6587"/>
    <cellStyle name="Normal 3 2 4 8" xfId="2698"/>
    <cellStyle name="Normal 3 2 4 8 2" xfId="6589"/>
    <cellStyle name="Normal 3 2 4 9" xfId="10955"/>
    <cellStyle name="Normal 3 2 5" xfId="402"/>
    <cellStyle name="Normal 3 2 5 10" xfId="10956"/>
    <cellStyle name="Normal 3 2 5 11" xfId="10957"/>
    <cellStyle name="Normal 3 2 5 12" xfId="10958"/>
    <cellStyle name="Normal 3 2 5 13" xfId="10959"/>
    <cellStyle name="Normal 3 2 5 14" xfId="10960"/>
    <cellStyle name="Normal 3 2 5 15" xfId="10961"/>
    <cellStyle name="Normal 3 2 5 16" xfId="10962"/>
    <cellStyle name="Normal 3 2 5 17" xfId="10963"/>
    <cellStyle name="Normal 3 2 5 18" xfId="4350"/>
    <cellStyle name="Normal 3 2 5 2" xfId="2700"/>
    <cellStyle name="Normal 3 2 5 2 2" xfId="6591"/>
    <cellStyle name="Normal 3 2 5 3" xfId="2701"/>
    <cellStyle name="Normal 3 2 5 3 2" xfId="6593"/>
    <cellStyle name="Normal 3 2 5 4" xfId="2702"/>
    <cellStyle name="Normal 3 2 5 4 2" xfId="6594"/>
    <cellStyle name="Normal 3 2 5 5" xfId="2703"/>
    <cellStyle name="Normal 3 2 5 5 2" xfId="6595"/>
    <cellStyle name="Normal 3 2 5 6" xfId="2704"/>
    <cellStyle name="Normal 3 2 5 6 2" xfId="6596"/>
    <cellStyle name="Normal 3 2 5 7" xfId="2705"/>
    <cellStyle name="Normal 3 2 5 7 2" xfId="6597"/>
    <cellStyle name="Normal 3 2 5 8" xfId="2706"/>
    <cellStyle name="Normal 3 2 5 8 2" xfId="6598"/>
    <cellStyle name="Normal 3 2 5 9" xfId="10964"/>
    <cellStyle name="Normal 3 2 6" xfId="1191"/>
    <cellStyle name="Normal 3 2 6 10" xfId="10965"/>
    <cellStyle name="Normal 3 2 6 11" xfId="10966"/>
    <cellStyle name="Normal 3 2 6 12" xfId="10967"/>
    <cellStyle name="Normal 3 2 6 13" xfId="10968"/>
    <cellStyle name="Normal 3 2 6 14" xfId="10969"/>
    <cellStyle name="Normal 3 2 6 15" xfId="10970"/>
    <cellStyle name="Normal 3 2 6 16" xfId="10971"/>
    <cellStyle name="Normal 3 2 6 17" xfId="10972"/>
    <cellStyle name="Normal 3 2 6 18" xfId="5112"/>
    <cellStyle name="Normal 3 2 6 2" xfId="2160"/>
    <cellStyle name="Normal 3 2 6 2 2" xfId="6060"/>
    <cellStyle name="Normal 3 2 6 3" xfId="2162"/>
    <cellStyle name="Normal 3 2 6 3 2" xfId="6063"/>
    <cellStyle name="Normal 3 2 6 4" xfId="2707"/>
    <cellStyle name="Normal 3 2 6 4 2" xfId="6599"/>
    <cellStyle name="Normal 3 2 6 5" xfId="2708"/>
    <cellStyle name="Normal 3 2 6 5 2" xfId="6600"/>
    <cellStyle name="Normal 3 2 6 6" xfId="2710"/>
    <cellStyle name="Normal 3 2 6 6 2" xfId="6601"/>
    <cellStyle name="Normal 3 2 6 7" xfId="2712"/>
    <cellStyle name="Normal 3 2 6 7 2" xfId="6603"/>
    <cellStyle name="Normal 3 2 6 8" xfId="2713"/>
    <cellStyle name="Normal 3 2 6 8 2" xfId="6605"/>
    <cellStyle name="Normal 3 2 6 9" xfId="10973"/>
    <cellStyle name="Normal 3 2 7" xfId="1195"/>
    <cellStyle name="Normal 3 2 7 10" xfId="10974"/>
    <cellStyle name="Normal 3 2 7 11" xfId="10975"/>
    <cellStyle name="Normal 3 2 7 12" xfId="10976"/>
    <cellStyle name="Normal 3 2 7 13" xfId="10977"/>
    <cellStyle name="Normal 3 2 7 14" xfId="10978"/>
    <cellStyle name="Normal 3 2 7 15" xfId="10979"/>
    <cellStyle name="Normal 3 2 7 16" xfId="10980"/>
    <cellStyle name="Normal 3 2 7 17" xfId="10981"/>
    <cellStyle name="Normal 3 2 7 18" xfId="5116"/>
    <cellStyle name="Normal 3 2 7 2" xfId="2715"/>
    <cellStyle name="Normal 3 2 7 2 2" xfId="6606"/>
    <cellStyle name="Normal 3 2 7 3" xfId="2716"/>
    <cellStyle name="Normal 3 2 7 3 2" xfId="6608"/>
    <cellStyle name="Normal 3 2 7 4" xfId="2717"/>
    <cellStyle name="Normal 3 2 7 4 2" xfId="6609"/>
    <cellStyle name="Normal 3 2 7 5" xfId="2718"/>
    <cellStyle name="Normal 3 2 7 5 2" xfId="6610"/>
    <cellStyle name="Normal 3 2 7 6" xfId="2719"/>
    <cellStyle name="Normal 3 2 7 6 2" xfId="6611"/>
    <cellStyle name="Normal 3 2 7 7" xfId="2720"/>
    <cellStyle name="Normal 3 2 7 7 2" xfId="6612"/>
    <cellStyle name="Normal 3 2 7 8" xfId="2721"/>
    <cellStyle name="Normal 3 2 7 8 2" xfId="6613"/>
    <cellStyle name="Normal 3 2 7 9" xfId="10982"/>
    <cellStyle name="Normal 3 2 8" xfId="1202"/>
    <cellStyle name="Normal 3 2 8 10" xfId="10983"/>
    <cellStyle name="Normal 3 2 8 11" xfId="10984"/>
    <cellStyle name="Normal 3 2 8 12" xfId="10985"/>
    <cellStyle name="Normal 3 2 8 13" xfId="10986"/>
    <cellStyle name="Normal 3 2 8 14" xfId="10987"/>
    <cellStyle name="Normal 3 2 8 15" xfId="10988"/>
    <cellStyle name="Normal 3 2 8 16" xfId="10989"/>
    <cellStyle name="Normal 3 2 8 17" xfId="10990"/>
    <cellStyle name="Normal 3 2 8 18" xfId="5122"/>
    <cellStyle name="Normal 3 2 8 2" xfId="2723"/>
    <cellStyle name="Normal 3 2 8 2 2" xfId="6614"/>
    <cellStyle name="Normal 3 2 8 3" xfId="2724"/>
    <cellStyle name="Normal 3 2 8 3 2" xfId="6616"/>
    <cellStyle name="Normal 3 2 8 4" xfId="2725"/>
    <cellStyle name="Normal 3 2 8 4 2" xfId="6617"/>
    <cellStyle name="Normal 3 2 8 5" xfId="60"/>
    <cellStyle name="Normal 3 2 8 5 2" xfId="4010"/>
    <cellStyle name="Normal 3 2 8 6" xfId="2727"/>
    <cellStyle name="Normal 3 2 8 6 2" xfId="6618"/>
    <cellStyle name="Normal 3 2 8 7" xfId="2729"/>
    <cellStyle name="Normal 3 2 8 7 2" xfId="6620"/>
    <cellStyle name="Normal 3 2 8 8" xfId="2731"/>
    <cellStyle name="Normal 3 2 8 8 2" xfId="6622"/>
    <cellStyle name="Normal 3 2 8 9" xfId="10991"/>
    <cellStyle name="Normal 3 2 9" xfId="637"/>
    <cellStyle name="Normal 3 2 9 10" xfId="10992"/>
    <cellStyle name="Normal 3 2 9 11" xfId="10993"/>
    <cellStyle name="Normal 3 2 9 12" xfId="10994"/>
    <cellStyle name="Normal 3 2 9 13" xfId="10995"/>
    <cellStyle name="Normal 3 2 9 14" xfId="10996"/>
    <cellStyle name="Normal 3 2 9 15" xfId="10997"/>
    <cellStyle name="Normal 3 2 9 16" xfId="10998"/>
    <cellStyle name="Normal 3 2 9 17" xfId="10999"/>
    <cellStyle name="Normal 3 2 9 18" xfId="4572"/>
    <cellStyle name="Normal 3 2 9 2" xfId="2733"/>
    <cellStyle name="Normal 3 2 9 2 2" xfId="6624"/>
    <cellStyle name="Normal 3 2 9 3" xfId="2734"/>
    <cellStyle name="Normal 3 2 9 3 2" xfId="6626"/>
    <cellStyle name="Normal 3 2 9 4" xfId="2735"/>
    <cellStyle name="Normal 3 2 9 4 2" xfId="6627"/>
    <cellStyle name="Normal 3 2 9 5" xfId="2736"/>
    <cellStyle name="Normal 3 2 9 5 2" xfId="6628"/>
    <cellStyle name="Normal 3 2 9 6" xfId="2737"/>
    <cellStyle name="Normal 3 2 9 6 2" xfId="6629"/>
    <cellStyle name="Normal 3 2 9 7" xfId="2738"/>
    <cellStyle name="Normal 3 2 9 7 2" xfId="6630"/>
    <cellStyle name="Normal 3 2 9 8" xfId="2740"/>
    <cellStyle name="Normal 3 2 9 8 2" xfId="6631"/>
    <cellStyle name="Normal 3 2 9 9" xfId="11000"/>
    <cellStyle name="Normal 3 2_2bhk_19122016" xfId="11001"/>
    <cellStyle name="Normal 3 21" xfId="2741"/>
    <cellStyle name="Normal 3 21 2" xfId="6633"/>
    <cellStyle name="Normal 3 23" xfId="2742"/>
    <cellStyle name="Normal 3 23 2" xfId="6634"/>
    <cellStyle name="Normal 3 3" xfId="2607"/>
    <cellStyle name="Normal 3 3 2" xfId="1549"/>
    <cellStyle name="Normal 3 3 2 10" xfId="2744"/>
    <cellStyle name="Normal 3 3 2 10 10" xfId="11002"/>
    <cellStyle name="Normal 3 3 2 10 11" xfId="11003"/>
    <cellStyle name="Normal 3 3 2 10 12" xfId="11004"/>
    <cellStyle name="Normal 3 3 2 10 13" xfId="6635"/>
    <cellStyle name="Normal 3 3 2 10 2" xfId="2745"/>
    <cellStyle name="Normal 3 3 2 10 2 10" xfId="11005"/>
    <cellStyle name="Normal 3 3 2 10 2 11" xfId="6637"/>
    <cellStyle name="Normal 3 3 2 10 2 2" xfId="11006"/>
    <cellStyle name="Normal 3 3 2 10 2 3" xfId="11007"/>
    <cellStyle name="Normal 3 3 2 10 2 4" xfId="11008"/>
    <cellStyle name="Normal 3 3 2 10 2 5" xfId="11009"/>
    <cellStyle name="Normal 3 3 2 10 2 6" xfId="11010"/>
    <cellStyle name="Normal 3 3 2 10 2 7" xfId="11011"/>
    <cellStyle name="Normal 3 3 2 10 2 8" xfId="11012"/>
    <cellStyle name="Normal 3 3 2 10 2 9" xfId="11013"/>
    <cellStyle name="Normal 3 3 2 10 3" xfId="2746"/>
    <cellStyle name="Normal 3 3 2 10 3 10" xfId="11014"/>
    <cellStyle name="Normal 3 3 2 10 3 11" xfId="6638"/>
    <cellStyle name="Normal 3 3 2 10 3 2" xfId="11015"/>
    <cellStyle name="Normal 3 3 2 10 3 3" xfId="11016"/>
    <cellStyle name="Normal 3 3 2 10 3 4" xfId="11017"/>
    <cellStyle name="Normal 3 3 2 10 3 5" xfId="11018"/>
    <cellStyle name="Normal 3 3 2 10 3 6" xfId="11019"/>
    <cellStyle name="Normal 3 3 2 10 3 7" xfId="11020"/>
    <cellStyle name="Normal 3 3 2 10 3 8" xfId="11021"/>
    <cellStyle name="Normal 3 3 2 10 3 9" xfId="11022"/>
    <cellStyle name="Normal 3 3 2 10 4" xfId="11023"/>
    <cellStyle name="Normal 3 3 2 10 5" xfId="11024"/>
    <cellStyle name="Normal 3 3 2 10 6" xfId="11025"/>
    <cellStyle name="Normal 3 3 2 10 7" xfId="11026"/>
    <cellStyle name="Normal 3 3 2 10 8" xfId="11027"/>
    <cellStyle name="Normal 3 3 2 10 9" xfId="11028"/>
    <cellStyle name="Normal 3 3 2 11" xfId="2748"/>
    <cellStyle name="Normal 3 3 2 11 10" xfId="11029"/>
    <cellStyle name="Normal 3 3 2 11 11" xfId="11030"/>
    <cellStyle name="Normal 3 3 2 11 12" xfId="11031"/>
    <cellStyle name="Normal 3 3 2 11 13" xfId="6639"/>
    <cellStyle name="Normal 3 3 2 11 2" xfId="2749"/>
    <cellStyle name="Normal 3 3 2 11 2 10" xfId="11032"/>
    <cellStyle name="Normal 3 3 2 11 2 11" xfId="6641"/>
    <cellStyle name="Normal 3 3 2 11 2 2" xfId="11033"/>
    <cellStyle name="Normal 3 3 2 11 2 3" xfId="11034"/>
    <cellStyle name="Normal 3 3 2 11 2 4" xfId="11035"/>
    <cellStyle name="Normal 3 3 2 11 2 5" xfId="11036"/>
    <cellStyle name="Normal 3 3 2 11 2 6" xfId="11037"/>
    <cellStyle name="Normal 3 3 2 11 2 7" xfId="11038"/>
    <cellStyle name="Normal 3 3 2 11 2 8" xfId="11039"/>
    <cellStyle name="Normal 3 3 2 11 2 9" xfId="11040"/>
    <cellStyle name="Normal 3 3 2 11 3" xfId="611"/>
    <cellStyle name="Normal 3 3 2 11 3 10" xfId="11041"/>
    <cellStyle name="Normal 3 3 2 11 3 11" xfId="4543"/>
    <cellStyle name="Normal 3 3 2 11 3 2" xfId="11042"/>
    <cellStyle name="Normal 3 3 2 11 3 3" xfId="11043"/>
    <cellStyle name="Normal 3 3 2 11 3 4" xfId="11044"/>
    <cellStyle name="Normal 3 3 2 11 3 5" xfId="11045"/>
    <cellStyle name="Normal 3 3 2 11 3 6" xfId="11046"/>
    <cellStyle name="Normal 3 3 2 11 3 7" xfId="11047"/>
    <cellStyle name="Normal 3 3 2 11 3 8" xfId="11048"/>
    <cellStyle name="Normal 3 3 2 11 3 9" xfId="11049"/>
    <cellStyle name="Normal 3 3 2 11 4" xfId="11050"/>
    <cellStyle name="Normal 3 3 2 11 5" xfId="11051"/>
    <cellStyle name="Normal 3 3 2 11 6" xfId="11052"/>
    <cellStyle name="Normal 3 3 2 11 7" xfId="11053"/>
    <cellStyle name="Normal 3 3 2 11 8" xfId="11054"/>
    <cellStyle name="Normal 3 3 2 11 9" xfId="11055"/>
    <cellStyle name="Normal 3 3 2 12" xfId="2751"/>
    <cellStyle name="Normal 3 3 2 12 10" xfId="11056"/>
    <cellStyle name="Normal 3 3 2 12 11" xfId="11057"/>
    <cellStyle name="Normal 3 3 2 12 12" xfId="11058"/>
    <cellStyle name="Normal 3 3 2 12 13" xfId="6642"/>
    <cellStyle name="Normal 3 3 2 12 2" xfId="2752"/>
    <cellStyle name="Normal 3 3 2 12 2 10" xfId="11059"/>
    <cellStyle name="Normal 3 3 2 12 2 11" xfId="6644"/>
    <cellStyle name="Normal 3 3 2 12 2 2" xfId="11060"/>
    <cellStyle name="Normal 3 3 2 12 2 3" xfId="11061"/>
    <cellStyle name="Normal 3 3 2 12 2 4" xfId="11062"/>
    <cellStyle name="Normal 3 3 2 12 2 5" xfId="11063"/>
    <cellStyle name="Normal 3 3 2 12 2 6" xfId="11064"/>
    <cellStyle name="Normal 3 3 2 12 2 7" xfId="11065"/>
    <cellStyle name="Normal 3 3 2 12 2 8" xfId="11066"/>
    <cellStyle name="Normal 3 3 2 12 2 9" xfId="11067"/>
    <cellStyle name="Normal 3 3 2 12 3" xfId="2753"/>
    <cellStyle name="Normal 3 3 2 12 3 10" xfId="11068"/>
    <cellStyle name="Normal 3 3 2 12 3 11" xfId="6645"/>
    <cellStyle name="Normal 3 3 2 12 3 2" xfId="11069"/>
    <cellStyle name="Normal 3 3 2 12 3 3" xfId="11070"/>
    <cellStyle name="Normal 3 3 2 12 3 4" xfId="11071"/>
    <cellStyle name="Normal 3 3 2 12 3 5" xfId="11072"/>
    <cellStyle name="Normal 3 3 2 12 3 6" xfId="11073"/>
    <cellStyle name="Normal 3 3 2 12 3 7" xfId="11074"/>
    <cellStyle name="Normal 3 3 2 12 3 8" xfId="11075"/>
    <cellStyle name="Normal 3 3 2 12 3 9" xfId="11076"/>
    <cellStyle name="Normal 3 3 2 12 4" xfId="11077"/>
    <cellStyle name="Normal 3 3 2 12 5" xfId="11078"/>
    <cellStyle name="Normal 3 3 2 12 6" xfId="11079"/>
    <cellStyle name="Normal 3 3 2 12 7" xfId="11080"/>
    <cellStyle name="Normal 3 3 2 12 8" xfId="11081"/>
    <cellStyle name="Normal 3 3 2 12 9" xfId="11082"/>
    <cellStyle name="Normal 3 3 2 13" xfId="2755"/>
    <cellStyle name="Normal 3 3 2 13 10" xfId="11083"/>
    <cellStyle name="Normal 3 3 2 13 11" xfId="6646"/>
    <cellStyle name="Normal 3 3 2 13 2" xfId="11084"/>
    <cellStyle name="Normal 3 3 2 13 3" xfId="11085"/>
    <cellStyle name="Normal 3 3 2 13 4" xfId="11086"/>
    <cellStyle name="Normal 3 3 2 13 5" xfId="11087"/>
    <cellStyle name="Normal 3 3 2 13 6" xfId="11088"/>
    <cellStyle name="Normal 3 3 2 13 7" xfId="11089"/>
    <cellStyle name="Normal 3 3 2 13 8" xfId="11090"/>
    <cellStyle name="Normal 3 3 2 13 9" xfId="11091"/>
    <cellStyle name="Normal 3 3 2 14" xfId="2757"/>
    <cellStyle name="Normal 3 3 2 14 10" xfId="11092"/>
    <cellStyle name="Normal 3 3 2 14 11" xfId="6648"/>
    <cellStyle name="Normal 3 3 2 14 2" xfId="11093"/>
    <cellStyle name="Normal 3 3 2 14 3" xfId="11094"/>
    <cellStyle name="Normal 3 3 2 14 4" xfId="11095"/>
    <cellStyle name="Normal 3 3 2 14 5" xfId="11096"/>
    <cellStyle name="Normal 3 3 2 14 6" xfId="11097"/>
    <cellStyle name="Normal 3 3 2 14 7" xfId="11098"/>
    <cellStyle name="Normal 3 3 2 14 8" xfId="11099"/>
    <cellStyle name="Normal 3 3 2 14 9" xfId="11100"/>
    <cellStyle name="Normal 3 3 2 15" xfId="11101"/>
    <cellStyle name="Normal 3 3 2 16" xfId="11102"/>
    <cellStyle name="Normal 3 3 2 17" xfId="11103"/>
    <cellStyle name="Normal 3 3 2 18" xfId="11104"/>
    <cellStyle name="Normal 3 3 2 19" xfId="11105"/>
    <cellStyle name="Normal 3 3 2 2" xfId="1486"/>
    <cellStyle name="Normal 3 3 2 2 10" xfId="11106"/>
    <cellStyle name="Normal 3 3 2 2 11" xfId="11107"/>
    <cellStyle name="Normal 3 3 2 2 12" xfId="11108"/>
    <cellStyle name="Normal 3 3 2 2 13" xfId="11109"/>
    <cellStyle name="Normal 3 3 2 2 14" xfId="11110"/>
    <cellStyle name="Normal 3 3 2 2 15" xfId="11111"/>
    <cellStyle name="Normal 3 3 2 2 16" xfId="11112"/>
    <cellStyle name="Normal 3 3 2 2 17" xfId="11113"/>
    <cellStyle name="Normal 3 3 2 2 18" xfId="5403"/>
    <cellStyle name="Normal 3 3 2 2 2" xfId="2758"/>
    <cellStyle name="Normal 3 3 2 2 2 10" xfId="11114"/>
    <cellStyle name="Normal 3 3 2 2 2 11" xfId="11115"/>
    <cellStyle name="Normal 3 3 2 2 2 12" xfId="11116"/>
    <cellStyle name="Normal 3 3 2 2 2 13" xfId="6650"/>
    <cellStyle name="Normal 3 3 2 2 2 2" xfId="2759"/>
    <cellStyle name="Normal 3 3 2 2 2 2 10" xfId="11117"/>
    <cellStyle name="Normal 3 3 2 2 2 2 11" xfId="6651"/>
    <cellStyle name="Normal 3 3 2 2 2 2 2" xfId="11118"/>
    <cellStyle name="Normal 3 3 2 2 2 2 3" xfId="11119"/>
    <cellStyle name="Normal 3 3 2 2 2 2 4" xfId="11120"/>
    <cellStyle name="Normal 3 3 2 2 2 2 5" xfId="11121"/>
    <cellStyle name="Normal 3 3 2 2 2 2 6" xfId="11122"/>
    <cellStyle name="Normal 3 3 2 2 2 2 7" xfId="11123"/>
    <cellStyle name="Normal 3 3 2 2 2 2 8" xfId="11124"/>
    <cellStyle name="Normal 3 3 2 2 2 2 9" xfId="11125"/>
    <cellStyle name="Normal 3 3 2 2 2 3" xfId="2760"/>
    <cellStyle name="Normal 3 3 2 2 2 3 10" xfId="11126"/>
    <cellStyle name="Normal 3 3 2 2 2 3 11" xfId="6652"/>
    <cellStyle name="Normal 3 3 2 2 2 3 2" xfId="11127"/>
    <cellStyle name="Normal 3 3 2 2 2 3 3" xfId="11128"/>
    <cellStyle name="Normal 3 3 2 2 2 3 4" xfId="11129"/>
    <cellStyle name="Normal 3 3 2 2 2 3 5" xfId="11130"/>
    <cellStyle name="Normal 3 3 2 2 2 3 6" xfId="11131"/>
    <cellStyle name="Normal 3 3 2 2 2 3 7" xfId="11132"/>
    <cellStyle name="Normal 3 3 2 2 2 3 8" xfId="11133"/>
    <cellStyle name="Normal 3 3 2 2 2 3 9" xfId="11134"/>
    <cellStyle name="Normal 3 3 2 2 2 4" xfId="11135"/>
    <cellStyle name="Normal 3 3 2 2 2 5" xfId="11136"/>
    <cellStyle name="Normal 3 3 2 2 2 6" xfId="11137"/>
    <cellStyle name="Normal 3 3 2 2 2 7" xfId="11138"/>
    <cellStyle name="Normal 3 3 2 2 2 8" xfId="11139"/>
    <cellStyle name="Normal 3 3 2 2 2 9" xfId="11140"/>
    <cellStyle name="Normal 3 3 2 2 3" xfId="2761"/>
    <cellStyle name="Normal 3 3 2 2 3 10" xfId="11141"/>
    <cellStyle name="Normal 3 3 2 2 3 11" xfId="11142"/>
    <cellStyle name="Normal 3 3 2 2 3 12" xfId="11143"/>
    <cellStyle name="Normal 3 3 2 2 3 13" xfId="6653"/>
    <cellStyle name="Normal 3 3 2 2 3 2" xfId="2762"/>
    <cellStyle name="Normal 3 3 2 2 3 2 10" xfId="11144"/>
    <cellStyle name="Normal 3 3 2 2 3 2 11" xfId="6654"/>
    <cellStyle name="Normal 3 3 2 2 3 2 2" xfId="11145"/>
    <cellStyle name="Normal 3 3 2 2 3 2 3" xfId="11146"/>
    <cellStyle name="Normal 3 3 2 2 3 2 4" xfId="11147"/>
    <cellStyle name="Normal 3 3 2 2 3 2 5" xfId="11148"/>
    <cellStyle name="Normal 3 3 2 2 3 2 6" xfId="11149"/>
    <cellStyle name="Normal 3 3 2 2 3 2 7" xfId="11150"/>
    <cellStyle name="Normal 3 3 2 2 3 2 8" xfId="11151"/>
    <cellStyle name="Normal 3 3 2 2 3 2 9" xfId="11152"/>
    <cellStyle name="Normal 3 3 2 2 3 3" xfId="2763"/>
    <cellStyle name="Normal 3 3 2 2 3 3 10" xfId="11153"/>
    <cellStyle name="Normal 3 3 2 2 3 3 11" xfId="6655"/>
    <cellStyle name="Normal 3 3 2 2 3 3 2" xfId="11154"/>
    <cellStyle name="Normal 3 3 2 2 3 3 3" xfId="11155"/>
    <cellStyle name="Normal 3 3 2 2 3 3 4" xfId="11156"/>
    <cellStyle name="Normal 3 3 2 2 3 3 5" xfId="11157"/>
    <cellStyle name="Normal 3 3 2 2 3 3 6" xfId="11158"/>
    <cellStyle name="Normal 3 3 2 2 3 3 7" xfId="11159"/>
    <cellStyle name="Normal 3 3 2 2 3 3 8" xfId="11160"/>
    <cellStyle name="Normal 3 3 2 2 3 3 9" xfId="11161"/>
    <cellStyle name="Normal 3 3 2 2 3 4" xfId="11162"/>
    <cellStyle name="Normal 3 3 2 2 3 5" xfId="11163"/>
    <cellStyle name="Normal 3 3 2 2 3 6" xfId="11164"/>
    <cellStyle name="Normal 3 3 2 2 3 7" xfId="11165"/>
    <cellStyle name="Normal 3 3 2 2 3 8" xfId="11166"/>
    <cellStyle name="Normal 3 3 2 2 3 9" xfId="11167"/>
    <cellStyle name="Normal 3 3 2 2 4" xfId="2765"/>
    <cellStyle name="Normal 3 3 2 2 4 10" xfId="11168"/>
    <cellStyle name="Normal 3 3 2 2 4 11" xfId="11169"/>
    <cellStyle name="Normal 3 3 2 2 4 12" xfId="11170"/>
    <cellStyle name="Normal 3 3 2 2 4 13" xfId="6656"/>
    <cellStyle name="Normal 3 3 2 2 4 2" xfId="2766"/>
    <cellStyle name="Normal 3 3 2 2 4 2 10" xfId="11171"/>
    <cellStyle name="Normal 3 3 2 2 4 2 11" xfId="6658"/>
    <cellStyle name="Normal 3 3 2 2 4 2 2" xfId="11172"/>
    <cellStyle name="Normal 3 3 2 2 4 2 3" xfId="11173"/>
    <cellStyle name="Normal 3 3 2 2 4 2 4" xfId="11174"/>
    <cellStyle name="Normal 3 3 2 2 4 2 5" xfId="11175"/>
    <cellStyle name="Normal 3 3 2 2 4 2 6" xfId="11176"/>
    <cellStyle name="Normal 3 3 2 2 4 2 7" xfId="11177"/>
    <cellStyle name="Normal 3 3 2 2 4 2 8" xfId="11178"/>
    <cellStyle name="Normal 3 3 2 2 4 2 9" xfId="11179"/>
    <cellStyle name="Normal 3 3 2 2 4 3" xfId="2767"/>
    <cellStyle name="Normal 3 3 2 2 4 3 10" xfId="11180"/>
    <cellStyle name="Normal 3 3 2 2 4 3 11" xfId="6659"/>
    <cellStyle name="Normal 3 3 2 2 4 3 2" xfId="11181"/>
    <cellStyle name="Normal 3 3 2 2 4 3 3" xfId="11182"/>
    <cellStyle name="Normal 3 3 2 2 4 3 4" xfId="11183"/>
    <cellStyle name="Normal 3 3 2 2 4 3 5" xfId="11184"/>
    <cellStyle name="Normal 3 3 2 2 4 3 6" xfId="11185"/>
    <cellStyle name="Normal 3 3 2 2 4 3 7" xfId="11186"/>
    <cellStyle name="Normal 3 3 2 2 4 3 8" xfId="11187"/>
    <cellStyle name="Normal 3 3 2 2 4 3 9" xfId="11188"/>
    <cellStyle name="Normal 3 3 2 2 4 4" xfId="11189"/>
    <cellStyle name="Normal 3 3 2 2 4 5" xfId="11190"/>
    <cellStyle name="Normal 3 3 2 2 4 6" xfId="11191"/>
    <cellStyle name="Normal 3 3 2 2 4 7" xfId="11192"/>
    <cellStyle name="Normal 3 3 2 2 4 8" xfId="11193"/>
    <cellStyle name="Normal 3 3 2 2 4 9" xfId="11194"/>
    <cellStyle name="Normal 3 3 2 2 5" xfId="2769"/>
    <cellStyle name="Normal 3 3 2 2 5 10" xfId="11195"/>
    <cellStyle name="Normal 3 3 2 2 5 11" xfId="11196"/>
    <cellStyle name="Normal 3 3 2 2 5 12" xfId="11197"/>
    <cellStyle name="Normal 3 3 2 2 5 13" xfId="6660"/>
    <cellStyle name="Normal 3 3 2 2 5 2" xfId="2770"/>
    <cellStyle name="Normal 3 3 2 2 5 2 10" xfId="11198"/>
    <cellStyle name="Normal 3 3 2 2 5 2 11" xfId="6662"/>
    <cellStyle name="Normal 3 3 2 2 5 2 2" xfId="11199"/>
    <cellStyle name="Normal 3 3 2 2 5 2 3" xfId="11200"/>
    <cellStyle name="Normal 3 3 2 2 5 2 4" xfId="11201"/>
    <cellStyle name="Normal 3 3 2 2 5 2 5" xfId="11202"/>
    <cellStyle name="Normal 3 3 2 2 5 2 6" xfId="11203"/>
    <cellStyle name="Normal 3 3 2 2 5 2 7" xfId="11204"/>
    <cellStyle name="Normal 3 3 2 2 5 2 8" xfId="11205"/>
    <cellStyle name="Normal 3 3 2 2 5 2 9" xfId="11206"/>
    <cellStyle name="Normal 3 3 2 2 5 3" xfId="2771"/>
    <cellStyle name="Normal 3 3 2 2 5 3 10" xfId="11207"/>
    <cellStyle name="Normal 3 3 2 2 5 3 11" xfId="6663"/>
    <cellStyle name="Normal 3 3 2 2 5 3 2" xfId="11208"/>
    <cellStyle name="Normal 3 3 2 2 5 3 3" xfId="11209"/>
    <cellStyle name="Normal 3 3 2 2 5 3 4" xfId="11210"/>
    <cellStyle name="Normal 3 3 2 2 5 3 5" xfId="11211"/>
    <cellStyle name="Normal 3 3 2 2 5 3 6" xfId="11212"/>
    <cellStyle name="Normal 3 3 2 2 5 3 7" xfId="11213"/>
    <cellStyle name="Normal 3 3 2 2 5 3 8" xfId="11214"/>
    <cellStyle name="Normal 3 3 2 2 5 3 9" xfId="11215"/>
    <cellStyle name="Normal 3 3 2 2 5 4" xfId="11216"/>
    <cellStyle name="Normal 3 3 2 2 5 5" xfId="11217"/>
    <cellStyle name="Normal 3 3 2 2 5 6" xfId="11218"/>
    <cellStyle name="Normal 3 3 2 2 5 7" xfId="11219"/>
    <cellStyle name="Normal 3 3 2 2 5 8" xfId="11220"/>
    <cellStyle name="Normal 3 3 2 2 5 9" xfId="11221"/>
    <cellStyle name="Normal 3 3 2 2 6" xfId="2772"/>
    <cellStyle name="Normal 3 3 2 2 6 10" xfId="11222"/>
    <cellStyle name="Normal 3 3 2 2 6 11" xfId="11223"/>
    <cellStyle name="Normal 3 3 2 2 6 12" xfId="11224"/>
    <cellStyle name="Normal 3 3 2 2 6 13" xfId="6664"/>
    <cellStyle name="Normal 3 3 2 2 6 2" xfId="603"/>
    <cellStyle name="Normal 3 3 2 2 6 2 10" xfId="11225"/>
    <cellStyle name="Normal 3 3 2 2 6 2 11" xfId="4536"/>
    <cellStyle name="Normal 3 3 2 2 6 2 2" xfId="11226"/>
    <cellStyle name="Normal 3 3 2 2 6 2 3" xfId="11227"/>
    <cellStyle name="Normal 3 3 2 2 6 2 4" xfId="11228"/>
    <cellStyle name="Normal 3 3 2 2 6 2 5" xfId="11229"/>
    <cellStyle name="Normal 3 3 2 2 6 2 6" xfId="11230"/>
    <cellStyle name="Normal 3 3 2 2 6 2 7" xfId="11231"/>
    <cellStyle name="Normal 3 3 2 2 6 2 8" xfId="11232"/>
    <cellStyle name="Normal 3 3 2 2 6 2 9" xfId="11233"/>
    <cellStyle name="Normal 3 3 2 2 6 3" xfId="978"/>
    <cellStyle name="Normal 3 3 2 2 6 3 10" xfId="11234"/>
    <cellStyle name="Normal 3 3 2 2 6 3 11" xfId="4897"/>
    <cellStyle name="Normal 3 3 2 2 6 3 2" xfId="11235"/>
    <cellStyle name="Normal 3 3 2 2 6 3 3" xfId="11236"/>
    <cellStyle name="Normal 3 3 2 2 6 3 4" xfId="11237"/>
    <cellStyle name="Normal 3 3 2 2 6 3 5" xfId="11238"/>
    <cellStyle name="Normal 3 3 2 2 6 3 6" xfId="11239"/>
    <cellStyle name="Normal 3 3 2 2 6 3 7" xfId="11240"/>
    <cellStyle name="Normal 3 3 2 2 6 3 8" xfId="11241"/>
    <cellStyle name="Normal 3 3 2 2 6 3 9" xfId="11242"/>
    <cellStyle name="Normal 3 3 2 2 6 4" xfId="11243"/>
    <cellStyle name="Normal 3 3 2 2 6 5" xfId="11244"/>
    <cellStyle name="Normal 3 3 2 2 6 6" xfId="11245"/>
    <cellStyle name="Normal 3 3 2 2 6 7" xfId="11246"/>
    <cellStyle name="Normal 3 3 2 2 6 8" xfId="11247"/>
    <cellStyle name="Normal 3 3 2 2 6 9" xfId="11248"/>
    <cellStyle name="Normal 3 3 2 2 7" xfId="2774"/>
    <cellStyle name="Normal 3 3 2 2 7 10" xfId="11249"/>
    <cellStyle name="Normal 3 3 2 2 7 11" xfId="6665"/>
    <cellStyle name="Normal 3 3 2 2 7 2" xfId="11250"/>
    <cellStyle name="Normal 3 3 2 2 7 3" xfId="11251"/>
    <cellStyle name="Normal 3 3 2 2 7 4" xfId="11252"/>
    <cellStyle name="Normal 3 3 2 2 7 5" xfId="11253"/>
    <cellStyle name="Normal 3 3 2 2 7 6" xfId="11254"/>
    <cellStyle name="Normal 3 3 2 2 7 7" xfId="11255"/>
    <cellStyle name="Normal 3 3 2 2 7 8" xfId="11256"/>
    <cellStyle name="Normal 3 3 2 2 7 9" xfId="11257"/>
    <cellStyle name="Normal 3 3 2 2 8" xfId="2776"/>
    <cellStyle name="Normal 3 3 2 2 8 10" xfId="11258"/>
    <cellStyle name="Normal 3 3 2 2 8 11" xfId="6667"/>
    <cellStyle name="Normal 3 3 2 2 8 2" xfId="11259"/>
    <cellStyle name="Normal 3 3 2 2 8 3" xfId="11260"/>
    <cellStyle name="Normal 3 3 2 2 8 4" xfId="11261"/>
    <cellStyle name="Normal 3 3 2 2 8 5" xfId="11262"/>
    <cellStyle name="Normal 3 3 2 2 8 6" xfId="11263"/>
    <cellStyle name="Normal 3 3 2 2 8 7" xfId="11264"/>
    <cellStyle name="Normal 3 3 2 2 8 8" xfId="11265"/>
    <cellStyle name="Normal 3 3 2 2 8 9" xfId="11266"/>
    <cellStyle name="Normal 3 3 2 2 9" xfId="11267"/>
    <cellStyle name="Normal 3 3 2 20" xfId="11268"/>
    <cellStyle name="Normal 3 3 2 21" xfId="11269"/>
    <cellStyle name="Normal 3 3 2 22" xfId="11270"/>
    <cellStyle name="Normal 3 3 2 23" xfId="11271"/>
    <cellStyle name="Normal 3 3 2 24" xfId="5466"/>
    <cellStyle name="Normal 3 3 2 3" xfId="1490"/>
    <cellStyle name="Normal 3 3 2 3 10" xfId="11272"/>
    <cellStyle name="Normal 3 3 2 3 11" xfId="11273"/>
    <cellStyle name="Normal 3 3 2 3 12" xfId="11274"/>
    <cellStyle name="Normal 3 3 2 3 13" xfId="11275"/>
    <cellStyle name="Normal 3 3 2 3 14" xfId="11276"/>
    <cellStyle name="Normal 3 3 2 3 15" xfId="11277"/>
    <cellStyle name="Normal 3 3 2 3 16" xfId="11278"/>
    <cellStyle name="Normal 3 3 2 3 17" xfId="11279"/>
    <cellStyle name="Normal 3 3 2 3 18" xfId="5407"/>
    <cellStyle name="Normal 3 3 2 3 2" xfId="2777"/>
    <cellStyle name="Normal 3 3 2 3 2 10" xfId="11280"/>
    <cellStyle name="Normal 3 3 2 3 2 11" xfId="11281"/>
    <cellStyle name="Normal 3 3 2 3 2 12" xfId="11282"/>
    <cellStyle name="Normal 3 3 2 3 2 13" xfId="6669"/>
    <cellStyle name="Normal 3 3 2 3 2 2" xfId="2779"/>
    <cellStyle name="Normal 3 3 2 3 2 2 10" xfId="11283"/>
    <cellStyle name="Normal 3 3 2 3 2 2 11" xfId="6670"/>
    <cellStyle name="Normal 3 3 2 3 2 2 2" xfId="11284"/>
    <cellStyle name="Normal 3 3 2 3 2 2 3" xfId="11285"/>
    <cellStyle name="Normal 3 3 2 3 2 2 4" xfId="11286"/>
    <cellStyle name="Normal 3 3 2 3 2 2 5" xfId="11287"/>
    <cellStyle name="Normal 3 3 2 3 2 2 6" xfId="11288"/>
    <cellStyle name="Normal 3 3 2 3 2 2 7" xfId="11289"/>
    <cellStyle name="Normal 3 3 2 3 2 2 8" xfId="11290"/>
    <cellStyle name="Normal 3 3 2 3 2 2 9" xfId="11291"/>
    <cellStyle name="Normal 3 3 2 3 2 3" xfId="2781"/>
    <cellStyle name="Normal 3 3 2 3 2 3 10" xfId="11292"/>
    <cellStyle name="Normal 3 3 2 3 2 3 11" xfId="6672"/>
    <cellStyle name="Normal 3 3 2 3 2 3 2" xfId="11293"/>
    <cellStyle name="Normal 3 3 2 3 2 3 3" xfId="11294"/>
    <cellStyle name="Normal 3 3 2 3 2 3 4" xfId="11295"/>
    <cellStyle name="Normal 3 3 2 3 2 3 5" xfId="11296"/>
    <cellStyle name="Normal 3 3 2 3 2 3 6" xfId="11297"/>
    <cellStyle name="Normal 3 3 2 3 2 3 7" xfId="11298"/>
    <cellStyle name="Normal 3 3 2 3 2 3 8" xfId="11299"/>
    <cellStyle name="Normal 3 3 2 3 2 3 9" xfId="11300"/>
    <cellStyle name="Normal 3 3 2 3 2 4" xfId="11301"/>
    <cellStyle name="Normal 3 3 2 3 2 5" xfId="11302"/>
    <cellStyle name="Normal 3 3 2 3 2 6" xfId="11303"/>
    <cellStyle name="Normal 3 3 2 3 2 7" xfId="11304"/>
    <cellStyle name="Normal 3 3 2 3 2 8" xfId="11305"/>
    <cellStyle name="Normal 3 3 2 3 2 9" xfId="11306"/>
    <cellStyle name="Normal 3 3 2 3 3" xfId="2782"/>
    <cellStyle name="Normal 3 3 2 3 3 10" xfId="11307"/>
    <cellStyle name="Normal 3 3 2 3 3 11" xfId="11308"/>
    <cellStyle name="Normal 3 3 2 3 3 12" xfId="11309"/>
    <cellStyle name="Normal 3 3 2 3 3 13" xfId="6674"/>
    <cellStyle name="Normal 3 3 2 3 3 2" xfId="2783"/>
    <cellStyle name="Normal 3 3 2 3 3 2 10" xfId="11310"/>
    <cellStyle name="Normal 3 3 2 3 3 2 11" xfId="6675"/>
    <cellStyle name="Normal 3 3 2 3 3 2 2" xfId="11311"/>
    <cellStyle name="Normal 3 3 2 3 3 2 3" xfId="11312"/>
    <cellStyle name="Normal 3 3 2 3 3 2 4" xfId="11313"/>
    <cellStyle name="Normal 3 3 2 3 3 2 5" xfId="11314"/>
    <cellStyle name="Normal 3 3 2 3 3 2 6" xfId="11315"/>
    <cellStyle name="Normal 3 3 2 3 3 2 7" xfId="11316"/>
    <cellStyle name="Normal 3 3 2 3 3 2 8" xfId="11317"/>
    <cellStyle name="Normal 3 3 2 3 3 2 9" xfId="11318"/>
    <cellStyle name="Normal 3 3 2 3 3 3" xfId="2784"/>
    <cellStyle name="Normal 3 3 2 3 3 3 10" xfId="11319"/>
    <cellStyle name="Normal 3 3 2 3 3 3 11" xfId="6676"/>
    <cellStyle name="Normal 3 3 2 3 3 3 2" xfId="11320"/>
    <cellStyle name="Normal 3 3 2 3 3 3 3" xfId="11321"/>
    <cellStyle name="Normal 3 3 2 3 3 3 4" xfId="11322"/>
    <cellStyle name="Normal 3 3 2 3 3 3 5" xfId="11323"/>
    <cellStyle name="Normal 3 3 2 3 3 3 6" xfId="11324"/>
    <cellStyle name="Normal 3 3 2 3 3 3 7" xfId="11325"/>
    <cellStyle name="Normal 3 3 2 3 3 3 8" xfId="11326"/>
    <cellStyle name="Normal 3 3 2 3 3 3 9" xfId="11327"/>
    <cellStyle name="Normal 3 3 2 3 3 4" xfId="11328"/>
    <cellStyle name="Normal 3 3 2 3 3 5" xfId="11329"/>
    <cellStyle name="Normal 3 3 2 3 3 6" xfId="11330"/>
    <cellStyle name="Normal 3 3 2 3 3 7" xfId="11331"/>
    <cellStyle name="Normal 3 3 2 3 3 8" xfId="11332"/>
    <cellStyle name="Normal 3 3 2 3 3 9" xfId="11333"/>
    <cellStyle name="Normal 3 3 2 3 4" xfId="2786"/>
    <cellStyle name="Normal 3 3 2 3 4 10" xfId="11334"/>
    <cellStyle name="Normal 3 3 2 3 4 11" xfId="11335"/>
    <cellStyle name="Normal 3 3 2 3 4 12" xfId="11336"/>
    <cellStyle name="Normal 3 3 2 3 4 13" xfId="6677"/>
    <cellStyle name="Normal 3 3 2 3 4 2" xfId="2787"/>
    <cellStyle name="Normal 3 3 2 3 4 2 10" xfId="11337"/>
    <cellStyle name="Normal 3 3 2 3 4 2 11" xfId="6679"/>
    <cellStyle name="Normal 3 3 2 3 4 2 2" xfId="11338"/>
    <cellStyle name="Normal 3 3 2 3 4 2 3" xfId="11339"/>
    <cellStyle name="Normal 3 3 2 3 4 2 4" xfId="11340"/>
    <cellStyle name="Normal 3 3 2 3 4 2 5" xfId="11341"/>
    <cellStyle name="Normal 3 3 2 3 4 2 6" xfId="11342"/>
    <cellStyle name="Normal 3 3 2 3 4 2 7" xfId="11343"/>
    <cellStyle name="Normal 3 3 2 3 4 2 8" xfId="11344"/>
    <cellStyle name="Normal 3 3 2 3 4 2 9" xfId="11345"/>
    <cellStyle name="Normal 3 3 2 3 4 3" xfId="2788"/>
    <cellStyle name="Normal 3 3 2 3 4 3 10" xfId="11346"/>
    <cellStyle name="Normal 3 3 2 3 4 3 11" xfId="6680"/>
    <cellStyle name="Normal 3 3 2 3 4 3 2" xfId="11347"/>
    <cellStyle name="Normal 3 3 2 3 4 3 3" xfId="11348"/>
    <cellStyle name="Normal 3 3 2 3 4 3 4" xfId="11349"/>
    <cellStyle name="Normal 3 3 2 3 4 3 5" xfId="11350"/>
    <cellStyle name="Normal 3 3 2 3 4 3 6" xfId="11351"/>
    <cellStyle name="Normal 3 3 2 3 4 3 7" xfId="11352"/>
    <cellStyle name="Normal 3 3 2 3 4 3 8" xfId="11353"/>
    <cellStyle name="Normal 3 3 2 3 4 3 9" xfId="11354"/>
    <cellStyle name="Normal 3 3 2 3 4 4" xfId="11355"/>
    <cellStyle name="Normal 3 3 2 3 4 5" xfId="11356"/>
    <cellStyle name="Normal 3 3 2 3 4 6" xfId="11357"/>
    <cellStyle name="Normal 3 3 2 3 4 7" xfId="11358"/>
    <cellStyle name="Normal 3 3 2 3 4 8" xfId="11359"/>
    <cellStyle name="Normal 3 3 2 3 4 9" xfId="11360"/>
    <cellStyle name="Normal 3 3 2 3 5" xfId="2790"/>
    <cellStyle name="Normal 3 3 2 3 5 10" xfId="11361"/>
    <cellStyle name="Normal 3 3 2 3 5 11" xfId="11362"/>
    <cellStyle name="Normal 3 3 2 3 5 12" xfId="11363"/>
    <cellStyle name="Normal 3 3 2 3 5 13" xfId="6681"/>
    <cellStyle name="Normal 3 3 2 3 5 2" xfId="2791"/>
    <cellStyle name="Normal 3 3 2 3 5 2 10" xfId="11364"/>
    <cellStyle name="Normal 3 3 2 3 5 2 11" xfId="6683"/>
    <cellStyle name="Normal 3 3 2 3 5 2 2" xfId="11365"/>
    <cellStyle name="Normal 3 3 2 3 5 2 3" xfId="11366"/>
    <cellStyle name="Normal 3 3 2 3 5 2 4" xfId="11367"/>
    <cellStyle name="Normal 3 3 2 3 5 2 5" xfId="11368"/>
    <cellStyle name="Normal 3 3 2 3 5 2 6" xfId="11369"/>
    <cellStyle name="Normal 3 3 2 3 5 2 7" xfId="11370"/>
    <cellStyle name="Normal 3 3 2 3 5 2 8" xfId="11371"/>
    <cellStyle name="Normal 3 3 2 3 5 2 9" xfId="11372"/>
    <cellStyle name="Normal 3 3 2 3 5 3" xfId="2792"/>
    <cellStyle name="Normal 3 3 2 3 5 3 10" xfId="11373"/>
    <cellStyle name="Normal 3 3 2 3 5 3 11" xfId="6684"/>
    <cellStyle name="Normal 3 3 2 3 5 3 2" xfId="11374"/>
    <cellStyle name="Normal 3 3 2 3 5 3 3" xfId="11375"/>
    <cellStyle name="Normal 3 3 2 3 5 3 4" xfId="11376"/>
    <cellStyle name="Normal 3 3 2 3 5 3 5" xfId="11377"/>
    <cellStyle name="Normal 3 3 2 3 5 3 6" xfId="11378"/>
    <cellStyle name="Normal 3 3 2 3 5 3 7" xfId="11379"/>
    <cellStyle name="Normal 3 3 2 3 5 3 8" xfId="11380"/>
    <cellStyle name="Normal 3 3 2 3 5 3 9" xfId="11381"/>
    <cellStyle name="Normal 3 3 2 3 5 4" xfId="11382"/>
    <cellStyle name="Normal 3 3 2 3 5 5" xfId="11383"/>
    <cellStyle name="Normal 3 3 2 3 5 6" xfId="11384"/>
    <cellStyle name="Normal 3 3 2 3 5 7" xfId="11385"/>
    <cellStyle name="Normal 3 3 2 3 5 8" xfId="11386"/>
    <cellStyle name="Normal 3 3 2 3 5 9" xfId="11387"/>
    <cellStyle name="Normal 3 3 2 3 6" xfId="2793"/>
    <cellStyle name="Normal 3 3 2 3 6 10" xfId="11388"/>
    <cellStyle name="Normal 3 3 2 3 6 11" xfId="11389"/>
    <cellStyle name="Normal 3 3 2 3 6 12" xfId="11390"/>
    <cellStyle name="Normal 3 3 2 3 6 13" xfId="6685"/>
    <cellStyle name="Normal 3 3 2 3 6 2" xfId="1811"/>
    <cellStyle name="Normal 3 3 2 3 6 2 10" xfId="11391"/>
    <cellStyle name="Normal 3 3 2 3 6 2 11" xfId="5721"/>
    <cellStyle name="Normal 3 3 2 3 6 2 2" xfId="11392"/>
    <cellStyle name="Normal 3 3 2 3 6 2 3" xfId="11393"/>
    <cellStyle name="Normal 3 3 2 3 6 2 4" xfId="11394"/>
    <cellStyle name="Normal 3 3 2 3 6 2 5" xfId="11395"/>
    <cellStyle name="Normal 3 3 2 3 6 2 6" xfId="11396"/>
    <cellStyle name="Normal 3 3 2 3 6 2 7" xfId="11397"/>
    <cellStyle name="Normal 3 3 2 3 6 2 8" xfId="11398"/>
    <cellStyle name="Normal 3 3 2 3 6 2 9" xfId="11399"/>
    <cellStyle name="Normal 3 3 2 3 6 3" xfId="1639"/>
    <cellStyle name="Normal 3 3 2 3 6 3 10" xfId="11400"/>
    <cellStyle name="Normal 3 3 2 3 6 3 11" xfId="5554"/>
    <cellStyle name="Normal 3 3 2 3 6 3 2" xfId="11401"/>
    <cellStyle name="Normal 3 3 2 3 6 3 3" xfId="11402"/>
    <cellStyle name="Normal 3 3 2 3 6 3 4" xfId="11403"/>
    <cellStyle name="Normal 3 3 2 3 6 3 5" xfId="11404"/>
    <cellStyle name="Normal 3 3 2 3 6 3 6" xfId="11405"/>
    <cellStyle name="Normal 3 3 2 3 6 3 7" xfId="11406"/>
    <cellStyle name="Normal 3 3 2 3 6 3 8" xfId="11407"/>
    <cellStyle name="Normal 3 3 2 3 6 3 9" xfId="11408"/>
    <cellStyle name="Normal 3 3 2 3 6 4" xfId="11409"/>
    <cellStyle name="Normal 3 3 2 3 6 5" xfId="11410"/>
    <cellStyle name="Normal 3 3 2 3 6 6" xfId="11411"/>
    <cellStyle name="Normal 3 3 2 3 6 7" xfId="11412"/>
    <cellStyle name="Normal 3 3 2 3 6 8" xfId="11413"/>
    <cellStyle name="Normal 3 3 2 3 6 9" xfId="11414"/>
    <cellStyle name="Normal 3 3 2 3 7" xfId="2239"/>
    <cellStyle name="Normal 3 3 2 3 7 10" xfId="11415"/>
    <cellStyle name="Normal 3 3 2 3 7 11" xfId="6139"/>
    <cellStyle name="Normal 3 3 2 3 7 2" xfId="11416"/>
    <cellStyle name="Normal 3 3 2 3 7 3" xfId="11417"/>
    <cellStyle name="Normal 3 3 2 3 7 4" xfId="11418"/>
    <cellStyle name="Normal 3 3 2 3 7 5" xfId="11419"/>
    <cellStyle name="Normal 3 3 2 3 7 6" xfId="11420"/>
    <cellStyle name="Normal 3 3 2 3 7 7" xfId="11421"/>
    <cellStyle name="Normal 3 3 2 3 7 8" xfId="11422"/>
    <cellStyle name="Normal 3 3 2 3 7 9" xfId="11423"/>
    <cellStyle name="Normal 3 3 2 3 8" xfId="832"/>
    <cellStyle name="Normal 3 3 2 3 8 10" xfId="11424"/>
    <cellStyle name="Normal 3 3 2 3 8 11" xfId="4758"/>
    <cellStyle name="Normal 3 3 2 3 8 2" xfId="11425"/>
    <cellStyle name="Normal 3 3 2 3 8 3" xfId="11426"/>
    <cellStyle name="Normal 3 3 2 3 8 4" xfId="11427"/>
    <cellStyle name="Normal 3 3 2 3 8 5" xfId="11428"/>
    <cellStyle name="Normal 3 3 2 3 8 6" xfId="11429"/>
    <cellStyle name="Normal 3 3 2 3 8 7" xfId="11430"/>
    <cellStyle name="Normal 3 3 2 3 8 8" xfId="11431"/>
    <cellStyle name="Normal 3 3 2 3 8 9" xfId="11432"/>
    <cellStyle name="Normal 3 3 2 3 9" xfId="11433"/>
    <cellStyle name="Normal 3 3 2 4" xfId="2312"/>
    <cellStyle name="Normal 3 3 2 4 10" xfId="11434"/>
    <cellStyle name="Normal 3 3 2 4 11" xfId="11435"/>
    <cellStyle name="Normal 3 3 2 4 12" xfId="11436"/>
    <cellStyle name="Normal 3 3 2 4 13" xfId="11437"/>
    <cellStyle name="Normal 3 3 2 4 14" xfId="11438"/>
    <cellStyle name="Normal 3 3 2 4 15" xfId="11439"/>
    <cellStyle name="Normal 3 3 2 4 16" xfId="11440"/>
    <cellStyle name="Normal 3 3 2 4 17" xfId="11441"/>
    <cellStyle name="Normal 3 3 2 4 18" xfId="6212"/>
    <cellStyle name="Normal 3 3 2 4 2" xfId="2794"/>
    <cellStyle name="Normal 3 3 2 4 2 10" xfId="11442"/>
    <cellStyle name="Normal 3 3 2 4 2 11" xfId="11443"/>
    <cellStyle name="Normal 3 3 2 4 2 12" xfId="11444"/>
    <cellStyle name="Normal 3 3 2 4 2 13" xfId="6686"/>
    <cellStyle name="Normal 3 3 2 4 2 2" xfId="2795"/>
    <cellStyle name="Normal 3 3 2 4 2 2 10" xfId="11445"/>
    <cellStyle name="Normal 3 3 2 4 2 2 11" xfId="6687"/>
    <cellStyle name="Normal 3 3 2 4 2 2 2" xfId="11446"/>
    <cellStyle name="Normal 3 3 2 4 2 2 3" xfId="11447"/>
    <cellStyle name="Normal 3 3 2 4 2 2 4" xfId="11448"/>
    <cellStyle name="Normal 3 3 2 4 2 2 5" xfId="11449"/>
    <cellStyle name="Normal 3 3 2 4 2 2 6" xfId="11450"/>
    <cellStyle name="Normal 3 3 2 4 2 2 7" xfId="11451"/>
    <cellStyle name="Normal 3 3 2 4 2 2 8" xfId="11452"/>
    <cellStyle name="Normal 3 3 2 4 2 2 9" xfId="11453"/>
    <cellStyle name="Normal 3 3 2 4 2 3" xfId="2796"/>
    <cellStyle name="Normal 3 3 2 4 2 3 10" xfId="11454"/>
    <cellStyle name="Normal 3 3 2 4 2 3 11" xfId="6688"/>
    <cellStyle name="Normal 3 3 2 4 2 3 2" xfId="11455"/>
    <cellStyle name="Normal 3 3 2 4 2 3 3" xfId="11456"/>
    <cellStyle name="Normal 3 3 2 4 2 3 4" xfId="11457"/>
    <cellStyle name="Normal 3 3 2 4 2 3 5" xfId="11458"/>
    <cellStyle name="Normal 3 3 2 4 2 3 6" xfId="11459"/>
    <cellStyle name="Normal 3 3 2 4 2 3 7" xfId="11460"/>
    <cellStyle name="Normal 3 3 2 4 2 3 8" xfId="11461"/>
    <cellStyle name="Normal 3 3 2 4 2 3 9" xfId="11462"/>
    <cellStyle name="Normal 3 3 2 4 2 4" xfId="11463"/>
    <cellStyle name="Normal 3 3 2 4 2 5" xfId="11464"/>
    <cellStyle name="Normal 3 3 2 4 2 6" xfId="11465"/>
    <cellStyle name="Normal 3 3 2 4 2 7" xfId="11466"/>
    <cellStyle name="Normal 3 3 2 4 2 8" xfId="11467"/>
    <cellStyle name="Normal 3 3 2 4 2 9" xfId="11468"/>
    <cellStyle name="Normal 3 3 2 4 3" xfId="2797"/>
    <cellStyle name="Normal 3 3 2 4 3 10" xfId="11469"/>
    <cellStyle name="Normal 3 3 2 4 3 11" xfId="11470"/>
    <cellStyle name="Normal 3 3 2 4 3 12" xfId="11471"/>
    <cellStyle name="Normal 3 3 2 4 3 13" xfId="6689"/>
    <cellStyle name="Normal 3 3 2 4 3 2" xfId="236"/>
    <cellStyle name="Normal 3 3 2 4 3 2 10" xfId="11472"/>
    <cellStyle name="Normal 3 3 2 4 3 2 11" xfId="4184"/>
    <cellStyle name="Normal 3 3 2 4 3 2 2" xfId="11473"/>
    <cellStyle name="Normal 3 3 2 4 3 2 3" xfId="11474"/>
    <cellStyle name="Normal 3 3 2 4 3 2 4" xfId="11475"/>
    <cellStyle name="Normal 3 3 2 4 3 2 5" xfId="11476"/>
    <cellStyle name="Normal 3 3 2 4 3 2 6" xfId="11477"/>
    <cellStyle name="Normal 3 3 2 4 3 2 7" xfId="11478"/>
    <cellStyle name="Normal 3 3 2 4 3 2 8" xfId="11479"/>
    <cellStyle name="Normal 3 3 2 4 3 2 9" xfId="11480"/>
    <cellStyle name="Normal 3 3 2 4 3 3" xfId="2798"/>
    <cellStyle name="Normal 3 3 2 4 3 3 10" xfId="11481"/>
    <cellStyle name="Normal 3 3 2 4 3 3 11" xfId="6690"/>
    <cellStyle name="Normal 3 3 2 4 3 3 2" xfId="11482"/>
    <cellStyle name="Normal 3 3 2 4 3 3 3" xfId="11483"/>
    <cellStyle name="Normal 3 3 2 4 3 3 4" xfId="11484"/>
    <cellStyle name="Normal 3 3 2 4 3 3 5" xfId="11485"/>
    <cellStyle name="Normal 3 3 2 4 3 3 6" xfId="11486"/>
    <cellStyle name="Normal 3 3 2 4 3 3 7" xfId="11487"/>
    <cellStyle name="Normal 3 3 2 4 3 3 8" xfId="11488"/>
    <cellStyle name="Normal 3 3 2 4 3 3 9" xfId="11489"/>
    <cellStyle name="Normal 3 3 2 4 3 4" xfId="11490"/>
    <cellStyle name="Normal 3 3 2 4 3 5" xfId="11491"/>
    <cellStyle name="Normal 3 3 2 4 3 6" xfId="11492"/>
    <cellStyle name="Normal 3 3 2 4 3 7" xfId="11493"/>
    <cellStyle name="Normal 3 3 2 4 3 8" xfId="11494"/>
    <cellStyle name="Normal 3 3 2 4 3 9" xfId="11495"/>
    <cellStyle name="Normal 3 3 2 4 4" xfId="2800"/>
    <cellStyle name="Normal 3 3 2 4 4 10" xfId="11496"/>
    <cellStyle name="Normal 3 3 2 4 4 11" xfId="11497"/>
    <cellStyle name="Normal 3 3 2 4 4 12" xfId="11498"/>
    <cellStyle name="Normal 3 3 2 4 4 13" xfId="6691"/>
    <cellStyle name="Normal 3 3 2 4 4 2" xfId="139"/>
    <cellStyle name="Normal 3 3 2 4 4 2 10" xfId="11499"/>
    <cellStyle name="Normal 3 3 2 4 4 2 11" xfId="4165"/>
    <cellStyle name="Normal 3 3 2 4 4 2 2" xfId="11500"/>
    <cellStyle name="Normal 3 3 2 4 4 2 3" xfId="11501"/>
    <cellStyle name="Normal 3 3 2 4 4 2 4" xfId="11502"/>
    <cellStyle name="Normal 3 3 2 4 4 2 5" xfId="11503"/>
    <cellStyle name="Normal 3 3 2 4 4 2 6" xfId="11504"/>
    <cellStyle name="Normal 3 3 2 4 4 2 7" xfId="11505"/>
    <cellStyle name="Normal 3 3 2 4 4 2 8" xfId="11506"/>
    <cellStyle name="Normal 3 3 2 4 4 2 9" xfId="11507"/>
    <cellStyle name="Normal 3 3 2 4 4 3" xfId="2801"/>
    <cellStyle name="Normal 3 3 2 4 4 3 10" xfId="11508"/>
    <cellStyle name="Normal 3 3 2 4 4 3 11" xfId="6693"/>
    <cellStyle name="Normal 3 3 2 4 4 3 2" xfId="11509"/>
    <cellStyle name="Normal 3 3 2 4 4 3 3" xfId="11510"/>
    <cellStyle name="Normal 3 3 2 4 4 3 4" xfId="11511"/>
    <cellStyle name="Normal 3 3 2 4 4 3 5" xfId="11512"/>
    <cellStyle name="Normal 3 3 2 4 4 3 6" xfId="11513"/>
    <cellStyle name="Normal 3 3 2 4 4 3 7" xfId="11514"/>
    <cellStyle name="Normal 3 3 2 4 4 3 8" xfId="11515"/>
    <cellStyle name="Normal 3 3 2 4 4 3 9" xfId="11516"/>
    <cellStyle name="Normal 3 3 2 4 4 4" xfId="11517"/>
    <cellStyle name="Normal 3 3 2 4 4 5" xfId="11518"/>
    <cellStyle name="Normal 3 3 2 4 4 6" xfId="11519"/>
    <cellStyle name="Normal 3 3 2 4 4 7" xfId="11520"/>
    <cellStyle name="Normal 3 3 2 4 4 8" xfId="11521"/>
    <cellStyle name="Normal 3 3 2 4 4 9" xfId="11522"/>
    <cellStyle name="Normal 3 3 2 4 5" xfId="2803"/>
    <cellStyle name="Normal 3 3 2 4 5 10" xfId="11523"/>
    <cellStyle name="Normal 3 3 2 4 5 11" xfId="11524"/>
    <cellStyle name="Normal 3 3 2 4 5 12" xfId="11525"/>
    <cellStyle name="Normal 3 3 2 4 5 13" xfId="6694"/>
    <cellStyle name="Normal 3 3 2 4 5 2" xfId="90"/>
    <cellStyle name="Normal 3 3 2 4 5 2 10" xfId="11526"/>
    <cellStyle name="Normal 3 3 2 4 5 2 11" xfId="4036"/>
    <cellStyle name="Normal 3 3 2 4 5 2 2" xfId="11527"/>
    <cellStyle name="Normal 3 3 2 4 5 2 3" xfId="11528"/>
    <cellStyle name="Normal 3 3 2 4 5 2 4" xfId="11529"/>
    <cellStyle name="Normal 3 3 2 4 5 2 5" xfId="11530"/>
    <cellStyle name="Normal 3 3 2 4 5 2 6" xfId="11531"/>
    <cellStyle name="Normal 3 3 2 4 5 2 7" xfId="11532"/>
    <cellStyle name="Normal 3 3 2 4 5 2 8" xfId="11533"/>
    <cellStyle name="Normal 3 3 2 4 5 2 9" xfId="11534"/>
    <cellStyle name="Normal 3 3 2 4 5 3" xfId="2804"/>
    <cellStyle name="Normal 3 3 2 4 5 3 10" xfId="11535"/>
    <cellStyle name="Normal 3 3 2 4 5 3 11" xfId="6696"/>
    <cellStyle name="Normal 3 3 2 4 5 3 2" xfId="11536"/>
    <cellStyle name="Normal 3 3 2 4 5 3 3" xfId="11537"/>
    <cellStyle name="Normal 3 3 2 4 5 3 4" xfId="11538"/>
    <cellStyle name="Normal 3 3 2 4 5 3 5" xfId="11539"/>
    <cellStyle name="Normal 3 3 2 4 5 3 6" xfId="11540"/>
    <cellStyle name="Normal 3 3 2 4 5 3 7" xfId="11541"/>
    <cellStyle name="Normal 3 3 2 4 5 3 8" xfId="11542"/>
    <cellStyle name="Normal 3 3 2 4 5 3 9" xfId="11543"/>
    <cellStyle name="Normal 3 3 2 4 5 4" xfId="11544"/>
    <cellStyle name="Normal 3 3 2 4 5 5" xfId="11545"/>
    <cellStyle name="Normal 3 3 2 4 5 6" xfId="11546"/>
    <cellStyle name="Normal 3 3 2 4 5 7" xfId="11547"/>
    <cellStyle name="Normal 3 3 2 4 5 8" xfId="11548"/>
    <cellStyle name="Normal 3 3 2 4 5 9" xfId="11549"/>
    <cellStyle name="Normal 3 3 2 4 6" xfId="2805"/>
    <cellStyle name="Normal 3 3 2 4 6 10" xfId="11550"/>
    <cellStyle name="Normal 3 3 2 4 6 11" xfId="11551"/>
    <cellStyle name="Normal 3 3 2 4 6 12" xfId="11552"/>
    <cellStyle name="Normal 3 3 2 4 6 13" xfId="6697"/>
    <cellStyle name="Normal 3 3 2 4 6 2" xfId="261"/>
    <cellStyle name="Normal 3 3 2 4 6 2 10" xfId="11553"/>
    <cellStyle name="Normal 3 3 2 4 6 2 11" xfId="4211"/>
    <cellStyle name="Normal 3 3 2 4 6 2 2" xfId="11554"/>
    <cellStyle name="Normal 3 3 2 4 6 2 3" xfId="11555"/>
    <cellStyle name="Normal 3 3 2 4 6 2 4" xfId="11556"/>
    <cellStyle name="Normal 3 3 2 4 6 2 5" xfId="11557"/>
    <cellStyle name="Normal 3 3 2 4 6 2 6" xfId="11558"/>
    <cellStyle name="Normal 3 3 2 4 6 2 7" xfId="11559"/>
    <cellStyle name="Normal 3 3 2 4 6 2 8" xfId="11560"/>
    <cellStyle name="Normal 3 3 2 4 6 2 9" xfId="11561"/>
    <cellStyle name="Normal 3 3 2 4 6 3" xfId="2393"/>
    <cellStyle name="Normal 3 3 2 4 6 3 10" xfId="11562"/>
    <cellStyle name="Normal 3 3 2 4 6 3 11" xfId="6288"/>
    <cellStyle name="Normal 3 3 2 4 6 3 2" xfId="11563"/>
    <cellStyle name="Normal 3 3 2 4 6 3 3" xfId="11564"/>
    <cellStyle name="Normal 3 3 2 4 6 3 4" xfId="11565"/>
    <cellStyle name="Normal 3 3 2 4 6 3 5" xfId="11566"/>
    <cellStyle name="Normal 3 3 2 4 6 3 6" xfId="11567"/>
    <cellStyle name="Normal 3 3 2 4 6 3 7" xfId="11568"/>
    <cellStyle name="Normal 3 3 2 4 6 3 8" xfId="11569"/>
    <cellStyle name="Normal 3 3 2 4 6 3 9" xfId="11570"/>
    <cellStyle name="Normal 3 3 2 4 6 4" xfId="11571"/>
    <cellStyle name="Normal 3 3 2 4 6 5" xfId="11572"/>
    <cellStyle name="Normal 3 3 2 4 6 6" xfId="11573"/>
    <cellStyle name="Normal 3 3 2 4 6 7" xfId="11574"/>
    <cellStyle name="Normal 3 3 2 4 6 8" xfId="11575"/>
    <cellStyle name="Normal 3 3 2 4 6 9" xfId="11576"/>
    <cellStyle name="Normal 3 3 2 4 7" xfId="2806"/>
    <cellStyle name="Normal 3 3 2 4 7 10" xfId="11577"/>
    <cellStyle name="Normal 3 3 2 4 7 11" xfId="6698"/>
    <cellStyle name="Normal 3 3 2 4 7 2" xfId="11578"/>
    <cellStyle name="Normal 3 3 2 4 7 3" xfId="11579"/>
    <cellStyle name="Normal 3 3 2 4 7 4" xfId="11580"/>
    <cellStyle name="Normal 3 3 2 4 7 5" xfId="11581"/>
    <cellStyle name="Normal 3 3 2 4 7 6" xfId="11582"/>
    <cellStyle name="Normal 3 3 2 4 7 7" xfId="11583"/>
    <cellStyle name="Normal 3 3 2 4 7 8" xfId="11584"/>
    <cellStyle name="Normal 3 3 2 4 7 9" xfId="11585"/>
    <cellStyle name="Normal 3 3 2 4 8" xfId="2807"/>
    <cellStyle name="Normal 3 3 2 4 8 10" xfId="11586"/>
    <cellStyle name="Normal 3 3 2 4 8 11" xfId="6699"/>
    <cellStyle name="Normal 3 3 2 4 8 2" xfId="11587"/>
    <cellStyle name="Normal 3 3 2 4 8 3" xfId="11588"/>
    <cellStyle name="Normal 3 3 2 4 8 4" xfId="11589"/>
    <cellStyle name="Normal 3 3 2 4 8 5" xfId="11590"/>
    <cellStyle name="Normal 3 3 2 4 8 6" xfId="11591"/>
    <cellStyle name="Normal 3 3 2 4 8 7" xfId="11592"/>
    <cellStyle name="Normal 3 3 2 4 8 8" xfId="11593"/>
    <cellStyle name="Normal 3 3 2 4 8 9" xfId="11594"/>
    <cellStyle name="Normal 3 3 2 4 9" xfId="11595"/>
    <cellStyle name="Normal 3 3 2 5" xfId="2315"/>
    <cellStyle name="Normal 3 3 2 5 10" xfId="11596"/>
    <cellStyle name="Normal 3 3 2 5 11" xfId="11597"/>
    <cellStyle name="Normal 3 3 2 5 12" xfId="11598"/>
    <cellStyle name="Normal 3 3 2 5 13" xfId="11599"/>
    <cellStyle name="Normal 3 3 2 5 14" xfId="11600"/>
    <cellStyle name="Normal 3 3 2 5 15" xfId="11601"/>
    <cellStyle name="Normal 3 3 2 5 16" xfId="11602"/>
    <cellStyle name="Normal 3 3 2 5 17" xfId="11603"/>
    <cellStyle name="Normal 3 3 2 5 18" xfId="6215"/>
    <cellStyle name="Normal 3 3 2 5 2" xfId="2808"/>
    <cellStyle name="Normal 3 3 2 5 2 10" xfId="11604"/>
    <cellStyle name="Normal 3 3 2 5 2 11" xfId="11605"/>
    <cellStyle name="Normal 3 3 2 5 2 12" xfId="11606"/>
    <cellStyle name="Normal 3 3 2 5 2 13" xfId="6700"/>
    <cellStyle name="Normal 3 3 2 5 2 2" xfId="2811"/>
    <cellStyle name="Normal 3 3 2 5 2 2 10" xfId="11607"/>
    <cellStyle name="Normal 3 3 2 5 2 2 11" xfId="6701"/>
    <cellStyle name="Normal 3 3 2 5 2 2 2" xfId="11608"/>
    <cellStyle name="Normal 3 3 2 5 2 2 3" xfId="11609"/>
    <cellStyle name="Normal 3 3 2 5 2 2 4" xfId="11610"/>
    <cellStyle name="Normal 3 3 2 5 2 2 5" xfId="11611"/>
    <cellStyle name="Normal 3 3 2 5 2 2 6" xfId="11612"/>
    <cellStyle name="Normal 3 3 2 5 2 2 7" xfId="11613"/>
    <cellStyle name="Normal 3 3 2 5 2 2 8" xfId="11614"/>
    <cellStyle name="Normal 3 3 2 5 2 2 9" xfId="11615"/>
    <cellStyle name="Normal 3 3 2 5 2 3" xfId="2814"/>
    <cellStyle name="Normal 3 3 2 5 2 3 10" xfId="11616"/>
    <cellStyle name="Normal 3 3 2 5 2 3 11" xfId="6704"/>
    <cellStyle name="Normal 3 3 2 5 2 3 2" xfId="11617"/>
    <cellStyle name="Normal 3 3 2 5 2 3 3" xfId="11618"/>
    <cellStyle name="Normal 3 3 2 5 2 3 4" xfId="11619"/>
    <cellStyle name="Normal 3 3 2 5 2 3 5" xfId="11620"/>
    <cellStyle name="Normal 3 3 2 5 2 3 6" xfId="11621"/>
    <cellStyle name="Normal 3 3 2 5 2 3 7" xfId="11622"/>
    <cellStyle name="Normal 3 3 2 5 2 3 8" xfId="11623"/>
    <cellStyle name="Normal 3 3 2 5 2 3 9" xfId="11624"/>
    <cellStyle name="Normal 3 3 2 5 2 4" xfId="11625"/>
    <cellStyle name="Normal 3 3 2 5 2 5" xfId="11626"/>
    <cellStyle name="Normal 3 3 2 5 2 6" xfId="11627"/>
    <cellStyle name="Normal 3 3 2 5 2 7" xfId="11628"/>
    <cellStyle name="Normal 3 3 2 5 2 8" xfId="11629"/>
    <cellStyle name="Normal 3 3 2 5 2 9" xfId="11630"/>
    <cellStyle name="Normal 3 3 2 5 3" xfId="2815"/>
    <cellStyle name="Normal 3 3 2 5 3 10" xfId="11631"/>
    <cellStyle name="Normal 3 3 2 5 3 11" xfId="11632"/>
    <cellStyle name="Normal 3 3 2 5 3 12" xfId="11633"/>
    <cellStyle name="Normal 3 3 2 5 3 13" xfId="6707"/>
    <cellStyle name="Normal 3 3 2 5 3 2" xfId="1443"/>
    <cellStyle name="Normal 3 3 2 5 3 2 10" xfId="11634"/>
    <cellStyle name="Normal 3 3 2 5 3 2 11" xfId="5362"/>
    <cellStyle name="Normal 3 3 2 5 3 2 2" xfId="11635"/>
    <cellStyle name="Normal 3 3 2 5 3 2 3" xfId="11636"/>
    <cellStyle name="Normal 3 3 2 5 3 2 4" xfId="11637"/>
    <cellStyle name="Normal 3 3 2 5 3 2 5" xfId="11638"/>
    <cellStyle name="Normal 3 3 2 5 3 2 6" xfId="11639"/>
    <cellStyle name="Normal 3 3 2 5 3 2 7" xfId="11640"/>
    <cellStyle name="Normal 3 3 2 5 3 2 8" xfId="11641"/>
    <cellStyle name="Normal 3 3 2 5 3 2 9" xfId="11642"/>
    <cellStyle name="Normal 3 3 2 5 3 3" xfId="2816"/>
    <cellStyle name="Normal 3 3 2 5 3 3 10" xfId="11643"/>
    <cellStyle name="Normal 3 3 2 5 3 3 11" xfId="6708"/>
    <cellStyle name="Normal 3 3 2 5 3 3 2" xfId="11644"/>
    <cellStyle name="Normal 3 3 2 5 3 3 3" xfId="11645"/>
    <cellStyle name="Normal 3 3 2 5 3 3 4" xfId="11646"/>
    <cellStyle name="Normal 3 3 2 5 3 3 5" xfId="11647"/>
    <cellStyle name="Normal 3 3 2 5 3 3 6" xfId="11648"/>
    <cellStyle name="Normal 3 3 2 5 3 3 7" xfId="11649"/>
    <cellStyle name="Normal 3 3 2 5 3 3 8" xfId="11650"/>
    <cellStyle name="Normal 3 3 2 5 3 3 9" xfId="11651"/>
    <cellStyle name="Normal 3 3 2 5 3 4" xfId="11652"/>
    <cellStyle name="Normal 3 3 2 5 3 5" xfId="11653"/>
    <cellStyle name="Normal 3 3 2 5 3 6" xfId="11654"/>
    <cellStyle name="Normal 3 3 2 5 3 7" xfId="11655"/>
    <cellStyle name="Normal 3 3 2 5 3 8" xfId="11656"/>
    <cellStyle name="Normal 3 3 2 5 3 9" xfId="11657"/>
    <cellStyle name="Normal 3 3 2 5 4" xfId="2817"/>
    <cellStyle name="Normal 3 3 2 5 4 10" xfId="11658"/>
    <cellStyle name="Normal 3 3 2 5 4 11" xfId="11659"/>
    <cellStyle name="Normal 3 3 2 5 4 12" xfId="11660"/>
    <cellStyle name="Normal 3 3 2 5 4 13" xfId="6709"/>
    <cellStyle name="Normal 3 3 2 5 4 2" xfId="2818"/>
    <cellStyle name="Normal 3 3 2 5 4 2 10" xfId="11661"/>
    <cellStyle name="Normal 3 3 2 5 4 2 11" xfId="6710"/>
    <cellStyle name="Normal 3 3 2 5 4 2 2" xfId="11662"/>
    <cellStyle name="Normal 3 3 2 5 4 2 3" xfId="11663"/>
    <cellStyle name="Normal 3 3 2 5 4 2 4" xfId="11664"/>
    <cellStyle name="Normal 3 3 2 5 4 2 5" xfId="11665"/>
    <cellStyle name="Normal 3 3 2 5 4 2 6" xfId="11666"/>
    <cellStyle name="Normal 3 3 2 5 4 2 7" xfId="11667"/>
    <cellStyle name="Normal 3 3 2 5 4 2 8" xfId="11668"/>
    <cellStyle name="Normal 3 3 2 5 4 2 9" xfId="11669"/>
    <cellStyle name="Normal 3 3 2 5 4 3" xfId="2819"/>
    <cellStyle name="Normal 3 3 2 5 4 3 10" xfId="11670"/>
    <cellStyle name="Normal 3 3 2 5 4 3 11" xfId="6711"/>
    <cellStyle name="Normal 3 3 2 5 4 3 2" xfId="11671"/>
    <cellStyle name="Normal 3 3 2 5 4 3 3" xfId="11672"/>
    <cellStyle name="Normal 3 3 2 5 4 3 4" xfId="11673"/>
    <cellStyle name="Normal 3 3 2 5 4 3 5" xfId="11674"/>
    <cellStyle name="Normal 3 3 2 5 4 3 6" xfId="11675"/>
    <cellStyle name="Normal 3 3 2 5 4 3 7" xfId="11676"/>
    <cellStyle name="Normal 3 3 2 5 4 3 8" xfId="11677"/>
    <cellStyle name="Normal 3 3 2 5 4 3 9" xfId="11678"/>
    <cellStyle name="Normal 3 3 2 5 4 4" xfId="11679"/>
    <cellStyle name="Normal 3 3 2 5 4 5" xfId="11680"/>
    <cellStyle name="Normal 3 3 2 5 4 6" xfId="11681"/>
    <cellStyle name="Normal 3 3 2 5 4 7" xfId="11682"/>
    <cellStyle name="Normal 3 3 2 5 4 8" xfId="11683"/>
    <cellStyle name="Normal 3 3 2 5 4 9" xfId="11684"/>
    <cellStyle name="Normal 3 3 2 5 5" xfId="2820"/>
    <cellStyle name="Normal 3 3 2 5 5 10" xfId="11685"/>
    <cellStyle name="Normal 3 3 2 5 5 11" xfId="11686"/>
    <cellStyle name="Normal 3 3 2 5 5 12" xfId="11687"/>
    <cellStyle name="Normal 3 3 2 5 5 13" xfId="6712"/>
    <cellStyle name="Normal 3 3 2 5 5 2" xfId="2821"/>
    <cellStyle name="Normal 3 3 2 5 5 2 10" xfId="11688"/>
    <cellStyle name="Normal 3 3 2 5 5 2 11" xfId="6713"/>
    <cellStyle name="Normal 3 3 2 5 5 2 2" xfId="11689"/>
    <cellStyle name="Normal 3 3 2 5 5 2 3" xfId="11690"/>
    <cellStyle name="Normal 3 3 2 5 5 2 4" xfId="11691"/>
    <cellStyle name="Normal 3 3 2 5 5 2 5" xfId="11692"/>
    <cellStyle name="Normal 3 3 2 5 5 2 6" xfId="11693"/>
    <cellStyle name="Normal 3 3 2 5 5 2 7" xfId="11694"/>
    <cellStyle name="Normal 3 3 2 5 5 2 8" xfId="11695"/>
    <cellStyle name="Normal 3 3 2 5 5 2 9" xfId="11696"/>
    <cellStyle name="Normal 3 3 2 5 5 3" xfId="2822"/>
    <cellStyle name="Normal 3 3 2 5 5 3 10" xfId="11697"/>
    <cellStyle name="Normal 3 3 2 5 5 3 11" xfId="6714"/>
    <cellStyle name="Normal 3 3 2 5 5 3 2" xfId="11698"/>
    <cellStyle name="Normal 3 3 2 5 5 3 3" xfId="11699"/>
    <cellStyle name="Normal 3 3 2 5 5 3 4" xfId="11700"/>
    <cellStyle name="Normal 3 3 2 5 5 3 5" xfId="11701"/>
    <cellStyle name="Normal 3 3 2 5 5 3 6" xfId="11702"/>
    <cellStyle name="Normal 3 3 2 5 5 3 7" xfId="11703"/>
    <cellStyle name="Normal 3 3 2 5 5 3 8" xfId="11704"/>
    <cellStyle name="Normal 3 3 2 5 5 3 9" xfId="11705"/>
    <cellStyle name="Normal 3 3 2 5 5 4" xfId="11706"/>
    <cellStyle name="Normal 3 3 2 5 5 5" xfId="11707"/>
    <cellStyle name="Normal 3 3 2 5 5 6" xfId="11708"/>
    <cellStyle name="Normal 3 3 2 5 5 7" xfId="11709"/>
    <cellStyle name="Normal 3 3 2 5 5 8" xfId="11710"/>
    <cellStyle name="Normal 3 3 2 5 5 9" xfId="11711"/>
    <cellStyle name="Normal 3 3 2 5 6" xfId="2823"/>
    <cellStyle name="Normal 3 3 2 5 6 10" xfId="11712"/>
    <cellStyle name="Normal 3 3 2 5 6 11" xfId="11713"/>
    <cellStyle name="Normal 3 3 2 5 6 12" xfId="11714"/>
    <cellStyle name="Normal 3 3 2 5 6 13" xfId="6715"/>
    <cellStyle name="Normal 3 3 2 5 6 2" xfId="2824"/>
    <cellStyle name="Normal 3 3 2 5 6 2 10" xfId="11715"/>
    <cellStyle name="Normal 3 3 2 5 6 2 11" xfId="6716"/>
    <cellStyle name="Normal 3 3 2 5 6 2 2" xfId="11716"/>
    <cellStyle name="Normal 3 3 2 5 6 2 3" xfId="11717"/>
    <cellStyle name="Normal 3 3 2 5 6 2 4" xfId="11718"/>
    <cellStyle name="Normal 3 3 2 5 6 2 5" xfId="11719"/>
    <cellStyle name="Normal 3 3 2 5 6 2 6" xfId="11720"/>
    <cellStyle name="Normal 3 3 2 5 6 2 7" xfId="11721"/>
    <cellStyle name="Normal 3 3 2 5 6 2 8" xfId="11722"/>
    <cellStyle name="Normal 3 3 2 5 6 2 9" xfId="11723"/>
    <cellStyle name="Normal 3 3 2 5 6 3" xfId="2825"/>
    <cellStyle name="Normal 3 3 2 5 6 3 10" xfId="11724"/>
    <cellStyle name="Normal 3 3 2 5 6 3 11" xfId="6717"/>
    <cellStyle name="Normal 3 3 2 5 6 3 2" xfId="11725"/>
    <cellStyle name="Normal 3 3 2 5 6 3 3" xfId="11726"/>
    <cellStyle name="Normal 3 3 2 5 6 3 4" xfId="11727"/>
    <cellStyle name="Normal 3 3 2 5 6 3 5" xfId="11728"/>
    <cellStyle name="Normal 3 3 2 5 6 3 6" xfId="11729"/>
    <cellStyle name="Normal 3 3 2 5 6 3 7" xfId="11730"/>
    <cellStyle name="Normal 3 3 2 5 6 3 8" xfId="11731"/>
    <cellStyle name="Normal 3 3 2 5 6 3 9" xfId="11732"/>
    <cellStyle name="Normal 3 3 2 5 6 4" xfId="11733"/>
    <cellStyle name="Normal 3 3 2 5 6 5" xfId="11734"/>
    <cellStyle name="Normal 3 3 2 5 6 6" xfId="11735"/>
    <cellStyle name="Normal 3 3 2 5 6 7" xfId="11736"/>
    <cellStyle name="Normal 3 3 2 5 6 8" xfId="11737"/>
    <cellStyle name="Normal 3 3 2 5 6 9" xfId="11738"/>
    <cellStyle name="Normal 3 3 2 5 7" xfId="2826"/>
    <cellStyle name="Normal 3 3 2 5 7 10" xfId="11739"/>
    <cellStyle name="Normal 3 3 2 5 7 11" xfId="6718"/>
    <cellStyle name="Normal 3 3 2 5 7 2" xfId="11740"/>
    <cellStyle name="Normal 3 3 2 5 7 3" xfId="11741"/>
    <cellStyle name="Normal 3 3 2 5 7 4" xfId="11742"/>
    <cellStyle name="Normal 3 3 2 5 7 5" xfId="11743"/>
    <cellStyle name="Normal 3 3 2 5 7 6" xfId="11744"/>
    <cellStyle name="Normal 3 3 2 5 7 7" xfId="11745"/>
    <cellStyle name="Normal 3 3 2 5 7 8" xfId="11746"/>
    <cellStyle name="Normal 3 3 2 5 7 9" xfId="11747"/>
    <cellStyle name="Normal 3 3 2 5 8" xfId="2827"/>
    <cellStyle name="Normal 3 3 2 5 8 10" xfId="11748"/>
    <cellStyle name="Normal 3 3 2 5 8 11" xfId="6719"/>
    <cellStyle name="Normal 3 3 2 5 8 2" xfId="11749"/>
    <cellStyle name="Normal 3 3 2 5 8 3" xfId="11750"/>
    <cellStyle name="Normal 3 3 2 5 8 4" xfId="11751"/>
    <cellStyle name="Normal 3 3 2 5 8 5" xfId="11752"/>
    <cellStyle name="Normal 3 3 2 5 8 6" xfId="11753"/>
    <cellStyle name="Normal 3 3 2 5 8 7" xfId="11754"/>
    <cellStyle name="Normal 3 3 2 5 8 8" xfId="11755"/>
    <cellStyle name="Normal 3 3 2 5 8 9" xfId="11756"/>
    <cellStyle name="Normal 3 3 2 5 9" xfId="11757"/>
    <cellStyle name="Normal 3 3 2 6" xfId="2439"/>
    <cellStyle name="Normal 3 3 2 6 10" xfId="11758"/>
    <cellStyle name="Normal 3 3 2 6 11" xfId="11759"/>
    <cellStyle name="Normal 3 3 2 6 12" xfId="11760"/>
    <cellStyle name="Normal 3 3 2 6 13" xfId="11761"/>
    <cellStyle name="Normal 3 3 2 6 14" xfId="11762"/>
    <cellStyle name="Normal 3 3 2 6 15" xfId="11763"/>
    <cellStyle name="Normal 3 3 2 6 16" xfId="11764"/>
    <cellStyle name="Normal 3 3 2 6 17" xfId="11765"/>
    <cellStyle name="Normal 3 3 2 6 18" xfId="6334"/>
    <cellStyle name="Normal 3 3 2 6 2" xfId="2828"/>
    <cellStyle name="Normal 3 3 2 6 2 10" xfId="11766"/>
    <cellStyle name="Normal 3 3 2 6 2 11" xfId="11767"/>
    <cellStyle name="Normal 3 3 2 6 2 12" xfId="11768"/>
    <cellStyle name="Normal 3 3 2 6 2 13" xfId="6720"/>
    <cellStyle name="Normal 3 3 2 6 2 2" xfId="58"/>
    <cellStyle name="Normal 3 3 2 6 2 2 10" xfId="11769"/>
    <cellStyle name="Normal 3 3 2 6 2 2 11" xfId="4011"/>
    <cellStyle name="Normal 3 3 2 6 2 2 2" xfId="11770"/>
    <cellStyle name="Normal 3 3 2 6 2 2 3" xfId="11771"/>
    <cellStyle name="Normal 3 3 2 6 2 2 4" xfId="11772"/>
    <cellStyle name="Normal 3 3 2 6 2 2 5" xfId="11773"/>
    <cellStyle name="Normal 3 3 2 6 2 2 6" xfId="11774"/>
    <cellStyle name="Normal 3 3 2 6 2 2 7" xfId="11775"/>
    <cellStyle name="Normal 3 3 2 6 2 2 8" xfId="11776"/>
    <cellStyle name="Normal 3 3 2 6 2 2 9" xfId="11777"/>
    <cellStyle name="Normal 3 3 2 6 2 3" xfId="2829"/>
    <cellStyle name="Normal 3 3 2 6 2 3 10" xfId="11778"/>
    <cellStyle name="Normal 3 3 2 6 2 3 11" xfId="6721"/>
    <cellStyle name="Normal 3 3 2 6 2 3 2" xfId="11779"/>
    <cellStyle name="Normal 3 3 2 6 2 3 3" xfId="11780"/>
    <cellStyle name="Normal 3 3 2 6 2 3 4" xfId="11781"/>
    <cellStyle name="Normal 3 3 2 6 2 3 5" xfId="11782"/>
    <cellStyle name="Normal 3 3 2 6 2 3 6" xfId="11783"/>
    <cellStyle name="Normal 3 3 2 6 2 3 7" xfId="11784"/>
    <cellStyle name="Normal 3 3 2 6 2 3 8" xfId="11785"/>
    <cellStyle name="Normal 3 3 2 6 2 3 9" xfId="11786"/>
    <cellStyle name="Normal 3 3 2 6 2 4" xfId="11787"/>
    <cellStyle name="Normal 3 3 2 6 2 5" xfId="11788"/>
    <cellStyle name="Normal 3 3 2 6 2 6" xfId="11789"/>
    <cellStyle name="Normal 3 3 2 6 2 7" xfId="11790"/>
    <cellStyle name="Normal 3 3 2 6 2 8" xfId="11791"/>
    <cellStyle name="Normal 3 3 2 6 2 9" xfId="11792"/>
    <cellStyle name="Normal 3 3 2 6 3" xfId="2830"/>
    <cellStyle name="Normal 3 3 2 6 3 10" xfId="11793"/>
    <cellStyle name="Normal 3 3 2 6 3 11" xfId="11794"/>
    <cellStyle name="Normal 3 3 2 6 3 12" xfId="11795"/>
    <cellStyle name="Normal 3 3 2 6 3 13" xfId="6722"/>
    <cellStyle name="Normal 3 3 2 6 3 2" xfId="500"/>
    <cellStyle name="Normal 3 3 2 6 3 2 10" xfId="11796"/>
    <cellStyle name="Normal 3 3 2 6 3 2 11" xfId="4439"/>
    <cellStyle name="Normal 3 3 2 6 3 2 2" xfId="11797"/>
    <cellStyle name="Normal 3 3 2 6 3 2 3" xfId="11798"/>
    <cellStyle name="Normal 3 3 2 6 3 2 4" xfId="11799"/>
    <cellStyle name="Normal 3 3 2 6 3 2 5" xfId="11800"/>
    <cellStyle name="Normal 3 3 2 6 3 2 6" xfId="11801"/>
    <cellStyle name="Normal 3 3 2 6 3 2 7" xfId="11802"/>
    <cellStyle name="Normal 3 3 2 6 3 2 8" xfId="11803"/>
    <cellStyle name="Normal 3 3 2 6 3 2 9" xfId="11804"/>
    <cellStyle name="Normal 3 3 2 6 3 3" xfId="2831"/>
    <cellStyle name="Normal 3 3 2 6 3 3 10" xfId="11805"/>
    <cellStyle name="Normal 3 3 2 6 3 3 11" xfId="6723"/>
    <cellStyle name="Normal 3 3 2 6 3 3 2" xfId="11806"/>
    <cellStyle name="Normal 3 3 2 6 3 3 3" xfId="11807"/>
    <cellStyle name="Normal 3 3 2 6 3 3 4" xfId="11808"/>
    <cellStyle name="Normal 3 3 2 6 3 3 5" xfId="11809"/>
    <cellStyle name="Normal 3 3 2 6 3 3 6" xfId="11810"/>
    <cellStyle name="Normal 3 3 2 6 3 3 7" xfId="11811"/>
    <cellStyle name="Normal 3 3 2 6 3 3 8" xfId="11812"/>
    <cellStyle name="Normal 3 3 2 6 3 3 9" xfId="11813"/>
    <cellStyle name="Normal 3 3 2 6 3 4" xfId="11814"/>
    <cellStyle name="Normal 3 3 2 6 3 5" xfId="11815"/>
    <cellStyle name="Normal 3 3 2 6 3 6" xfId="11816"/>
    <cellStyle name="Normal 3 3 2 6 3 7" xfId="11817"/>
    <cellStyle name="Normal 3 3 2 6 3 8" xfId="11818"/>
    <cellStyle name="Normal 3 3 2 6 3 9" xfId="11819"/>
    <cellStyle name="Normal 3 3 2 6 4" xfId="1161"/>
    <cellStyle name="Normal 3 3 2 6 4 10" xfId="11820"/>
    <cellStyle name="Normal 3 3 2 6 4 11" xfId="11821"/>
    <cellStyle name="Normal 3 3 2 6 4 12" xfId="11822"/>
    <cellStyle name="Normal 3 3 2 6 4 13" xfId="5082"/>
    <cellStyle name="Normal 3 3 2 6 4 2" xfId="2188"/>
    <cellStyle name="Normal 3 3 2 6 4 2 10" xfId="11823"/>
    <cellStyle name="Normal 3 3 2 6 4 2 11" xfId="6090"/>
    <cellStyle name="Normal 3 3 2 6 4 2 2" xfId="11824"/>
    <cellStyle name="Normal 3 3 2 6 4 2 3" xfId="11825"/>
    <cellStyle name="Normal 3 3 2 6 4 2 4" xfId="11826"/>
    <cellStyle name="Normal 3 3 2 6 4 2 5" xfId="11827"/>
    <cellStyle name="Normal 3 3 2 6 4 2 6" xfId="11828"/>
    <cellStyle name="Normal 3 3 2 6 4 2 7" xfId="11829"/>
    <cellStyle name="Normal 3 3 2 6 4 2 8" xfId="11830"/>
    <cellStyle name="Normal 3 3 2 6 4 2 9" xfId="11831"/>
    <cellStyle name="Normal 3 3 2 6 4 3" xfId="2249"/>
    <cellStyle name="Normal 3 3 2 6 4 3 10" xfId="11832"/>
    <cellStyle name="Normal 3 3 2 6 4 3 11" xfId="6148"/>
    <cellStyle name="Normal 3 3 2 6 4 3 2" xfId="11833"/>
    <cellStyle name="Normal 3 3 2 6 4 3 3" xfId="11834"/>
    <cellStyle name="Normal 3 3 2 6 4 3 4" xfId="11835"/>
    <cellStyle name="Normal 3 3 2 6 4 3 5" xfId="11836"/>
    <cellStyle name="Normal 3 3 2 6 4 3 6" xfId="11837"/>
    <cellStyle name="Normal 3 3 2 6 4 3 7" xfId="11838"/>
    <cellStyle name="Normal 3 3 2 6 4 3 8" xfId="11839"/>
    <cellStyle name="Normal 3 3 2 6 4 3 9" xfId="11840"/>
    <cellStyle name="Normal 3 3 2 6 4 4" xfId="11841"/>
    <cellStyle name="Normal 3 3 2 6 4 5" xfId="11842"/>
    <cellStyle name="Normal 3 3 2 6 4 6" xfId="11843"/>
    <cellStyle name="Normal 3 3 2 6 4 7" xfId="11844"/>
    <cellStyle name="Normal 3 3 2 6 4 8" xfId="11845"/>
    <cellStyle name="Normal 3 3 2 6 4 9" xfId="11846"/>
    <cellStyle name="Normal 3 3 2 6 5" xfId="1166"/>
    <cellStyle name="Normal 3 3 2 6 5 10" xfId="11847"/>
    <cellStyle name="Normal 3 3 2 6 5 11" xfId="11848"/>
    <cellStyle name="Normal 3 3 2 6 5 12" xfId="11849"/>
    <cellStyle name="Normal 3 3 2 6 5 13" xfId="5087"/>
    <cellStyle name="Normal 3 3 2 6 5 2" xfId="2834"/>
    <cellStyle name="Normal 3 3 2 6 5 2 10" xfId="11850"/>
    <cellStyle name="Normal 3 3 2 6 5 2 11" xfId="6724"/>
    <cellStyle name="Normal 3 3 2 6 5 2 2" xfId="11851"/>
    <cellStyle name="Normal 3 3 2 6 5 2 3" xfId="11852"/>
    <cellStyle name="Normal 3 3 2 6 5 2 4" xfId="11853"/>
    <cellStyle name="Normal 3 3 2 6 5 2 5" xfId="11854"/>
    <cellStyle name="Normal 3 3 2 6 5 2 6" xfId="11855"/>
    <cellStyle name="Normal 3 3 2 6 5 2 7" xfId="11856"/>
    <cellStyle name="Normal 3 3 2 6 5 2 8" xfId="11857"/>
    <cellStyle name="Normal 3 3 2 6 5 2 9" xfId="11858"/>
    <cellStyle name="Normal 3 3 2 6 5 3" xfId="2837"/>
    <cellStyle name="Normal 3 3 2 6 5 3 10" xfId="11859"/>
    <cellStyle name="Normal 3 3 2 6 5 3 11" xfId="6726"/>
    <cellStyle name="Normal 3 3 2 6 5 3 2" xfId="11860"/>
    <cellStyle name="Normal 3 3 2 6 5 3 3" xfId="11861"/>
    <cellStyle name="Normal 3 3 2 6 5 3 4" xfId="11862"/>
    <cellStyle name="Normal 3 3 2 6 5 3 5" xfId="11863"/>
    <cellStyle name="Normal 3 3 2 6 5 3 6" xfId="11864"/>
    <cellStyle name="Normal 3 3 2 6 5 3 7" xfId="11865"/>
    <cellStyle name="Normal 3 3 2 6 5 3 8" xfId="11866"/>
    <cellStyle name="Normal 3 3 2 6 5 3 9" xfId="11867"/>
    <cellStyle name="Normal 3 3 2 6 5 4" xfId="11868"/>
    <cellStyle name="Normal 3 3 2 6 5 5" xfId="11869"/>
    <cellStyle name="Normal 3 3 2 6 5 6" xfId="11870"/>
    <cellStyle name="Normal 3 3 2 6 5 7" xfId="11871"/>
    <cellStyle name="Normal 3 3 2 6 5 8" xfId="11872"/>
    <cellStyle name="Normal 3 3 2 6 5 9" xfId="11873"/>
    <cellStyle name="Normal 3 3 2 6 6" xfId="703"/>
    <cellStyle name="Normal 3 3 2 6 6 10" xfId="11874"/>
    <cellStyle name="Normal 3 3 2 6 6 11" xfId="11875"/>
    <cellStyle name="Normal 3 3 2 6 6 12" xfId="11876"/>
    <cellStyle name="Normal 3 3 2 6 6 13" xfId="4632"/>
    <cellStyle name="Normal 3 3 2 6 6 2" xfId="2838"/>
    <cellStyle name="Normal 3 3 2 6 6 2 10" xfId="11877"/>
    <cellStyle name="Normal 3 3 2 6 6 2 11" xfId="6729"/>
    <cellStyle name="Normal 3 3 2 6 6 2 2" xfId="11878"/>
    <cellStyle name="Normal 3 3 2 6 6 2 3" xfId="11879"/>
    <cellStyle name="Normal 3 3 2 6 6 2 4" xfId="11880"/>
    <cellStyle name="Normal 3 3 2 6 6 2 5" xfId="11881"/>
    <cellStyle name="Normal 3 3 2 6 6 2 6" xfId="11882"/>
    <cellStyle name="Normal 3 3 2 6 6 2 7" xfId="11883"/>
    <cellStyle name="Normal 3 3 2 6 6 2 8" xfId="11884"/>
    <cellStyle name="Normal 3 3 2 6 6 2 9" xfId="11885"/>
    <cellStyle name="Normal 3 3 2 6 6 3" xfId="2840"/>
    <cellStyle name="Normal 3 3 2 6 6 3 10" xfId="11886"/>
    <cellStyle name="Normal 3 3 2 6 6 3 11" xfId="6730"/>
    <cellStyle name="Normal 3 3 2 6 6 3 2" xfId="11887"/>
    <cellStyle name="Normal 3 3 2 6 6 3 3" xfId="11888"/>
    <cellStyle name="Normal 3 3 2 6 6 3 4" xfId="11889"/>
    <cellStyle name="Normal 3 3 2 6 6 3 5" xfId="11890"/>
    <cellStyle name="Normal 3 3 2 6 6 3 6" xfId="11891"/>
    <cellStyle name="Normal 3 3 2 6 6 3 7" xfId="11892"/>
    <cellStyle name="Normal 3 3 2 6 6 3 8" xfId="11893"/>
    <cellStyle name="Normal 3 3 2 6 6 3 9" xfId="11894"/>
    <cellStyle name="Normal 3 3 2 6 6 4" xfId="11895"/>
    <cellStyle name="Normal 3 3 2 6 6 5" xfId="11896"/>
    <cellStyle name="Normal 3 3 2 6 6 6" xfId="11897"/>
    <cellStyle name="Normal 3 3 2 6 6 7" xfId="11898"/>
    <cellStyle name="Normal 3 3 2 6 6 8" xfId="11899"/>
    <cellStyle name="Normal 3 3 2 6 6 9" xfId="11900"/>
    <cellStyle name="Normal 3 3 2 6 7" xfId="706"/>
    <cellStyle name="Normal 3 3 2 6 7 10" xfId="11901"/>
    <cellStyle name="Normal 3 3 2 6 7 11" xfId="4635"/>
    <cellStyle name="Normal 3 3 2 6 7 2" xfId="11902"/>
    <cellStyle name="Normal 3 3 2 6 7 3" xfId="11903"/>
    <cellStyle name="Normal 3 3 2 6 7 4" xfId="11904"/>
    <cellStyle name="Normal 3 3 2 6 7 5" xfId="11905"/>
    <cellStyle name="Normal 3 3 2 6 7 6" xfId="11906"/>
    <cellStyle name="Normal 3 3 2 6 7 7" xfId="11907"/>
    <cellStyle name="Normal 3 3 2 6 7 8" xfId="11908"/>
    <cellStyle name="Normal 3 3 2 6 7 9" xfId="11909"/>
    <cellStyle name="Normal 3 3 2 6 8" xfId="629"/>
    <cellStyle name="Normal 3 3 2 6 8 10" xfId="11910"/>
    <cellStyle name="Normal 3 3 2 6 8 11" xfId="4563"/>
    <cellStyle name="Normal 3 3 2 6 8 2" xfId="11911"/>
    <cellStyle name="Normal 3 3 2 6 8 3" xfId="11912"/>
    <cellStyle name="Normal 3 3 2 6 8 4" xfId="11913"/>
    <cellStyle name="Normal 3 3 2 6 8 5" xfId="11914"/>
    <cellStyle name="Normal 3 3 2 6 8 6" xfId="11915"/>
    <cellStyle name="Normal 3 3 2 6 8 7" xfId="11916"/>
    <cellStyle name="Normal 3 3 2 6 8 8" xfId="11917"/>
    <cellStyle name="Normal 3 3 2 6 8 9" xfId="11918"/>
    <cellStyle name="Normal 3 3 2 6 9" xfId="11919"/>
    <cellStyle name="Normal 3 3 2 7" xfId="2441"/>
    <cellStyle name="Normal 3 3 2 7 10" xfId="11920"/>
    <cellStyle name="Normal 3 3 2 7 11" xfId="11921"/>
    <cellStyle name="Normal 3 3 2 7 12" xfId="11922"/>
    <cellStyle name="Normal 3 3 2 7 13" xfId="11923"/>
    <cellStyle name="Normal 3 3 2 7 14" xfId="11924"/>
    <cellStyle name="Normal 3 3 2 7 15" xfId="11925"/>
    <cellStyle name="Normal 3 3 2 7 16" xfId="11926"/>
    <cellStyle name="Normal 3 3 2 7 17" xfId="11927"/>
    <cellStyle name="Normal 3 3 2 7 18" xfId="6336"/>
    <cellStyle name="Normal 3 3 2 7 2" xfId="903"/>
    <cellStyle name="Normal 3 3 2 7 2 10" xfId="11928"/>
    <cellStyle name="Normal 3 3 2 7 2 11" xfId="11929"/>
    <cellStyle name="Normal 3 3 2 7 2 12" xfId="11930"/>
    <cellStyle name="Normal 3 3 2 7 2 13" xfId="4831"/>
    <cellStyle name="Normal 3 3 2 7 2 2" xfId="834"/>
    <cellStyle name="Normal 3 3 2 7 2 2 10" xfId="11931"/>
    <cellStyle name="Normal 3 3 2 7 2 2 11" xfId="4761"/>
    <cellStyle name="Normal 3 3 2 7 2 2 2" xfId="11932"/>
    <cellStyle name="Normal 3 3 2 7 2 2 3" xfId="11933"/>
    <cellStyle name="Normal 3 3 2 7 2 2 4" xfId="11934"/>
    <cellStyle name="Normal 3 3 2 7 2 2 5" xfId="11935"/>
    <cellStyle name="Normal 3 3 2 7 2 2 6" xfId="11936"/>
    <cellStyle name="Normal 3 3 2 7 2 2 7" xfId="11937"/>
    <cellStyle name="Normal 3 3 2 7 2 2 8" xfId="11938"/>
    <cellStyle name="Normal 3 3 2 7 2 2 9" xfId="11939"/>
    <cellStyle name="Normal 3 3 2 7 2 3" xfId="2841"/>
    <cellStyle name="Normal 3 3 2 7 2 3 10" xfId="11940"/>
    <cellStyle name="Normal 3 3 2 7 2 3 11" xfId="6732"/>
    <cellStyle name="Normal 3 3 2 7 2 3 2" xfId="11941"/>
    <cellStyle name="Normal 3 3 2 7 2 3 3" xfId="11942"/>
    <cellStyle name="Normal 3 3 2 7 2 3 4" xfId="11943"/>
    <cellStyle name="Normal 3 3 2 7 2 3 5" xfId="11944"/>
    <cellStyle name="Normal 3 3 2 7 2 3 6" xfId="11945"/>
    <cellStyle name="Normal 3 3 2 7 2 3 7" xfId="11946"/>
    <cellStyle name="Normal 3 3 2 7 2 3 8" xfId="11947"/>
    <cellStyle name="Normal 3 3 2 7 2 3 9" xfId="11948"/>
    <cellStyle name="Normal 3 3 2 7 2 4" xfId="11949"/>
    <cellStyle name="Normal 3 3 2 7 2 5" xfId="11950"/>
    <cellStyle name="Normal 3 3 2 7 2 6" xfId="11951"/>
    <cellStyle name="Normal 3 3 2 7 2 7" xfId="11952"/>
    <cellStyle name="Normal 3 3 2 7 2 8" xfId="11953"/>
    <cellStyle name="Normal 3 3 2 7 2 9" xfId="11954"/>
    <cellStyle name="Normal 3 3 2 7 3" xfId="915"/>
    <cellStyle name="Normal 3 3 2 7 3 10" xfId="11955"/>
    <cellStyle name="Normal 3 3 2 7 3 11" xfId="11956"/>
    <cellStyle name="Normal 3 3 2 7 3 12" xfId="11957"/>
    <cellStyle name="Normal 3 3 2 7 3 13" xfId="4833"/>
    <cellStyle name="Normal 3 3 2 7 3 2" xfId="2842"/>
    <cellStyle name="Normal 3 3 2 7 3 2 10" xfId="11958"/>
    <cellStyle name="Normal 3 3 2 7 3 2 11" xfId="6733"/>
    <cellStyle name="Normal 3 3 2 7 3 2 2" xfId="11959"/>
    <cellStyle name="Normal 3 3 2 7 3 2 3" xfId="11960"/>
    <cellStyle name="Normal 3 3 2 7 3 2 4" xfId="11961"/>
    <cellStyle name="Normal 3 3 2 7 3 2 5" xfId="11962"/>
    <cellStyle name="Normal 3 3 2 7 3 2 6" xfId="11963"/>
    <cellStyle name="Normal 3 3 2 7 3 2 7" xfId="11964"/>
    <cellStyle name="Normal 3 3 2 7 3 2 8" xfId="11965"/>
    <cellStyle name="Normal 3 3 2 7 3 2 9" xfId="11966"/>
    <cellStyle name="Normal 3 3 2 7 3 3" xfId="2843"/>
    <cellStyle name="Normal 3 3 2 7 3 3 10" xfId="11967"/>
    <cellStyle name="Normal 3 3 2 7 3 3 11" xfId="6734"/>
    <cellStyle name="Normal 3 3 2 7 3 3 2" xfId="11968"/>
    <cellStyle name="Normal 3 3 2 7 3 3 3" xfId="11969"/>
    <cellStyle name="Normal 3 3 2 7 3 3 4" xfId="11970"/>
    <cellStyle name="Normal 3 3 2 7 3 3 5" xfId="11971"/>
    <cellStyle name="Normal 3 3 2 7 3 3 6" xfId="11972"/>
    <cellStyle name="Normal 3 3 2 7 3 3 7" xfId="11973"/>
    <cellStyle name="Normal 3 3 2 7 3 3 8" xfId="11974"/>
    <cellStyle name="Normal 3 3 2 7 3 3 9" xfId="11975"/>
    <cellStyle name="Normal 3 3 2 7 3 4" xfId="11976"/>
    <cellStyle name="Normal 3 3 2 7 3 5" xfId="11977"/>
    <cellStyle name="Normal 3 3 2 7 3 6" xfId="11978"/>
    <cellStyle name="Normal 3 3 2 7 3 7" xfId="11979"/>
    <cellStyle name="Normal 3 3 2 7 3 8" xfId="11980"/>
    <cellStyle name="Normal 3 3 2 7 3 9" xfId="11981"/>
    <cellStyle name="Normal 3 3 2 7 4" xfId="155"/>
    <cellStyle name="Normal 3 3 2 7 4 10" xfId="11982"/>
    <cellStyle name="Normal 3 3 2 7 4 11" xfId="11983"/>
    <cellStyle name="Normal 3 3 2 7 4 12" xfId="11984"/>
    <cellStyle name="Normal 3 3 2 7 4 13" xfId="4168"/>
    <cellStyle name="Normal 3 3 2 7 4 2" xfId="2844"/>
    <cellStyle name="Normal 3 3 2 7 4 2 10" xfId="11985"/>
    <cellStyle name="Normal 3 3 2 7 4 2 11" xfId="6735"/>
    <cellStyle name="Normal 3 3 2 7 4 2 2" xfId="11986"/>
    <cellStyle name="Normal 3 3 2 7 4 2 3" xfId="11987"/>
    <cellStyle name="Normal 3 3 2 7 4 2 4" xfId="11988"/>
    <cellStyle name="Normal 3 3 2 7 4 2 5" xfId="11989"/>
    <cellStyle name="Normal 3 3 2 7 4 2 6" xfId="11990"/>
    <cellStyle name="Normal 3 3 2 7 4 2 7" xfId="11991"/>
    <cellStyle name="Normal 3 3 2 7 4 2 8" xfId="11992"/>
    <cellStyle name="Normal 3 3 2 7 4 2 9" xfId="11993"/>
    <cellStyle name="Normal 3 3 2 7 4 3" xfId="2845"/>
    <cellStyle name="Normal 3 3 2 7 4 3 10" xfId="11994"/>
    <cellStyle name="Normal 3 3 2 7 4 3 11" xfId="6736"/>
    <cellStyle name="Normal 3 3 2 7 4 3 2" xfId="11995"/>
    <cellStyle name="Normal 3 3 2 7 4 3 3" xfId="11996"/>
    <cellStyle name="Normal 3 3 2 7 4 3 4" xfId="11997"/>
    <cellStyle name="Normal 3 3 2 7 4 3 5" xfId="11998"/>
    <cellStyle name="Normal 3 3 2 7 4 3 6" xfId="11999"/>
    <cellStyle name="Normal 3 3 2 7 4 3 7" xfId="12000"/>
    <cellStyle name="Normal 3 3 2 7 4 3 8" xfId="12001"/>
    <cellStyle name="Normal 3 3 2 7 4 3 9" xfId="12002"/>
    <cellStyle name="Normal 3 3 2 7 4 4" xfId="12003"/>
    <cellStyle name="Normal 3 3 2 7 4 5" xfId="12004"/>
    <cellStyle name="Normal 3 3 2 7 4 6" xfId="12005"/>
    <cellStyle name="Normal 3 3 2 7 4 7" xfId="12006"/>
    <cellStyle name="Normal 3 3 2 7 4 8" xfId="12007"/>
    <cellStyle name="Normal 3 3 2 7 4 9" xfId="12008"/>
    <cellStyle name="Normal 3 3 2 7 5" xfId="618"/>
    <cellStyle name="Normal 3 3 2 7 5 10" xfId="12009"/>
    <cellStyle name="Normal 3 3 2 7 5 11" xfId="12010"/>
    <cellStyle name="Normal 3 3 2 7 5 12" xfId="12011"/>
    <cellStyle name="Normal 3 3 2 7 5 13" xfId="4554"/>
    <cellStyle name="Normal 3 3 2 7 5 2" xfId="2846"/>
    <cellStyle name="Normal 3 3 2 7 5 2 10" xfId="12012"/>
    <cellStyle name="Normal 3 3 2 7 5 2 11" xfId="6737"/>
    <cellStyle name="Normal 3 3 2 7 5 2 2" xfId="12013"/>
    <cellStyle name="Normal 3 3 2 7 5 2 3" xfId="12014"/>
    <cellStyle name="Normal 3 3 2 7 5 2 4" xfId="12015"/>
    <cellStyle name="Normal 3 3 2 7 5 2 5" xfId="12016"/>
    <cellStyle name="Normal 3 3 2 7 5 2 6" xfId="12017"/>
    <cellStyle name="Normal 3 3 2 7 5 2 7" xfId="12018"/>
    <cellStyle name="Normal 3 3 2 7 5 2 8" xfId="12019"/>
    <cellStyle name="Normal 3 3 2 7 5 2 9" xfId="12020"/>
    <cellStyle name="Normal 3 3 2 7 5 3" xfId="2847"/>
    <cellStyle name="Normal 3 3 2 7 5 3 10" xfId="12021"/>
    <cellStyle name="Normal 3 3 2 7 5 3 11" xfId="6738"/>
    <cellStyle name="Normal 3 3 2 7 5 3 2" xfId="12022"/>
    <cellStyle name="Normal 3 3 2 7 5 3 3" xfId="12023"/>
    <cellStyle name="Normal 3 3 2 7 5 3 4" xfId="12024"/>
    <cellStyle name="Normal 3 3 2 7 5 3 5" xfId="12025"/>
    <cellStyle name="Normal 3 3 2 7 5 3 6" xfId="12026"/>
    <cellStyle name="Normal 3 3 2 7 5 3 7" xfId="12027"/>
    <cellStyle name="Normal 3 3 2 7 5 3 8" xfId="12028"/>
    <cellStyle name="Normal 3 3 2 7 5 3 9" xfId="12029"/>
    <cellStyle name="Normal 3 3 2 7 5 4" xfId="12030"/>
    <cellStyle name="Normal 3 3 2 7 5 5" xfId="12031"/>
    <cellStyle name="Normal 3 3 2 7 5 6" xfId="12032"/>
    <cellStyle name="Normal 3 3 2 7 5 7" xfId="12033"/>
    <cellStyle name="Normal 3 3 2 7 5 8" xfId="12034"/>
    <cellStyle name="Normal 3 3 2 7 5 9" xfId="12035"/>
    <cellStyle name="Normal 3 3 2 7 6" xfId="920"/>
    <cellStyle name="Normal 3 3 2 7 6 10" xfId="12036"/>
    <cellStyle name="Normal 3 3 2 7 6 11" xfId="12037"/>
    <cellStyle name="Normal 3 3 2 7 6 12" xfId="12038"/>
    <cellStyle name="Normal 3 3 2 7 6 13" xfId="4843"/>
    <cellStyle name="Normal 3 3 2 7 6 2" xfId="2848"/>
    <cellStyle name="Normal 3 3 2 7 6 2 10" xfId="12039"/>
    <cellStyle name="Normal 3 3 2 7 6 2 11" xfId="6739"/>
    <cellStyle name="Normal 3 3 2 7 6 2 2" xfId="12040"/>
    <cellStyle name="Normal 3 3 2 7 6 2 3" xfId="12041"/>
    <cellStyle name="Normal 3 3 2 7 6 2 4" xfId="12042"/>
    <cellStyle name="Normal 3 3 2 7 6 2 5" xfId="12043"/>
    <cellStyle name="Normal 3 3 2 7 6 2 6" xfId="12044"/>
    <cellStyle name="Normal 3 3 2 7 6 2 7" xfId="12045"/>
    <cellStyle name="Normal 3 3 2 7 6 2 8" xfId="12046"/>
    <cellStyle name="Normal 3 3 2 7 6 2 9" xfId="12047"/>
    <cellStyle name="Normal 3 3 2 7 6 3" xfId="2849"/>
    <cellStyle name="Normal 3 3 2 7 6 3 10" xfId="12048"/>
    <cellStyle name="Normal 3 3 2 7 6 3 11" xfId="6740"/>
    <cellStyle name="Normal 3 3 2 7 6 3 2" xfId="12049"/>
    <cellStyle name="Normal 3 3 2 7 6 3 3" xfId="12050"/>
    <cellStyle name="Normal 3 3 2 7 6 3 4" xfId="12051"/>
    <cellStyle name="Normal 3 3 2 7 6 3 5" xfId="12052"/>
    <cellStyle name="Normal 3 3 2 7 6 3 6" xfId="12053"/>
    <cellStyle name="Normal 3 3 2 7 6 3 7" xfId="12054"/>
    <cellStyle name="Normal 3 3 2 7 6 3 8" xfId="12055"/>
    <cellStyle name="Normal 3 3 2 7 6 3 9" xfId="12056"/>
    <cellStyle name="Normal 3 3 2 7 6 4" xfId="12057"/>
    <cellStyle name="Normal 3 3 2 7 6 5" xfId="12058"/>
    <cellStyle name="Normal 3 3 2 7 6 6" xfId="12059"/>
    <cellStyle name="Normal 3 3 2 7 6 7" xfId="12060"/>
    <cellStyle name="Normal 3 3 2 7 6 8" xfId="12061"/>
    <cellStyle name="Normal 3 3 2 7 6 9" xfId="12062"/>
    <cellStyle name="Normal 3 3 2 7 7" xfId="922"/>
    <cellStyle name="Normal 3 3 2 7 7 10" xfId="12063"/>
    <cellStyle name="Normal 3 3 2 7 7 11" xfId="4846"/>
    <cellStyle name="Normal 3 3 2 7 7 2" xfId="12064"/>
    <cellStyle name="Normal 3 3 2 7 7 3" xfId="12065"/>
    <cellStyle name="Normal 3 3 2 7 7 4" xfId="12066"/>
    <cellStyle name="Normal 3 3 2 7 7 5" xfId="12067"/>
    <cellStyle name="Normal 3 3 2 7 7 6" xfId="12068"/>
    <cellStyle name="Normal 3 3 2 7 7 7" xfId="12069"/>
    <cellStyle name="Normal 3 3 2 7 7 8" xfId="12070"/>
    <cellStyle name="Normal 3 3 2 7 7 9" xfId="12071"/>
    <cellStyle name="Normal 3 3 2 7 8" xfId="925"/>
    <cellStyle name="Normal 3 3 2 7 8 10" xfId="12072"/>
    <cellStyle name="Normal 3 3 2 7 8 11" xfId="4850"/>
    <cellStyle name="Normal 3 3 2 7 8 2" xfId="12073"/>
    <cellStyle name="Normal 3 3 2 7 8 3" xfId="12074"/>
    <cellStyle name="Normal 3 3 2 7 8 4" xfId="12075"/>
    <cellStyle name="Normal 3 3 2 7 8 5" xfId="12076"/>
    <cellStyle name="Normal 3 3 2 7 8 6" xfId="12077"/>
    <cellStyle name="Normal 3 3 2 7 8 7" xfId="12078"/>
    <cellStyle name="Normal 3 3 2 7 8 8" xfId="12079"/>
    <cellStyle name="Normal 3 3 2 7 8 9" xfId="12080"/>
    <cellStyle name="Normal 3 3 2 7 9" xfId="12081"/>
    <cellStyle name="Normal 3 3 2 8" xfId="1765"/>
    <cellStyle name="Normal 3 3 2 8 10" xfId="12082"/>
    <cellStyle name="Normal 3 3 2 8 11" xfId="12083"/>
    <cellStyle name="Normal 3 3 2 8 12" xfId="12084"/>
    <cellStyle name="Normal 3 3 2 8 13" xfId="5675"/>
    <cellStyle name="Normal 3 3 2 8 2" xfId="1767"/>
    <cellStyle name="Normal 3 3 2 8 2 10" xfId="12085"/>
    <cellStyle name="Normal 3 3 2 8 2 11" xfId="5677"/>
    <cellStyle name="Normal 3 3 2 8 2 2" xfId="12086"/>
    <cellStyle name="Normal 3 3 2 8 2 3" xfId="12087"/>
    <cellStyle name="Normal 3 3 2 8 2 4" xfId="12088"/>
    <cellStyle name="Normal 3 3 2 8 2 5" xfId="12089"/>
    <cellStyle name="Normal 3 3 2 8 2 6" xfId="12090"/>
    <cellStyle name="Normal 3 3 2 8 2 7" xfId="12091"/>
    <cellStyle name="Normal 3 3 2 8 2 8" xfId="12092"/>
    <cellStyle name="Normal 3 3 2 8 2 9" xfId="12093"/>
    <cellStyle name="Normal 3 3 2 8 3" xfId="1769"/>
    <cellStyle name="Normal 3 3 2 8 3 10" xfId="12094"/>
    <cellStyle name="Normal 3 3 2 8 3 11" xfId="5679"/>
    <cellStyle name="Normal 3 3 2 8 3 2" xfId="12095"/>
    <cellStyle name="Normal 3 3 2 8 3 3" xfId="12096"/>
    <cellStyle name="Normal 3 3 2 8 3 4" xfId="12097"/>
    <cellStyle name="Normal 3 3 2 8 3 5" xfId="12098"/>
    <cellStyle name="Normal 3 3 2 8 3 6" xfId="12099"/>
    <cellStyle name="Normal 3 3 2 8 3 7" xfId="12100"/>
    <cellStyle name="Normal 3 3 2 8 3 8" xfId="12101"/>
    <cellStyle name="Normal 3 3 2 8 3 9" xfId="12102"/>
    <cellStyle name="Normal 3 3 2 8 4" xfId="12103"/>
    <cellStyle name="Normal 3 3 2 8 5" xfId="12104"/>
    <cellStyle name="Normal 3 3 2 8 6" xfId="12105"/>
    <cellStyle name="Normal 3 3 2 8 7" xfId="12106"/>
    <cellStyle name="Normal 3 3 2 8 8" xfId="12107"/>
    <cellStyle name="Normal 3 3 2 8 9" xfId="12108"/>
    <cellStyle name="Normal 3 3 2 9" xfId="1771"/>
    <cellStyle name="Normal 3 3 2 9 10" xfId="12109"/>
    <cellStyle name="Normal 3 3 2 9 11" xfId="12110"/>
    <cellStyle name="Normal 3 3 2 9 12" xfId="12111"/>
    <cellStyle name="Normal 3 3 2 9 13" xfId="5681"/>
    <cellStyle name="Normal 3 3 2 9 2" xfId="2850"/>
    <cellStyle name="Normal 3 3 2 9 2 10" xfId="12112"/>
    <cellStyle name="Normal 3 3 2 9 2 11" xfId="6741"/>
    <cellStyle name="Normal 3 3 2 9 2 2" xfId="12113"/>
    <cellStyle name="Normal 3 3 2 9 2 3" xfId="12114"/>
    <cellStyle name="Normal 3 3 2 9 2 4" xfId="12115"/>
    <cellStyle name="Normal 3 3 2 9 2 5" xfId="12116"/>
    <cellStyle name="Normal 3 3 2 9 2 6" xfId="12117"/>
    <cellStyle name="Normal 3 3 2 9 2 7" xfId="12118"/>
    <cellStyle name="Normal 3 3 2 9 2 8" xfId="12119"/>
    <cellStyle name="Normal 3 3 2 9 2 9" xfId="12120"/>
    <cellStyle name="Normal 3 3 2 9 3" xfId="2851"/>
    <cellStyle name="Normal 3 3 2 9 3 10" xfId="12121"/>
    <cellStyle name="Normal 3 3 2 9 3 11" xfId="6742"/>
    <cellStyle name="Normal 3 3 2 9 3 2" xfId="12122"/>
    <cellStyle name="Normal 3 3 2 9 3 3" xfId="12123"/>
    <cellStyle name="Normal 3 3 2 9 3 4" xfId="12124"/>
    <cellStyle name="Normal 3 3 2 9 3 5" xfId="12125"/>
    <cellStyle name="Normal 3 3 2 9 3 6" xfId="12126"/>
    <cellStyle name="Normal 3 3 2 9 3 7" xfId="12127"/>
    <cellStyle name="Normal 3 3 2 9 3 8" xfId="12128"/>
    <cellStyle name="Normal 3 3 2 9 3 9" xfId="12129"/>
    <cellStyle name="Normal 3 3 2 9 4" xfId="12130"/>
    <cellStyle name="Normal 3 3 2 9 5" xfId="12131"/>
    <cellStyle name="Normal 3 3 2 9 6" xfId="12132"/>
    <cellStyle name="Normal 3 3 2 9 7" xfId="12133"/>
    <cellStyle name="Normal 3 3 2 9 8" xfId="12134"/>
    <cellStyle name="Normal 3 3 2 9 9" xfId="12135"/>
    <cellStyle name="Normal 3 3 2_Achampally-Gattubuthkur-Ganga-CRR" xfId="2853"/>
    <cellStyle name="Normal 3 3 3" xfId="1207"/>
    <cellStyle name="Normal 3 3 3 2" xfId="5127"/>
    <cellStyle name="Normal 3 3 4" xfId="12136"/>
    <cellStyle name="Normal 3 3 4 2" xfId="12137"/>
    <cellStyle name="Normal 3 3 5" xfId="12138"/>
    <cellStyle name="Normal 3 3 6" xfId="12139"/>
    <cellStyle name="Normal 3 3 7" xfId="6501"/>
    <cellStyle name="Normal 3 3_2bhk_19122016" xfId="12140"/>
    <cellStyle name="Normal 3 4" xfId="380"/>
    <cellStyle name="Normal 3 4 2" xfId="2854"/>
    <cellStyle name="Normal 3 4 2 2" xfId="6744"/>
    <cellStyle name="Normal 3 4 3" xfId="1210"/>
    <cellStyle name="Normal 3 4 3 2" xfId="5130"/>
    <cellStyle name="Normal 3 4 4" xfId="4322"/>
    <cellStyle name="Normal 3 5" xfId="2609"/>
    <cellStyle name="Normal 3 5 10" xfId="12141"/>
    <cellStyle name="Normal 3 5 11" xfId="556"/>
    <cellStyle name="Normal 3 5 11 10" xfId="12142"/>
    <cellStyle name="Normal 3 5 11 11" xfId="12143"/>
    <cellStyle name="Normal 3 5 11 12" xfId="12144"/>
    <cellStyle name="Normal 3 5 11 13" xfId="12145"/>
    <cellStyle name="Normal 3 5 11 14" xfId="12146"/>
    <cellStyle name="Normal 3 5 11 15" xfId="4488"/>
    <cellStyle name="Normal 3 5 11 2" xfId="2855"/>
    <cellStyle name="Normal 3 5 11 2 10" xfId="12147"/>
    <cellStyle name="Normal 3 5 11 2 11" xfId="12148"/>
    <cellStyle name="Normal 3 5 11 2 12" xfId="12149"/>
    <cellStyle name="Normal 3 5 11 2 13" xfId="6745"/>
    <cellStyle name="Normal 3 5 11 2 2" xfId="2856"/>
    <cellStyle name="Normal 3 5 11 2 2 10" xfId="12150"/>
    <cellStyle name="Normal 3 5 11 2 2 11" xfId="6746"/>
    <cellStyle name="Normal 3 5 11 2 2 2" xfId="12151"/>
    <cellStyle name="Normal 3 5 11 2 2 3" xfId="12152"/>
    <cellStyle name="Normal 3 5 11 2 2 4" xfId="12153"/>
    <cellStyle name="Normal 3 5 11 2 2 5" xfId="12154"/>
    <cellStyle name="Normal 3 5 11 2 2 6" xfId="12155"/>
    <cellStyle name="Normal 3 5 11 2 2 7" xfId="12156"/>
    <cellStyle name="Normal 3 5 11 2 2 8" xfId="12157"/>
    <cellStyle name="Normal 3 5 11 2 2 9" xfId="12158"/>
    <cellStyle name="Normal 3 5 11 2 3" xfId="1355"/>
    <cellStyle name="Normal 3 5 11 2 3 10" xfId="12159"/>
    <cellStyle name="Normal 3 5 11 2 3 11" xfId="5274"/>
    <cellStyle name="Normal 3 5 11 2 3 2" xfId="12160"/>
    <cellStyle name="Normal 3 5 11 2 3 3" xfId="12161"/>
    <cellStyle name="Normal 3 5 11 2 3 4" xfId="12162"/>
    <cellStyle name="Normal 3 5 11 2 3 5" xfId="12163"/>
    <cellStyle name="Normal 3 5 11 2 3 6" xfId="12164"/>
    <cellStyle name="Normal 3 5 11 2 3 7" xfId="12165"/>
    <cellStyle name="Normal 3 5 11 2 3 8" xfId="12166"/>
    <cellStyle name="Normal 3 5 11 2 3 9" xfId="12167"/>
    <cellStyle name="Normal 3 5 11 2 4" xfId="12168"/>
    <cellStyle name="Normal 3 5 11 2 5" xfId="12169"/>
    <cellStyle name="Normal 3 5 11 2 6" xfId="12170"/>
    <cellStyle name="Normal 3 5 11 2 7" xfId="12171"/>
    <cellStyle name="Normal 3 5 11 2 8" xfId="12172"/>
    <cellStyle name="Normal 3 5 11 2 9" xfId="12173"/>
    <cellStyle name="Normal 3 5 11 3" xfId="2857"/>
    <cellStyle name="Normal 3 5 11 3 10" xfId="12174"/>
    <cellStyle name="Normal 3 5 11 3 11" xfId="12175"/>
    <cellStyle name="Normal 3 5 11 3 12" xfId="12176"/>
    <cellStyle name="Normal 3 5 11 3 13" xfId="6747"/>
    <cellStyle name="Normal 3 5 11 3 2" xfId="2858"/>
    <cellStyle name="Normal 3 5 11 3 2 10" xfId="12177"/>
    <cellStyle name="Normal 3 5 11 3 2 11" xfId="6748"/>
    <cellStyle name="Normal 3 5 11 3 2 2" xfId="12178"/>
    <cellStyle name="Normal 3 5 11 3 2 3" xfId="12179"/>
    <cellStyle name="Normal 3 5 11 3 2 4" xfId="12180"/>
    <cellStyle name="Normal 3 5 11 3 2 5" xfId="12181"/>
    <cellStyle name="Normal 3 5 11 3 2 6" xfId="12182"/>
    <cellStyle name="Normal 3 5 11 3 2 7" xfId="12183"/>
    <cellStyle name="Normal 3 5 11 3 2 8" xfId="12184"/>
    <cellStyle name="Normal 3 5 11 3 2 9" xfId="12185"/>
    <cellStyle name="Normal 3 5 11 3 3" xfId="75"/>
    <cellStyle name="Normal 3 5 11 3 3 10" xfId="12186"/>
    <cellStyle name="Normal 3 5 11 3 3 11" xfId="4023"/>
    <cellStyle name="Normal 3 5 11 3 3 2" xfId="12187"/>
    <cellStyle name="Normal 3 5 11 3 3 3" xfId="12188"/>
    <cellStyle name="Normal 3 5 11 3 3 4" xfId="12189"/>
    <cellStyle name="Normal 3 5 11 3 3 5" xfId="12190"/>
    <cellStyle name="Normal 3 5 11 3 3 6" xfId="12191"/>
    <cellStyle name="Normal 3 5 11 3 3 7" xfId="12192"/>
    <cellStyle name="Normal 3 5 11 3 3 8" xfId="12193"/>
    <cellStyle name="Normal 3 5 11 3 3 9" xfId="12194"/>
    <cellStyle name="Normal 3 5 11 3 4" xfId="12195"/>
    <cellStyle name="Normal 3 5 11 3 5" xfId="12196"/>
    <cellStyle name="Normal 3 5 11 3 6" xfId="12197"/>
    <cellStyle name="Normal 3 5 11 3 7" xfId="12198"/>
    <cellStyle name="Normal 3 5 11 3 8" xfId="12199"/>
    <cellStyle name="Normal 3 5 11 3 9" xfId="12200"/>
    <cellStyle name="Normal 3 5 11 4" xfId="2859"/>
    <cellStyle name="Normal 3 5 11 4 10" xfId="12201"/>
    <cellStyle name="Normal 3 5 11 4 11" xfId="6749"/>
    <cellStyle name="Normal 3 5 11 4 2" xfId="12202"/>
    <cellStyle name="Normal 3 5 11 4 3" xfId="12203"/>
    <cellStyle name="Normal 3 5 11 4 4" xfId="12204"/>
    <cellStyle name="Normal 3 5 11 4 5" xfId="12205"/>
    <cellStyle name="Normal 3 5 11 4 6" xfId="12206"/>
    <cellStyle name="Normal 3 5 11 4 7" xfId="12207"/>
    <cellStyle name="Normal 3 5 11 4 8" xfId="12208"/>
    <cellStyle name="Normal 3 5 11 4 9" xfId="12209"/>
    <cellStyle name="Normal 3 5 11 5" xfId="2860"/>
    <cellStyle name="Normal 3 5 11 5 10" xfId="12210"/>
    <cellStyle name="Normal 3 5 11 5 11" xfId="6750"/>
    <cellStyle name="Normal 3 5 11 5 2" xfId="12211"/>
    <cellStyle name="Normal 3 5 11 5 3" xfId="12212"/>
    <cellStyle name="Normal 3 5 11 5 4" xfId="12213"/>
    <cellStyle name="Normal 3 5 11 5 5" xfId="12214"/>
    <cellStyle name="Normal 3 5 11 5 6" xfId="12215"/>
    <cellStyle name="Normal 3 5 11 5 7" xfId="12216"/>
    <cellStyle name="Normal 3 5 11 5 8" xfId="12217"/>
    <cellStyle name="Normal 3 5 11 5 9" xfId="12218"/>
    <cellStyle name="Normal 3 5 11 6" xfId="12219"/>
    <cellStyle name="Normal 3 5 11 7" xfId="12220"/>
    <cellStyle name="Normal 3 5 11 8" xfId="12221"/>
    <cellStyle name="Normal 3 5 11 9" xfId="12222"/>
    <cellStyle name="Normal 3 5 12" xfId="12223"/>
    <cellStyle name="Normal 3 5 13" xfId="12224"/>
    <cellStyle name="Normal 3 5 14" xfId="12225"/>
    <cellStyle name="Normal 3 5 15" xfId="12226"/>
    <cellStyle name="Normal 3 5 16" xfId="12227"/>
    <cellStyle name="Normal 3 5 17" xfId="12228"/>
    <cellStyle name="Normal 3 5 18" xfId="12229"/>
    <cellStyle name="Normal 3 5 19" xfId="6503"/>
    <cellStyle name="Normal 3 5 2" xfId="2861"/>
    <cellStyle name="Normal 3 5 2 2" xfId="6751"/>
    <cellStyle name="Normal 3 5 3" xfId="202"/>
    <cellStyle name="Normal 3 5 3 2" xfId="4176"/>
    <cellStyle name="Normal 3 5 4" xfId="1222"/>
    <cellStyle name="Normal 3 5 4 2" xfId="5142"/>
    <cellStyle name="Normal 3 5 5" xfId="947"/>
    <cellStyle name="Normal 3 5 5 2" xfId="4871"/>
    <cellStyle name="Normal 3 5 6" xfId="951"/>
    <cellStyle name="Normal 3 5 6 2" xfId="4875"/>
    <cellStyle name="Normal 3 5 7" xfId="954"/>
    <cellStyle name="Normal 3 5 7 2" xfId="4878"/>
    <cellStyle name="Normal 3 5 8" xfId="957"/>
    <cellStyle name="Normal 3 5 8 2" xfId="4882"/>
    <cellStyle name="Normal 3 5 9" xfId="12230"/>
    <cellStyle name="Normal 3 6" xfId="2611"/>
    <cellStyle name="Normal 3 6 10" xfId="2862"/>
    <cellStyle name="Normal 3 6 10 2" xfId="6752"/>
    <cellStyle name="Normal 3 6 11" xfId="2863"/>
    <cellStyle name="Normal 3 6 11 10" xfId="12231"/>
    <cellStyle name="Normal 3 6 11 11" xfId="12232"/>
    <cellStyle name="Normal 3 6 11 12" xfId="12233"/>
    <cellStyle name="Normal 3 6 11 13" xfId="12234"/>
    <cellStyle name="Normal 3 6 11 14" xfId="12235"/>
    <cellStyle name="Normal 3 6 11 15" xfId="12236"/>
    <cellStyle name="Normal 3 6 11 16" xfId="6753"/>
    <cellStyle name="Normal 3 6 11 2" xfId="1986"/>
    <cellStyle name="Normal 3 6 11 2 2" xfId="5890"/>
    <cellStyle name="Normal 3 6 11 3" xfId="2864"/>
    <cellStyle name="Normal 3 6 11 3 10" xfId="12237"/>
    <cellStyle name="Normal 3 6 11 3 11" xfId="12238"/>
    <cellStyle name="Normal 3 6 11 3 12" xfId="12239"/>
    <cellStyle name="Normal 3 6 11 3 13" xfId="6754"/>
    <cellStyle name="Normal 3 6 11 3 2" xfId="2865"/>
    <cellStyle name="Normal 3 6 11 3 2 10" xfId="12240"/>
    <cellStyle name="Normal 3 6 11 3 2 11" xfId="6755"/>
    <cellStyle name="Normal 3 6 11 3 2 2" xfId="12241"/>
    <cellStyle name="Normal 3 6 11 3 2 3" xfId="12242"/>
    <cellStyle name="Normal 3 6 11 3 2 4" xfId="12243"/>
    <cellStyle name="Normal 3 6 11 3 2 5" xfId="12244"/>
    <cellStyle name="Normal 3 6 11 3 2 6" xfId="12245"/>
    <cellStyle name="Normal 3 6 11 3 2 7" xfId="12246"/>
    <cellStyle name="Normal 3 6 11 3 2 8" xfId="12247"/>
    <cellStyle name="Normal 3 6 11 3 2 9" xfId="12248"/>
    <cellStyle name="Normal 3 6 11 3 3" xfId="2866"/>
    <cellStyle name="Normal 3 6 11 3 3 10" xfId="12249"/>
    <cellStyle name="Normal 3 6 11 3 3 11" xfId="6756"/>
    <cellStyle name="Normal 3 6 11 3 3 2" xfId="12250"/>
    <cellStyle name="Normal 3 6 11 3 3 3" xfId="12251"/>
    <cellStyle name="Normal 3 6 11 3 3 4" xfId="12252"/>
    <cellStyle name="Normal 3 6 11 3 3 5" xfId="12253"/>
    <cellStyle name="Normal 3 6 11 3 3 6" xfId="12254"/>
    <cellStyle name="Normal 3 6 11 3 3 7" xfId="12255"/>
    <cellStyle name="Normal 3 6 11 3 3 8" xfId="12256"/>
    <cellStyle name="Normal 3 6 11 3 3 9" xfId="12257"/>
    <cellStyle name="Normal 3 6 11 3 4" xfId="12258"/>
    <cellStyle name="Normal 3 6 11 3 5" xfId="12259"/>
    <cellStyle name="Normal 3 6 11 3 6" xfId="12260"/>
    <cellStyle name="Normal 3 6 11 3 7" xfId="12261"/>
    <cellStyle name="Normal 3 6 11 3 8" xfId="12262"/>
    <cellStyle name="Normal 3 6 11 3 9" xfId="12263"/>
    <cellStyle name="Normal 3 6 11 4" xfId="2867"/>
    <cellStyle name="Normal 3 6 11 4 10" xfId="12264"/>
    <cellStyle name="Normal 3 6 11 4 11" xfId="12265"/>
    <cellStyle name="Normal 3 6 11 4 12" xfId="12266"/>
    <cellStyle name="Normal 3 6 11 4 13" xfId="6757"/>
    <cellStyle name="Normal 3 6 11 4 2" xfId="1264"/>
    <cellStyle name="Normal 3 6 11 4 2 10" xfId="12267"/>
    <cellStyle name="Normal 3 6 11 4 2 11" xfId="5184"/>
    <cellStyle name="Normal 3 6 11 4 2 2" xfId="12268"/>
    <cellStyle name="Normal 3 6 11 4 2 3" xfId="12269"/>
    <cellStyle name="Normal 3 6 11 4 2 4" xfId="12270"/>
    <cellStyle name="Normal 3 6 11 4 2 5" xfId="12271"/>
    <cellStyle name="Normal 3 6 11 4 2 6" xfId="12272"/>
    <cellStyle name="Normal 3 6 11 4 2 7" xfId="12273"/>
    <cellStyle name="Normal 3 6 11 4 2 8" xfId="12274"/>
    <cellStyle name="Normal 3 6 11 4 2 9" xfId="12275"/>
    <cellStyle name="Normal 3 6 11 4 3" xfId="1267"/>
    <cellStyle name="Normal 3 6 11 4 3 10" xfId="12276"/>
    <cellStyle name="Normal 3 6 11 4 3 11" xfId="5187"/>
    <cellStyle name="Normal 3 6 11 4 3 2" xfId="12277"/>
    <cellStyle name="Normal 3 6 11 4 3 3" xfId="12278"/>
    <cellStyle name="Normal 3 6 11 4 3 4" xfId="12279"/>
    <cellStyle name="Normal 3 6 11 4 3 5" xfId="12280"/>
    <cellStyle name="Normal 3 6 11 4 3 6" xfId="12281"/>
    <cellStyle name="Normal 3 6 11 4 3 7" xfId="12282"/>
    <cellStyle name="Normal 3 6 11 4 3 8" xfId="12283"/>
    <cellStyle name="Normal 3 6 11 4 3 9" xfId="12284"/>
    <cellStyle name="Normal 3 6 11 4 4" xfId="12285"/>
    <cellStyle name="Normal 3 6 11 4 5" xfId="12286"/>
    <cellStyle name="Normal 3 6 11 4 6" xfId="12287"/>
    <cellStyle name="Normal 3 6 11 4 7" xfId="12288"/>
    <cellStyle name="Normal 3 6 11 4 8" xfId="12289"/>
    <cellStyle name="Normal 3 6 11 4 9" xfId="12290"/>
    <cellStyle name="Normal 3 6 11 5" xfId="2868"/>
    <cellStyle name="Normal 3 6 11 5 10" xfId="12291"/>
    <cellStyle name="Normal 3 6 11 5 11" xfId="6758"/>
    <cellStyle name="Normal 3 6 11 5 2" xfId="12292"/>
    <cellStyle name="Normal 3 6 11 5 3" xfId="12293"/>
    <cellStyle name="Normal 3 6 11 5 4" xfId="12294"/>
    <cellStyle name="Normal 3 6 11 5 5" xfId="12295"/>
    <cellStyle name="Normal 3 6 11 5 6" xfId="12296"/>
    <cellStyle name="Normal 3 6 11 5 7" xfId="12297"/>
    <cellStyle name="Normal 3 6 11 5 8" xfId="12298"/>
    <cellStyle name="Normal 3 6 11 5 9" xfId="12299"/>
    <cellStyle name="Normal 3 6 11 6" xfId="2869"/>
    <cellStyle name="Normal 3 6 11 6 10" xfId="12300"/>
    <cellStyle name="Normal 3 6 11 6 11" xfId="6759"/>
    <cellStyle name="Normal 3 6 11 6 2" xfId="12301"/>
    <cellStyle name="Normal 3 6 11 6 3" xfId="12302"/>
    <cellStyle name="Normal 3 6 11 6 4" xfId="12303"/>
    <cellStyle name="Normal 3 6 11 6 5" xfId="12304"/>
    <cellStyle name="Normal 3 6 11 6 6" xfId="12305"/>
    <cellStyle name="Normal 3 6 11 6 7" xfId="12306"/>
    <cellStyle name="Normal 3 6 11 6 8" xfId="12307"/>
    <cellStyle name="Normal 3 6 11 6 9" xfId="12308"/>
    <cellStyle name="Normal 3 6 11 7" xfId="12309"/>
    <cellStyle name="Normal 3 6 11 8" xfId="12310"/>
    <cellStyle name="Normal 3 6 11 9" xfId="12311"/>
    <cellStyle name="Normal 3 6 11_Corrected Spl Task information Peddapalli Division" xfId="2870"/>
    <cellStyle name="Normal 3 6 12" xfId="12312"/>
    <cellStyle name="Normal 3 6 13" xfId="12313"/>
    <cellStyle name="Normal 3 6 14" xfId="12314"/>
    <cellStyle name="Normal 3 6 15" xfId="12315"/>
    <cellStyle name="Normal 3 6 16" xfId="12316"/>
    <cellStyle name="Normal 3 6 17" xfId="12317"/>
    <cellStyle name="Normal 3 6 18" xfId="12318"/>
    <cellStyle name="Normal 3 6 19" xfId="12319"/>
    <cellStyle name="Normal 3 6 2" xfId="2871"/>
    <cellStyle name="Normal 3 6 2 2" xfId="6760"/>
    <cellStyle name="Normal 3 6 20" xfId="12320"/>
    <cellStyle name="Normal 3 6 21" xfId="6505"/>
    <cellStyle name="Normal 3 6 3" xfId="1226"/>
    <cellStyle name="Normal 3 6 3 2" xfId="2872"/>
    <cellStyle name="Normal 3 6 3 2 2" xfId="6761"/>
    <cellStyle name="Normal 3 6 3 3" xfId="2873"/>
    <cellStyle name="Normal 3 6 3 3 10" xfId="12321"/>
    <cellStyle name="Normal 3 6 3 3 11" xfId="12322"/>
    <cellStyle name="Normal 3 6 3 3 12" xfId="12323"/>
    <cellStyle name="Normal 3 6 3 3 13" xfId="6762"/>
    <cellStyle name="Normal 3 6 3 3 2" xfId="2874"/>
    <cellStyle name="Normal 3 6 3 3 2 10" xfId="12324"/>
    <cellStyle name="Normal 3 6 3 3 2 11" xfId="6763"/>
    <cellStyle name="Normal 3 6 3 3 2 2" xfId="12325"/>
    <cellStyle name="Normal 3 6 3 3 2 3" xfId="12326"/>
    <cellStyle name="Normal 3 6 3 3 2 4" xfId="12327"/>
    <cellStyle name="Normal 3 6 3 3 2 5" xfId="12328"/>
    <cellStyle name="Normal 3 6 3 3 2 6" xfId="12329"/>
    <cellStyle name="Normal 3 6 3 3 2 7" xfId="12330"/>
    <cellStyle name="Normal 3 6 3 3 2 8" xfId="12331"/>
    <cellStyle name="Normal 3 6 3 3 2 9" xfId="12332"/>
    <cellStyle name="Normal 3 6 3 3 3" xfId="2875"/>
    <cellStyle name="Normal 3 6 3 3 3 10" xfId="12333"/>
    <cellStyle name="Normal 3 6 3 3 3 11" xfId="6764"/>
    <cellStyle name="Normal 3 6 3 3 3 2" xfId="12334"/>
    <cellStyle name="Normal 3 6 3 3 3 3" xfId="12335"/>
    <cellStyle name="Normal 3 6 3 3 3 4" xfId="12336"/>
    <cellStyle name="Normal 3 6 3 3 3 5" xfId="12337"/>
    <cellStyle name="Normal 3 6 3 3 3 6" xfId="12338"/>
    <cellStyle name="Normal 3 6 3 3 3 7" xfId="12339"/>
    <cellStyle name="Normal 3 6 3 3 3 8" xfId="12340"/>
    <cellStyle name="Normal 3 6 3 3 3 9" xfId="12341"/>
    <cellStyle name="Normal 3 6 3 3 4" xfId="12342"/>
    <cellStyle name="Normal 3 6 3 3 5" xfId="12343"/>
    <cellStyle name="Normal 3 6 3 3 6" xfId="12344"/>
    <cellStyle name="Normal 3 6 3 3 7" xfId="12345"/>
    <cellStyle name="Normal 3 6 3 3 8" xfId="12346"/>
    <cellStyle name="Normal 3 6 3 3 9" xfId="12347"/>
    <cellStyle name="Normal 3 6 3 4" xfId="2876"/>
    <cellStyle name="Normal 3 6 3 4 10" xfId="12348"/>
    <cellStyle name="Normal 3 6 3 4 11" xfId="12349"/>
    <cellStyle name="Normal 3 6 3 4 12" xfId="12350"/>
    <cellStyle name="Normal 3 6 3 4 13" xfId="6765"/>
    <cellStyle name="Normal 3 6 3 4 2" xfId="1076"/>
    <cellStyle name="Normal 3 6 3 4 2 10" xfId="12351"/>
    <cellStyle name="Normal 3 6 3 4 2 11" xfId="4993"/>
    <cellStyle name="Normal 3 6 3 4 2 2" xfId="12352"/>
    <cellStyle name="Normal 3 6 3 4 2 3" xfId="12353"/>
    <cellStyle name="Normal 3 6 3 4 2 4" xfId="12354"/>
    <cellStyle name="Normal 3 6 3 4 2 5" xfId="12355"/>
    <cellStyle name="Normal 3 6 3 4 2 6" xfId="12356"/>
    <cellStyle name="Normal 3 6 3 4 2 7" xfId="12357"/>
    <cellStyle name="Normal 3 6 3 4 2 8" xfId="12358"/>
    <cellStyle name="Normal 3 6 3 4 2 9" xfId="12359"/>
    <cellStyle name="Normal 3 6 3 4 3" xfId="1082"/>
    <cellStyle name="Normal 3 6 3 4 3 10" xfId="12360"/>
    <cellStyle name="Normal 3 6 3 4 3 11" xfId="4999"/>
    <cellStyle name="Normal 3 6 3 4 3 2" xfId="12361"/>
    <cellStyle name="Normal 3 6 3 4 3 3" xfId="12362"/>
    <cellStyle name="Normal 3 6 3 4 3 4" xfId="12363"/>
    <cellStyle name="Normal 3 6 3 4 3 5" xfId="12364"/>
    <cellStyle name="Normal 3 6 3 4 3 6" xfId="12365"/>
    <cellStyle name="Normal 3 6 3 4 3 7" xfId="12366"/>
    <cellStyle name="Normal 3 6 3 4 3 8" xfId="12367"/>
    <cellStyle name="Normal 3 6 3 4 3 9" xfId="12368"/>
    <cellStyle name="Normal 3 6 3 4 4" xfId="12369"/>
    <cellStyle name="Normal 3 6 3 4 5" xfId="12370"/>
    <cellStyle name="Normal 3 6 3 4 6" xfId="12371"/>
    <cellStyle name="Normal 3 6 3 4 7" xfId="12372"/>
    <cellStyle name="Normal 3 6 3 4 8" xfId="12373"/>
    <cellStyle name="Normal 3 6 3 4 9" xfId="12374"/>
    <cellStyle name="Normal 3 6 3 5" xfId="5144"/>
    <cellStyle name="Normal 3 6 3_Corrected Spl Task information Peddapalli Division" xfId="2879"/>
    <cellStyle name="Normal 3 6 4" xfId="734"/>
    <cellStyle name="Normal 3 6 4 2" xfId="4661"/>
    <cellStyle name="Normal 3 6 5" xfId="743"/>
    <cellStyle name="Normal 3 6 5 2" xfId="2880"/>
    <cellStyle name="Normal 3 6 5 2 10" xfId="12375"/>
    <cellStyle name="Normal 3 6 5 2 11" xfId="12376"/>
    <cellStyle name="Normal 3 6 5 2 12" xfId="12377"/>
    <cellStyle name="Normal 3 6 5 2 13" xfId="6768"/>
    <cellStyle name="Normal 3 6 5 2 2" xfId="2881"/>
    <cellStyle name="Normal 3 6 5 2 2 10" xfId="12378"/>
    <cellStyle name="Normal 3 6 5 2 2 11" xfId="6769"/>
    <cellStyle name="Normal 3 6 5 2 2 2" xfId="12379"/>
    <cellStyle name="Normal 3 6 5 2 2 3" xfId="12380"/>
    <cellStyle name="Normal 3 6 5 2 2 4" xfId="12381"/>
    <cellStyle name="Normal 3 6 5 2 2 5" xfId="12382"/>
    <cellStyle name="Normal 3 6 5 2 2 6" xfId="12383"/>
    <cellStyle name="Normal 3 6 5 2 2 7" xfId="12384"/>
    <cellStyle name="Normal 3 6 5 2 2 8" xfId="12385"/>
    <cellStyle name="Normal 3 6 5 2 2 9" xfId="12386"/>
    <cellStyle name="Normal 3 6 5 2 3" xfId="2882"/>
    <cellStyle name="Normal 3 6 5 2 3 10" xfId="12387"/>
    <cellStyle name="Normal 3 6 5 2 3 11" xfId="6770"/>
    <cellStyle name="Normal 3 6 5 2 3 2" xfId="12388"/>
    <cellStyle name="Normal 3 6 5 2 3 3" xfId="12389"/>
    <cellStyle name="Normal 3 6 5 2 3 4" xfId="12390"/>
    <cellStyle name="Normal 3 6 5 2 3 5" xfId="12391"/>
    <cellStyle name="Normal 3 6 5 2 3 6" xfId="12392"/>
    <cellStyle name="Normal 3 6 5 2 3 7" xfId="12393"/>
    <cellStyle name="Normal 3 6 5 2 3 8" xfId="12394"/>
    <cellStyle name="Normal 3 6 5 2 3 9" xfId="12395"/>
    <cellStyle name="Normal 3 6 5 2 4" xfId="12396"/>
    <cellStyle name="Normal 3 6 5 2 5" xfId="12397"/>
    <cellStyle name="Normal 3 6 5 2 6" xfId="12398"/>
    <cellStyle name="Normal 3 6 5 2 7" xfId="12399"/>
    <cellStyle name="Normal 3 6 5 2 8" xfId="12400"/>
    <cellStyle name="Normal 3 6 5 2 9" xfId="12401"/>
    <cellStyle name="Normal 3 6 5 3" xfId="2883"/>
    <cellStyle name="Normal 3 6 5 3 10" xfId="12402"/>
    <cellStyle name="Normal 3 6 5 3 11" xfId="12403"/>
    <cellStyle name="Normal 3 6 5 3 12" xfId="12404"/>
    <cellStyle name="Normal 3 6 5 3 13" xfId="6771"/>
    <cellStyle name="Normal 3 6 5 3 2" xfId="2884"/>
    <cellStyle name="Normal 3 6 5 3 2 10" xfId="12405"/>
    <cellStyle name="Normal 3 6 5 3 2 11" xfId="6772"/>
    <cellStyle name="Normal 3 6 5 3 2 2" xfId="12406"/>
    <cellStyle name="Normal 3 6 5 3 2 3" xfId="12407"/>
    <cellStyle name="Normal 3 6 5 3 2 4" xfId="12408"/>
    <cellStyle name="Normal 3 6 5 3 2 5" xfId="12409"/>
    <cellStyle name="Normal 3 6 5 3 2 6" xfId="12410"/>
    <cellStyle name="Normal 3 6 5 3 2 7" xfId="12411"/>
    <cellStyle name="Normal 3 6 5 3 2 8" xfId="12412"/>
    <cellStyle name="Normal 3 6 5 3 2 9" xfId="12413"/>
    <cellStyle name="Normal 3 6 5 3 3" xfId="2885"/>
    <cellStyle name="Normal 3 6 5 3 3 10" xfId="12414"/>
    <cellStyle name="Normal 3 6 5 3 3 11" xfId="6773"/>
    <cellStyle name="Normal 3 6 5 3 3 2" xfId="12415"/>
    <cellStyle name="Normal 3 6 5 3 3 3" xfId="12416"/>
    <cellStyle name="Normal 3 6 5 3 3 4" xfId="12417"/>
    <cellStyle name="Normal 3 6 5 3 3 5" xfId="12418"/>
    <cellStyle name="Normal 3 6 5 3 3 6" xfId="12419"/>
    <cellStyle name="Normal 3 6 5 3 3 7" xfId="12420"/>
    <cellStyle name="Normal 3 6 5 3 3 8" xfId="12421"/>
    <cellStyle name="Normal 3 6 5 3 3 9" xfId="12422"/>
    <cellStyle name="Normal 3 6 5 3 4" xfId="12423"/>
    <cellStyle name="Normal 3 6 5 3 5" xfId="12424"/>
    <cellStyle name="Normal 3 6 5 3 6" xfId="12425"/>
    <cellStyle name="Normal 3 6 5 3 7" xfId="12426"/>
    <cellStyle name="Normal 3 6 5 3 8" xfId="12427"/>
    <cellStyle name="Normal 3 6 5 3 9" xfId="12428"/>
    <cellStyle name="Normal 3 6 5 4" xfId="4671"/>
    <cellStyle name="Normal 3 6 6" xfId="686"/>
    <cellStyle name="Normal 3 6 6 2" xfId="4616"/>
    <cellStyle name="Normal 3 6 7" xfId="692"/>
    <cellStyle name="Normal 3 6 7 10" xfId="12429"/>
    <cellStyle name="Normal 3 6 7 11" xfId="12430"/>
    <cellStyle name="Normal 3 6 7 12" xfId="12431"/>
    <cellStyle name="Normal 3 6 7 13" xfId="12432"/>
    <cellStyle name="Normal 3 6 7 14" xfId="12433"/>
    <cellStyle name="Normal 3 6 7 15" xfId="4622"/>
    <cellStyle name="Normal 3 6 7 2" xfId="1446"/>
    <cellStyle name="Normal 3 6 7 2 10" xfId="12434"/>
    <cellStyle name="Normal 3 6 7 2 11" xfId="12435"/>
    <cellStyle name="Normal 3 6 7 2 12" xfId="12436"/>
    <cellStyle name="Normal 3 6 7 2 13" xfId="5367"/>
    <cellStyle name="Normal 3 6 7 2 2" xfId="1451"/>
    <cellStyle name="Normal 3 6 7 2 2 10" xfId="12437"/>
    <cellStyle name="Normal 3 6 7 2 2 11" xfId="5370"/>
    <cellStyle name="Normal 3 6 7 2 2 2" xfId="12438"/>
    <cellStyle name="Normal 3 6 7 2 2 3" xfId="12439"/>
    <cellStyle name="Normal 3 6 7 2 2 4" xfId="12440"/>
    <cellStyle name="Normal 3 6 7 2 2 5" xfId="12441"/>
    <cellStyle name="Normal 3 6 7 2 2 6" xfId="12442"/>
    <cellStyle name="Normal 3 6 7 2 2 7" xfId="12443"/>
    <cellStyle name="Normal 3 6 7 2 2 8" xfId="12444"/>
    <cellStyle name="Normal 3 6 7 2 2 9" xfId="12445"/>
    <cellStyle name="Normal 3 6 7 2 3" xfId="1455"/>
    <cellStyle name="Normal 3 6 7 2 3 10" xfId="12446"/>
    <cellStyle name="Normal 3 6 7 2 3 11" xfId="5373"/>
    <cellStyle name="Normal 3 6 7 2 3 2" xfId="12447"/>
    <cellStyle name="Normal 3 6 7 2 3 3" xfId="12448"/>
    <cellStyle name="Normal 3 6 7 2 3 4" xfId="12449"/>
    <cellStyle name="Normal 3 6 7 2 3 5" xfId="12450"/>
    <cellStyle name="Normal 3 6 7 2 3 6" xfId="12451"/>
    <cellStyle name="Normal 3 6 7 2 3 7" xfId="12452"/>
    <cellStyle name="Normal 3 6 7 2 3 8" xfId="12453"/>
    <cellStyle name="Normal 3 6 7 2 3 9" xfId="12454"/>
    <cellStyle name="Normal 3 6 7 2 4" xfId="12455"/>
    <cellStyle name="Normal 3 6 7 2 5" xfId="12456"/>
    <cellStyle name="Normal 3 6 7 2 6" xfId="12457"/>
    <cellStyle name="Normal 3 6 7 2 7" xfId="12458"/>
    <cellStyle name="Normal 3 6 7 2 8" xfId="12459"/>
    <cellStyle name="Normal 3 6 7 2 9" xfId="12460"/>
    <cellStyle name="Normal 3 6 7 3" xfId="661"/>
    <cellStyle name="Normal 3 6 7 3 10" xfId="12461"/>
    <cellStyle name="Normal 3 6 7 3 11" xfId="12462"/>
    <cellStyle name="Normal 3 6 7 3 12" xfId="12463"/>
    <cellStyle name="Normal 3 6 7 3 13" xfId="4595"/>
    <cellStyle name="Normal 3 6 7 3 2" xfId="2886"/>
    <cellStyle name="Normal 3 6 7 3 2 10" xfId="12464"/>
    <cellStyle name="Normal 3 6 7 3 2 11" xfId="6774"/>
    <cellStyle name="Normal 3 6 7 3 2 2" xfId="12465"/>
    <cellStyle name="Normal 3 6 7 3 2 3" xfId="12466"/>
    <cellStyle name="Normal 3 6 7 3 2 4" xfId="12467"/>
    <cellStyle name="Normal 3 6 7 3 2 5" xfId="12468"/>
    <cellStyle name="Normal 3 6 7 3 2 6" xfId="12469"/>
    <cellStyle name="Normal 3 6 7 3 2 7" xfId="12470"/>
    <cellStyle name="Normal 3 6 7 3 2 8" xfId="12471"/>
    <cellStyle name="Normal 3 6 7 3 2 9" xfId="12472"/>
    <cellStyle name="Normal 3 6 7 3 3" xfId="2887"/>
    <cellStyle name="Normal 3 6 7 3 3 10" xfId="12473"/>
    <cellStyle name="Normal 3 6 7 3 3 11" xfId="6775"/>
    <cellStyle name="Normal 3 6 7 3 3 2" xfId="12474"/>
    <cellStyle name="Normal 3 6 7 3 3 3" xfId="12475"/>
    <cellStyle name="Normal 3 6 7 3 3 4" xfId="12476"/>
    <cellStyle name="Normal 3 6 7 3 3 5" xfId="12477"/>
    <cellStyle name="Normal 3 6 7 3 3 6" xfId="12478"/>
    <cellStyle name="Normal 3 6 7 3 3 7" xfId="12479"/>
    <cellStyle name="Normal 3 6 7 3 3 8" xfId="12480"/>
    <cellStyle name="Normal 3 6 7 3 3 9" xfId="12481"/>
    <cellStyle name="Normal 3 6 7 3 4" xfId="12482"/>
    <cellStyle name="Normal 3 6 7 3 5" xfId="12483"/>
    <cellStyle name="Normal 3 6 7 3 6" xfId="12484"/>
    <cellStyle name="Normal 3 6 7 3 7" xfId="12485"/>
    <cellStyle name="Normal 3 6 7 3 8" xfId="12486"/>
    <cellStyle name="Normal 3 6 7 3 9" xfId="12487"/>
    <cellStyle name="Normal 3 6 7 4" xfId="1478"/>
    <cellStyle name="Normal 3 6 7 4 10" xfId="12488"/>
    <cellStyle name="Normal 3 6 7 4 11" xfId="5397"/>
    <cellStyle name="Normal 3 6 7 4 2" xfId="12489"/>
    <cellStyle name="Normal 3 6 7 4 3" xfId="12490"/>
    <cellStyle name="Normal 3 6 7 4 4" xfId="12491"/>
    <cellStyle name="Normal 3 6 7 4 5" xfId="12492"/>
    <cellStyle name="Normal 3 6 7 4 6" xfId="12493"/>
    <cellStyle name="Normal 3 6 7 4 7" xfId="12494"/>
    <cellStyle name="Normal 3 6 7 4 8" xfId="12495"/>
    <cellStyle name="Normal 3 6 7 4 9" xfId="12496"/>
    <cellStyle name="Normal 3 6 7 5" xfId="1496"/>
    <cellStyle name="Normal 3 6 7 5 10" xfId="12497"/>
    <cellStyle name="Normal 3 6 7 5 11" xfId="5414"/>
    <cellStyle name="Normal 3 6 7 5 2" xfId="12498"/>
    <cellStyle name="Normal 3 6 7 5 3" xfId="12499"/>
    <cellStyle name="Normal 3 6 7 5 4" xfId="12500"/>
    <cellStyle name="Normal 3 6 7 5 5" xfId="12501"/>
    <cellStyle name="Normal 3 6 7 5 6" xfId="12502"/>
    <cellStyle name="Normal 3 6 7 5 7" xfId="12503"/>
    <cellStyle name="Normal 3 6 7 5 8" xfId="12504"/>
    <cellStyle name="Normal 3 6 7 5 9" xfId="12505"/>
    <cellStyle name="Normal 3 6 7 6" xfId="12506"/>
    <cellStyle name="Normal 3 6 7 7" xfId="12507"/>
    <cellStyle name="Normal 3 6 7 8" xfId="12508"/>
    <cellStyle name="Normal 3 6 7 9" xfId="12509"/>
    <cellStyle name="Normal 3 6 8" xfId="970"/>
    <cellStyle name="Normal 3 6 8 2" xfId="4895"/>
    <cellStyle name="Normal 3 6 9" xfId="599"/>
    <cellStyle name="Normal 3 6 9 10" xfId="12510"/>
    <cellStyle name="Normal 3 6 9 11" xfId="12511"/>
    <cellStyle name="Normal 3 6 9 12" xfId="12512"/>
    <cellStyle name="Normal 3 6 9 13" xfId="12513"/>
    <cellStyle name="Normal 3 6 9 14" xfId="12514"/>
    <cellStyle name="Normal 3 6 9 15" xfId="12515"/>
    <cellStyle name="Normal 3 6 9 16" xfId="4533"/>
    <cellStyle name="Normal 3 6 9 2" xfId="2888"/>
    <cellStyle name="Normal 3 6 9 2 2" xfId="6776"/>
    <cellStyle name="Normal 3 6 9 3" xfId="2889"/>
    <cellStyle name="Normal 3 6 9 3 10" xfId="12516"/>
    <cellStyle name="Normal 3 6 9 3 11" xfId="12517"/>
    <cellStyle name="Normal 3 6 9 3 12" xfId="12518"/>
    <cellStyle name="Normal 3 6 9 3 13" xfId="6777"/>
    <cellStyle name="Normal 3 6 9 3 2" xfId="2890"/>
    <cellStyle name="Normal 3 6 9 3 2 10" xfId="12519"/>
    <cellStyle name="Normal 3 6 9 3 2 11" xfId="6778"/>
    <cellStyle name="Normal 3 6 9 3 2 2" xfId="12520"/>
    <cellStyle name="Normal 3 6 9 3 2 3" xfId="12521"/>
    <cellStyle name="Normal 3 6 9 3 2 4" xfId="12522"/>
    <cellStyle name="Normal 3 6 9 3 2 5" xfId="12523"/>
    <cellStyle name="Normal 3 6 9 3 2 6" xfId="12524"/>
    <cellStyle name="Normal 3 6 9 3 2 7" xfId="12525"/>
    <cellStyle name="Normal 3 6 9 3 2 8" xfId="12526"/>
    <cellStyle name="Normal 3 6 9 3 2 9" xfId="12527"/>
    <cellStyle name="Normal 3 6 9 3 3" xfId="2891"/>
    <cellStyle name="Normal 3 6 9 3 3 10" xfId="12528"/>
    <cellStyle name="Normal 3 6 9 3 3 11" xfId="6779"/>
    <cellStyle name="Normal 3 6 9 3 3 2" xfId="12529"/>
    <cellStyle name="Normal 3 6 9 3 3 3" xfId="12530"/>
    <cellStyle name="Normal 3 6 9 3 3 4" xfId="12531"/>
    <cellStyle name="Normal 3 6 9 3 3 5" xfId="12532"/>
    <cellStyle name="Normal 3 6 9 3 3 6" xfId="12533"/>
    <cellStyle name="Normal 3 6 9 3 3 7" xfId="12534"/>
    <cellStyle name="Normal 3 6 9 3 3 8" xfId="12535"/>
    <cellStyle name="Normal 3 6 9 3 3 9" xfId="12536"/>
    <cellStyle name="Normal 3 6 9 3 4" xfId="12537"/>
    <cellStyle name="Normal 3 6 9 3 5" xfId="12538"/>
    <cellStyle name="Normal 3 6 9 3 6" xfId="12539"/>
    <cellStyle name="Normal 3 6 9 3 7" xfId="12540"/>
    <cellStyle name="Normal 3 6 9 3 8" xfId="12541"/>
    <cellStyle name="Normal 3 6 9 3 9" xfId="12542"/>
    <cellStyle name="Normal 3 6 9 4" xfId="2892"/>
    <cellStyle name="Normal 3 6 9 4 10" xfId="12543"/>
    <cellStyle name="Normal 3 6 9 4 11" xfId="12544"/>
    <cellStyle name="Normal 3 6 9 4 12" xfId="12545"/>
    <cellStyle name="Normal 3 6 9 4 13" xfId="6780"/>
    <cellStyle name="Normal 3 6 9 4 2" xfId="2893"/>
    <cellStyle name="Normal 3 6 9 4 2 10" xfId="12546"/>
    <cellStyle name="Normal 3 6 9 4 2 11" xfId="6781"/>
    <cellStyle name="Normal 3 6 9 4 2 2" xfId="12547"/>
    <cellStyle name="Normal 3 6 9 4 2 3" xfId="12548"/>
    <cellStyle name="Normal 3 6 9 4 2 4" xfId="12549"/>
    <cellStyle name="Normal 3 6 9 4 2 5" xfId="12550"/>
    <cellStyle name="Normal 3 6 9 4 2 6" xfId="12551"/>
    <cellStyle name="Normal 3 6 9 4 2 7" xfId="12552"/>
    <cellStyle name="Normal 3 6 9 4 2 8" xfId="12553"/>
    <cellStyle name="Normal 3 6 9 4 2 9" xfId="12554"/>
    <cellStyle name="Normal 3 6 9 4 3" xfId="2894"/>
    <cellStyle name="Normal 3 6 9 4 3 10" xfId="12555"/>
    <cellStyle name="Normal 3 6 9 4 3 11" xfId="6782"/>
    <cellStyle name="Normal 3 6 9 4 3 2" xfId="12556"/>
    <cellStyle name="Normal 3 6 9 4 3 3" xfId="12557"/>
    <cellStyle name="Normal 3 6 9 4 3 4" xfId="12558"/>
    <cellStyle name="Normal 3 6 9 4 3 5" xfId="12559"/>
    <cellStyle name="Normal 3 6 9 4 3 6" xfId="12560"/>
    <cellStyle name="Normal 3 6 9 4 3 7" xfId="12561"/>
    <cellStyle name="Normal 3 6 9 4 3 8" xfId="12562"/>
    <cellStyle name="Normal 3 6 9 4 3 9" xfId="12563"/>
    <cellStyle name="Normal 3 6 9 4 4" xfId="12564"/>
    <cellStyle name="Normal 3 6 9 4 5" xfId="12565"/>
    <cellStyle name="Normal 3 6 9 4 6" xfId="12566"/>
    <cellStyle name="Normal 3 6 9 4 7" xfId="12567"/>
    <cellStyle name="Normal 3 6 9 4 8" xfId="12568"/>
    <cellStyle name="Normal 3 6 9 4 9" xfId="12569"/>
    <cellStyle name="Normal 3 6 9 5" xfId="2896"/>
    <cellStyle name="Normal 3 6 9 5 10" xfId="12570"/>
    <cellStyle name="Normal 3 6 9 5 11" xfId="6783"/>
    <cellStyle name="Normal 3 6 9 5 2" xfId="12571"/>
    <cellStyle name="Normal 3 6 9 5 3" xfId="12572"/>
    <cellStyle name="Normal 3 6 9 5 4" xfId="12573"/>
    <cellStyle name="Normal 3 6 9 5 5" xfId="12574"/>
    <cellStyle name="Normal 3 6 9 5 6" xfId="12575"/>
    <cellStyle name="Normal 3 6 9 5 7" xfId="12576"/>
    <cellStyle name="Normal 3 6 9 5 8" xfId="12577"/>
    <cellStyle name="Normal 3 6 9 5 9" xfId="12578"/>
    <cellStyle name="Normal 3 6 9 6" xfId="2898"/>
    <cellStyle name="Normal 3 6 9 6 10" xfId="12579"/>
    <cellStyle name="Normal 3 6 9 6 11" xfId="6785"/>
    <cellStyle name="Normal 3 6 9 6 2" xfId="12580"/>
    <cellStyle name="Normal 3 6 9 6 3" xfId="12581"/>
    <cellStyle name="Normal 3 6 9 6 4" xfId="12582"/>
    <cellStyle name="Normal 3 6 9 6 5" xfId="12583"/>
    <cellStyle name="Normal 3 6 9 6 6" xfId="12584"/>
    <cellStyle name="Normal 3 6 9 6 7" xfId="12585"/>
    <cellStyle name="Normal 3 6 9 6 8" xfId="12586"/>
    <cellStyle name="Normal 3 6 9 6 9" xfId="12587"/>
    <cellStyle name="Normal 3 6 9 7" xfId="12588"/>
    <cellStyle name="Normal 3 6 9 8" xfId="12589"/>
    <cellStyle name="Normal 3 6 9 9" xfId="12590"/>
    <cellStyle name="Normal 3 6 9_Corrected Spl Task information Peddapalli Division" xfId="2899"/>
    <cellStyle name="Normal 3 7" xfId="2613"/>
    <cellStyle name="Normal 3 7 10" xfId="12591"/>
    <cellStyle name="Normal 3 7 11" xfId="12592"/>
    <cellStyle name="Normal 3 7 12" xfId="12593"/>
    <cellStyle name="Normal 3 7 13" xfId="12594"/>
    <cellStyle name="Normal 3 7 14" xfId="12595"/>
    <cellStyle name="Normal 3 7 15" xfId="12596"/>
    <cellStyle name="Normal 3 7 16" xfId="12597"/>
    <cellStyle name="Normal 3 7 17" xfId="12598"/>
    <cellStyle name="Normal 3 7 18" xfId="6507"/>
    <cellStyle name="Normal 3 7 2" xfId="2900"/>
    <cellStyle name="Normal 3 7 2 2" xfId="6787"/>
    <cellStyle name="Normal 3 7 3" xfId="281"/>
    <cellStyle name="Normal 3 7 3 2" xfId="4230"/>
    <cellStyle name="Normal 3 7 4" xfId="1228"/>
    <cellStyle name="Normal 3 7 4 2" xfId="5148"/>
    <cellStyle name="Normal 3 7 5" xfId="301"/>
    <cellStyle name="Normal 3 7 5 2" xfId="4252"/>
    <cellStyle name="Normal 3 7 6" xfId="307"/>
    <cellStyle name="Normal 3 7 6 2" xfId="4260"/>
    <cellStyle name="Normal 3 7 7" xfId="784"/>
    <cellStyle name="Normal 3 7 7 2" xfId="4711"/>
    <cellStyle name="Normal 3 7 8" xfId="1163"/>
    <cellStyle name="Normal 3 7 8 2" xfId="5084"/>
    <cellStyle name="Normal 3 7 9" xfId="12599"/>
    <cellStyle name="Normal 3 8" xfId="2616"/>
    <cellStyle name="Normal 3 8 10" xfId="12600"/>
    <cellStyle name="Normal 3 8 11" xfId="12601"/>
    <cellStyle name="Normal 3 8 12" xfId="12602"/>
    <cellStyle name="Normal 3 8 13" xfId="12603"/>
    <cellStyle name="Normal 3 8 14" xfId="12604"/>
    <cellStyle name="Normal 3 8 15" xfId="12605"/>
    <cellStyle name="Normal 3 8 16" xfId="12606"/>
    <cellStyle name="Normal 3 8 17" xfId="12607"/>
    <cellStyle name="Normal 3 8 18" xfId="6509"/>
    <cellStyle name="Normal 3 8 2" xfId="2377"/>
    <cellStyle name="Normal 3 8 2 2" xfId="6272"/>
    <cellStyle name="Normal 3 8 3" xfId="1231"/>
    <cellStyle name="Normal 3 8 3 2" xfId="5151"/>
    <cellStyle name="Normal 3 8 4" xfId="1236"/>
    <cellStyle name="Normal 3 8 4 2" xfId="5156"/>
    <cellStyle name="Normal 3 8 5" xfId="1241"/>
    <cellStyle name="Normal 3 8 5 2" xfId="5161"/>
    <cellStyle name="Normal 3 8 6" xfId="906"/>
    <cellStyle name="Normal 3 8 6 2" xfId="4828"/>
    <cellStyle name="Normal 3 8 7" xfId="910"/>
    <cellStyle name="Normal 3 8 7 2" xfId="4838"/>
    <cellStyle name="Normal 3 8 8" xfId="159"/>
    <cellStyle name="Normal 3 8 8 2" xfId="4171"/>
    <cellStyle name="Normal 3 8 9" xfId="12608"/>
    <cellStyle name="Normal 3 9" xfId="2902"/>
    <cellStyle name="Normal 3 9 10" xfId="12609"/>
    <cellStyle name="Normal 3 9 11" xfId="12610"/>
    <cellStyle name="Normal 3 9 12" xfId="12611"/>
    <cellStyle name="Normal 3 9 13" xfId="12612"/>
    <cellStyle name="Normal 3 9 14" xfId="12613"/>
    <cellStyle name="Normal 3 9 15" xfId="12614"/>
    <cellStyle name="Normal 3 9 16" xfId="12615"/>
    <cellStyle name="Normal 3 9 17" xfId="12616"/>
    <cellStyle name="Normal 3 9 18" xfId="6788"/>
    <cellStyle name="Normal 3 9 2" xfId="338"/>
    <cellStyle name="Normal 3 9 2 2" xfId="4285"/>
    <cellStyle name="Normal 3 9 3" xfId="342"/>
    <cellStyle name="Normal 3 9 3 2" xfId="4289"/>
    <cellStyle name="Normal 3 9 4" xfId="2904"/>
    <cellStyle name="Normal 3 9 4 2" xfId="6790"/>
    <cellStyle name="Normal 3 9 5" xfId="2906"/>
    <cellStyle name="Normal 3 9 5 2" xfId="6792"/>
    <cellStyle name="Normal 3 9 6" xfId="2907"/>
    <cellStyle name="Normal 3 9 6 2" xfId="6794"/>
    <cellStyle name="Normal 3 9 7" xfId="2908"/>
    <cellStyle name="Normal 3 9 7 2" xfId="6795"/>
    <cellStyle name="Normal 3 9 8" xfId="2910"/>
    <cellStyle name="Normal 3 9 8 2" xfId="6796"/>
    <cellStyle name="Normal 3 9 9" xfId="12617"/>
    <cellStyle name="Normal 3_1_Pattapupalem_road estt-NCRMP" xfId="2912"/>
    <cellStyle name="Normal 30" xfId="158"/>
    <cellStyle name="Normal 30 2" xfId="4170"/>
    <cellStyle name="Normal 31" xfId="620"/>
    <cellStyle name="Normal 31 2" xfId="4549"/>
    <cellStyle name="Normal 32" xfId="2650"/>
    <cellStyle name="Normal 32 2" xfId="2913"/>
    <cellStyle name="Normal 32 2 2" xfId="12618"/>
    <cellStyle name="Normal 32 2 3" xfId="6799"/>
    <cellStyle name="Normal 32 3" xfId="6543"/>
    <cellStyle name="Normal 33" xfId="2653"/>
    <cellStyle name="Normal 33 2" xfId="2655"/>
    <cellStyle name="Normal 33 2 2" xfId="6548"/>
    <cellStyle name="Normal 33 3" xfId="6546"/>
    <cellStyle name="Normal 34" xfId="2657"/>
    <cellStyle name="Normal 34 2" xfId="6550"/>
    <cellStyle name="Normal 35" xfId="2915"/>
    <cellStyle name="Normal 35 2" xfId="2916"/>
    <cellStyle name="Normal 35 2 2" xfId="6802"/>
    <cellStyle name="Normal 35 3" xfId="6800"/>
    <cellStyle name="Normal 36" xfId="2918"/>
    <cellStyle name="Normal 36 2" xfId="2919"/>
    <cellStyle name="Normal 36 2 2" xfId="6805"/>
    <cellStyle name="Normal 36 3" xfId="6803"/>
    <cellStyle name="Normal 37" xfId="2921"/>
    <cellStyle name="Normal 37 10" xfId="12619"/>
    <cellStyle name="Normal 37 11" xfId="12620"/>
    <cellStyle name="Normal 37 12" xfId="12621"/>
    <cellStyle name="Normal 37 13" xfId="12622"/>
    <cellStyle name="Normal 37 14" xfId="12623"/>
    <cellStyle name="Normal 37 15" xfId="12624"/>
    <cellStyle name="Normal 37 16" xfId="6806"/>
    <cellStyle name="Normal 37 2" xfId="2922"/>
    <cellStyle name="Normal 37 2 2" xfId="6808"/>
    <cellStyle name="Normal 37 3" xfId="2923"/>
    <cellStyle name="Normal 37 3 10" xfId="12625"/>
    <cellStyle name="Normal 37 3 11" xfId="12626"/>
    <cellStyle name="Normal 37 3 12" xfId="12627"/>
    <cellStyle name="Normal 37 3 13" xfId="6809"/>
    <cellStyle name="Normal 37 3 2" xfId="2924"/>
    <cellStyle name="Normal 37 3 2 10" xfId="12628"/>
    <cellStyle name="Normal 37 3 2 11" xfId="6810"/>
    <cellStyle name="Normal 37 3 2 2" xfId="12629"/>
    <cellStyle name="Normal 37 3 2 3" xfId="12630"/>
    <cellStyle name="Normal 37 3 2 4" xfId="12631"/>
    <cellStyle name="Normal 37 3 2 5" xfId="12632"/>
    <cellStyle name="Normal 37 3 2 6" xfId="12633"/>
    <cellStyle name="Normal 37 3 2 7" xfId="12634"/>
    <cellStyle name="Normal 37 3 2 8" xfId="12635"/>
    <cellStyle name="Normal 37 3 2 9" xfId="12636"/>
    <cellStyle name="Normal 37 3 3" xfId="2925"/>
    <cellStyle name="Normal 37 3 3 10" xfId="12637"/>
    <cellStyle name="Normal 37 3 3 11" xfId="6811"/>
    <cellStyle name="Normal 37 3 3 2" xfId="12638"/>
    <cellStyle name="Normal 37 3 3 3" xfId="12639"/>
    <cellStyle name="Normal 37 3 3 4" xfId="12640"/>
    <cellStyle name="Normal 37 3 3 5" xfId="12641"/>
    <cellStyle name="Normal 37 3 3 6" xfId="12642"/>
    <cellStyle name="Normal 37 3 3 7" xfId="12643"/>
    <cellStyle name="Normal 37 3 3 8" xfId="12644"/>
    <cellStyle name="Normal 37 3 3 9" xfId="12645"/>
    <cellStyle name="Normal 37 3 4" xfId="12646"/>
    <cellStyle name="Normal 37 3 5" xfId="12647"/>
    <cellStyle name="Normal 37 3 6" xfId="12648"/>
    <cellStyle name="Normal 37 3 7" xfId="12649"/>
    <cellStyle name="Normal 37 3 8" xfId="12650"/>
    <cellStyle name="Normal 37 3 9" xfId="12651"/>
    <cellStyle name="Normal 37 4" xfId="2927"/>
    <cellStyle name="Normal 37 4 10" xfId="12652"/>
    <cellStyle name="Normal 37 4 11" xfId="12653"/>
    <cellStyle name="Normal 37 4 12" xfId="12654"/>
    <cellStyle name="Normal 37 4 13" xfId="6812"/>
    <cellStyle name="Normal 37 4 2" xfId="2929"/>
    <cellStyle name="Normal 37 4 2 10" xfId="12655"/>
    <cellStyle name="Normal 37 4 2 11" xfId="6814"/>
    <cellStyle name="Normal 37 4 2 2" xfId="12656"/>
    <cellStyle name="Normal 37 4 2 3" xfId="12657"/>
    <cellStyle name="Normal 37 4 2 4" xfId="12658"/>
    <cellStyle name="Normal 37 4 2 5" xfId="12659"/>
    <cellStyle name="Normal 37 4 2 6" xfId="12660"/>
    <cellStyle name="Normal 37 4 2 7" xfId="12661"/>
    <cellStyle name="Normal 37 4 2 8" xfId="12662"/>
    <cellStyle name="Normal 37 4 2 9" xfId="12663"/>
    <cellStyle name="Normal 37 4 3" xfId="2931"/>
    <cellStyle name="Normal 37 4 3 10" xfId="12664"/>
    <cellStyle name="Normal 37 4 3 11" xfId="6816"/>
    <cellStyle name="Normal 37 4 3 2" xfId="12665"/>
    <cellStyle name="Normal 37 4 3 3" xfId="12666"/>
    <cellStyle name="Normal 37 4 3 4" xfId="12667"/>
    <cellStyle name="Normal 37 4 3 5" xfId="12668"/>
    <cellStyle name="Normal 37 4 3 6" xfId="12669"/>
    <cellStyle name="Normal 37 4 3 7" xfId="12670"/>
    <cellStyle name="Normal 37 4 3 8" xfId="12671"/>
    <cellStyle name="Normal 37 4 3 9" xfId="12672"/>
    <cellStyle name="Normal 37 4 4" xfId="12673"/>
    <cellStyle name="Normal 37 4 5" xfId="12674"/>
    <cellStyle name="Normal 37 4 6" xfId="12675"/>
    <cellStyle name="Normal 37 4 7" xfId="12676"/>
    <cellStyle name="Normal 37 4 8" xfId="12677"/>
    <cellStyle name="Normal 37 4 9" xfId="12678"/>
    <cellStyle name="Normal 37 5" xfId="2933"/>
    <cellStyle name="Normal 37 5 10" xfId="12679"/>
    <cellStyle name="Normal 37 5 11" xfId="6818"/>
    <cellStyle name="Normal 37 5 2" xfId="12680"/>
    <cellStyle name="Normal 37 5 3" xfId="12681"/>
    <cellStyle name="Normal 37 5 4" xfId="12682"/>
    <cellStyle name="Normal 37 5 5" xfId="12683"/>
    <cellStyle name="Normal 37 5 6" xfId="12684"/>
    <cellStyle name="Normal 37 5 7" xfId="12685"/>
    <cellStyle name="Normal 37 5 8" xfId="12686"/>
    <cellStyle name="Normal 37 5 9" xfId="12687"/>
    <cellStyle name="Normal 37 6" xfId="2935"/>
    <cellStyle name="Normal 37 6 10" xfId="12688"/>
    <cellStyle name="Normal 37 6 11" xfId="6820"/>
    <cellStyle name="Normal 37 6 2" xfId="12689"/>
    <cellStyle name="Normal 37 6 3" xfId="12690"/>
    <cellStyle name="Normal 37 6 4" xfId="12691"/>
    <cellStyle name="Normal 37 6 5" xfId="12692"/>
    <cellStyle name="Normal 37 6 6" xfId="12693"/>
    <cellStyle name="Normal 37 6 7" xfId="12694"/>
    <cellStyle name="Normal 37 6 8" xfId="12695"/>
    <cellStyle name="Normal 37 6 9" xfId="12696"/>
    <cellStyle name="Normal 37 7" xfId="12697"/>
    <cellStyle name="Normal 37 8" xfId="12698"/>
    <cellStyle name="Normal 37 9" xfId="12699"/>
    <cellStyle name="Normal 38" xfId="2937"/>
    <cellStyle name="Normal 38 2" xfId="12700"/>
    <cellStyle name="Normal 38 3" xfId="6822"/>
    <cellStyle name="Normal 39" xfId="2939"/>
    <cellStyle name="Normal 39 2" xfId="12701"/>
    <cellStyle name="Normal 39 3" xfId="6824"/>
    <cellStyle name="Normal 4" xfId="1052"/>
    <cellStyle name="Normal 4 10" xfId="2940"/>
    <cellStyle name="Normal 4 10 2" xfId="6826"/>
    <cellStyle name="Normal 4 11" xfId="779"/>
    <cellStyle name="Normal 4 11 2" xfId="4703"/>
    <cellStyle name="Normal 4 12" xfId="2942"/>
    <cellStyle name="Normal 4 12 2" xfId="6827"/>
    <cellStyle name="Normal 4 13" xfId="2944"/>
    <cellStyle name="Normal 4 13 2" xfId="6829"/>
    <cellStyle name="Normal 4 14" xfId="2946"/>
    <cellStyle name="Normal 4 14 2" xfId="2947"/>
    <cellStyle name="Normal 4 14 2 2" xfId="6833"/>
    <cellStyle name="Normal 4 14 3" xfId="6831"/>
    <cellStyle name="Normal 4 15" xfId="2949"/>
    <cellStyle name="Normal 4 15 2" xfId="6834"/>
    <cellStyle name="Normal 4 16" xfId="2951"/>
    <cellStyle name="Normal 4 16 2" xfId="6836"/>
    <cellStyle name="Normal 4 17" xfId="1747"/>
    <cellStyle name="Normal 4 17 2" xfId="5658"/>
    <cellStyle name="Normal 4 18" xfId="1749"/>
    <cellStyle name="Normal 4 18 2" xfId="5660"/>
    <cellStyle name="Normal 4 19" xfId="1631"/>
    <cellStyle name="Normal 4 19 2" xfId="5546"/>
    <cellStyle name="Normal 4 2" xfId="2618"/>
    <cellStyle name="Normal 4 2 10" xfId="2953"/>
    <cellStyle name="Normal 4 2 10 10" xfId="12702"/>
    <cellStyle name="Normal 4 2 10 11" xfId="12703"/>
    <cellStyle name="Normal 4 2 10 12" xfId="12704"/>
    <cellStyle name="Normal 4 2 10 13" xfId="12705"/>
    <cellStyle name="Normal 4 2 10 14" xfId="12706"/>
    <cellStyle name="Normal 4 2 10 15" xfId="12707"/>
    <cellStyle name="Normal 4 2 10 16" xfId="12708"/>
    <cellStyle name="Normal 4 2 10 17" xfId="12709"/>
    <cellStyle name="Normal 4 2 10 18" xfId="6838"/>
    <cellStyle name="Normal 4 2 10 2" xfId="2773"/>
    <cellStyle name="Normal 4 2 10 2 2" xfId="6666"/>
    <cellStyle name="Normal 4 2 10 3" xfId="2775"/>
    <cellStyle name="Normal 4 2 10 3 2" xfId="6668"/>
    <cellStyle name="Normal 4 2 10 4" xfId="2954"/>
    <cellStyle name="Normal 4 2 10 4 2" xfId="6840"/>
    <cellStyle name="Normal 4 2 10 5" xfId="2955"/>
    <cellStyle name="Normal 4 2 10 5 2" xfId="6841"/>
    <cellStyle name="Normal 4 2 10 6" xfId="2956"/>
    <cellStyle name="Normal 4 2 10 6 2" xfId="6842"/>
    <cellStyle name="Normal 4 2 10 7" xfId="2008"/>
    <cellStyle name="Normal 4 2 10 7 2" xfId="5913"/>
    <cellStyle name="Normal 4 2 10 8" xfId="2010"/>
    <cellStyle name="Normal 4 2 10 8 2" xfId="5915"/>
    <cellStyle name="Normal 4 2 10 9" xfId="12710"/>
    <cellStyle name="Normal 4 2 11" xfId="2648"/>
    <cellStyle name="Normal 4 2 11 10" xfId="12711"/>
    <cellStyle name="Normal 4 2 11 11" xfId="12712"/>
    <cellStyle name="Normal 4 2 11 12" xfId="12713"/>
    <cellStyle name="Normal 4 2 11 13" xfId="12714"/>
    <cellStyle name="Normal 4 2 11 14" xfId="12715"/>
    <cellStyle name="Normal 4 2 11 15" xfId="12716"/>
    <cellStyle name="Normal 4 2 11 16" xfId="12717"/>
    <cellStyle name="Normal 4 2 11 17" xfId="12718"/>
    <cellStyle name="Normal 4 2 11 18" xfId="6540"/>
    <cellStyle name="Normal 4 2 11 2" xfId="2238"/>
    <cellStyle name="Normal 4 2 11 2 2" xfId="6140"/>
    <cellStyle name="Normal 4 2 11 3" xfId="831"/>
    <cellStyle name="Normal 4 2 11 3 2" xfId="4759"/>
    <cellStyle name="Normal 4 2 11 4" xfId="2665"/>
    <cellStyle name="Normal 4 2 11 4 2" xfId="6558"/>
    <cellStyle name="Normal 4 2 11 5" xfId="2667"/>
    <cellStyle name="Normal 4 2 11 5 2" xfId="6560"/>
    <cellStyle name="Normal 4 2 11 6" xfId="2669"/>
    <cellStyle name="Normal 4 2 11 6 2" xfId="6562"/>
    <cellStyle name="Normal 4 2 11 7" xfId="2021"/>
    <cellStyle name="Normal 4 2 11 7 2" xfId="5927"/>
    <cellStyle name="Normal 4 2 11 8" xfId="2024"/>
    <cellStyle name="Normal 4 2 11 8 2" xfId="5930"/>
    <cellStyle name="Normal 4 2 11 9" xfId="12719"/>
    <cellStyle name="Normal 4 2 12" xfId="2958"/>
    <cellStyle name="Normal 4 2 12 2" xfId="6843"/>
    <cellStyle name="Normal 4 2 13" xfId="2960"/>
    <cellStyle name="Normal 4 2 13 2" xfId="6845"/>
    <cellStyle name="Normal 4 2 14" xfId="2962"/>
    <cellStyle name="Normal 4 2 14 2" xfId="6847"/>
    <cellStyle name="Normal 4 2 15" xfId="2964"/>
    <cellStyle name="Normal 4 2 15 2" xfId="6849"/>
    <cellStyle name="Normal 4 2 16" xfId="2966"/>
    <cellStyle name="Normal 4 2 16 2" xfId="6851"/>
    <cellStyle name="Normal 4 2 17" xfId="2967"/>
    <cellStyle name="Normal 4 2 17 2" xfId="6853"/>
    <cellStyle name="Normal 4 2 18" xfId="2968"/>
    <cellStyle name="Normal 4 2 18 2" xfId="6854"/>
    <cellStyle name="Normal 4 2 19" xfId="12720"/>
    <cellStyle name="Normal 4 2 2" xfId="2969"/>
    <cellStyle name="Normal 4 2 2 10" xfId="2970"/>
    <cellStyle name="Normal 4 2 2 10 10" xfId="12721"/>
    <cellStyle name="Normal 4 2 2 10 11" xfId="12722"/>
    <cellStyle name="Normal 4 2 2 10 12" xfId="12723"/>
    <cellStyle name="Normal 4 2 2 10 13" xfId="12724"/>
    <cellStyle name="Normal 4 2 2 10 14" xfId="12725"/>
    <cellStyle name="Normal 4 2 2 10 15" xfId="12726"/>
    <cellStyle name="Normal 4 2 2 10 16" xfId="12727"/>
    <cellStyle name="Normal 4 2 2 10 17" xfId="12728"/>
    <cellStyle name="Normal 4 2 2 10 18" xfId="6856"/>
    <cellStyle name="Normal 4 2 2 10 2" xfId="2971"/>
    <cellStyle name="Normal 4 2 2 10 2 2" xfId="6857"/>
    <cellStyle name="Normal 4 2 2 10 3" xfId="2972"/>
    <cellStyle name="Normal 4 2 2 10 3 2" xfId="6858"/>
    <cellStyle name="Normal 4 2 2 10 4" xfId="2973"/>
    <cellStyle name="Normal 4 2 2 10 4 2" xfId="6859"/>
    <cellStyle name="Normal 4 2 2 10 5" xfId="2974"/>
    <cellStyle name="Normal 4 2 2 10 5 2" xfId="6860"/>
    <cellStyle name="Normal 4 2 2 10 6" xfId="2975"/>
    <cellStyle name="Normal 4 2 2 10 6 2" xfId="6861"/>
    <cellStyle name="Normal 4 2 2 10 7" xfId="2976"/>
    <cellStyle name="Normal 4 2 2 10 7 2" xfId="6862"/>
    <cellStyle name="Normal 4 2 2 10 8" xfId="2977"/>
    <cellStyle name="Normal 4 2 2 10 8 2" xfId="6863"/>
    <cellStyle name="Normal 4 2 2 10 9" xfId="12729"/>
    <cellStyle name="Normal 4 2 2 11" xfId="2978"/>
    <cellStyle name="Normal 4 2 2 11 2" xfId="6864"/>
    <cellStyle name="Normal 4 2 2 12" xfId="2979"/>
    <cellStyle name="Normal 4 2 2 12 2" xfId="6865"/>
    <cellStyle name="Normal 4 2 2 13" xfId="2980"/>
    <cellStyle name="Normal 4 2 2 13 2" xfId="6866"/>
    <cellStyle name="Normal 4 2 2 14" xfId="2981"/>
    <cellStyle name="Normal 4 2 2 14 2" xfId="6867"/>
    <cellStyle name="Normal 4 2 2 15" xfId="2983"/>
    <cellStyle name="Normal 4 2 2 15 2" xfId="6868"/>
    <cellStyle name="Normal 4 2 2 16" xfId="2985"/>
    <cellStyle name="Normal 4 2 2 16 2" xfId="6870"/>
    <cellStyle name="Normal 4 2 2 17" xfId="2987"/>
    <cellStyle name="Normal 4 2 2 17 2" xfId="6872"/>
    <cellStyle name="Normal 4 2 2 18" xfId="12730"/>
    <cellStyle name="Normal 4 2 2 19" xfId="12731"/>
    <cellStyle name="Normal 4 2 2 2" xfId="2989"/>
    <cellStyle name="Normal 4 2 2 2 10" xfId="12732"/>
    <cellStyle name="Normal 4 2 2 2 11" xfId="12733"/>
    <cellStyle name="Normal 4 2 2 2 12" xfId="12734"/>
    <cellStyle name="Normal 4 2 2 2 13" xfId="12735"/>
    <cellStyle name="Normal 4 2 2 2 14" xfId="12736"/>
    <cellStyle name="Normal 4 2 2 2 15" xfId="12737"/>
    <cellStyle name="Normal 4 2 2 2 16" xfId="12738"/>
    <cellStyle name="Normal 4 2 2 2 17" xfId="12739"/>
    <cellStyle name="Normal 4 2 2 2 18" xfId="6874"/>
    <cellStyle name="Normal 4 2 2 2 2" xfId="15"/>
    <cellStyle name="Normal 4 2 2 2 2 10" xfId="12740"/>
    <cellStyle name="Normal 4 2 2 2 2 11" xfId="12741"/>
    <cellStyle name="Normal 4 2 2 2 2 12" xfId="12742"/>
    <cellStyle name="Normal 4 2 2 2 2 13" xfId="3978"/>
    <cellStyle name="Normal 4 2 2 2 2 2" xfId="2990"/>
    <cellStyle name="Normal 4 2 2 2 2 2 10" xfId="12743"/>
    <cellStyle name="Normal 4 2 2 2 2 2 11" xfId="6876"/>
    <cellStyle name="Normal 4 2 2 2 2 2 2" xfId="12744"/>
    <cellStyle name="Normal 4 2 2 2 2 2 3" xfId="12745"/>
    <cellStyle name="Normal 4 2 2 2 2 2 4" xfId="12746"/>
    <cellStyle name="Normal 4 2 2 2 2 2 5" xfId="12747"/>
    <cellStyle name="Normal 4 2 2 2 2 2 6" xfId="12748"/>
    <cellStyle name="Normal 4 2 2 2 2 2 7" xfId="12749"/>
    <cellStyle name="Normal 4 2 2 2 2 2 8" xfId="12750"/>
    <cellStyle name="Normal 4 2 2 2 2 2 9" xfId="12751"/>
    <cellStyle name="Normal 4 2 2 2 2 3" xfId="353"/>
    <cellStyle name="Normal 4 2 2 2 2 3 10" xfId="12752"/>
    <cellStyle name="Normal 4 2 2 2 2 3 11" xfId="4296"/>
    <cellStyle name="Normal 4 2 2 2 2 3 2" xfId="12753"/>
    <cellStyle name="Normal 4 2 2 2 2 3 3" xfId="12754"/>
    <cellStyle name="Normal 4 2 2 2 2 3 4" xfId="12755"/>
    <cellStyle name="Normal 4 2 2 2 2 3 5" xfId="12756"/>
    <cellStyle name="Normal 4 2 2 2 2 3 6" xfId="12757"/>
    <cellStyle name="Normal 4 2 2 2 2 3 7" xfId="12758"/>
    <cellStyle name="Normal 4 2 2 2 2 3 8" xfId="12759"/>
    <cellStyle name="Normal 4 2 2 2 2 3 9" xfId="12760"/>
    <cellStyle name="Normal 4 2 2 2 2 4" xfId="12761"/>
    <cellStyle name="Normal 4 2 2 2 2 5" xfId="12762"/>
    <cellStyle name="Normal 4 2 2 2 2 6" xfId="12763"/>
    <cellStyle name="Normal 4 2 2 2 2 7" xfId="12764"/>
    <cellStyle name="Normal 4 2 2 2 2 8" xfId="12765"/>
    <cellStyle name="Normal 4 2 2 2 2 9" xfId="12766"/>
    <cellStyle name="Normal 4 2 2 2 3" xfId="815"/>
    <cellStyle name="Normal 4 2 2 2 3 10" xfId="12767"/>
    <cellStyle name="Normal 4 2 2 2 3 11" xfId="12768"/>
    <cellStyle name="Normal 4 2 2 2 3 12" xfId="12769"/>
    <cellStyle name="Normal 4 2 2 2 3 13" xfId="4743"/>
    <cellStyle name="Normal 4 2 2 2 3 2" xfId="2991"/>
    <cellStyle name="Normal 4 2 2 2 3 2 10" xfId="12770"/>
    <cellStyle name="Normal 4 2 2 2 3 2 11" xfId="6877"/>
    <cellStyle name="Normal 4 2 2 2 3 2 2" xfId="12771"/>
    <cellStyle name="Normal 4 2 2 2 3 2 3" xfId="12772"/>
    <cellStyle name="Normal 4 2 2 2 3 2 4" xfId="12773"/>
    <cellStyle name="Normal 4 2 2 2 3 2 5" xfId="12774"/>
    <cellStyle name="Normal 4 2 2 2 3 2 6" xfId="12775"/>
    <cellStyle name="Normal 4 2 2 2 3 2 7" xfId="12776"/>
    <cellStyle name="Normal 4 2 2 2 3 2 8" xfId="12777"/>
    <cellStyle name="Normal 4 2 2 2 3 2 9" xfId="12778"/>
    <cellStyle name="Normal 4 2 2 2 3 3" xfId="1721"/>
    <cellStyle name="Normal 4 2 2 2 3 3 10" xfId="12779"/>
    <cellStyle name="Normal 4 2 2 2 3 3 11" xfId="5633"/>
    <cellStyle name="Normal 4 2 2 2 3 3 2" xfId="12780"/>
    <cellStyle name="Normal 4 2 2 2 3 3 3" xfId="12781"/>
    <cellStyle name="Normal 4 2 2 2 3 3 4" xfId="12782"/>
    <cellStyle name="Normal 4 2 2 2 3 3 5" xfId="12783"/>
    <cellStyle name="Normal 4 2 2 2 3 3 6" xfId="12784"/>
    <cellStyle name="Normal 4 2 2 2 3 3 7" xfId="12785"/>
    <cellStyle name="Normal 4 2 2 2 3 3 8" xfId="12786"/>
    <cellStyle name="Normal 4 2 2 2 3 3 9" xfId="12787"/>
    <cellStyle name="Normal 4 2 2 2 3 4" xfId="12788"/>
    <cellStyle name="Normal 4 2 2 2 3 5" xfId="12789"/>
    <cellStyle name="Normal 4 2 2 2 3 6" xfId="12790"/>
    <cellStyle name="Normal 4 2 2 2 3 7" xfId="12791"/>
    <cellStyle name="Normal 4 2 2 2 3 8" xfId="12792"/>
    <cellStyle name="Normal 4 2 2 2 3 9" xfId="12793"/>
    <cellStyle name="Normal 4 2 2 2 4" xfId="818"/>
    <cellStyle name="Normal 4 2 2 2 4 10" xfId="12794"/>
    <cellStyle name="Normal 4 2 2 2 4 11" xfId="12795"/>
    <cellStyle name="Normal 4 2 2 2 4 12" xfId="12796"/>
    <cellStyle name="Normal 4 2 2 2 4 13" xfId="4746"/>
    <cellStyle name="Normal 4 2 2 2 4 2" xfId="2992"/>
    <cellStyle name="Normal 4 2 2 2 4 2 10" xfId="12797"/>
    <cellStyle name="Normal 4 2 2 2 4 2 11" xfId="6878"/>
    <cellStyle name="Normal 4 2 2 2 4 2 2" xfId="12798"/>
    <cellStyle name="Normal 4 2 2 2 4 2 3" xfId="12799"/>
    <cellStyle name="Normal 4 2 2 2 4 2 4" xfId="12800"/>
    <cellStyle name="Normal 4 2 2 2 4 2 5" xfId="12801"/>
    <cellStyle name="Normal 4 2 2 2 4 2 6" xfId="12802"/>
    <cellStyle name="Normal 4 2 2 2 4 2 7" xfId="12803"/>
    <cellStyle name="Normal 4 2 2 2 4 2 8" xfId="12804"/>
    <cellStyle name="Normal 4 2 2 2 4 2 9" xfId="12805"/>
    <cellStyle name="Normal 4 2 2 2 4 3" xfId="2993"/>
    <cellStyle name="Normal 4 2 2 2 4 3 10" xfId="12806"/>
    <cellStyle name="Normal 4 2 2 2 4 3 11" xfId="6879"/>
    <cellStyle name="Normal 4 2 2 2 4 3 2" xfId="12807"/>
    <cellStyle name="Normal 4 2 2 2 4 3 3" xfId="12808"/>
    <cellStyle name="Normal 4 2 2 2 4 3 4" xfId="12809"/>
    <cellStyle name="Normal 4 2 2 2 4 3 5" xfId="12810"/>
    <cellStyle name="Normal 4 2 2 2 4 3 6" xfId="12811"/>
    <cellStyle name="Normal 4 2 2 2 4 3 7" xfId="12812"/>
    <cellStyle name="Normal 4 2 2 2 4 3 8" xfId="12813"/>
    <cellStyle name="Normal 4 2 2 2 4 3 9" xfId="12814"/>
    <cellStyle name="Normal 4 2 2 2 4 4" xfId="12815"/>
    <cellStyle name="Normal 4 2 2 2 4 5" xfId="12816"/>
    <cellStyle name="Normal 4 2 2 2 4 6" xfId="12817"/>
    <cellStyle name="Normal 4 2 2 2 4 7" xfId="12818"/>
    <cellStyle name="Normal 4 2 2 2 4 8" xfId="12819"/>
    <cellStyle name="Normal 4 2 2 2 4 9" xfId="12820"/>
    <cellStyle name="Normal 4 2 2 2 5" xfId="821"/>
    <cellStyle name="Normal 4 2 2 2 5 10" xfId="12821"/>
    <cellStyle name="Normal 4 2 2 2 5 11" xfId="12822"/>
    <cellStyle name="Normal 4 2 2 2 5 12" xfId="12823"/>
    <cellStyle name="Normal 4 2 2 2 5 13" xfId="4749"/>
    <cellStyle name="Normal 4 2 2 2 5 2" xfId="2995"/>
    <cellStyle name="Normal 4 2 2 2 5 2 10" xfId="12824"/>
    <cellStyle name="Normal 4 2 2 2 5 2 11" xfId="6880"/>
    <cellStyle name="Normal 4 2 2 2 5 2 2" xfId="12825"/>
    <cellStyle name="Normal 4 2 2 2 5 2 3" xfId="12826"/>
    <cellStyle name="Normal 4 2 2 2 5 2 4" xfId="12827"/>
    <cellStyle name="Normal 4 2 2 2 5 2 5" xfId="12828"/>
    <cellStyle name="Normal 4 2 2 2 5 2 6" xfId="12829"/>
    <cellStyle name="Normal 4 2 2 2 5 2 7" xfId="12830"/>
    <cellStyle name="Normal 4 2 2 2 5 2 8" xfId="12831"/>
    <cellStyle name="Normal 4 2 2 2 5 2 9" xfId="12832"/>
    <cellStyle name="Normal 4 2 2 2 5 3" xfId="2997"/>
    <cellStyle name="Normal 4 2 2 2 5 3 10" xfId="12833"/>
    <cellStyle name="Normal 4 2 2 2 5 3 11" xfId="6882"/>
    <cellStyle name="Normal 4 2 2 2 5 3 2" xfId="12834"/>
    <cellStyle name="Normal 4 2 2 2 5 3 3" xfId="12835"/>
    <cellStyle name="Normal 4 2 2 2 5 3 4" xfId="12836"/>
    <cellStyle name="Normal 4 2 2 2 5 3 5" xfId="12837"/>
    <cellStyle name="Normal 4 2 2 2 5 3 6" xfId="12838"/>
    <cellStyle name="Normal 4 2 2 2 5 3 7" xfId="12839"/>
    <cellStyle name="Normal 4 2 2 2 5 3 8" xfId="12840"/>
    <cellStyle name="Normal 4 2 2 2 5 3 9" xfId="12841"/>
    <cellStyle name="Normal 4 2 2 2 5 4" xfId="12842"/>
    <cellStyle name="Normal 4 2 2 2 5 5" xfId="12843"/>
    <cellStyle name="Normal 4 2 2 2 5 6" xfId="12844"/>
    <cellStyle name="Normal 4 2 2 2 5 7" xfId="12845"/>
    <cellStyle name="Normal 4 2 2 2 5 8" xfId="12846"/>
    <cellStyle name="Normal 4 2 2 2 5 9" xfId="12847"/>
    <cellStyle name="Normal 4 2 2 2 6" xfId="824"/>
    <cellStyle name="Normal 4 2 2 2 6 10" xfId="12848"/>
    <cellStyle name="Normal 4 2 2 2 6 11" xfId="12849"/>
    <cellStyle name="Normal 4 2 2 2 6 12" xfId="12850"/>
    <cellStyle name="Normal 4 2 2 2 6 13" xfId="4752"/>
    <cellStyle name="Normal 4 2 2 2 6 2" xfId="2999"/>
    <cellStyle name="Normal 4 2 2 2 6 2 10" xfId="12851"/>
    <cellStyle name="Normal 4 2 2 2 6 2 11" xfId="6884"/>
    <cellStyle name="Normal 4 2 2 2 6 2 2" xfId="12852"/>
    <cellStyle name="Normal 4 2 2 2 6 2 3" xfId="12853"/>
    <cellStyle name="Normal 4 2 2 2 6 2 4" xfId="12854"/>
    <cellStyle name="Normal 4 2 2 2 6 2 5" xfId="12855"/>
    <cellStyle name="Normal 4 2 2 2 6 2 6" xfId="12856"/>
    <cellStyle name="Normal 4 2 2 2 6 2 7" xfId="12857"/>
    <cellStyle name="Normal 4 2 2 2 6 2 8" xfId="12858"/>
    <cellStyle name="Normal 4 2 2 2 6 2 9" xfId="12859"/>
    <cellStyle name="Normal 4 2 2 2 6 3" xfId="3001"/>
    <cellStyle name="Normal 4 2 2 2 6 3 10" xfId="12860"/>
    <cellStyle name="Normal 4 2 2 2 6 3 11" xfId="6886"/>
    <cellStyle name="Normal 4 2 2 2 6 3 2" xfId="12861"/>
    <cellStyle name="Normal 4 2 2 2 6 3 3" xfId="12862"/>
    <cellStyle name="Normal 4 2 2 2 6 3 4" xfId="12863"/>
    <cellStyle name="Normal 4 2 2 2 6 3 5" xfId="12864"/>
    <cellStyle name="Normal 4 2 2 2 6 3 6" xfId="12865"/>
    <cellStyle name="Normal 4 2 2 2 6 3 7" xfId="12866"/>
    <cellStyle name="Normal 4 2 2 2 6 3 8" xfId="12867"/>
    <cellStyle name="Normal 4 2 2 2 6 3 9" xfId="12868"/>
    <cellStyle name="Normal 4 2 2 2 6 4" xfId="12869"/>
    <cellStyle name="Normal 4 2 2 2 6 5" xfId="12870"/>
    <cellStyle name="Normal 4 2 2 2 6 6" xfId="12871"/>
    <cellStyle name="Normal 4 2 2 2 6 7" xfId="12872"/>
    <cellStyle name="Normal 4 2 2 2 6 8" xfId="12873"/>
    <cellStyle name="Normal 4 2 2 2 6 9" xfId="12874"/>
    <cellStyle name="Normal 4 2 2 2 7" xfId="827"/>
    <cellStyle name="Normal 4 2 2 2 7 10" xfId="12875"/>
    <cellStyle name="Normal 4 2 2 2 7 11" xfId="4755"/>
    <cellStyle name="Normal 4 2 2 2 7 2" xfId="12876"/>
    <cellStyle name="Normal 4 2 2 2 7 3" xfId="12877"/>
    <cellStyle name="Normal 4 2 2 2 7 4" xfId="12878"/>
    <cellStyle name="Normal 4 2 2 2 7 5" xfId="12879"/>
    <cellStyle name="Normal 4 2 2 2 7 6" xfId="12880"/>
    <cellStyle name="Normal 4 2 2 2 7 7" xfId="12881"/>
    <cellStyle name="Normal 4 2 2 2 7 8" xfId="12882"/>
    <cellStyle name="Normal 4 2 2 2 7 9" xfId="12883"/>
    <cellStyle name="Normal 4 2 2 2 8" xfId="3003"/>
    <cellStyle name="Normal 4 2 2 2 8 10" xfId="12884"/>
    <cellStyle name="Normal 4 2 2 2 8 11" xfId="6888"/>
    <cellStyle name="Normal 4 2 2 2 8 2" xfId="12885"/>
    <cellStyle name="Normal 4 2 2 2 8 3" xfId="12886"/>
    <cellStyle name="Normal 4 2 2 2 8 4" xfId="12887"/>
    <cellStyle name="Normal 4 2 2 2 8 5" xfId="12888"/>
    <cellStyle name="Normal 4 2 2 2 8 6" xfId="12889"/>
    <cellStyle name="Normal 4 2 2 2 8 7" xfId="12890"/>
    <cellStyle name="Normal 4 2 2 2 8 8" xfId="12891"/>
    <cellStyle name="Normal 4 2 2 2 8 9" xfId="12892"/>
    <cellStyle name="Normal 4 2 2 2 9" xfId="12893"/>
    <cellStyle name="Normal 4 2 2 20" xfId="12894"/>
    <cellStyle name="Normal 4 2 2 21" xfId="12895"/>
    <cellStyle name="Normal 4 2 2 22" xfId="12896"/>
    <cellStyle name="Normal 4 2 2 23" xfId="12897"/>
    <cellStyle name="Normal 4 2 2 24" xfId="12898"/>
    <cellStyle name="Normal 4 2 2 25" xfId="12899"/>
    <cellStyle name="Normal 4 2 2 26" xfId="12900"/>
    <cellStyle name="Normal 4 2 2 27" xfId="6855"/>
    <cellStyle name="Normal 4 2 2 3" xfId="3005"/>
    <cellStyle name="Normal 4 2 2 3 10" xfId="12901"/>
    <cellStyle name="Normal 4 2 2 3 11" xfId="12902"/>
    <cellStyle name="Normal 4 2 2 3 12" xfId="12903"/>
    <cellStyle name="Normal 4 2 2 3 13" xfId="12904"/>
    <cellStyle name="Normal 4 2 2 3 14" xfId="12905"/>
    <cellStyle name="Normal 4 2 2 3 15" xfId="12906"/>
    <cellStyle name="Normal 4 2 2 3 16" xfId="12907"/>
    <cellStyle name="Normal 4 2 2 3 17" xfId="12908"/>
    <cellStyle name="Normal 4 2 2 3 18" xfId="6890"/>
    <cellStyle name="Normal 4 2 2 3 2" xfId="3006"/>
    <cellStyle name="Normal 4 2 2 3 2 2" xfId="6892"/>
    <cellStyle name="Normal 4 2 2 3 3" xfId="118"/>
    <cellStyle name="Normal 4 2 2 3 3 2" xfId="4061"/>
    <cellStyle name="Normal 4 2 2 3 4" xfId="3007"/>
    <cellStyle name="Normal 4 2 2 3 4 2" xfId="6893"/>
    <cellStyle name="Normal 4 2 2 3 5" xfId="3008"/>
    <cellStyle name="Normal 4 2 2 3 5 2" xfId="6894"/>
    <cellStyle name="Normal 4 2 2 3 6" xfId="3009"/>
    <cellStyle name="Normal 4 2 2 3 6 2" xfId="6895"/>
    <cellStyle name="Normal 4 2 2 3 7" xfId="3010"/>
    <cellStyle name="Normal 4 2 2 3 7 2" xfId="6896"/>
    <cellStyle name="Normal 4 2 2 3 8" xfId="3012"/>
    <cellStyle name="Normal 4 2 2 3 8 2" xfId="6897"/>
    <cellStyle name="Normal 4 2 2 3 9" xfId="12909"/>
    <cellStyle name="Normal 4 2 2 4" xfId="3014"/>
    <cellStyle name="Normal 4 2 2 4 10" xfId="12910"/>
    <cellStyle name="Normal 4 2 2 4 11" xfId="12911"/>
    <cellStyle name="Normal 4 2 2 4 12" xfId="12912"/>
    <cellStyle name="Normal 4 2 2 4 13" xfId="12913"/>
    <cellStyle name="Normal 4 2 2 4 14" xfId="12914"/>
    <cellStyle name="Normal 4 2 2 4 15" xfId="12915"/>
    <cellStyle name="Normal 4 2 2 4 16" xfId="12916"/>
    <cellStyle name="Normal 4 2 2 4 17" xfId="12917"/>
    <cellStyle name="Normal 4 2 2 4 18" xfId="6899"/>
    <cellStyle name="Normal 4 2 2 4 2" xfId="1939"/>
    <cellStyle name="Normal 4 2 2 4 2 2" xfId="5845"/>
    <cellStyle name="Normal 4 2 2 4 3" xfId="3015"/>
    <cellStyle name="Normal 4 2 2 4 3 2" xfId="6901"/>
    <cellStyle name="Normal 4 2 2 4 4" xfId="3016"/>
    <cellStyle name="Normal 4 2 2 4 4 2" xfId="6902"/>
    <cellStyle name="Normal 4 2 2 4 5" xfId="3017"/>
    <cellStyle name="Normal 4 2 2 4 5 2" xfId="6903"/>
    <cellStyle name="Normal 4 2 2 4 6" xfId="3018"/>
    <cellStyle name="Normal 4 2 2 4 6 2" xfId="6904"/>
    <cellStyle name="Normal 4 2 2 4 7" xfId="3019"/>
    <cellStyle name="Normal 4 2 2 4 7 2" xfId="6905"/>
    <cellStyle name="Normal 4 2 2 4 8" xfId="3021"/>
    <cellStyle name="Normal 4 2 2 4 8 2" xfId="6906"/>
    <cellStyle name="Normal 4 2 2 4 9" xfId="12918"/>
    <cellStyle name="Normal 4 2 2 5" xfId="3024"/>
    <cellStyle name="Normal 4 2 2 5 10" xfId="12919"/>
    <cellStyle name="Normal 4 2 2 5 11" xfId="12920"/>
    <cellStyle name="Normal 4 2 2 5 12" xfId="12921"/>
    <cellStyle name="Normal 4 2 2 5 13" xfId="12922"/>
    <cellStyle name="Normal 4 2 2 5 14" xfId="12923"/>
    <cellStyle name="Normal 4 2 2 5 15" xfId="12924"/>
    <cellStyle name="Normal 4 2 2 5 16" xfId="12925"/>
    <cellStyle name="Normal 4 2 2 5 17" xfId="12926"/>
    <cellStyle name="Normal 4 2 2 5 18" xfId="6908"/>
    <cellStyle name="Normal 4 2 2 5 2" xfId="2063"/>
    <cellStyle name="Normal 4 2 2 5 2 2" xfId="5967"/>
    <cellStyle name="Normal 4 2 2 5 3" xfId="3025"/>
    <cellStyle name="Normal 4 2 2 5 3 2" xfId="6911"/>
    <cellStyle name="Normal 4 2 2 5 4" xfId="3026"/>
    <cellStyle name="Normal 4 2 2 5 4 2" xfId="6912"/>
    <cellStyle name="Normal 4 2 2 5 5" xfId="3027"/>
    <cellStyle name="Normal 4 2 2 5 5 2" xfId="6913"/>
    <cellStyle name="Normal 4 2 2 5 6" xfId="3029"/>
    <cellStyle name="Normal 4 2 2 5 6 2" xfId="6914"/>
    <cellStyle name="Normal 4 2 2 5 7" xfId="3030"/>
    <cellStyle name="Normal 4 2 2 5 7 2" xfId="6915"/>
    <cellStyle name="Normal 4 2 2 5 8" xfId="3032"/>
    <cellStyle name="Normal 4 2 2 5 8 2" xfId="6916"/>
    <cellStyle name="Normal 4 2 2 5 9" xfId="12927"/>
    <cellStyle name="Normal 4 2 2 6" xfId="3035"/>
    <cellStyle name="Normal 4 2 2 6 10" xfId="12928"/>
    <cellStyle name="Normal 4 2 2 6 11" xfId="12929"/>
    <cellStyle name="Normal 4 2 2 6 12" xfId="12930"/>
    <cellStyle name="Normal 4 2 2 6 13" xfId="12931"/>
    <cellStyle name="Normal 4 2 2 6 14" xfId="12932"/>
    <cellStyle name="Normal 4 2 2 6 15" xfId="12933"/>
    <cellStyle name="Normal 4 2 2 6 16" xfId="12934"/>
    <cellStyle name="Normal 4 2 2 6 17" xfId="12935"/>
    <cellStyle name="Normal 4 2 2 6 18" xfId="6918"/>
    <cellStyle name="Normal 4 2 2 6 2" xfId="3036"/>
    <cellStyle name="Normal 4 2 2 6 2 2" xfId="6921"/>
    <cellStyle name="Normal 4 2 2 6 3" xfId="3037"/>
    <cellStyle name="Normal 4 2 2 6 3 2" xfId="6922"/>
    <cellStyle name="Normal 4 2 2 6 4" xfId="3038"/>
    <cellStyle name="Normal 4 2 2 6 4 2" xfId="6923"/>
    <cellStyle name="Normal 4 2 2 6 5" xfId="3039"/>
    <cellStyle name="Normal 4 2 2 6 5 2" xfId="6924"/>
    <cellStyle name="Normal 4 2 2 6 6" xfId="3040"/>
    <cellStyle name="Normal 4 2 2 6 6 2" xfId="6925"/>
    <cellStyle name="Normal 4 2 2 6 7" xfId="3041"/>
    <cellStyle name="Normal 4 2 2 6 7 2" xfId="6926"/>
    <cellStyle name="Normal 4 2 2 6 8" xfId="3043"/>
    <cellStyle name="Normal 4 2 2 6 8 2" xfId="6927"/>
    <cellStyle name="Normal 4 2 2 6 9" xfId="12936"/>
    <cellStyle name="Normal 4 2 2 7" xfId="3044"/>
    <cellStyle name="Normal 4 2 2 7 10" xfId="12937"/>
    <cellStyle name="Normal 4 2 2 7 11" xfId="12938"/>
    <cellStyle name="Normal 4 2 2 7 12" xfId="12939"/>
    <cellStyle name="Normal 4 2 2 7 13" xfId="12940"/>
    <cellStyle name="Normal 4 2 2 7 14" xfId="12941"/>
    <cellStyle name="Normal 4 2 2 7 15" xfId="12942"/>
    <cellStyle name="Normal 4 2 2 7 16" xfId="12943"/>
    <cellStyle name="Normal 4 2 2 7 17" xfId="12944"/>
    <cellStyle name="Normal 4 2 2 7 18" xfId="6929"/>
    <cellStyle name="Normal 4 2 2 7 2" xfId="1412"/>
    <cellStyle name="Normal 4 2 2 7 2 2" xfId="5330"/>
    <cellStyle name="Normal 4 2 2 7 3" xfId="1415"/>
    <cellStyle name="Normal 4 2 2 7 3 2" xfId="5333"/>
    <cellStyle name="Normal 4 2 2 7 4" xfId="1417"/>
    <cellStyle name="Normal 4 2 2 7 4 2" xfId="5335"/>
    <cellStyle name="Normal 4 2 2 7 5" xfId="1419"/>
    <cellStyle name="Normal 4 2 2 7 5 2" xfId="5337"/>
    <cellStyle name="Normal 4 2 2 7 6" xfId="1421"/>
    <cellStyle name="Normal 4 2 2 7 6 2" xfId="5339"/>
    <cellStyle name="Normal 4 2 2 7 7" xfId="997"/>
    <cellStyle name="Normal 4 2 2 7 7 2" xfId="4917"/>
    <cellStyle name="Normal 4 2 2 7 8" xfId="3046"/>
    <cellStyle name="Normal 4 2 2 7 8 2" xfId="6930"/>
    <cellStyle name="Normal 4 2 2 7 9" xfId="12945"/>
    <cellStyle name="Normal 4 2 2 8" xfId="3048"/>
    <cellStyle name="Normal 4 2 2 8 10" xfId="12946"/>
    <cellStyle name="Normal 4 2 2 8 11" xfId="12947"/>
    <cellStyle name="Normal 4 2 2 8 12" xfId="12948"/>
    <cellStyle name="Normal 4 2 2 8 13" xfId="12949"/>
    <cellStyle name="Normal 4 2 2 8 14" xfId="12950"/>
    <cellStyle name="Normal 4 2 2 8 15" xfId="12951"/>
    <cellStyle name="Normal 4 2 2 8 16" xfId="12952"/>
    <cellStyle name="Normal 4 2 2 8 17" xfId="12953"/>
    <cellStyle name="Normal 4 2 2 8 18" xfId="6932"/>
    <cellStyle name="Normal 4 2 2 8 2" xfId="3049"/>
    <cellStyle name="Normal 4 2 2 8 2 2" xfId="6934"/>
    <cellStyle name="Normal 4 2 2 8 3" xfId="3050"/>
    <cellStyle name="Normal 4 2 2 8 3 2" xfId="6935"/>
    <cellStyle name="Normal 4 2 2 8 4" xfId="3051"/>
    <cellStyle name="Normal 4 2 2 8 4 2" xfId="6936"/>
    <cellStyle name="Normal 4 2 2 8 5" xfId="3052"/>
    <cellStyle name="Normal 4 2 2 8 5 2" xfId="6937"/>
    <cellStyle name="Normal 4 2 2 8 6" xfId="2911"/>
    <cellStyle name="Normal 4 2 2 8 6 2" xfId="6798"/>
    <cellStyle name="Normal 4 2 2 8 7" xfId="3053"/>
    <cellStyle name="Normal 4 2 2 8 7 2" xfId="6938"/>
    <cellStyle name="Normal 4 2 2 8 8" xfId="3055"/>
    <cellStyle name="Normal 4 2 2 8 8 2" xfId="6939"/>
    <cellStyle name="Normal 4 2 2 8 9" xfId="12954"/>
    <cellStyle name="Normal 4 2 2 9" xfId="2278"/>
    <cellStyle name="Normal 4 2 2 9 10" xfId="12955"/>
    <cellStyle name="Normal 4 2 2 9 11" xfId="12956"/>
    <cellStyle name="Normal 4 2 2 9 12" xfId="12957"/>
    <cellStyle name="Normal 4 2 2 9 13" xfId="12958"/>
    <cellStyle name="Normal 4 2 2 9 14" xfId="12959"/>
    <cellStyle name="Normal 4 2 2 9 15" xfId="12960"/>
    <cellStyle name="Normal 4 2 2 9 16" xfId="12961"/>
    <cellStyle name="Normal 4 2 2 9 17" xfId="12962"/>
    <cellStyle name="Normal 4 2 2 9 18" xfId="6178"/>
    <cellStyle name="Normal 4 2 2 9 2" xfId="3056"/>
    <cellStyle name="Normal 4 2 2 9 2 2" xfId="6941"/>
    <cellStyle name="Normal 4 2 2 9 3" xfId="3057"/>
    <cellStyle name="Normal 4 2 2 9 3 2" xfId="6942"/>
    <cellStyle name="Normal 4 2 2 9 4" xfId="3058"/>
    <cellStyle name="Normal 4 2 2 9 4 2" xfId="6943"/>
    <cellStyle name="Normal 4 2 2 9 5" xfId="3059"/>
    <cellStyle name="Normal 4 2 2 9 5 2" xfId="6944"/>
    <cellStyle name="Normal 4 2 2 9 6" xfId="3060"/>
    <cellStyle name="Normal 4 2 2 9 6 2" xfId="6945"/>
    <cellStyle name="Normal 4 2 2 9 7" xfId="3061"/>
    <cellStyle name="Normal 4 2 2 9 7 2" xfId="6946"/>
    <cellStyle name="Normal 4 2 2 9 8" xfId="3062"/>
    <cellStyle name="Normal 4 2 2 9 8 2" xfId="6947"/>
    <cellStyle name="Normal 4 2 2 9 9" xfId="12963"/>
    <cellStyle name="Normal 4 2 2_Achampally-Gattubuthkur-Ganga-CRR" xfId="3064"/>
    <cellStyle name="Normal 4 2 20" xfId="12964"/>
    <cellStyle name="Normal 4 2 21" xfId="12965"/>
    <cellStyle name="Normal 4 2 22" xfId="12966"/>
    <cellStyle name="Normal 4 2 23" xfId="12967"/>
    <cellStyle name="Normal 4 2 24" xfId="12968"/>
    <cellStyle name="Normal 4 2 25" xfId="12969"/>
    <cellStyle name="Normal 4 2 26" xfId="12970"/>
    <cellStyle name="Normal 4 2 27" xfId="12971"/>
    <cellStyle name="Normal 4 2 28" xfId="6512"/>
    <cellStyle name="Normal 4 2 3" xfId="1256"/>
    <cellStyle name="Normal 4 2 3 10" xfId="12972"/>
    <cellStyle name="Normal 4 2 3 11" xfId="12973"/>
    <cellStyle name="Normal 4 2 3 12" xfId="12974"/>
    <cellStyle name="Normal 4 2 3 13" xfId="12975"/>
    <cellStyle name="Normal 4 2 3 14" xfId="12976"/>
    <cellStyle name="Normal 4 2 3 15" xfId="12977"/>
    <cellStyle name="Normal 4 2 3 16" xfId="12978"/>
    <cellStyle name="Normal 4 2 3 17" xfId="12979"/>
    <cellStyle name="Normal 4 2 3 18" xfId="5176"/>
    <cellStyle name="Normal 4 2 3 2" xfId="3065"/>
    <cellStyle name="Normal 4 2 3 2 10" xfId="12980"/>
    <cellStyle name="Normal 4 2 3 2 11" xfId="12981"/>
    <cellStyle name="Normal 4 2 3 2 12" xfId="12982"/>
    <cellStyle name="Normal 4 2 3 2 13" xfId="6949"/>
    <cellStyle name="Normal 4 2 3 2 2" xfId="1572"/>
    <cellStyle name="Normal 4 2 3 2 2 10" xfId="12983"/>
    <cellStyle name="Normal 4 2 3 2 2 11" xfId="5489"/>
    <cellStyle name="Normal 4 2 3 2 2 2" xfId="12984"/>
    <cellStyle name="Normal 4 2 3 2 2 3" xfId="12985"/>
    <cellStyle name="Normal 4 2 3 2 2 4" xfId="12986"/>
    <cellStyle name="Normal 4 2 3 2 2 5" xfId="12987"/>
    <cellStyle name="Normal 4 2 3 2 2 6" xfId="12988"/>
    <cellStyle name="Normal 4 2 3 2 2 7" xfId="12989"/>
    <cellStyle name="Normal 4 2 3 2 2 8" xfId="12990"/>
    <cellStyle name="Normal 4 2 3 2 2 9" xfId="12991"/>
    <cellStyle name="Normal 4 2 3 2 3" xfId="3066"/>
    <cellStyle name="Normal 4 2 3 2 3 10" xfId="12992"/>
    <cellStyle name="Normal 4 2 3 2 3 11" xfId="6950"/>
    <cellStyle name="Normal 4 2 3 2 3 2" xfId="12993"/>
    <cellStyle name="Normal 4 2 3 2 3 3" xfId="12994"/>
    <cellStyle name="Normal 4 2 3 2 3 4" xfId="12995"/>
    <cellStyle name="Normal 4 2 3 2 3 5" xfId="12996"/>
    <cellStyle name="Normal 4 2 3 2 3 6" xfId="12997"/>
    <cellStyle name="Normal 4 2 3 2 3 7" xfId="12998"/>
    <cellStyle name="Normal 4 2 3 2 3 8" xfId="12999"/>
    <cellStyle name="Normal 4 2 3 2 3 9" xfId="13000"/>
    <cellStyle name="Normal 4 2 3 2 4" xfId="13001"/>
    <cellStyle name="Normal 4 2 3 2 5" xfId="13002"/>
    <cellStyle name="Normal 4 2 3 2 6" xfId="13003"/>
    <cellStyle name="Normal 4 2 3 2 7" xfId="13004"/>
    <cellStyle name="Normal 4 2 3 2 8" xfId="13005"/>
    <cellStyle name="Normal 4 2 3 2 9" xfId="13006"/>
    <cellStyle name="Normal 4 2 3 3" xfId="3067"/>
    <cellStyle name="Normal 4 2 3 3 10" xfId="13007"/>
    <cellStyle name="Normal 4 2 3 3 11" xfId="13008"/>
    <cellStyle name="Normal 4 2 3 3 12" xfId="13009"/>
    <cellStyle name="Normal 4 2 3 3 13" xfId="6951"/>
    <cellStyle name="Normal 4 2 3 3 2" xfId="130"/>
    <cellStyle name="Normal 4 2 3 3 2 10" xfId="13010"/>
    <cellStyle name="Normal 4 2 3 3 2 11" xfId="4075"/>
    <cellStyle name="Normal 4 2 3 3 2 2" xfId="13011"/>
    <cellStyle name="Normal 4 2 3 3 2 3" xfId="13012"/>
    <cellStyle name="Normal 4 2 3 3 2 4" xfId="13013"/>
    <cellStyle name="Normal 4 2 3 3 2 5" xfId="13014"/>
    <cellStyle name="Normal 4 2 3 3 2 6" xfId="13015"/>
    <cellStyle name="Normal 4 2 3 3 2 7" xfId="13016"/>
    <cellStyle name="Normal 4 2 3 3 2 8" xfId="13017"/>
    <cellStyle name="Normal 4 2 3 3 2 9" xfId="13018"/>
    <cellStyle name="Normal 4 2 3 3 3" xfId="3068"/>
    <cellStyle name="Normal 4 2 3 3 3 10" xfId="13019"/>
    <cellStyle name="Normal 4 2 3 3 3 11" xfId="6952"/>
    <cellStyle name="Normal 4 2 3 3 3 2" xfId="13020"/>
    <cellStyle name="Normal 4 2 3 3 3 3" xfId="13021"/>
    <cellStyle name="Normal 4 2 3 3 3 4" xfId="13022"/>
    <cellStyle name="Normal 4 2 3 3 3 5" xfId="13023"/>
    <cellStyle name="Normal 4 2 3 3 3 6" xfId="13024"/>
    <cellStyle name="Normal 4 2 3 3 3 7" xfId="13025"/>
    <cellStyle name="Normal 4 2 3 3 3 8" xfId="13026"/>
    <cellStyle name="Normal 4 2 3 3 3 9" xfId="13027"/>
    <cellStyle name="Normal 4 2 3 3 4" xfId="13028"/>
    <cellStyle name="Normal 4 2 3 3 5" xfId="13029"/>
    <cellStyle name="Normal 4 2 3 3 6" xfId="13030"/>
    <cellStyle name="Normal 4 2 3 3 7" xfId="13031"/>
    <cellStyle name="Normal 4 2 3 3 8" xfId="13032"/>
    <cellStyle name="Normal 4 2 3 3 9" xfId="13033"/>
    <cellStyle name="Normal 4 2 3 4" xfId="3069"/>
    <cellStyle name="Normal 4 2 3 4 10" xfId="13034"/>
    <cellStyle name="Normal 4 2 3 4 11" xfId="13035"/>
    <cellStyle name="Normal 4 2 3 4 12" xfId="13036"/>
    <cellStyle name="Normal 4 2 3 4 13" xfId="6953"/>
    <cellStyle name="Normal 4 2 3 4 2" xfId="1596"/>
    <cellStyle name="Normal 4 2 3 4 2 10" xfId="13037"/>
    <cellStyle name="Normal 4 2 3 4 2 11" xfId="5513"/>
    <cellStyle name="Normal 4 2 3 4 2 2" xfId="13038"/>
    <cellStyle name="Normal 4 2 3 4 2 3" xfId="13039"/>
    <cellStyle name="Normal 4 2 3 4 2 4" xfId="13040"/>
    <cellStyle name="Normal 4 2 3 4 2 5" xfId="13041"/>
    <cellStyle name="Normal 4 2 3 4 2 6" xfId="13042"/>
    <cellStyle name="Normal 4 2 3 4 2 7" xfId="13043"/>
    <cellStyle name="Normal 4 2 3 4 2 8" xfId="13044"/>
    <cellStyle name="Normal 4 2 3 4 2 9" xfId="13045"/>
    <cellStyle name="Normal 4 2 3 4 3" xfId="3071"/>
    <cellStyle name="Normal 4 2 3 4 3 10" xfId="13046"/>
    <cellStyle name="Normal 4 2 3 4 3 11" xfId="6954"/>
    <cellStyle name="Normal 4 2 3 4 3 2" xfId="13047"/>
    <cellStyle name="Normal 4 2 3 4 3 3" xfId="13048"/>
    <cellStyle name="Normal 4 2 3 4 3 4" xfId="13049"/>
    <cellStyle name="Normal 4 2 3 4 3 5" xfId="13050"/>
    <cellStyle name="Normal 4 2 3 4 3 6" xfId="13051"/>
    <cellStyle name="Normal 4 2 3 4 3 7" xfId="13052"/>
    <cellStyle name="Normal 4 2 3 4 3 8" xfId="13053"/>
    <cellStyle name="Normal 4 2 3 4 3 9" xfId="13054"/>
    <cellStyle name="Normal 4 2 3 4 4" xfId="13055"/>
    <cellStyle name="Normal 4 2 3 4 5" xfId="13056"/>
    <cellStyle name="Normal 4 2 3 4 6" xfId="13057"/>
    <cellStyle name="Normal 4 2 3 4 7" xfId="13058"/>
    <cellStyle name="Normal 4 2 3 4 8" xfId="13059"/>
    <cellStyle name="Normal 4 2 3 4 9" xfId="13060"/>
    <cellStyle name="Normal 4 2 3 5" xfId="3073"/>
    <cellStyle name="Normal 4 2 3 5 10" xfId="13061"/>
    <cellStyle name="Normal 4 2 3 5 11" xfId="13062"/>
    <cellStyle name="Normal 4 2 3 5 12" xfId="13063"/>
    <cellStyle name="Normal 4 2 3 5 13" xfId="6956"/>
    <cellStyle name="Normal 4 2 3 5 2" xfId="2943"/>
    <cellStyle name="Normal 4 2 3 5 2 10" xfId="13064"/>
    <cellStyle name="Normal 4 2 3 5 2 11" xfId="6830"/>
    <cellStyle name="Normal 4 2 3 5 2 2" xfId="13065"/>
    <cellStyle name="Normal 4 2 3 5 2 3" xfId="13066"/>
    <cellStyle name="Normal 4 2 3 5 2 4" xfId="13067"/>
    <cellStyle name="Normal 4 2 3 5 2 5" xfId="13068"/>
    <cellStyle name="Normal 4 2 3 5 2 6" xfId="13069"/>
    <cellStyle name="Normal 4 2 3 5 2 7" xfId="13070"/>
    <cellStyle name="Normal 4 2 3 5 2 8" xfId="13071"/>
    <cellStyle name="Normal 4 2 3 5 2 9" xfId="13072"/>
    <cellStyle name="Normal 4 2 3 5 3" xfId="2945"/>
    <cellStyle name="Normal 4 2 3 5 3 10" xfId="13073"/>
    <cellStyle name="Normal 4 2 3 5 3 11" xfId="6832"/>
    <cellStyle name="Normal 4 2 3 5 3 2" xfId="13074"/>
    <cellStyle name="Normal 4 2 3 5 3 3" xfId="13075"/>
    <cellStyle name="Normal 4 2 3 5 3 4" xfId="13076"/>
    <cellStyle name="Normal 4 2 3 5 3 5" xfId="13077"/>
    <cellStyle name="Normal 4 2 3 5 3 6" xfId="13078"/>
    <cellStyle name="Normal 4 2 3 5 3 7" xfId="13079"/>
    <cellStyle name="Normal 4 2 3 5 3 8" xfId="13080"/>
    <cellStyle name="Normal 4 2 3 5 3 9" xfId="13081"/>
    <cellStyle name="Normal 4 2 3 5 4" xfId="13082"/>
    <cellStyle name="Normal 4 2 3 5 5" xfId="13083"/>
    <cellStyle name="Normal 4 2 3 5 6" xfId="13084"/>
    <cellStyle name="Normal 4 2 3 5 7" xfId="13085"/>
    <cellStyle name="Normal 4 2 3 5 8" xfId="13086"/>
    <cellStyle name="Normal 4 2 3 5 9" xfId="13087"/>
    <cellStyle name="Normal 4 2 3 6" xfId="1952"/>
    <cellStyle name="Normal 4 2 3 6 10" xfId="13088"/>
    <cellStyle name="Normal 4 2 3 6 11" xfId="13089"/>
    <cellStyle name="Normal 4 2 3 6 12" xfId="13090"/>
    <cellStyle name="Normal 4 2 3 6 13" xfId="5857"/>
    <cellStyle name="Normal 4 2 3 6 2" xfId="1954"/>
    <cellStyle name="Normal 4 2 3 6 2 10" xfId="13091"/>
    <cellStyle name="Normal 4 2 3 6 2 11" xfId="5859"/>
    <cellStyle name="Normal 4 2 3 6 2 2" xfId="13092"/>
    <cellStyle name="Normal 4 2 3 6 2 3" xfId="13093"/>
    <cellStyle name="Normal 4 2 3 6 2 4" xfId="13094"/>
    <cellStyle name="Normal 4 2 3 6 2 5" xfId="13095"/>
    <cellStyle name="Normal 4 2 3 6 2 6" xfId="13096"/>
    <cellStyle name="Normal 4 2 3 6 2 7" xfId="13097"/>
    <cellStyle name="Normal 4 2 3 6 2 8" xfId="13098"/>
    <cellStyle name="Normal 4 2 3 6 2 9" xfId="13099"/>
    <cellStyle name="Normal 4 2 3 6 3" xfId="1782"/>
    <cellStyle name="Normal 4 2 3 6 3 10" xfId="13100"/>
    <cellStyle name="Normal 4 2 3 6 3 11" xfId="5694"/>
    <cellStyle name="Normal 4 2 3 6 3 2" xfId="13101"/>
    <cellStyle name="Normal 4 2 3 6 3 3" xfId="13102"/>
    <cellStyle name="Normal 4 2 3 6 3 4" xfId="13103"/>
    <cellStyle name="Normal 4 2 3 6 3 5" xfId="13104"/>
    <cellStyle name="Normal 4 2 3 6 3 6" xfId="13105"/>
    <cellStyle name="Normal 4 2 3 6 3 7" xfId="13106"/>
    <cellStyle name="Normal 4 2 3 6 3 8" xfId="13107"/>
    <cellStyle name="Normal 4 2 3 6 3 9" xfId="13108"/>
    <cellStyle name="Normal 4 2 3 6 4" xfId="13109"/>
    <cellStyle name="Normal 4 2 3 6 5" xfId="13110"/>
    <cellStyle name="Normal 4 2 3 6 6" xfId="13111"/>
    <cellStyle name="Normal 4 2 3 6 7" xfId="13112"/>
    <cellStyle name="Normal 4 2 3 6 8" xfId="13113"/>
    <cellStyle name="Normal 4 2 3 6 9" xfId="13114"/>
    <cellStyle name="Normal 4 2 3 7" xfId="1958"/>
    <cellStyle name="Normal 4 2 3 7 10" xfId="13115"/>
    <cellStyle name="Normal 4 2 3 7 11" xfId="5863"/>
    <cellStyle name="Normal 4 2 3 7 2" xfId="13116"/>
    <cellStyle name="Normal 4 2 3 7 3" xfId="13117"/>
    <cellStyle name="Normal 4 2 3 7 4" xfId="13118"/>
    <cellStyle name="Normal 4 2 3 7 5" xfId="13119"/>
    <cellStyle name="Normal 4 2 3 7 6" xfId="13120"/>
    <cellStyle name="Normal 4 2 3 7 7" xfId="13121"/>
    <cellStyle name="Normal 4 2 3 7 8" xfId="13122"/>
    <cellStyle name="Normal 4 2 3 7 9" xfId="13123"/>
    <cellStyle name="Normal 4 2 3 8" xfId="1960"/>
    <cellStyle name="Normal 4 2 3 8 10" xfId="13124"/>
    <cellStyle name="Normal 4 2 3 8 11" xfId="5865"/>
    <cellStyle name="Normal 4 2 3 8 2" xfId="13125"/>
    <cellStyle name="Normal 4 2 3 8 3" xfId="13126"/>
    <cellStyle name="Normal 4 2 3 8 4" xfId="13127"/>
    <cellStyle name="Normal 4 2 3 8 5" xfId="13128"/>
    <cellStyle name="Normal 4 2 3 8 6" xfId="13129"/>
    <cellStyle name="Normal 4 2 3 8 7" xfId="13130"/>
    <cellStyle name="Normal 4 2 3 8 8" xfId="13131"/>
    <cellStyle name="Normal 4 2 3 8 9" xfId="13132"/>
    <cellStyle name="Normal 4 2 3 9" xfId="13133"/>
    <cellStyle name="Normal 4 2 4" xfId="1258"/>
    <cellStyle name="Normal 4 2 4 10" xfId="13134"/>
    <cellStyle name="Normal 4 2 4 11" xfId="13135"/>
    <cellStyle name="Normal 4 2 4 12" xfId="13136"/>
    <cellStyle name="Normal 4 2 4 13" xfId="13137"/>
    <cellStyle name="Normal 4 2 4 14" xfId="13138"/>
    <cellStyle name="Normal 4 2 4 15" xfId="13139"/>
    <cellStyle name="Normal 4 2 4 16" xfId="13140"/>
    <cellStyle name="Normal 4 2 4 17" xfId="13141"/>
    <cellStyle name="Normal 4 2 4 18" xfId="5178"/>
    <cellStyle name="Normal 4 2 4 2" xfId="2754"/>
    <cellStyle name="Normal 4 2 4 2 10" xfId="13142"/>
    <cellStyle name="Normal 4 2 4 2 11" xfId="13143"/>
    <cellStyle name="Normal 4 2 4 2 12" xfId="13144"/>
    <cellStyle name="Normal 4 2 4 2 13" xfId="6647"/>
    <cellStyle name="Normal 4 2 4 2 2" xfId="1006"/>
    <cellStyle name="Normal 4 2 4 2 2 10" xfId="13145"/>
    <cellStyle name="Normal 4 2 4 2 2 11" xfId="4927"/>
    <cellStyle name="Normal 4 2 4 2 2 2" xfId="13146"/>
    <cellStyle name="Normal 4 2 4 2 2 3" xfId="13147"/>
    <cellStyle name="Normal 4 2 4 2 2 4" xfId="13148"/>
    <cellStyle name="Normal 4 2 4 2 2 5" xfId="13149"/>
    <cellStyle name="Normal 4 2 4 2 2 6" xfId="13150"/>
    <cellStyle name="Normal 4 2 4 2 2 7" xfId="13151"/>
    <cellStyle name="Normal 4 2 4 2 2 8" xfId="13152"/>
    <cellStyle name="Normal 4 2 4 2 2 9" xfId="13153"/>
    <cellStyle name="Normal 4 2 4 2 3" xfId="3074"/>
    <cellStyle name="Normal 4 2 4 2 3 10" xfId="13154"/>
    <cellStyle name="Normal 4 2 4 2 3 11" xfId="6958"/>
    <cellStyle name="Normal 4 2 4 2 3 2" xfId="13155"/>
    <cellStyle name="Normal 4 2 4 2 3 3" xfId="13156"/>
    <cellStyle name="Normal 4 2 4 2 3 4" xfId="13157"/>
    <cellStyle name="Normal 4 2 4 2 3 5" xfId="13158"/>
    <cellStyle name="Normal 4 2 4 2 3 6" xfId="13159"/>
    <cellStyle name="Normal 4 2 4 2 3 7" xfId="13160"/>
    <cellStyle name="Normal 4 2 4 2 3 8" xfId="13161"/>
    <cellStyle name="Normal 4 2 4 2 3 9" xfId="13162"/>
    <cellStyle name="Normal 4 2 4 2 4" xfId="13163"/>
    <cellStyle name="Normal 4 2 4 2 5" xfId="13164"/>
    <cellStyle name="Normal 4 2 4 2 6" xfId="13165"/>
    <cellStyle name="Normal 4 2 4 2 7" xfId="13166"/>
    <cellStyle name="Normal 4 2 4 2 8" xfId="13167"/>
    <cellStyle name="Normal 4 2 4 2 9" xfId="13168"/>
    <cellStyle name="Normal 4 2 4 3" xfId="2756"/>
    <cellStyle name="Normal 4 2 4 3 10" xfId="13169"/>
    <cellStyle name="Normal 4 2 4 3 11" xfId="13170"/>
    <cellStyle name="Normal 4 2 4 3 12" xfId="13171"/>
    <cellStyle name="Normal 4 2 4 3 13" xfId="6649"/>
    <cellStyle name="Normal 4 2 4 3 2" xfId="3075"/>
    <cellStyle name="Normal 4 2 4 3 2 10" xfId="13172"/>
    <cellStyle name="Normal 4 2 4 3 2 11" xfId="6959"/>
    <cellStyle name="Normal 4 2 4 3 2 2" xfId="13173"/>
    <cellStyle name="Normal 4 2 4 3 2 3" xfId="13174"/>
    <cellStyle name="Normal 4 2 4 3 2 4" xfId="13175"/>
    <cellStyle name="Normal 4 2 4 3 2 5" xfId="13176"/>
    <cellStyle name="Normal 4 2 4 3 2 6" xfId="13177"/>
    <cellStyle name="Normal 4 2 4 3 2 7" xfId="13178"/>
    <cellStyle name="Normal 4 2 4 3 2 8" xfId="13179"/>
    <cellStyle name="Normal 4 2 4 3 2 9" xfId="13180"/>
    <cellStyle name="Normal 4 2 4 3 3" xfId="3076"/>
    <cellStyle name="Normal 4 2 4 3 3 10" xfId="13181"/>
    <cellStyle name="Normal 4 2 4 3 3 11" xfId="6960"/>
    <cellStyle name="Normal 4 2 4 3 3 2" xfId="13182"/>
    <cellStyle name="Normal 4 2 4 3 3 3" xfId="13183"/>
    <cellStyle name="Normal 4 2 4 3 3 4" xfId="13184"/>
    <cellStyle name="Normal 4 2 4 3 3 5" xfId="13185"/>
    <cellStyle name="Normal 4 2 4 3 3 6" xfId="13186"/>
    <cellStyle name="Normal 4 2 4 3 3 7" xfId="13187"/>
    <cellStyle name="Normal 4 2 4 3 3 8" xfId="13188"/>
    <cellStyle name="Normal 4 2 4 3 3 9" xfId="13189"/>
    <cellStyle name="Normal 4 2 4 3 4" xfId="13190"/>
    <cellStyle name="Normal 4 2 4 3 5" xfId="13191"/>
    <cellStyle name="Normal 4 2 4 3 6" xfId="13192"/>
    <cellStyle name="Normal 4 2 4 3 7" xfId="13193"/>
    <cellStyle name="Normal 4 2 4 3 8" xfId="13194"/>
    <cellStyle name="Normal 4 2 4 3 9" xfId="13195"/>
    <cellStyle name="Normal 4 2 4 4" xfId="3077"/>
    <cellStyle name="Normal 4 2 4 4 10" xfId="13196"/>
    <cellStyle name="Normal 4 2 4 4 11" xfId="13197"/>
    <cellStyle name="Normal 4 2 4 4 12" xfId="13198"/>
    <cellStyle name="Normal 4 2 4 4 13" xfId="6961"/>
    <cellStyle name="Normal 4 2 4 4 2" xfId="3078"/>
    <cellStyle name="Normal 4 2 4 4 2 10" xfId="13199"/>
    <cellStyle name="Normal 4 2 4 4 2 11" xfId="6962"/>
    <cellStyle name="Normal 4 2 4 4 2 2" xfId="13200"/>
    <cellStyle name="Normal 4 2 4 4 2 3" xfId="13201"/>
    <cellStyle name="Normal 4 2 4 4 2 4" xfId="13202"/>
    <cellStyle name="Normal 4 2 4 4 2 5" xfId="13203"/>
    <cellStyle name="Normal 4 2 4 4 2 6" xfId="13204"/>
    <cellStyle name="Normal 4 2 4 4 2 7" xfId="13205"/>
    <cellStyle name="Normal 4 2 4 4 2 8" xfId="13206"/>
    <cellStyle name="Normal 4 2 4 4 2 9" xfId="13207"/>
    <cellStyle name="Normal 4 2 4 4 3" xfId="3079"/>
    <cellStyle name="Normal 4 2 4 4 3 10" xfId="13208"/>
    <cellStyle name="Normal 4 2 4 4 3 11" xfId="6963"/>
    <cellStyle name="Normal 4 2 4 4 3 2" xfId="13209"/>
    <cellStyle name="Normal 4 2 4 4 3 3" xfId="13210"/>
    <cellStyle name="Normal 4 2 4 4 3 4" xfId="13211"/>
    <cellStyle name="Normal 4 2 4 4 3 5" xfId="13212"/>
    <cellStyle name="Normal 4 2 4 4 3 6" xfId="13213"/>
    <cellStyle name="Normal 4 2 4 4 3 7" xfId="13214"/>
    <cellStyle name="Normal 4 2 4 4 3 8" xfId="13215"/>
    <cellStyle name="Normal 4 2 4 4 3 9" xfId="13216"/>
    <cellStyle name="Normal 4 2 4 4 4" xfId="13217"/>
    <cellStyle name="Normal 4 2 4 4 5" xfId="13218"/>
    <cellStyle name="Normal 4 2 4 4 6" xfId="13219"/>
    <cellStyle name="Normal 4 2 4 4 7" xfId="13220"/>
    <cellStyle name="Normal 4 2 4 4 8" xfId="13221"/>
    <cellStyle name="Normal 4 2 4 4 9" xfId="13222"/>
    <cellStyle name="Normal 4 2 4 5" xfId="3081"/>
    <cellStyle name="Normal 4 2 4 5 10" xfId="13223"/>
    <cellStyle name="Normal 4 2 4 5 11" xfId="13224"/>
    <cellStyle name="Normal 4 2 4 5 12" xfId="13225"/>
    <cellStyle name="Normal 4 2 4 5 13" xfId="6964"/>
    <cellStyle name="Normal 4 2 4 5 2" xfId="3083"/>
    <cellStyle name="Normal 4 2 4 5 2 10" xfId="13226"/>
    <cellStyle name="Normal 4 2 4 5 2 11" xfId="6966"/>
    <cellStyle name="Normal 4 2 4 5 2 2" xfId="13227"/>
    <cellStyle name="Normal 4 2 4 5 2 3" xfId="13228"/>
    <cellStyle name="Normal 4 2 4 5 2 4" xfId="13229"/>
    <cellStyle name="Normal 4 2 4 5 2 5" xfId="13230"/>
    <cellStyle name="Normal 4 2 4 5 2 6" xfId="13231"/>
    <cellStyle name="Normal 4 2 4 5 2 7" xfId="13232"/>
    <cellStyle name="Normal 4 2 4 5 2 8" xfId="13233"/>
    <cellStyle name="Normal 4 2 4 5 2 9" xfId="13234"/>
    <cellStyle name="Normal 4 2 4 5 3" xfId="3085"/>
    <cellStyle name="Normal 4 2 4 5 3 10" xfId="13235"/>
    <cellStyle name="Normal 4 2 4 5 3 11" xfId="6968"/>
    <cellStyle name="Normal 4 2 4 5 3 2" xfId="13236"/>
    <cellStyle name="Normal 4 2 4 5 3 3" xfId="13237"/>
    <cellStyle name="Normal 4 2 4 5 3 4" xfId="13238"/>
    <cellStyle name="Normal 4 2 4 5 3 5" xfId="13239"/>
    <cellStyle name="Normal 4 2 4 5 3 6" xfId="13240"/>
    <cellStyle name="Normal 4 2 4 5 3 7" xfId="13241"/>
    <cellStyle name="Normal 4 2 4 5 3 8" xfId="13242"/>
    <cellStyle name="Normal 4 2 4 5 3 9" xfId="13243"/>
    <cellStyle name="Normal 4 2 4 5 4" xfId="13244"/>
    <cellStyle name="Normal 4 2 4 5 5" xfId="13245"/>
    <cellStyle name="Normal 4 2 4 5 6" xfId="13246"/>
    <cellStyle name="Normal 4 2 4 5 7" xfId="13247"/>
    <cellStyle name="Normal 4 2 4 5 8" xfId="13248"/>
    <cellStyle name="Normal 4 2 4 5 9" xfId="13249"/>
    <cellStyle name="Normal 4 2 4 6" xfId="3087"/>
    <cellStyle name="Normal 4 2 4 6 10" xfId="13250"/>
    <cellStyle name="Normal 4 2 4 6 11" xfId="13251"/>
    <cellStyle name="Normal 4 2 4 6 12" xfId="13252"/>
    <cellStyle name="Normal 4 2 4 6 13" xfId="6970"/>
    <cellStyle name="Normal 4 2 4 6 2" xfId="3088"/>
    <cellStyle name="Normal 4 2 4 6 2 10" xfId="13253"/>
    <cellStyle name="Normal 4 2 4 6 2 11" xfId="6972"/>
    <cellStyle name="Normal 4 2 4 6 2 2" xfId="13254"/>
    <cellStyle name="Normal 4 2 4 6 2 3" xfId="13255"/>
    <cellStyle name="Normal 4 2 4 6 2 4" xfId="13256"/>
    <cellStyle name="Normal 4 2 4 6 2 5" xfId="13257"/>
    <cellStyle name="Normal 4 2 4 6 2 6" xfId="13258"/>
    <cellStyle name="Normal 4 2 4 6 2 7" xfId="13259"/>
    <cellStyle name="Normal 4 2 4 6 2 8" xfId="13260"/>
    <cellStyle name="Normal 4 2 4 6 2 9" xfId="13261"/>
    <cellStyle name="Normal 4 2 4 6 3" xfId="3089"/>
    <cellStyle name="Normal 4 2 4 6 3 10" xfId="13262"/>
    <cellStyle name="Normal 4 2 4 6 3 11" xfId="6973"/>
    <cellStyle name="Normal 4 2 4 6 3 2" xfId="13263"/>
    <cellStyle name="Normal 4 2 4 6 3 3" xfId="13264"/>
    <cellStyle name="Normal 4 2 4 6 3 4" xfId="13265"/>
    <cellStyle name="Normal 4 2 4 6 3 5" xfId="13266"/>
    <cellStyle name="Normal 4 2 4 6 3 6" xfId="13267"/>
    <cellStyle name="Normal 4 2 4 6 3 7" xfId="13268"/>
    <cellStyle name="Normal 4 2 4 6 3 8" xfId="13269"/>
    <cellStyle name="Normal 4 2 4 6 3 9" xfId="13270"/>
    <cellStyle name="Normal 4 2 4 6 4" xfId="13271"/>
    <cellStyle name="Normal 4 2 4 6 5" xfId="13272"/>
    <cellStyle name="Normal 4 2 4 6 6" xfId="13273"/>
    <cellStyle name="Normal 4 2 4 6 7" xfId="13274"/>
    <cellStyle name="Normal 4 2 4 6 8" xfId="13275"/>
    <cellStyle name="Normal 4 2 4 6 9" xfId="13276"/>
    <cellStyle name="Normal 4 2 4 7" xfId="3090"/>
    <cellStyle name="Normal 4 2 4 7 10" xfId="13277"/>
    <cellStyle name="Normal 4 2 4 7 11" xfId="6974"/>
    <cellStyle name="Normal 4 2 4 7 2" xfId="13278"/>
    <cellStyle name="Normal 4 2 4 7 3" xfId="13279"/>
    <cellStyle name="Normal 4 2 4 7 4" xfId="13280"/>
    <cellStyle name="Normal 4 2 4 7 5" xfId="13281"/>
    <cellStyle name="Normal 4 2 4 7 6" xfId="13282"/>
    <cellStyle name="Normal 4 2 4 7 7" xfId="13283"/>
    <cellStyle name="Normal 4 2 4 7 8" xfId="13284"/>
    <cellStyle name="Normal 4 2 4 7 9" xfId="13285"/>
    <cellStyle name="Normal 4 2 4 8" xfId="3091"/>
    <cellStyle name="Normal 4 2 4 8 10" xfId="13286"/>
    <cellStyle name="Normal 4 2 4 8 11" xfId="6975"/>
    <cellStyle name="Normal 4 2 4 8 2" xfId="13287"/>
    <cellStyle name="Normal 4 2 4 8 3" xfId="13288"/>
    <cellStyle name="Normal 4 2 4 8 4" xfId="13289"/>
    <cellStyle name="Normal 4 2 4 8 5" xfId="13290"/>
    <cellStyle name="Normal 4 2 4 8 6" xfId="13291"/>
    <cellStyle name="Normal 4 2 4 8 7" xfId="13292"/>
    <cellStyle name="Normal 4 2 4 8 8" xfId="13293"/>
    <cellStyle name="Normal 4 2 4 8 9" xfId="13294"/>
    <cellStyle name="Normal 4 2 4 9" xfId="13295"/>
    <cellStyle name="Normal 4 2 5" xfId="1261"/>
    <cellStyle name="Normal 4 2 5 10" xfId="13296"/>
    <cellStyle name="Normal 4 2 5 11" xfId="13297"/>
    <cellStyle name="Normal 4 2 5 12" xfId="13298"/>
    <cellStyle name="Normal 4 2 5 13" xfId="13299"/>
    <cellStyle name="Normal 4 2 5 14" xfId="13300"/>
    <cellStyle name="Normal 4 2 5 15" xfId="13301"/>
    <cellStyle name="Normal 4 2 5 16" xfId="13302"/>
    <cellStyle name="Normal 4 2 5 17" xfId="13303"/>
    <cellStyle name="Normal 4 2 5 18" xfId="5181"/>
    <cellStyle name="Normal 4 2 5 2" xfId="3093"/>
    <cellStyle name="Normal 4 2 5 2 10" xfId="13304"/>
    <cellStyle name="Normal 4 2 5 2 11" xfId="13305"/>
    <cellStyle name="Normal 4 2 5 2 12" xfId="13306"/>
    <cellStyle name="Normal 4 2 5 2 13" xfId="6976"/>
    <cellStyle name="Normal 4 2 5 2 2" xfId="2556"/>
    <cellStyle name="Normal 4 2 5 2 2 10" xfId="13307"/>
    <cellStyle name="Normal 4 2 5 2 2 11" xfId="6450"/>
    <cellStyle name="Normal 4 2 5 2 2 2" xfId="13308"/>
    <cellStyle name="Normal 4 2 5 2 2 3" xfId="13309"/>
    <cellStyle name="Normal 4 2 5 2 2 4" xfId="13310"/>
    <cellStyle name="Normal 4 2 5 2 2 5" xfId="13311"/>
    <cellStyle name="Normal 4 2 5 2 2 6" xfId="13312"/>
    <cellStyle name="Normal 4 2 5 2 2 7" xfId="13313"/>
    <cellStyle name="Normal 4 2 5 2 2 8" xfId="13314"/>
    <cellStyle name="Normal 4 2 5 2 2 9" xfId="13315"/>
    <cellStyle name="Normal 4 2 5 2 3" xfId="2558"/>
    <cellStyle name="Normal 4 2 5 2 3 10" xfId="13316"/>
    <cellStyle name="Normal 4 2 5 2 3 11" xfId="6453"/>
    <cellStyle name="Normal 4 2 5 2 3 2" xfId="13317"/>
    <cellStyle name="Normal 4 2 5 2 3 3" xfId="13318"/>
    <cellStyle name="Normal 4 2 5 2 3 4" xfId="13319"/>
    <cellStyle name="Normal 4 2 5 2 3 5" xfId="13320"/>
    <cellStyle name="Normal 4 2 5 2 3 6" xfId="13321"/>
    <cellStyle name="Normal 4 2 5 2 3 7" xfId="13322"/>
    <cellStyle name="Normal 4 2 5 2 3 8" xfId="13323"/>
    <cellStyle name="Normal 4 2 5 2 3 9" xfId="13324"/>
    <cellStyle name="Normal 4 2 5 2 4" xfId="13325"/>
    <cellStyle name="Normal 4 2 5 2 5" xfId="13326"/>
    <cellStyle name="Normal 4 2 5 2 6" xfId="13327"/>
    <cellStyle name="Normal 4 2 5 2 7" xfId="13328"/>
    <cellStyle name="Normal 4 2 5 2 8" xfId="13329"/>
    <cellStyle name="Normal 4 2 5 2 9" xfId="13330"/>
    <cellStyle name="Normal 4 2 5 3" xfId="3095"/>
    <cellStyle name="Normal 4 2 5 3 10" xfId="13331"/>
    <cellStyle name="Normal 4 2 5 3 11" xfId="13332"/>
    <cellStyle name="Normal 4 2 5 3 12" xfId="13333"/>
    <cellStyle name="Normal 4 2 5 3 13" xfId="6978"/>
    <cellStyle name="Normal 4 2 5 3 2" xfId="2564"/>
    <cellStyle name="Normal 4 2 5 3 2 10" xfId="13334"/>
    <cellStyle name="Normal 4 2 5 3 2 11" xfId="6458"/>
    <cellStyle name="Normal 4 2 5 3 2 2" xfId="13335"/>
    <cellStyle name="Normal 4 2 5 3 2 3" xfId="13336"/>
    <cellStyle name="Normal 4 2 5 3 2 4" xfId="13337"/>
    <cellStyle name="Normal 4 2 5 3 2 5" xfId="13338"/>
    <cellStyle name="Normal 4 2 5 3 2 6" xfId="13339"/>
    <cellStyle name="Normal 4 2 5 3 2 7" xfId="13340"/>
    <cellStyle name="Normal 4 2 5 3 2 8" xfId="13341"/>
    <cellStyle name="Normal 4 2 5 3 2 9" xfId="13342"/>
    <cellStyle name="Normal 4 2 5 3 3" xfId="3096"/>
    <cellStyle name="Normal 4 2 5 3 3 10" xfId="13343"/>
    <cellStyle name="Normal 4 2 5 3 3 11" xfId="6980"/>
    <cellStyle name="Normal 4 2 5 3 3 2" xfId="13344"/>
    <cellStyle name="Normal 4 2 5 3 3 3" xfId="13345"/>
    <cellStyle name="Normal 4 2 5 3 3 4" xfId="13346"/>
    <cellStyle name="Normal 4 2 5 3 3 5" xfId="13347"/>
    <cellStyle name="Normal 4 2 5 3 3 6" xfId="13348"/>
    <cellStyle name="Normal 4 2 5 3 3 7" xfId="13349"/>
    <cellStyle name="Normal 4 2 5 3 3 8" xfId="13350"/>
    <cellStyle name="Normal 4 2 5 3 3 9" xfId="13351"/>
    <cellStyle name="Normal 4 2 5 3 4" xfId="13352"/>
    <cellStyle name="Normal 4 2 5 3 5" xfId="13353"/>
    <cellStyle name="Normal 4 2 5 3 6" xfId="13354"/>
    <cellStyle name="Normal 4 2 5 3 7" xfId="13355"/>
    <cellStyle name="Normal 4 2 5 3 8" xfId="13356"/>
    <cellStyle name="Normal 4 2 5 3 9" xfId="13357"/>
    <cellStyle name="Normal 4 2 5 4" xfId="3098"/>
    <cellStyle name="Normal 4 2 5 4 10" xfId="13358"/>
    <cellStyle name="Normal 4 2 5 4 11" xfId="13359"/>
    <cellStyle name="Normal 4 2 5 4 12" xfId="13360"/>
    <cellStyle name="Normal 4 2 5 4 13" xfId="6981"/>
    <cellStyle name="Normal 4 2 5 4 2" xfId="3100"/>
    <cellStyle name="Normal 4 2 5 4 2 10" xfId="13361"/>
    <cellStyle name="Normal 4 2 5 4 2 11" xfId="6983"/>
    <cellStyle name="Normal 4 2 5 4 2 2" xfId="13362"/>
    <cellStyle name="Normal 4 2 5 4 2 3" xfId="13363"/>
    <cellStyle name="Normal 4 2 5 4 2 4" xfId="13364"/>
    <cellStyle name="Normal 4 2 5 4 2 5" xfId="13365"/>
    <cellStyle name="Normal 4 2 5 4 2 6" xfId="13366"/>
    <cellStyle name="Normal 4 2 5 4 2 7" xfId="13367"/>
    <cellStyle name="Normal 4 2 5 4 2 8" xfId="13368"/>
    <cellStyle name="Normal 4 2 5 4 2 9" xfId="13369"/>
    <cellStyle name="Normal 4 2 5 4 3" xfId="3101"/>
    <cellStyle name="Normal 4 2 5 4 3 10" xfId="13370"/>
    <cellStyle name="Normal 4 2 5 4 3 11" xfId="6985"/>
    <cellStyle name="Normal 4 2 5 4 3 2" xfId="13371"/>
    <cellStyle name="Normal 4 2 5 4 3 3" xfId="13372"/>
    <cellStyle name="Normal 4 2 5 4 3 4" xfId="13373"/>
    <cellStyle name="Normal 4 2 5 4 3 5" xfId="13374"/>
    <cellStyle name="Normal 4 2 5 4 3 6" xfId="13375"/>
    <cellStyle name="Normal 4 2 5 4 3 7" xfId="13376"/>
    <cellStyle name="Normal 4 2 5 4 3 8" xfId="13377"/>
    <cellStyle name="Normal 4 2 5 4 3 9" xfId="13378"/>
    <cellStyle name="Normal 4 2 5 4 4" xfId="13379"/>
    <cellStyle name="Normal 4 2 5 4 5" xfId="13380"/>
    <cellStyle name="Normal 4 2 5 4 6" xfId="13381"/>
    <cellStyle name="Normal 4 2 5 4 7" xfId="13382"/>
    <cellStyle name="Normal 4 2 5 4 8" xfId="13383"/>
    <cellStyle name="Normal 4 2 5 4 9" xfId="13384"/>
    <cellStyle name="Normal 4 2 5 5" xfId="3103"/>
    <cellStyle name="Normal 4 2 5 5 10" xfId="13385"/>
    <cellStyle name="Normal 4 2 5 5 11" xfId="13386"/>
    <cellStyle name="Normal 4 2 5 5 12" xfId="13387"/>
    <cellStyle name="Normal 4 2 5 5 13" xfId="6986"/>
    <cellStyle name="Normal 4 2 5 5 2" xfId="659"/>
    <cellStyle name="Normal 4 2 5 5 2 10" xfId="13388"/>
    <cellStyle name="Normal 4 2 5 5 2 11" xfId="4589"/>
    <cellStyle name="Normal 4 2 5 5 2 2" xfId="13389"/>
    <cellStyle name="Normal 4 2 5 5 2 3" xfId="13390"/>
    <cellStyle name="Normal 4 2 5 5 2 4" xfId="13391"/>
    <cellStyle name="Normal 4 2 5 5 2 5" xfId="13392"/>
    <cellStyle name="Normal 4 2 5 5 2 6" xfId="13393"/>
    <cellStyle name="Normal 4 2 5 5 2 7" xfId="13394"/>
    <cellStyle name="Normal 4 2 5 5 2 8" xfId="13395"/>
    <cellStyle name="Normal 4 2 5 5 2 9" xfId="13396"/>
    <cellStyle name="Normal 4 2 5 5 3" xfId="3104"/>
    <cellStyle name="Normal 4 2 5 5 3 10" xfId="13397"/>
    <cellStyle name="Normal 4 2 5 5 3 11" xfId="6988"/>
    <cellStyle name="Normal 4 2 5 5 3 2" xfId="13398"/>
    <cellStyle name="Normal 4 2 5 5 3 3" xfId="13399"/>
    <cellStyle name="Normal 4 2 5 5 3 4" xfId="13400"/>
    <cellStyle name="Normal 4 2 5 5 3 5" xfId="13401"/>
    <cellStyle name="Normal 4 2 5 5 3 6" xfId="13402"/>
    <cellStyle name="Normal 4 2 5 5 3 7" xfId="13403"/>
    <cellStyle name="Normal 4 2 5 5 3 8" xfId="13404"/>
    <cellStyle name="Normal 4 2 5 5 3 9" xfId="13405"/>
    <cellStyle name="Normal 4 2 5 5 4" xfId="13406"/>
    <cellStyle name="Normal 4 2 5 5 5" xfId="13407"/>
    <cellStyle name="Normal 4 2 5 5 6" xfId="13408"/>
    <cellStyle name="Normal 4 2 5 5 7" xfId="13409"/>
    <cellStyle name="Normal 4 2 5 5 8" xfId="13410"/>
    <cellStyle name="Normal 4 2 5 5 9" xfId="13411"/>
    <cellStyle name="Normal 4 2 5 6" xfId="3105"/>
    <cellStyle name="Normal 4 2 5 6 10" xfId="13412"/>
    <cellStyle name="Normal 4 2 5 6 11" xfId="13413"/>
    <cellStyle name="Normal 4 2 5 6 12" xfId="13414"/>
    <cellStyle name="Normal 4 2 5 6 13" xfId="6989"/>
    <cellStyle name="Normal 4 2 5 6 2" xfId="3107"/>
    <cellStyle name="Normal 4 2 5 6 2 10" xfId="13415"/>
    <cellStyle name="Normal 4 2 5 6 2 11" xfId="6990"/>
    <cellStyle name="Normal 4 2 5 6 2 2" xfId="13416"/>
    <cellStyle name="Normal 4 2 5 6 2 3" xfId="13417"/>
    <cellStyle name="Normal 4 2 5 6 2 4" xfId="13418"/>
    <cellStyle name="Normal 4 2 5 6 2 5" xfId="13419"/>
    <cellStyle name="Normal 4 2 5 6 2 6" xfId="13420"/>
    <cellStyle name="Normal 4 2 5 6 2 7" xfId="13421"/>
    <cellStyle name="Normal 4 2 5 6 2 8" xfId="13422"/>
    <cellStyle name="Normal 4 2 5 6 2 9" xfId="13423"/>
    <cellStyle name="Normal 4 2 5 6 3" xfId="3108"/>
    <cellStyle name="Normal 4 2 5 6 3 10" xfId="13424"/>
    <cellStyle name="Normal 4 2 5 6 3 11" xfId="6992"/>
    <cellStyle name="Normal 4 2 5 6 3 2" xfId="13425"/>
    <cellStyle name="Normal 4 2 5 6 3 3" xfId="13426"/>
    <cellStyle name="Normal 4 2 5 6 3 4" xfId="13427"/>
    <cellStyle name="Normal 4 2 5 6 3 5" xfId="13428"/>
    <cellStyle name="Normal 4 2 5 6 3 6" xfId="13429"/>
    <cellStyle name="Normal 4 2 5 6 3 7" xfId="13430"/>
    <cellStyle name="Normal 4 2 5 6 3 8" xfId="13431"/>
    <cellStyle name="Normal 4 2 5 6 3 9" xfId="13432"/>
    <cellStyle name="Normal 4 2 5 6 4" xfId="13433"/>
    <cellStyle name="Normal 4 2 5 6 5" xfId="13434"/>
    <cellStyle name="Normal 4 2 5 6 6" xfId="13435"/>
    <cellStyle name="Normal 4 2 5 6 7" xfId="13436"/>
    <cellStyle name="Normal 4 2 5 6 8" xfId="13437"/>
    <cellStyle name="Normal 4 2 5 6 9" xfId="13438"/>
    <cellStyle name="Normal 4 2 5 7" xfId="3109"/>
    <cellStyle name="Normal 4 2 5 7 10" xfId="13439"/>
    <cellStyle name="Normal 4 2 5 7 11" xfId="6993"/>
    <cellStyle name="Normal 4 2 5 7 2" xfId="13440"/>
    <cellStyle name="Normal 4 2 5 7 3" xfId="13441"/>
    <cellStyle name="Normal 4 2 5 7 4" xfId="13442"/>
    <cellStyle name="Normal 4 2 5 7 5" xfId="13443"/>
    <cellStyle name="Normal 4 2 5 7 6" xfId="13444"/>
    <cellStyle name="Normal 4 2 5 7 7" xfId="13445"/>
    <cellStyle name="Normal 4 2 5 7 8" xfId="13446"/>
    <cellStyle name="Normal 4 2 5 7 9" xfId="13447"/>
    <cellStyle name="Normal 4 2 5 8" xfId="3110"/>
    <cellStyle name="Normal 4 2 5 8 10" xfId="13448"/>
    <cellStyle name="Normal 4 2 5 8 11" xfId="6994"/>
    <cellStyle name="Normal 4 2 5 8 2" xfId="13449"/>
    <cellStyle name="Normal 4 2 5 8 3" xfId="13450"/>
    <cellStyle name="Normal 4 2 5 8 4" xfId="13451"/>
    <cellStyle name="Normal 4 2 5 8 5" xfId="13452"/>
    <cellStyle name="Normal 4 2 5 8 6" xfId="13453"/>
    <cellStyle name="Normal 4 2 5 8 7" xfId="13454"/>
    <cellStyle name="Normal 4 2 5 8 8" xfId="13455"/>
    <cellStyle name="Normal 4 2 5 8 9" xfId="13456"/>
    <cellStyle name="Normal 4 2 5 9" xfId="13457"/>
    <cellStyle name="Normal 4 2 6" xfId="679"/>
    <cellStyle name="Normal 4 2 6 10" xfId="13458"/>
    <cellStyle name="Normal 4 2 6 11" xfId="13459"/>
    <cellStyle name="Normal 4 2 6 12" xfId="13460"/>
    <cellStyle name="Normal 4 2 6 13" xfId="13461"/>
    <cellStyle name="Normal 4 2 6 14" xfId="13462"/>
    <cellStyle name="Normal 4 2 6 15" xfId="13463"/>
    <cellStyle name="Normal 4 2 6 16" xfId="13464"/>
    <cellStyle name="Normal 4 2 6 17" xfId="13465"/>
    <cellStyle name="Normal 4 2 6 18" xfId="4609"/>
    <cellStyle name="Normal 4 2 6 2" xfId="3111"/>
    <cellStyle name="Normal 4 2 6 2 10" xfId="13466"/>
    <cellStyle name="Normal 4 2 6 2 11" xfId="13467"/>
    <cellStyle name="Normal 4 2 6 2 12" xfId="13468"/>
    <cellStyle name="Normal 4 2 6 2 13" xfId="6995"/>
    <cellStyle name="Normal 4 2 6 2 2" xfId="2513"/>
    <cellStyle name="Normal 4 2 6 2 2 10" xfId="13469"/>
    <cellStyle name="Normal 4 2 6 2 2 11" xfId="6407"/>
    <cellStyle name="Normal 4 2 6 2 2 2" xfId="13470"/>
    <cellStyle name="Normal 4 2 6 2 2 3" xfId="13471"/>
    <cellStyle name="Normal 4 2 6 2 2 4" xfId="13472"/>
    <cellStyle name="Normal 4 2 6 2 2 5" xfId="13473"/>
    <cellStyle name="Normal 4 2 6 2 2 6" xfId="13474"/>
    <cellStyle name="Normal 4 2 6 2 2 7" xfId="13475"/>
    <cellStyle name="Normal 4 2 6 2 2 8" xfId="13476"/>
    <cellStyle name="Normal 4 2 6 2 2 9" xfId="13477"/>
    <cellStyle name="Normal 4 2 6 2 3" xfId="3113"/>
    <cellStyle name="Normal 4 2 6 2 3 10" xfId="13478"/>
    <cellStyle name="Normal 4 2 6 2 3 11" xfId="6996"/>
    <cellStyle name="Normal 4 2 6 2 3 2" xfId="13479"/>
    <cellStyle name="Normal 4 2 6 2 3 3" xfId="13480"/>
    <cellStyle name="Normal 4 2 6 2 3 4" xfId="13481"/>
    <cellStyle name="Normal 4 2 6 2 3 5" xfId="13482"/>
    <cellStyle name="Normal 4 2 6 2 3 6" xfId="13483"/>
    <cellStyle name="Normal 4 2 6 2 3 7" xfId="13484"/>
    <cellStyle name="Normal 4 2 6 2 3 8" xfId="13485"/>
    <cellStyle name="Normal 4 2 6 2 3 9" xfId="13486"/>
    <cellStyle name="Normal 4 2 6 2 4" xfId="13487"/>
    <cellStyle name="Normal 4 2 6 2 5" xfId="13488"/>
    <cellStyle name="Normal 4 2 6 2 6" xfId="13489"/>
    <cellStyle name="Normal 4 2 6 2 7" xfId="13490"/>
    <cellStyle name="Normal 4 2 6 2 8" xfId="13491"/>
    <cellStyle name="Normal 4 2 6 2 9" xfId="13492"/>
    <cellStyle name="Normal 4 2 6 3" xfId="3114"/>
    <cellStyle name="Normal 4 2 6 3 10" xfId="13493"/>
    <cellStyle name="Normal 4 2 6 3 11" xfId="13494"/>
    <cellStyle name="Normal 4 2 6 3 12" xfId="13495"/>
    <cellStyle name="Normal 4 2 6 3 13" xfId="6998"/>
    <cellStyle name="Normal 4 2 6 3 2" xfId="2592"/>
    <cellStyle name="Normal 4 2 6 3 2 10" xfId="13496"/>
    <cellStyle name="Normal 4 2 6 3 2 11" xfId="6486"/>
    <cellStyle name="Normal 4 2 6 3 2 2" xfId="13497"/>
    <cellStyle name="Normal 4 2 6 3 2 3" xfId="13498"/>
    <cellStyle name="Normal 4 2 6 3 2 4" xfId="13499"/>
    <cellStyle name="Normal 4 2 6 3 2 5" xfId="13500"/>
    <cellStyle name="Normal 4 2 6 3 2 6" xfId="13501"/>
    <cellStyle name="Normal 4 2 6 3 2 7" xfId="13502"/>
    <cellStyle name="Normal 4 2 6 3 2 8" xfId="13503"/>
    <cellStyle name="Normal 4 2 6 3 2 9" xfId="13504"/>
    <cellStyle name="Normal 4 2 6 3 3" xfId="3115"/>
    <cellStyle name="Normal 4 2 6 3 3 10" xfId="13505"/>
    <cellStyle name="Normal 4 2 6 3 3 11" xfId="6999"/>
    <cellStyle name="Normal 4 2 6 3 3 2" xfId="13506"/>
    <cellStyle name="Normal 4 2 6 3 3 3" xfId="13507"/>
    <cellStyle name="Normal 4 2 6 3 3 4" xfId="13508"/>
    <cellStyle name="Normal 4 2 6 3 3 5" xfId="13509"/>
    <cellStyle name="Normal 4 2 6 3 3 6" xfId="13510"/>
    <cellStyle name="Normal 4 2 6 3 3 7" xfId="13511"/>
    <cellStyle name="Normal 4 2 6 3 3 8" xfId="13512"/>
    <cellStyle name="Normal 4 2 6 3 3 9" xfId="13513"/>
    <cellStyle name="Normal 4 2 6 3 4" xfId="13514"/>
    <cellStyle name="Normal 4 2 6 3 5" xfId="13515"/>
    <cellStyle name="Normal 4 2 6 3 6" xfId="13516"/>
    <cellStyle name="Normal 4 2 6 3 7" xfId="13517"/>
    <cellStyle name="Normal 4 2 6 3 8" xfId="13518"/>
    <cellStyle name="Normal 4 2 6 3 9" xfId="13519"/>
    <cellStyle name="Normal 4 2 6 4" xfId="3116"/>
    <cellStyle name="Normal 4 2 6 4 10" xfId="13520"/>
    <cellStyle name="Normal 4 2 6 4 11" xfId="13521"/>
    <cellStyle name="Normal 4 2 6 4 12" xfId="13522"/>
    <cellStyle name="Normal 4 2 6 4 13" xfId="7000"/>
    <cellStyle name="Normal 4 2 6 4 2" xfId="2602"/>
    <cellStyle name="Normal 4 2 6 4 2 10" xfId="13523"/>
    <cellStyle name="Normal 4 2 6 4 2 11" xfId="6497"/>
    <cellStyle name="Normal 4 2 6 4 2 2" xfId="13524"/>
    <cellStyle name="Normal 4 2 6 4 2 3" xfId="13525"/>
    <cellStyle name="Normal 4 2 6 4 2 4" xfId="13526"/>
    <cellStyle name="Normal 4 2 6 4 2 5" xfId="13527"/>
    <cellStyle name="Normal 4 2 6 4 2 6" xfId="13528"/>
    <cellStyle name="Normal 4 2 6 4 2 7" xfId="13529"/>
    <cellStyle name="Normal 4 2 6 4 2 8" xfId="13530"/>
    <cellStyle name="Normal 4 2 6 4 2 9" xfId="13531"/>
    <cellStyle name="Normal 4 2 6 4 3" xfId="2643"/>
    <cellStyle name="Normal 4 2 6 4 3 10" xfId="13532"/>
    <cellStyle name="Normal 4 2 6 4 3 11" xfId="6536"/>
    <cellStyle name="Normal 4 2 6 4 3 2" xfId="13533"/>
    <cellStyle name="Normal 4 2 6 4 3 3" xfId="13534"/>
    <cellStyle name="Normal 4 2 6 4 3 4" xfId="13535"/>
    <cellStyle name="Normal 4 2 6 4 3 5" xfId="13536"/>
    <cellStyle name="Normal 4 2 6 4 3 6" xfId="13537"/>
    <cellStyle name="Normal 4 2 6 4 3 7" xfId="13538"/>
    <cellStyle name="Normal 4 2 6 4 3 8" xfId="13539"/>
    <cellStyle name="Normal 4 2 6 4 3 9" xfId="13540"/>
    <cellStyle name="Normal 4 2 6 4 4" xfId="13541"/>
    <cellStyle name="Normal 4 2 6 4 5" xfId="13542"/>
    <cellStyle name="Normal 4 2 6 4 6" xfId="13543"/>
    <cellStyle name="Normal 4 2 6 4 7" xfId="13544"/>
    <cellStyle name="Normal 4 2 6 4 8" xfId="13545"/>
    <cellStyle name="Normal 4 2 6 4 9" xfId="13546"/>
    <cellStyle name="Normal 4 2 6 5" xfId="3117"/>
    <cellStyle name="Normal 4 2 6 5 10" xfId="13547"/>
    <cellStyle name="Normal 4 2 6 5 11" xfId="13548"/>
    <cellStyle name="Normal 4 2 6 5 12" xfId="13549"/>
    <cellStyle name="Normal 4 2 6 5 13" xfId="7001"/>
    <cellStyle name="Normal 4 2 6 5 2" xfId="2615"/>
    <cellStyle name="Normal 4 2 6 5 2 10" xfId="13550"/>
    <cellStyle name="Normal 4 2 6 5 2 11" xfId="6510"/>
    <cellStyle name="Normal 4 2 6 5 2 2" xfId="13551"/>
    <cellStyle name="Normal 4 2 6 5 2 3" xfId="13552"/>
    <cellStyle name="Normal 4 2 6 5 2 4" xfId="13553"/>
    <cellStyle name="Normal 4 2 6 5 2 5" xfId="13554"/>
    <cellStyle name="Normal 4 2 6 5 2 6" xfId="13555"/>
    <cellStyle name="Normal 4 2 6 5 2 7" xfId="13556"/>
    <cellStyle name="Normal 4 2 6 5 2 8" xfId="13557"/>
    <cellStyle name="Normal 4 2 6 5 2 9" xfId="13558"/>
    <cellStyle name="Normal 4 2 6 5 3" xfId="2901"/>
    <cellStyle name="Normal 4 2 6 5 3 10" xfId="13559"/>
    <cellStyle name="Normal 4 2 6 5 3 11" xfId="6789"/>
    <cellStyle name="Normal 4 2 6 5 3 2" xfId="13560"/>
    <cellStyle name="Normal 4 2 6 5 3 3" xfId="13561"/>
    <cellStyle name="Normal 4 2 6 5 3 4" xfId="13562"/>
    <cellStyle name="Normal 4 2 6 5 3 5" xfId="13563"/>
    <cellStyle name="Normal 4 2 6 5 3 6" xfId="13564"/>
    <cellStyle name="Normal 4 2 6 5 3 7" xfId="13565"/>
    <cellStyle name="Normal 4 2 6 5 3 8" xfId="13566"/>
    <cellStyle name="Normal 4 2 6 5 3 9" xfId="13567"/>
    <cellStyle name="Normal 4 2 6 5 4" xfId="13568"/>
    <cellStyle name="Normal 4 2 6 5 5" xfId="13569"/>
    <cellStyle name="Normal 4 2 6 5 6" xfId="13570"/>
    <cellStyle name="Normal 4 2 6 5 7" xfId="13571"/>
    <cellStyle name="Normal 4 2 6 5 8" xfId="13572"/>
    <cellStyle name="Normal 4 2 6 5 9" xfId="13573"/>
    <cellStyle name="Normal 4 2 6 6" xfId="3118"/>
    <cellStyle name="Normal 4 2 6 6 10" xfId="13574"/>
    <cellStyle name="Normal 4 2 6 6 11" xfId="13575"/>
    <cellStyle name="Normal 4 2 6 6 12" xfId="13576"/>
    <cellStyle name="Normal 4 2 6 6 13" xfId="7002"/>
    <cellStyle name="Normal 4 2 6 6 2" xfId="2632"/>
    <cellStyle name="Normal 4 2 6 6 2 10" xfId="13577"/>
    <cellStyle name="Normal 4 2 6 6 2 11" xfId="6525"/>
    <cellStyle name="Normal 4 2 6 6 2 2" xfId="13578"/>
    <cellStyle name="Normal 4 2 6 6 2 3" xfId="13579"/>
    <cellStyle name="Normal 4 2 6 6 2 4" xfId="13580"/>
    <cellStyle name="Normal 4 2 6 6 2 5" xfId="13581"/>
    <cellStyle name="Normal 4 2 6 6 2 6" xfId="13582"/>
    <cellStyle name="Normal 4 2 6 6 2 7" xfId="13583"/>
    <cellStyle name="Normal 4 2 6 6 2 8" xfId="13584"/>
    <cellStyle name="Normal 4 2 6 6 2 9" xfId="13585"/>
    <cellStyle name="Normal 4 2 6 6 3" xfId="3120"/>
    <cellStyle name="Normal 4 2 6 6 3 10" xfId="13586"/>
    <cellStyle name="Normal 4 2 6 6 3 11" xfId="7003"/>
    <cellStyle name="Normal 4 2 6 6 3 2" xfId="13587"/>
    <cellStyle name="Normal 4 2 6 6 3 3" xfId="13588"/>
    <cellStyle name="Normal 4 2 6 6 3 4" xfId="13589"/>
    <cellStyle name="Normal 4 2 6 6 3 5" xfId="13590"/>
    <cellStyle name="Normal 4 2 6 6 3 6" xfId="13591"/>
    <cellStyle name="Normal 4 2 6 6 3 7" xfId="13592"/>
    <cellStyle name="Normal 4 2 6 6 3 8" xfId="13593"/>
    <cellStyle name="Normal 4 2 6 6 3 9" xfId="13594"/>
    <cellStyle name="Normal 4 2 6 6 4" xfId="13595"/>
    <cellStyle name="Normal 4 2 6 6 5" xfId="13596"/>
    <cellStyle name="Normal 4 2 6 6 6" xfId="13597"/>
    <cellStyle name="Normal 4 2 6 6 7" xfId="13598"/>
    <cellStyle name="Normal 4 2 6 6 8" xfId="13599"/>
    <cellStyle name="Normal 4 2 6 6 9" xfId="13600"/>
    <cellStyle name="Normal 4 2 6 7" xfId="3121"/>
    <cellStyle name="Normal 4 2 6 7 10" xfId="13601"/>
    <cellStyle name="Normal 4 2 6 7 11" xfId="7005"/>
    <cellStyle name="Normal 4 2 6 7 2" xfId="13602"/>
    <cellStyle name="Normal 4 2 6 7 3" xfId="13603"/>
    <cellStyle name="Normal 4 2 6 7 4" xfId="13604"/>
    <cellStyle name="Normal 4 2 6 7 5" xfId="13605"/>
    <cellStyle name="Normal 4 2 6 7 6" xfId="13606"/>
    <cellStyle name="Normal 4 2 6 7 7" xfId="13607"/>
    <cellStyle name="Normal 4 2 6 7 8" xfId="13608"/>
    <cellStyle name="Normal 4 2 6 7 9" xfId="13609"/>
    <cellStyle name="Normal 4 2 6 8" xfId="3122"/>
    <cellStyle name="Normal 4 2 6 8 10" xfId="13610"/>
    <cellStyle name="Normal 4 2 6 8 11" xfId="7006"/>
    <cellStyle name="Normal 4 2 6 8 2" xfId="13611"/>
    <cellStyle name="Normal 4 2 6 8 3" xfId="13612"/>
    <cellStyle name="Normal 4 2 6 8 4" xfId="13613"/>
    <cellStyle name="Normal 4 2 6 8 5" xfId="13614"/>
    <cellStyle name="Normal 4 2 6 8 6" xfId="13615"/>
    <cellStyle name="Normal 4 2 6 8 7" xfId="13616"/>
    <cellStyle name="Normal 4 2 6 8 8" xfId="13617"/>
    <cellStyle name="Normal 4 2 6 8 9" xfId="13618"/>
    <cellStyle name="Normal 4 2 6 9" xfId="13619"/>
    <cellStyle name="Normal 4 2 7" xfId="1263"/>
    <cellStyle name="Normal 4 2 7 10" xfId="13620"/>
    <cellStyle name="Normal 4 2 7 11" xfId="13621"/>
    <cellStyle name="Normal 4 2 7 12" xfId="13622"/>
    <cellStyle name="Normal 4 2 7 13" xfId="13623"/>
    <cellStyle name="Normal 4 2 7 14" xfId="13624"/>
    <cellStyle name="Normal 4 2 7 15" xfId="13625"/>
    <cellStyle name="Normal 4 2 7 16" xfId="13626"/>
    <cellStyle name="Normal 4 2 7 17" xfId="13627"/>
    <cellStyle name="Normal 4 2 7 18" xfId="5183"/>
    <cellStyle name="Normal 4 2 7 2" xfId="2109"/>
    <cellStyle name="Normal 4 2 7 2 10" xfId="13628"/>
    <cellStyle name="Normal 4 2 7 2 11" xfId="13629"/>
    <cellStyle name="Normal 4 2 7 2 12" xfId="13630"/>
    <cellStyle name="Normal 4 2 7 2 13" xfId="6011"/>
    <cellStyle name="Normal 4 2 7 2 2" xfId="867"/>
    <cellStyle name="Normal 4 2 7 2 2 10" xfId="13631"/>
    <cellStyle name="Normal 4 2 7 2 2 11" xfId="4791"/>
    <cellStyle name="Normal 4 2 7 2 2 2" xfId="13632"/>
    <cellStyle name="Normal 4 2 7 2 2 3" xfId="13633"/>
    <cellStyle name="Normal 4 2 7 2 2 4" xfId="13634"/>
    <cellStyle name="Normal 4 2 7 2 2 5" xfId="13635"/>
    <cellStyle name="Normal 4 2 7 2 2 6" xfId="13636"/>
    <cellStyle name="Normal 4 2 7 2 2 7" xfId="13637"/>
    <cellStyle name="Normal 4 2 7 2 2 8" xfId="13638"/>
    <cellStyle name="Normal 4 2 7 2 2 9" xfId="13639"/>
    <cellStyle name="Normal 4 2 7 2 3" xfId="872"/>
    <cellStyle name="Normal 4 2 7 2 3 10" xfId="13640"/>
    <cellStyle name="Normal 4 2 7 2 3 11" xfId="4797"/>
    <cellStyle name="Normal 4 2 7 2 3 2" xfId="13641"/>
    <cellStyle name="Normal 4 2 7 2 3 3" xfId="13642"/>
    <cellStyle name="Normal 4 2 7 2 3 4" xfId="13643"/>
    <cellStyle name="Normal 4 2 7 2 3 5" xfId="13644"/>
    <cellStyle name="Normal 4 2 7 2 3 6" xfId="13645"/>
    <cellStyle name="Normal 4 2 7 2 3 7" xfId="13646"/>
    <cellStyle name="Normal 4 2 7 2 3 8" xfId="13647"/>
    <cellStyle name="Normal 4 2 7 2 3 9" xfId="13648"/>
    <cellStyle name="Normal 4 2 7 2 4" xfId="13649"/>
    <cellStyle name="Normal 4 2 7 2 5" xfId="13650"/>
    <cellStyle name="Normal 4 2 7 2 6" xfId="13651"/>
    <cellStyle name="Normal 4 2 7 2 7" xfId="13652"/>
    <cellStyle name="Normal 4 2 7 2 8" xfId="13653"/>
    <cellStyle name="Normal 4 2 7 2 9" xfId="13654"/>
    <cellStyle name="Normal 4 2 7 3" xfId="2515"/>
    <cellStyle name="Normal 4 2 7 3 10" xfId="13655"/>
    <cellStyle name="Normal 4 2 7 3 11" xfId="13656"/>
    <cellStyle name="Normal 4 2 7 3 12" xfId="13657"/>
    <cellStyle name="Normal 4 2 7 3 13" xfId="6411"/>
    <cellStyle name="Normal 4 2 7 3 2" xfId="882"/>
    <cellStyle name="Normal 4 2 7 3 2 10" xfId="13658"/>
    <cellStyle name="Normal 4 2 7 3 2 11" xfId="4806"/>
    <cellStyle name="Normal 4 2 7 3 2 2" xfId="13659"/>
    <cellStyle name="Normal 4 2 7 3 2 3" xfId="13660"/>
    <cellStyle name="Normal 4 2 7 3 2 4" xfId="13661"/>
    <cellStyle name="Normal 4 2 7 3 2 5" xfId="13662"/>
    <cellStyle name="Normal 4 2 7 3 2 6" xfId="13663"/>
    <cellStyle name="Normal 4 2 7 3 2 7" xfId="13664"/>
    <cellStyle name="Normal 4 2 7 3 2 8" xfId="13665"/>
    <cellStyle name="Normal 4 2 7 3 2 9" xfId="13666"/>
    <cellStyle name="Normal 4 2 7 3 3" xfId="884"/>
    <cellStyle name="Normal 4 2 7 3 3 10" xfId="13667"/>
    <cellStyle name="Normal 4 2 7 3 3 11" xfId="4808"/>
    <cellStyle name="Normal 4 2 7 3 3 2" xfId="13668"/>
    <cellStyle name="Normal 4 2 7 3 3 3" xfId="13669"/>
    <cellStyle name="Normal 4 2 7 3 3 4" xfId="13670"/>
    <cellStyle name="Normal 4 2 7 3 3 5" xfId="13671"/>
    <cellStyle name="Normal 4 2 7 3 3 6" xfId="13672"/>
    <cellStyle name="Normal 4 2 7 3 3 7" xfId="13673"/>
    <cellStyle name="Normal 4 2 7 3 3 8" xfId="13674"/>
    <cellStyle name="Normal 4 2 7 3 3 9" xfId="13675"/>
    <cellStyle name="Normal 4 2 7 3 4" xfId="13676"/>
    <cellStyle name="Normal 4 2 7 3 5" xfId="13677"/>
    <cellStyle name="Normal 4 2 7 3 6" xfId="13678"/>
    <cellStyle name="Normal 4 2 7 3 7" xfId="13679"/>
    <cellStyle name="Normal 4 2 7 3 8" xfId="13680"/>
    <cellStyle name="Normal 4 2 7 3 9" xfId="13681"/>
    <cellStyle name="Normal 4 2 7 4" xfId="2518"/>
    <cellStyle name="Normal 4 2 7 4 10" xfId="13682"/>
    <cellStyle name="Normal 4 2 7 4 11" xfId="13683"/>
    <cellStyle name="Normal 4 2 7 4 12" xfId="13684"/>
    <cellStyle name="Normal 4 2 7 4 13" xfId="6414"/>
    <cellStyle name="Normal 4 2 7 4 2" xfId="892"/>
    <cellStyle name="Normal 4 2 7 4 2 10" xfId="13685"/>
    <cellStyle name="Normal 4 2 7 4 2 11" xfId="4816"/>
    <cellStyle name="Normal 4 2 7 4 2 2" xfId="13686"/>
    <cellStyle name="Normal 4 2 7 4 2 3" xfId="13687"/>
    <cellStyle name="Normal 4 2 7 4 2 4" xfId="13688"/>
    <cellStyle name="Normal 4 2 7 4 2 5" xfId="13689"/>
    <cellStyle name="Normal 4 2 7 4 2 6" xfId="13690"/>
    <cellStyle name="Normal 4 2 7 4 2 7" xfId="13691"/>
    <cellStyle name="Normal 4 2 7 4 2 8" xfId="13692"/>
    <cellStyle name="Normal 4 2 7 4 2 9" xfId="13693"/>
    <cellStyle name="Normal 4 2 7 4 3" xfId="895"/>
    <cellStyle name="Normal 4 2 7 4 3 10" xfId="13694"/>
    <cellStyle name="Normal 4 2 7 4 3 11" xfId="4818"/>
    <cellStyle name="Normal 4 2 7 4 3 2" xfId="13695"/>
    <cellStyle name="Normal 4 2 7 4 3 3" xfId="13696"/>
    <cellStyle name="Normal 4 2 7 4 3 4" xfId="13697"/>
    <cellStyle name="Normal 4 2 7 4 3 5" xfId="13698"/>
    <cellStyle name="Normal 4 2 7 4 3 6" xfId="13699"/>
    <cellStyle name="Normal 4 2 7 4 3 7" xfId="13700"/>
    <cellStyle name="Normal 4 2 7 4 3 8" xfId="13701"/>
    <cellStyle name="Normal 4 2 7 4 3 9" xfId="13702"/>
    <cellStyle name="Normal 4 2 7 4 4" xfId="13703"/>
    <cellStyle name="Normal 4 2 7 4 5" xfId="13704"/>
    <cellStyle name="Normal 4 2 7 4 6" xfId="13705"/>
    <cellStyle name="Normal 4 2 7 4 7" xfId="13706"/>
    <cellStyle name="Normal 4 2 7 4 8" xfId="13707"/>
    <cellStyle name="Normal 4 2 7 4 9" xfId="13708"/>
    <cellStyle name="Normal 4 2 7 5" xfId="2521"/>
    <cellStyle name="Normal 4 2 7 5 10" xfId="13709"/>
    <cellStyle name="Normal 4 2 7 5 11" xfId="13710"/>
    <cellStyle name="Normal 4 2 7 5 12" xfId="13711"/>
    <cellStyle name="Normal 4 2 7 5 13" xfId="6417"/>
    <cellStyle name="Normal 4 2 7 5 2" xfId="3123"/>
    <cellStyle name="Normal 4 2 7 5 2 10" xfId="13712"/>
    <cellStyle name="Normal 4 2 7 5 2 11" xfId="7007"/>
    <cellStyle name="Normal 4 2 7 5 2 2" xfId="13713"/>
    <cellStyle name="Normal 4 2 7 5 2 3" xfId="13714"/>
    <cellStyle name="Normal 4 2 7 5 2 4" xfId="13715"/>
    <cellStyle name="Normal 4 2 7 5 2 5" xfId="13716"/>
    <cellStyle name="Normal 4 2 7 5 2 6" xfId="13717"/>
    <cellStyle name="Normal 4 2 7 5 2 7" xfId="13718"/>
    <cellStyle name="Normal 4 2 7 5 2 8" xfId="13719"/>
    <cellStyle name="Normal 4 2 7 5 2 9" xfId="13720"/>
    <cellStyle name="Normal 4 2 7 5 3" xfId="3124"/>
    <cellStyle name="Normal 4 2 7 5 3 10" xfId="13721"/>
    <cellStyle name="Normal 4 2 7 5 3 11" xfId="7008"/>
    <cellStyle name="Normal 4 2 7 5 3 2" xfId="13722"/>
    <cellStyle name="Normal 4 2 7 5 3 3" xfId="13723"/>
    <cellStyle name="Normal 4 2 7 5 3 4" xfId="13724"/>
    <cellStyle name="Normal 4 2 7 5 3 5" xfId="13725"/>
    <cellStyle name="Normal 4 2 7 5 3 6" xfId="13726"/>
    <cellStyle name="Normal 4 2 7 5 3 7" xfId="13727"/>
    <cellStyle name="Normal 4 2 7 5 3 8" xfId="13728"/>
    <cellStyle name="Normal 4 2 7 5 3 9" xfId="13729"/>
    <cellStyle name="Normal 4 2 7 5 4" xfId="13730"/>
    <cellStyle name="Normal 4 2 7 5 5" xfId="13731"/>
    <cellStyle name="Normal 4 2 7 5 6" xfId="13732"/>
    <cellStyle name="Normal 4 2 7 5 7" xfId="13733"/>
    <cellStyle name="Normal 4 2 7 5 8" xfId="13734"/>
    <cellStyle name="Normal 4 2 7 5 9" xfId="13735"/>
    <cellStyle name="Normal 4 2 7 6" xfId="2524"/>
    <cellStyle name="Normal 4 2 7 6 10" xfId="13736"/>
    <cellStyle name="Normal 4 2 7 6 11" xfId="13737"/>
    <cellStyle name="Normal 4 2 7 6 12" xfId="13738"/>
    <cellStyle name="Normal 4 2 7 6 13" xfId="6420"/>
    <cellStyle name="Normal 4 2 7 6 2" xfId="3125"/>
    <cellStyle name="Normal 4 2 7 6 2 10" xfId="13739"/>
    <cellStyle name="Normal 4 2 7 6 2 11" xfId="7009"/>
    <cellStyle name="Normal 4 2 7 6 2 2" xfId="13740"/>
    <cellStyle name="Normal 4 2 7 6 2 3" xfId="13741"/>
    <cellStyle name="Normal 4 2 7 6 2 4" xfId="13742"/>
    <cellStyle name="Normal 4 2 7 6 2 5" xfId="13743"/>
    <cellStyle name="Normal 4 2 7 6 2 6" xfId="13744"/>
    <cellStyle name="Normal 4 2 7 6 2 7" xfId="13745"/>
    <cellStyle name="Normal 4 2 7 6 2 8" xfId="13746"/>
    <cellStyle name="Normal 4 2 7 6 2 9" xfId="13747"/>
    <cellStyle name="Normal 4 2 7 6 3" xfId="3126"/>
    <cellStyle name="Normal 4 2 7 6 3 10" xfId="13748"/>
    <cellStyle name="Normal 4 2 7 6 3 11" xfId="7010"/>
    <cellStyle name="Normal 4 2 7 6 3 2" xfId="13749"/>
    <cellStyle name="Normal 4 2 7 6 3 3" xfId="13750"/>
    <cellStyle name="Normal 4 2 7 6 3 4" xfId="13751"/>
    <cellStyle name="Normal 4 2 7 6 3 5" xfId="13752"/>
    <cellStyle name="Normal 4 2 7 6 3 6" xfId="13753"/>
    <cellStyle name="Normal 4 2 7 6 3 7" xfId="13754"/>
    <cellStyle name="Normal 4 2 7 6 3 8" xfId="13755"/>
    <cellStyle name="Normal 4 2 7 6 3 9" xfId="13756"/>
    <cellStyle name="Normal 4 2 7 6 4" xfId="13757"/>
    <cellStyle name="Normal 4 2 7 6 5" xfId="13758"/>
    <cellStyle name="Normal 4 2 7 6 6" xfId="13759"/>
    <cellStyle name="Normal 4 2 7 6 7" xfId="13760"/>
    <cellStyle name="Normal 4 2 7 6 8" xfId="13761"/>
    <cellStyle name="Normal 4 2 7 6 9" xfId="13762"/>
    <cellStyle name="Normal 4 2 7 7" xfId="2527"/>
    <cellStyle name="Normal 4 2 7 7 10" xfId="13763"/>
    <cellStyle name="Normal 4 2 7 7 11" xfId="6422"/>
    <cellStyle name="Normal 4 2 7 7 2" xfId="13764"/>
    <cellStyle name="Normal 4 2 7 7 3" xfId="13765"/>
    <cellStyle name="Normal 4 2 7 7 4" xfId="13766"/>
    <cellStyle name="Normal 4 2 7 7 5" xfId="13767"/>
    <cellStyle name="Normal 4 2 7 7 6" xfId="13768"/>
    <cellStyle name="Normal 4 2 7 7 7" xfId="13769"/>
    <cellStyle name="Normal 4 2 7 7 8" xfId="13770"/>
    <cellStyle name="Normal 4 2 7 7 9" xfId="13771"/>
    <cellStyle name="Normal 4 2 7 8" xfId="3127"/>
    <cellStyle name="Normal 4 2 7 8 10" xfId="13772"/>
    <cellStyle name="Normal 4 2 7 8 11" xfId="7011"/>
    <cellStyle name="Normal 4 2 7 8 2" xfId="13773"/>
    <cellStyle name="Normal 4 2 7 8 3" xfId="13774"/>
    <cellStyle name="Normal 4 2 7 8 4" xfId="13775"/>
    <cellStyle name="Normal 4 2 7 8 5" xfId="13776"/>
    <cellStyle name="Normal 4 2 7 8 6" xfId="13777"/>
    <cellStyle name="Normal 4 2 7 8 7" xfId="13778"/>
    <cellStyle name="Normal 4 2 7 8 8" xfId="13779"/>
    <cellStyle name="Normal 4 2 7 8 9" xfId="13780"/>
    <cellStyle name="Normal 4 2 7 9" xfId="13781"/>
    <cellStyle name="Normal 4 2 8" xfId="1266"/>
    <cellStyle name="Normal 4 2 8 10" xfId="13782"/>
    <cellStyle name="Normal 4 2 8 11" xfId="13783"/>
    <cellStyle name="Normal 4 2 8 12" xfId="13784"/>
    <cellStyle name="Normal 4 2 8 13" xfId="13785"/>
    <cellStyle name="Normal 4 2 8 14" xfId="13786"/>
    <cellStyle name="Normal 4 2 8 15" xfId="13787"/>
    <cellStyle name="Normal 4 2 8 16" xfId="13788"/>
    <cellStyle name="Normal 4 2 8 17" xfId="13789"/>
    <cellStyle name="Normal 4 2 8 18" xfId="5186"/>
    <cellStyle name="Normal 4 2 8 2" xfId="3128"/>
    <cellStyle name="Normal 4 2 8 2 10" xfId="13790"/>
    <cellStyle name="Normal 4 2 8 2 11" xfId="13791"/>
    <cellStyle name="Normal 4 2 8 2 12" xfId="13792"/>
    <cellStyle name="Normal 4 2 8 2 13" xfId="7012"/>
    <cellStyle name="Normal 4 2 8 2 2" xfId="3129"/>
    <cellStyle name="Normal 4 2 8 2 2 10" xfId="13793"/>
    <cellStyle name="Normal 4 2 8 2 2 11" xfId="7013"/>
    <cellStyle name="Normal 4 2 8 2 2 2" xfId="13794"/>
    <cellStyle name="Normal 4 2 8 2 2 3" xfId="13795"/>
    <cellStyle name="Normal 4 2 8 2 2 4" xfId="13796"/>
    <cellStyle name="Normal 4 2 8 2 2 5" xfId="13797"/>
    <cellStyle name="Normal 4 2 8 2 2 6" xfId="13798"/>
    <cellStyle name="Normal 4 2 8 2 2 7" xfId="13799"/>
    <cellStyle name="Normal 4 2 8 2 2 8" xfId="13800"/>
    <cellStyle name="Normal 4 2 8 2 2 9" xfId="13801"/>
    <cellStyle name="Normal 4 2 8 2 3" xfId="3130"/>
    <cellStyle name="Normal 4 2 8 2 3 10" xfId="13802"/>
    <cellStyle name="Normal 4 2 8 2 3 11" xfId="7014"/>
    <cellStyle name="Normal 4 2 8 2 3 2" xfId="13803"/>
    <cellStyle name="Normal 4 2 8 2 3 3" xfId="13804"/>
    <cellStyle name="Normal 4 2 8 2 3 4" xfId="13805"/>
    <cellStyle name="Normal 4 2 8 2 3 5" xfId="13806"/>
    <cellStyle name="Normal 4 2 8 2 3 6" xfId="13807"/>
    <cellStyle name="Normal 4 2 8 2 3 7" xfId="13808"/>
    <cellStyle name="Normal 4 2 8 2 3 8" xfId="13809"/>
    <cellStyle name="Normal 4 2 8 2 3 9" xfId="13810"/>
    <cellStyle name="Normal 4 2 8 2 4" xfId="13811"/>
    <cellStyle name="Normal 4 2 8 2 5" xfId="13812"/>
    <cellStyle name="Normal 4 2 8 2 6" xfId="13813"/>
    <cellStyle name="Normal 4 2 8 2 7" xfId="13814"/>
    <cellStyle name="Normal 4 2 8 2 8" xfId="13815"/>
    <cellStyle name="Normal 4 2 8 2 9" xfId="13816"/>
    <cellStyle name="Normal 4 2 8 3" xfId="3131"/>
    <cellStyle name="Normal 4 2 8 3 10" xfId="13817"/>
    <cellStyle name="Normal 4 2 8 3 11" xfId="13818"/>
    <cellStyle name="Normal 4 2 8 3 12" xfId="13819"/>
    <cellStyle name="Normal 4 2 8 3 13" xfId="7015"/>
    <cellStyle name="Normal 4 2 8 3 2" xfId="3132"/>
    <cellStyle name="Normal 4 2 8 3 2 10" xfId="13820"/>
    <cellStyle name="Normal 4 2 8 3 2 11" xfId="7016"/>
    <cellStyle name="Normal 4 2 8 3 2 2" xfId="13821"/>
    <cellStyle name="Normal 4 2 8 3 2 3" xfId="13822"/>
    <cellStyle name="Normal 4 2 8 3 2 4" xfId="13823"/>
    <cellStyle name="Normal 4 2 8 3 2 5" xfId="13824"/>
    <cellStyle name="Normal 4 2 8 3 2 6" xfId="13825"/>
    <cellStyle name="Normal 4 2 8 3 2 7" xfId="13826"/>
    <cellStyle name="Normal 4 2 8 3 2 8" xfId="13827"/>
    <cellStyle name="Normal 4 2 8 3 2 9" xfId="13828"/>
    <cellStyle name="Normal 4 2 8 3 3" xfId="3133"/>
    <cellStyle name="Normal 4 2 8 3 3 10" xfId="13829"/>
    <cellStyle name="Normal 4 2 8 3 3 11" xfId="7017"/>
    <cellStyle name="Normal 4 2 8 3 3 2" xfId="13830"/>
    <cellStyle name="Normal 4 2 8 3 3 3" xfId="13831"/>
    <cellStyle name="Normal 4 2 8 3 3 4" xfId="13832"/>
    <cellStyle name="Normal 4 2 8 3 3 5" xfId="13833"/>
    <cellStyle name="Normal 4 2 8 3 3 6" xfId="13834"/>
    <cellStyle name="Normal 4 2 8 3 3 7" xfId="13835"/>
    <cellStyle name="Normal 4 2 8 3 3 8" xfId="13836"/>
    <cellStyle name="Normal 4 2 8 3 3 9" xfId="13837"/>
    <cellStyle name="Normal 4 2 8 3 4" xfId="13838"/>
    <cellStyle name="Normal 4 2 8 3 5" xfId="13839"/>
    <cellStyle name="Normal 4 2 8 3 6" xfId="13840"/>
    <cellStyle name="Normal 4 2 8 3 7" xfId="13841"/>
    <cellStyle name="Normal 4 2 8 3 8" xfId="13842"/>
    <cellStyle name="Normal 4 2 8 3 9" xfId="13843"/>
    <cellStyle name="Normal 4 2 8 4" xfId="3134"/>
    <cellStyle name="Normal 4 2 8 4 10" xfId="13844"/>
    <cellStyle name="Normal 4 2 8 4 11" xfId="13845"/>
    <cellStyle name="Normal 4 2 8 4 12" xfId="13846"/>
    <cellStyle name="Normal 4 2 8 4 13" xfId="7018"/>
    <cellStyle name="Normal 4 2 8 4 2" xfId="3135"/>
    <cellStyle name="Normal 4 2 8 4 2 10" xfId="13847"/>
    <cellStyle name="Normal 4 2 8 4 2 11" xfId="7019"/>
    <cellStyle name="Normal 4 2 8 4 2 2" xfId="13848"/>
    <cellStyle name="Normal 4 2 8 4 2 3" xfId="13849"/>
    <cellStyle name="Normal 4 2 8 4 2 4" xfId="13850"/>
    <cellStyle name="Normal 4 2 8 4 2 5" xfId="13851"/>
    <cellStyle name="Normal 4 2 8 4 2 6" xfId="13852"/>
    <cellStyle name="Normal 4 2 8 4 2 7" xfId="13853"/>
    <cellStyle name="Normal 4 2 8 4 2 8" xfId="13854"/>
    <cellStyle name="Normal 4 2 8 4 2 9" xfId="13855"/>
    <cellStyle name="Normal 4 2 8 4 3" xfId="3136"/>
    <cellStyle name="Normal 4 2 8 4 3 10" xfId="13856"/>
    <cellStyle name="Normal 4 2 8 4 3 11" xfId="7020"/>
    <cellStyle name="Normal 4 2 8 4 3 2" xfId="13857"/>
    <cellStyle name="Normal 4 2 8 4 3 3" xfId="13858"/>
    <cellStyle name="Normal 4 2 8 4 3 4" xfId="13859"/>
    <cellStyle name="Normal 4 2 8 4 3 5" xfId="13860"/>
    <cellStyle name="Normal 4 2 8 4 3 6" xfId="13861"/>
    <cellStyle name="Normal 4 2 8 4 3 7" xfId="13862"/>
    <cellStyle name="Normal 4 2 8 4 3 8" xfId="13863"/>
    <cellStyle name="Normal 4 2 8 4 3 9" xfId="13864"/>
    <cellStyle name="Normal 4 2 8 4 4" xfId="13865"/>
    <cellStyle name="Normal 4 2 8 4 5" xfId="13866"/>
    <cellStyle name="Normal 4 2 8 4 6" xfId="13867"/>
    <cellStyle name="Normal 4 2 8 4 7" xfId="13868"/>
    <cellStyle name="Normal 4 2 8 4 8" xfId="13869"/>
    <cellStyle name="Normal 4 2 8 4 9" xfId="13870"/>
    <cellStyle name="Normal 4 2 8 5" xfId="3137"/>
    <cellStyle name="Normal 4 2 8 5 10" xfId="13871"/>
    <cellStyle name="Normal 4 2 8 5 11" xfId="13872"/>
    <cellStyle name="Normal 4 2 8 5 12" xfId="13873"/>
    <cellStyle name="Normal 4 2 8 5 13" xfId="7021"/>
    <cellStyle name="Normal 4 2 8 5 2" xfId="3138"/>
    <cellStyle name="Normal 4 2 8 5 2 10" xfId="13874"/>
    <cellStyle name="Normal 4 2 8 5 2 11" xfId="7022"/>
    <cellStyle name="Normal 4 2 8 5 2 2" xfId="13875"/>
    <cellStyle name="Normal 4 2 8 5 2 3" xfId="13876"/>
    <cellStyle name="Normal 4 2 8 5 2 4" xfId="13877"/>
    <cellStyle name="Normal 4 2 8 5 2 5" xfId="13878"/>
    <cellStyle name="Normal 4 2 8 5 2 6" xfId="13879"/>
    <cellStyle name="Normal 4 2 8 5 2 7" xfId="13880"/>
    <cellStyle name="Normal 4 2 8 5 2 8" xfId="13881"/>
    <cellStyle name="Normal 4 2 8 5 2 9" xfId="13882"/>
    <cellStyle name="Normal 4 2 8 5 3" xfId="3139"/>
    <cellStyle name="Normal 4 2 8 5 3 10" xfId="13883"/>
    <cellStyle name="Normal 4 2 8 5 3 11" xfId="7023"/>
    <cellStyle name="Normal 4 2 8 5 3 2" xfId="13884"/>
    <cellStyle name="Normal 4 2 8 5 3 3" xfId="13885"/>
    <cellStyle name="Normal 4 2 8 5 3 4" xfId="13886"/>
    <cellStyle name="Normal 4 2 8 5 3 5" xfId="13887"/>
    <cellStyle name="Normal 4 2 8 5 3 6" xfId="13888"/>
    <cellStyle name="Normal 4 2 8 5 3 7" xfId="13889"/>
    <cellStyle name="Normal 4 2 8 5 3 8" xfId="13890"/>
    <cellStyle name="Normal 4 2 8 5 3 9" xfId="13891"/>
    <cellStyle name="Normal 4 2 8 5 4" xfId="13892"/>
    <cellStyle name="Normal 4 2 8 5 5" xfId="13893"/>
    <cellStyle name="Normal 4 2 8 5 6" xfId="13894"/>
    <cellStyle name="Normal 4 2 8 5 7" xfId="13895"/>
    <cellStyle name="Normal 4 2 8 5 8" xfId="13896"/>
    <cellStyle name="Normal 4 2 8 5 9" xfId="13897"/>
    <cellStyle name="Normal 4 2 8 6" xfId="3140"/>
    <cellStyle name="Normal 4 2 8 6 10" xfId="13898"/>
    <cellStyle name="Normal 4 2 8 6 11" xfId="13899"/>
    <cellStyle name="Normal 4 2 8 6 12" xfId="13900"/>
    <cellStyle name="Normal 4 2 8 6 13" xfId="7024"/>
    <cellStyle name="Normal 4 2 8 6 2" xfId="3141"/>
    <cellStyle name="Normal 4 2 8 6 2 10" xfId="13901"/>
    <cellStyle name="Normal 4 2 8 6 2 11" xfId="7025"/>
    <cellStyle name="Normal 4 2 8 6 2 2" xfId="13902"/>
    <cellStyle name="Normal 4 2 8 6 2 3" xfId="13903"/>
    <cellStyle name="Normal 4 2 8 6 2 4" xfId="13904"/>
    <cellStyle name="Normal 4 2 8 6 2 5" xfId="13905"/>
    <cellStyle name="Normal 4 2 8 6 2 6" xfId="13906"/>
    <cellStyle name="Normal 4 2 8 6 2 7" xfId="13907"/>
    <cellStyle name="Normal 4 2 8 6 2 8" xfId="13908"/>
    <cellStyle name="Normal 4 2 8 6 2 9" xfId="13909"/>
    <cellStyle name="Normal 4 2 8 6 3" xfId="3142"/>
    <cellStyle name="Normal 4 2 8 6 3 10" xfId="13910"/>
    <cellStyle name="Normal 4 2 8 6 3 11" xfId="7026"/>
    <cellStyle name="Normal 4 2 8 6 3 2" xfId="13911"/>
    <cellStyle name="Normal 4 2 8 6 3 3" xfId="13912"/>
    <cellStyle name="Normal 4 2 8 6 3 4" xfId="13913"/>
    <cellStyle name="Normal 4 2 8 6 3 5" xfId="13914"/>
    <cellStyle name="Normal 4 2 8 6 3 6" xfId="13915"/>
    <cellStyle name="Normal 4 2 8 6 3 7" xfId="13916"/>
    <cellStyle name="Normal 4 2 8 6 3 8" xfId="13917"/>
    <cellStyle name="Normal 4 2 8 6 3 9" xfId="13918"/>
    <cellStyle name="Normal 4 2 8 6 4" xfId="13919"/>
    <cellStyle name="Normal 4 2 8 6 5" xfId="13920"/>
    <cellStyle name="Normal 4 2 8 6 6" xfId="13921"/>
    <cellStyle name="Normal 4 2 8 6 7" xfId="13922"/>
    <cellStyle name="Normal 4 2 8 6 8" xfId="13923"/>
    <cellStyle name="Normal 4 2 8 6 9" xfId="13924"/>
    <cellStyle name="Normal 4 2 8 7" xfId="3143"/>
    <cellStyle name="Normal 4 2 8 7 10" xfId="13925"/>
    <cellStyle name="Normal 4 2 8 7 11" xfId="7027"/>
    <cellStyle name="Normal 4 2 8 7 2" xfId="13926"/>
    <cellStyle name="Normal 4 2 8 7 3" xfId="13927"/>
    <cellStyle name="Normal 4 2 8 7 4" xfId="13928"/>
    <cellStyle name="Normal 4 2 8 7 5" xfId="13929"/>
    <cellStyle name="Normal 4 2 8 7 6" xfId="13930"/>
    <cellStyle name="Normal 4 2 8 7 7" xfId="13931"/>
    <cellStyle name="Normal 4 2 8 7 8" xfId="13932"/>
    <cellStyle name="Normal 4 2 8 7 9" xfId="13933"/>
    <cellStyle name="Normal 4 2 8 8" xfId="3144"/>
    <cellStyle name="Normal 4 2 8 8 10" xfId="13934"/>
    <cellStyle name="Normal 4 2 8 8 11" xfId="7028"/>
    <cellStyle name="Normal 4 2 8 8 2" xfId="13935"/>
    <cellStyle name="Normal 4 2 8 8 3" xfId="13936"/>
    <cellStyle name="Normal 4 2 8 8 4" xfId="13937"/>
    <cellStyle name="Normal 4 2 8 8 5" xfId="13938"/>
    <cellStyle name="Normal 4 2 8 8 6" xfId="13939"/>
    <cellStyle name="Normal 4 2 8 8 7" xfId="13940"/>
    <cellStyle name="Normal 4 2 8 8 8" xfId="13941"/>
    <cellStyle name="Normal 4 2 8 8 9" xfId="13942"/>
    <cellStyle name="Normal 4 2 8 9" xfId="13943"/>
    <cellStyle name="Normal 4 2 9" xfId="1269"/>
    <cellStyle name="Normal 4 2 9 10" xfId="13944"/>
    <cellStyle name="Normal 4 2 9 11" xfId="13945"/>
    <cellStyle name="Normal 4 2 9 12" xfId="13946"/>
    <cellStyle name="Normal 4 2 9 13" xfId="13947"/>
    <cellStyle name="Normal 4 2 9 14" xfId="13948"/>
    <cellStyle name="Normal 4 2 9 15" xfId="13949"/>
    <cellStyle name="Normal 4 2 9 16" xfId="13950"/>
    <cellStyle name="Normal 4 2 9 17" xfId="13951"/>
    <cellStyle name="Normal 4 2 9 18" xfId="5189"/>
    <cellStyle name="Normal 4 2 9 2" xfId="3145"/>
    <cellStyle name="Normal 4 2 9 2 10" xfId="13952"/>
    <cellStyle name="Normal 4 2 9 2 11" xfId="13953"/>
    <cellStyle name="Normal 4 2 9 2 12" xfId="13954"/>
    <cellStyle name="Normal 4 2 9 2 13" xfId="7029"/>
    <cellStyle name="Normal 4 2 9 2 2" xfId="3146"/>
    <cellStyle name="Normal 4 2 9 2 2 10" xfId="13955"/>
    <cellStyle name="Normal 4 2 9 2 2 11" xfId="7030"/>
    <cellStyle name="Normal 4 2 9 2 2 2" xfId="13956"/>
    <cellStyle name="Normal 4 2 9 2 2 3" xfId="13957"/>
    <cellStyle name="Normal 4 2 9 2 2 4" xfId="13958"/>
    <cellStyle name="Normal 4 2 9 2 2 5" xfId="13959"/>
    <cellStyle name="Normal 4 2 9 2 2 6" xfId="13960"/>
    <cellStyle name="Normal 4 2 9 2 2 7" xfId="13961"/>
    <cellStyle name="Normal 4 2 9 2 2 8" xfId="13962"/>
    <cellStyle name="Normal 4 2 9 2 2 9" xfId="13963"/>
    <cellStyle name="Normal 4 2 9 2 3" xfId="3147"/>
    <cellStyle name="Normal 4 2 9 2 3 10" xfId="13964"/>
    <cellStyle name="Normal 4 2 9 2 3 11" xfId="7031"/>
    <cellStyle name="Normal 4 2 9 2 3 2" xfId="13965"/>
    <cellStyle name="Normal 4 2 9 2 3 3" xfId="13966"/>
    <cellStyle name="Normal 4 2 9 2 3 4" xfId="13967"/>
    <cellStyle name="Normal 4 2 9 2 3 5" xfId="13968"/>
    <cellStyle name="Normal 4 2 9 2 3 6" xfId="13969"/>
    <cellStyle name="Normal 4 2 9 2 3 7" xfId="13970"/>
    <cellStyle name="Normal 4 2 9 2 3 8" xfId="13971"/>
    <cellStyle name="Normal 4 2 9 2 3 9" xfId="13972"/>
    <cellStyle name="Normal 4 2 9 2 4" xfId="13973"/>
    <cellStyle name="Normal 4 2 9 2 5" xfId="13974"/>
    <cellStyle name="Normal 4 2 9 2 6" xfId="13975"/>
    <cellStyle name="Normal 4 2 9 2 7" xfId="13976"/>
    <cellStyle name="Normal 4 2 9 2 8" xfId="13977"/>
    <cellStyle name="Normal 4 2 9 2 9" xfId="13978"/>
    <cellStyle name="Normal 4 2 9 3" xfId="3148"/>
    <cellStyle name="Normal 4 2 9 3 10" xfId="13979"/>
    <cellStyle name="Normal 4 2 9 3 11" xfId="13980"/>
    <cellStyle name="Normal 4 2 9 3 12" xfId="13981"/>
    <cellStyle name="Normal 4 2 9 3 13" xfId="7032"/>
    <cellStyle name="Normal 4 2 9 3 2" xfId="3149"/>
    <cellStyle name="Normal 4 2 9 3 2 10" xfId="13982"/>
    <cellStyle name="Normal 4 2 9 3 2 11" xfId="7033"/>
    <cellStyle name="Normal 4 2 9 3 2 2" xfId="13983"/>
    <cellStyle name="Normal 4 2 9 3 2 3" xfId="13984"/>
    <cellStyle name="Normal 4 2 9 3 2 4" xfId="13985"/>
    <cellStyle name="Normal 4 2 9 3 2 5" xfId="13986"/>
    <cellStyle name="Normal 4 2 9 3 2 6" xfId="13987"/>
    <cellStyle name="Normal 4 2 9 3 2 7" xfId="13988"/>
    <cellStyle name="Normal 4 2 9 3 2 8" xfId="13989"/>
    <cellStyle name="Normal 4 2 9 3 2 9" xfId="13990"/>
    <cellStyle name="Normal 4 2 9 3 3" xfId="3150"/>
    <cellStyle name="Normal 4 2 9 3 3 10" xfId="13991"/>
    <cellStyle name="Normal 4 2 9 3 3 11" xfId="7034"/>
    <cellStyle name="Normal 4 2 9 3 3 2" xfId="13992"/>
    <cellStyle name="Normal 4 2 9 3 3 3" xfId="13993"/>
    <cellStyle name="Normal 4 2 9 3 3 4" xfId="13994"/>
    <cellStyle name="Normal 4 2 9 3 3 5" xfId="13995"/>
    <cellStyle name="Normal 4 2 9 3 3 6" xfId="13996"/>
    <cellStyle name="Normal 4 2 9 3 3 7" xfId="13997"/>
    <cellStyle name="Normal 4 2 9 3 3 8" xfId="13998"/>
    <cellStyle name="Normal 4 2 9 3 3 9" xfId="13999"/>
    <cellStyle name="Normal 4 2 9 3 4" xfId="14000"/>
    <cellStyle name="Normal 4 2 9 3 5" xfId="14001"/>
    <cellStyle name="Normal 4 2 9 3 6" xfId="14002"/>
    <cellStyle name="Normal 4 2 9 3 7" xfId="14003"/>
    <cellStyle name="Normal 4 2 9 3 8" xfId="14004"/>
    <cellStyle name="Normal 4 2 9 3 9" xfId="14005"/>
    <cellStyle name="Normal 4 2 9 4" xfId="3151"/>
    <cellStyle name="Normal 4 2 9 4 10" xfId="14006"/>
    <cellStyle name="Normal 4 2 9 4 11" xfId="14007"/>
    <cellStyle name="Normal 4 2 9 4 12" xfId="14008"/>
    <cellStyle name="Normal 4 2 9 4 13" xfId="7035"/>
    <cellStyle name="Normal 4 2 9 4 2" xfId="3023"/>
    <cellStyle name="Normal 4 2 9 4 2 10" xfId="14009"/>
    <cellStyle name="Normal 4 2 9 4 2 11" xfId="6909"/>
    <cellStyle name="Normal 4 2 9 4 2 2" xfId="14010"/>
    <cellStyle name="Normal 4 2 9 4 2 3" xfId="14011"/>
    <cellStyle name="Normal 4 2 9 4 2 4" xfId="14012"/>
    <cellStyle name="Normal 4 2 9 4 2 5" xfId="14013"/>
    <cellStyle name="Normal 4 2 9 4 2 6" xfId="14014"/>
    <cellStyle name="Normal 4 2 9 4 2 7" xfId="14015"/>
    <cellStyle name="Normal 4 2 9 4 2 8" xfId="14016"/>
    <cellStyle name="Normal 4 2 9 4 2 9" xfId="14017"/>
    <cellStyle name="Normal 4 2 9 4 3" xfId="3034"/>
    <cellStyle name="Normal 4 2 9 4 3 10" xfId="14018"/>
    <cellStyle name="Normal 4 2 9 4 3 11" xfId="6919"/>
    <cellStyle name="Normal 4 2 9 4 3 2" xfId="14019"/>
    <cellStyle name="Normal 4 2 9 4 3 3" xfId="14020"/>
    <cellStyle name="Normal 4 2 9 4 3 4" xfId="14021"/>
    <cellStyle name="Normal 4 2 9 4 3 5" xfId="14022"/>
    <cellStyle name="Normal 4 2 9 4 3 6" xfId="14023"/>
    <cellStyle name="Normal 4 2 9 4 3 7" xfId="14024"/>
    <cellStyle name="Normal 4 2 9 4 3 8" xfId="14025"/>
    <cellStyle name="Normal 4 2 9 4 3 9" xfId="14026"/>
    <cellStyle name="Normal 4 2 9 4 4" xfId="14027"/>
    <cellStyle name="Normal 4 2 9 4 5" xfId="14028"/>
    <cellStyle name="Normal 4 2 9 4 6" xfId="14029"/>
    <cellStyle name="Normal 4 2 9 4 7" xfId="14030"/>
    <cellStyle name="Normal 4 2 9 4 8" xfId="14031"/>
    <cellStyle name="Normal 4 2 9 4 9" xfId="14032"/>
    <cellStyle name="Normal 4 2 9 5" xfId="3152"/>
    <cellStyle name="Normal 4 2 9 5 10" xfId="14033"/>
    <cellStyle name="Normal 4 2 9 5 11" xfId="14034"/>
    <cellStyle name="Normal 4 2 9 5 12" xfId="14035"/>
    <cellStyle name="Normal 4 2 9 5 13" xfId="7036"/>
    <cellStyle name="Normal 4 2 9 5 2" xfId="3072"/>
    <cellStyle name="Normal 4 2 9 5 2 10" xfId="14036"/>
    <cellStyle name="Normal 4 2 9 5 2 11" xfId="6957"/>
    <cellStyle name="Normal 4 2 9 5 2 2" xfId="14037"/>
    <cellStyle name="Normal 4 2 9 5 2 3" xfId="14038"/>
    <cellStyle name="Normal 4 2 9 5 2 4" xfId="14039"/>
    <cellStyle name="Normal 4 2 9 5 2 5" xfId="14040"/>
    <cellStyle name="Normal 4 2 9 5 2 6" xfId="14041"/>
    <cellStyle name="Normal 4 2 9 5 2 7" xfId="14042"/>
    <cellStyle name="Normal 4 2 9 5 2 8" xfId="14043"/>
    <cellStyle name="Normal 4 2 9 5 2 9" xfId="14044"/>
    <cellStyle name="Normal 4 2 9 5 3" xfId="1951"/>
    <cellStyle name="Normal 4 2 9 5 3 10" xfId="14045"/>
    <cellStyle name="Normal 4 2 9 5 3 11" xfId="5856"/>
    <cellStyle name="Normal 4 2 9 5 3 2" xfId="14046"/>
    <cellStyle name="Normal 4 2 9 5 3 3" xfId="14047"/>
    <cellStyle name="Normal 4 2 9 5 3 4" xfId="14048"/>
    <cellStyle name="Normal 4 2 9 5 3 5" xfId="14049"/>
    <cellStyle name="Normal 4 2 9 5 3 6" xfId="14050"/>
    <cellStyle name="Normal 4 2 9 5 3 7" xfId="14051"/>
    <cellStyle name="Normal 4 2 9 5 3 8" xfId="14052"/>
    <cellStyle name="Normal 4 2 9 5 3 9" xfId="14053"/>
    <cellStyle name="Normal 4 2 9 5 4" xfId="14054"/>
    <cellStyle name="Normal 4 2 9 5 5" xfId="14055"/>
    <cellStyle name="Normal 4 2 9 5 6" xfId="14056"/>
    <cellStyle name="Normal 4 2 9 5 7" xfId="14057"/>
    <cellStyle name="Normal 4 2 9 5 8" xfId="14058"/>
    <cellStyle name="Normal 4 2 9 5 9" xfId="14059"/>
    <cellStyle name="Normal 4 2 9 6" xfId="3153"/>
    <cellStyle name="Normal 4 2 9 6 10" xfId="14060"/>
    <cellStyle name="Normal 4 2 9 6 11" xfId="14061"/>
    <cellStyle name="Normal 4 2 9 6 12" xfId="14062"/>
    <cellStyle name="Normal 4 2 9 6 13" xfId="7037"/>
    <cellStyle name="Normal 4 2 9 6 2" xfId="3080"/>
    <cellStyle name="Normal 4 2 9 6 2 10" xfId="14063"/>
    <cellStyle name="Normal 4 2 9 6 2 11" xfId="6965"/>
    <cellStyle name="Normal 4 2 9 6 2 2" xfId="14064"/>
    <cellStyle name="Normal 4 2 9 6 2 3" xfId="14065"/>
    <cellStyle name="Normal 4 2 9 6 2 4" xfId="14066"/>
    <cellStyle name="Normal 4 2 9 6 2 5" xfId="14067"/>
    <cellStyle name="Normal 4 2 9 6 2 6" xfId="14068"/>
    <cellStyle name="Normal 4 2 9 6 2 7" xfId="14069"/>
    <cellStyle name="Normal 4 2 9 6 2 8" xfId="14070"/>
    <cellStyle name="Normal 4 2 9 6 2 9" xfId="14071"/>
    <cellStyle name="Normal 4 2 9 6 3" xfId="3086"/>
    <cellStyle name="Normal 4 2 9 6 3 10" xfId="14072"/>
    <cellStyle name="Normal 4 2 9 6 3 11" xfId="6971"/>
    <cellStyle name="Normal 4 2 9 6 3 2" xfId="14073"/>
    <cellStyle name="Normal 4 2 9 6 3 3" xfId="14074"/>
    <cellStyle name="Normal 4 2 9 6 3 4" xfId="14075"/>
    <cellStyle name="Normal 4 2 9 6 3 5" xfId="14076"/>
    <cellStyle name="Normal 4 2 9 6 3 6" xfId="14077"/>
    <cellStyle name="Normal 4 2 9 6 3 7" xfId="14078"/>
    <cellStyle name="Normal 4 2 9 6 3 8" xfId="14079"/>
    <cellStyle name="Normal 4 2 9 6 3 9" xfId="14080"/>
    <cellStyle name="Normal 4 2 9 6 4" xfId="14081"/>
    <cellStyle name="Normal 4 2 9 6 5" xfId="14082"/>
    <cellStyle name="Normal 4 2 9 6 6" xfId="14083"/>
    <cellStyle name="Normal 4 2 9 6 7" xfId="14084"/>
    <cellStyle name="Normal 4 2 9 6 8" xfId="14085"/>
    <cellStyle name="Normal 4 2 9 6 9" xfId="14086"/>
    <cellStyle name="Normal 4 2 9 7" xfId="3154"/>
    <cellStyle name="Normal 4 2 9 7 10" xfId="14087"/>
    <cellStyle name="Normal 4 2 9 7 11" xfId="7038"/>
    <cellStyle name="Normal 4 2 9 7 2" xfId="14088"/>
    <cellStyle name="Normal 4 2 9 7 3" xfId="14089"/>
    <cellStyle name="Normal 4 2 9 7 4" xfId="14090"/>
    <cellStyle name="Normal 4 2 9 7 5" xfId="14091"/>
    <cellStyle name="Normal 4 2 9 7 6" xfId="14092"/>
    <cellStyle name="Normal 4 2 9 7 7" xfId="14093"/>
    <cellStyle name="Normal 4 2 9 7 8" xfId="14094"/>
    <cellStyle name="Normal 4 2 9 7 9" xfId="14095"/>
    <cellStyle name="Normal 4 2 9 8" xfId="3155"/>
    <cellStyle name="Normal 4 2 9 8 10" xfId="14096"/>
    <cellStyle name="Normal 4 2 9 8 11" xfId="7039"/>
    <cellStyle name="Normal 4 2 9 8 2" xfId="14097"/>
    <cellStyle name="Normal 4 2 9 8 3" xfId="14098"/>
    <cellStyle name="Normal 4 2 9 8 4" xfId="14099"/>
    <cellStyle name="Normal 4 2 9 8 5" xfId="14100"/>
    <cellStyle name="Normal 4 2 9 8 6" xfId="14101"/>
    <cellStyle name="Normal 4 2 9 8 7" xfId="14102"/>
    <cellStyle name="Normal 4 2 9 8 8" xfId="14103"/>
    <cellStyle name="Normal 4 2 9 8 9" xfId="14104"/>
    <cellStyle name="Normal 4 2 9 9" xfId="14105"/>
    <cellStyle name="Normal 4 2_2bhk_19122016" xfId="14106"/>
    <cellStyle name="Normal 4 20" xfId="2948"/>
    <cellStyle name="Normal 4 20 2" xfId="6835"/>
    <cellStyle name="Normal 4 21" xfId="2950"/>
    <cellStyle name="Normal 4 21 2" xfId="6837"/>
    <cellStyle name="Normal 4 22" xfId="14107"/>
    <cellStyle name="Normal 4 23" xfId="14108"/>
    <cellStyle name="Normal 4 24" xfId="14109"/>
    <cellStyle name="Normal 4 25" xfId="14110"/>
    <cellStyle name="Normal 4 26" xfId="14111"/>
    <cellStyle name="Normal 4 27" xfId="14112"/>
    <cellStyle name="Normal 4 28" xfId="14113"/>
    <cellStyle name="Normal 4 29" xfId="14114"/>
    <cellStyle name="Normal 4 3" xfId="2621"/>
    <cellStyle name="Normal 4 3 10" xfId="3156"/>
    <cellStyle name="Normal 4 3 10 10" xfId="14115"/>
    <cellStyle name="Normal 4 3 10 11" xfId="14116"/>
    <cellStyle name="Normal 4 3 10 12" xfId="14117"/>
    <cellStyle name="Normal 4 3 10 13" xfId="14118"/>
    <cellStyle name="Normal 4 3 10 14" xfId="14119"/>
    <cellStyle name="Normal 4 3 10 15" xfId="14120"/>
    <cellStyle name="Normal 4 3 10 16" xfId="14121"/>
    <cellStyle name="Normal 4 3 10 17" xfId="14122"/>
    <cellStyle name="Normal 4 3 10 18" xfId="7040"/>
    <cellStyle name="Normal 4 3 10 2" xfId="1778"/>
    <cellStyle name="Normal 4 3 10 2 2" xfId="14123"/>
    <cellStyle name="Normal 4 3 10 2 3" xfId="5687"/>
    <cellStyle name="Normal 4 3 10 3" xfId="2509"/>
    <cellStyle name="Normal 4 3 10 3 2" xfId="6405"/>
    <cellStyle name="Normal 4 3 10 4" xfId="3157"/>
    <cellStyle name="Normal 4 3 10 4 2" xfId="7041"/>
    <cellStyle name="Normal 4 3 10 5" xfId="3158"/>
    <cellStyle name="Normal 4 3 10 5 2" xfId="7042"/>
    <cellStyle name="Normal 4 3 10 6" xfId="3159"/>
    <cellStyle name="Normal 4 3 10 6 2" xfId="7043"/>
    <cellStyle name="Normal 4 3 10 7" xfId="3161"/>
    <cellStyle name="Normal 4 3 10 7 2" xfId="7044"/>
    <cellStyle name="Normal 4 3 10 8" xfId="3163"/>
    <cellStyle name="Normal 4 3 10 8 2" xfId="7046"/>
    <cellStyle name="Normal 4 3 10 9" xfId="14124"/>
    <cellStyle name="Normal 4 3 11" xfId="3164"/>
    <cellStyle name="Normal 4 3 11 10" xfId="14125"/>
    <cellStyle name="Normal 4 3 11 11" xfId="14126"/>
    <cellStyle name="Normal 4 3 11 12" xfId="14127"/>
    <cellStyle name="Normal 4 3 11 13" xfId="14128"/>
    <cellStyle name="Normal 4 3 11 14" xfId="14129"/>
    <cellStyle name="Normal 4 3 11 15" xfId="14130"/>
    <cellStyle name="Normal 4 3 11 16" xfId="14131"/>
    <cellStyle name="Normal 4 3 11 17" xfId="14132"/>
    <cellStyle name="Normal 4 3 11 18" xfId="7048"/>
    <cellStyle name="Normal 4 3 11 2" xfId="2952"/>
    <cellStyle name="Normal 4 3 11 2 2" xfId="6839"/>
    <cellStyle name="Normal 4 3 11 3" xfId="2647"/>
    <cellStyle name="Normal 4 3 11 3 2" xfId="6541"/>
    <cellStyle name="Normal 4 3 11 4" xfId="2957"/>
    <cellStyle name="Normal 4 3 11 4 2" xfId="6844"/>
    <cellStyle name="Normal 4 3 11 5" xfId="2959"/>
    <cellStyle name="Normal 4 3 11 5 2" xfId="6846"/>
    <cellStyle name="Normal 4 3 11 6" xfId="2961"/>
    <cellStyle name="Normal 4 3 11 6 2" xfId="6848"/>
    <cellStyle name="Normal 4 3 11 7" xfId="2963"/>
    <cellStyle name="Normal 4 3 11 7 2" xfId="6850"/>
    <cellStyle name="Normal 4 3 11 8" xfId="2965"/>
    <cellStyle name="Normal 4 3 11 8 2" xfId="6852"/>
    <cellStyle name="Normal 4 3 11 9" xfId="14133"/>
    <cellStyle name="Normal 4 3 12" xfId="3165"/>
    <cellStyle name="Normal 4 3 12 2" xfId="14134"/>
    <cellStyle name="Normal 4 3 12 3" xfId="7049"/>
    <cellStyle name="Normal 4 3 13" xfId="3167"/>
    <cellStyle name="Normal 4 3 13 2" xfId="7050"/>
    <cellStyle name="Normal 4 3 14" xfId="415"/>
    <cellStyle name="Normal 4 3 14 2" xfId="4356"/>
    <cellStyle name="Normal 4 3 15" xfId="3168"/>
    <cellStyle name="Normal 4 3 15 2" xfId="7052"/>
    <cellStyle name="Normal 4 3 16" xfId="3169"/>
    <cellStyle name="Normal 4 3 16 2" xfId="7053"/>
    <cellStyle name="Normal 4 3 17" xfId="3170"/>
    <cellStyle name="Normal 4 3 17 2" xfId="7054"/>
    <cellStyle name="Normal 4 3 18" xfId="19"/>
    <cellStyle name="Normal 4 3 18 2" xfId="3980"/>
    <cellStyle name="Normal 4 3 19" xfId="14135"/>
    <cellStyle name="Normal 4 3 2" xfId="3172"/>
    <cellStyle name="Normal 4 3 2 10" xfId="1592"/>
    <cellStyle name="Normal 4 3 2 10 10" xfId="14136"/>
    <cellStyle name="Normal 4 3 2 10 11" xfId="14137"/>
    <cellStyle name="Normal 4 3 2 10 12" xfId="14138"/>
    <cellStyle name="Normal 4 3 2 10 13" xfId="14139"/>
    <cellStyle name="Normal 4 3 2 10 14" xfId="14140"/>
    <cellStyle name="Normal 4 3 2 10 15" xfId="14141"/>
    <cellStyle name="Normal 4 3 2 10 16" xfId="14142"/>
    <cellStyle name="Normal 4 3 2 10 17" xfId="14143"/>
    <cellStyle name="Normal 4 3 2 10 18" xfId="5509"/>
    <cellStyle name="Normal 4 3 2 10 2" xfId="3173"/>
    <cellStyle name="Normal 4 3 2 10 2 2" xfId="7057"/>
    <cellStyle name="Normal 4 3 2 10 3" xfId="3174"/>
    <cellStyle name="Normal 4 3 2 10 3 2" xfId="7058"/>
    <cellStyle name="Normal 4 3 2 10 4" xfId="3175"/>
    <cellStyle name="Normal 4 3 2 10 4 2" xfId="7059"/>
    <cellStyle name="Normal 4 3 2 10 5" xfId="3176"/>
    <cellStyle name="Normal 4 3 2 10 5 2" xfId="7060"/>
    <cellStyle name="Normal 4 3 2 10 6" xfId="3177"/>
    <cellStyle name="Normal 4 3 2 10 6 2" xfId="7061"/>
    <cellStyle name="Normal 4 3 2 10 7" xfId="3178"/>
    <cellStyle name="Normal 4 3 2 10 7 2" xfId="7062"/>
    <cellStyle name="Normal 4 3 2 10 8" xfId="3179"/>
    <cellStyle name="Normal 4 3 2 10 8 2" xfId="7063"/>
    <cellStyle name="Normal 4 3 2 10 9" xfId="14144"/>
    <cellStyle name="Normal 4 3 2 11" xfId="1595"/>
    <cellStyle name="Normal 4 3 2 11 2" xfId="5512"/>
    <cellStyle name="Normal 4 3 2 12" xfId="3070"/>
    <cellStyle name="Normal 4 3 2 12 2" xfId="6955"/>
    <cellStyle name="Normal 4 3 2 13" xfId="3180"/>
    <cellStyle name="Normal 4 3 2 13 2" xfId="7064"/>
    <cellStyle name="Normal 4 3 2 14" xfId="3181"/>
    <cellStyle name="Normal 4 3 2 14 2" xfId="7065"/>
    <cellStyle name="Normal 4 3 2 15" xfId="3182"/>
    <cellStyle name="Normal 4 3 2 15 2" xfId="7066"/>
    <cellStyle name="Normal 4 3 2 16" xfId="3183"/>
    <cellStyle name="Normal 4 3 2 16 2" xfId="7067"/>
    <cellStyle name="Normal 4 3 2 17" xfId="3184"/>
    <cellStyle name="Normal 4 3 2 17 2" xfId="7068"/>
    <cellStyle name="Normal 4 3 2 18" xfId="14145"/>
    <cellStyle name="Normal 4 3 2 19" xfId="14146"/>
    <cellStyle name="Normal 4 3 2 2" xfId="3186"/>
    <cellStyle name="Normal 4 3 2 2 10" xfId="14147"/>
    <cellStyle name="Normal 4 3 2 2 11" xfId="14148"/>
    <cellStyle name="Normal 4 3 2 2 12" xfId="14149"/>
    <cellStyle name="Normal 4 3 2 2 13" xfId="14150"/>
    <cellStyle name="Normal 4 3 2 2 14" xfId="14151"/>
    <cellStyle name="Normal 4 3 2 2 15" xfId="14152"/>
    <cellStyle name="Normal 4 3 2 2 16" xfId="14153"/>
    <cellStyle name="Normal 4 3 2 2 17" xfId="14154"/>
    <cellStyle name="Normal 4 3 2 2 18" xfId="7069"/>
    <cellStyle name="Normal 4 3 2 2 2" xfId="2248"/>
    <cellStyle name="Normal 4 3 2 2 2 2" xfId="6149"/>
    <cellStyle name="Normal 4 3 2 2 3" xfId="2252"/>
    <cellStyle name="Normal 4 3 2 2 3 2" xfId="6152"/>
    <cellStyle name="Normal 4 3 2 2 4" xfId="2254"/>
    <cellStyle name="Normal 4 3 2 2 4 2" xfId="6155"/>
    <cellStyle name="Normal 4 3 2 2 5" xfId="1942"/>
    <cellStyle name="Normal 4 3 2 2 5 2" xfId="5849"/>
    <cellStyle name="Normal 4 3 2 2 6" xfId="395"/>
    <cellStyle name="Normal 4 3 2 2 6 2" xfId="4335"/>
    <cellStyle name="Normal 4 3 2 2 7" xfId="406"/>
    <cellStyle name="Normal 4 3 2 2 7 2" xfId="4345"/>
    <cellStyle name="Normal 4 3 2 2 8" xfId="3188"/>
    <cellStyle name="Normal 4 3 2 2 8 2" xfId="7071"/>
    <cellStyle name="Normal 4 3 2 2 9" xfId="14155"/>
    <cellStyle name="Normal 4 3 2 20" xfId="14156"/>
    <cellStyle name="Normal 4 3 2 21" xfId="14157"/>
    <cellStyle name="Normal 4 3 2 22" xfId="14158"/>
    <cellStyle name="Normal 4 3 2 23" xfId="14159"/>
    <cellStyle name="Normal 4 3 2 24" xfId="14160"/>
    <cellStyle name="Normal 4 3 2 25" xfId="14161"/>
    <cellStyle name="Normal 4 3 2 26" xfId="14162"/>
    <cellStyle name="Normal 4 3 2 27" xfId="7055"/>
    <cellStyle name="Normal 4 3 2 3" xfId="3190"/>
    <cellStyle name="Normal 4 3 2 3 10" xfId="14163"/>
    <cellStyle name="Normal 4 3 2 3 11" xfId="14164"/>
    <cellStyle name="Normal 4 3 2 3 12" xfId="14165"/>
    <cellStyle name="Normal 4 3 2 3 13" xfId="14166"/>
    <cellStyle name="Normal 4 3 2 3 14" xfId="14167"/>
    <cellStyle name="Normal 4 3 2 3 15" xfId="14168"/>
    <cellStyle name="Normal 4 3 2 3 16" xfId="14169"/>
    <cellStyle name="Normal 4 3 2 3 17" xfId="14170"/>
    <cellStyle name="Normal 4 3 2 3 18" xfId="7073"/>
    <cellStyle name="Normal 4 3 2 3 2" xfId="2836"/>
    <cellStyle name="Normal 4 3 2 3 2 2" xfId="6727"/>
    <cellStyle name="Normal 4 3 2 3 3" xfId="3192"/>
    <cellStyle name="Normal 4 3 2 3 3 2" xfId="7075"/>
    <cellStyle name="Normal 4 3 2 3 4" xfId="3194"/>
    <cellStyle name="Normal 4 3 2 3 4 2" xfId="7077"/>
    <cellStyle name="Normal 4 3 2 3 5" xfId="3197"/>
    <cellStyle name="Normal 4 3 2 3 5 2" xfId="7079"/>
    <cellStyle name="Normal 4 3 2 3 6" xfId="3200"/>
    <cellStyle name="Normal 4 3 2 3 6 2" xfId="7082"/>
    <cellStyle name="Normal 4 3 2 3 7" xfId="3202"/>
    <cellStyle name="Normal 4 3 2 3 7 2" xfId="7085"/>
    <cellStyle name="Normal 4 3 2 3 8" xfId="182"/>
    <cellStyle name="Normal 4 3 2 3 8 2" xfId="4108"/>
    <cellStyle name="Normal 4 3 2 3 9" xfId="14171"/>
    <cellStyle name="Normal 4 3 2 4" xfId="38"/>
    <cellStyle name="Normal 4 3 2 4 10" xfId="14172"/>
    <cellStyle name="Normal 4 3 2 4 11" xfId="14173"/>
    <cellStyle name="Normal 4 3 2 4 12" xfId="14174"/>
    <cellStyle name="Normal 4 3 2 4 13" xfId="14175"/>
    <cellStyle name="Normal 4 3 2 4 14" xfId="14176"/>
    <cellStyle name="Normal 4 3 2 4 15" xfId="14177"/>
    <cellStyle name="Normal 4 3 2 4 16" xfId="14178"/>
    <cellStyle name="Normal 4 3 2 4 17" xfId="14179"/>
    <cellStyle name="Normal 4 3 2 4 18" xfId="3992"/>
    <cellStyle name="Normal 4 3 2 4 2" xfId="2839"/>
    <cellStyle name="Normal 4 3 2 4 2 2" xfId="6731"/>
    <cellStyle name="Normal 4 3 2 4 3" xfId="447"/>
    <cellStyle name="Normal 4 3 2 4 3 2" xfId="4386"/>
    <cellStyle name="Normal 4 3 2 4 4" xfId="53"/>
    <cellStyle name="Normal 4 3 2 4 4 2" xfId="4006"/>
    <cellStyle name="Normal 4 3 2 4 5" xfId="3204"/>
    <cellStyle name="Normal 4 3 2 4 5 2" xfId="7087"/>
    <cellStyle name="Normal 4 3 2 4 6" xfId="1816"/>
    <cellStyle name="Normal 4 3 2 4 6 2" xfId="5726"/>
    <cellStyle name="Normal 4 3 2 4 7" xfId="1819"/>
    <cellStyle name="Normal 4 3 2 4 7 2" xfId="5729"/>
    <cellStyle name="Normal 4 3 2 4 8" xfId="1823"/>
    <cellStyle name="Normal 4 3 2 4 8 2" xfId="5732"/>
    <cellStyle name="Normal 4 3 2 4 9" xfId="14180"/>
    <cellStyle name="Normal 4 3 2 5" xfId="3206"/>
    <cellStyle name="Normal 4 3 2 5 10" xfId="14181"/>
    <cellStyle name="Normal 4 3 2 5 11" xfId="14182"/>
    <cellStyle name="Normal 4 3 2 5 12" xfId="14183"/>
    <cellStyle name="Normal 4 3 2 5 13" xfId="14184"/>
    <cellStyle name="Normal 4 3 2 5 14" xfId="14185"/>
    <cellStyle name="Normal 4 3 2 5 15" xfId="14186"/>
    <cellStyle name="Normal 4 3 2 5 16" xfId="14187"/>
    <cellStyle name="Normal 4 3 2 5 17" xfId="14188"/>
    <cellStyle name="Normal 4 3 2 5 18" xfId="7089"/>
    <cellStyle name="Normal 4 3 2 5 2" xfId="3207"/>
    <cellStyle name="Normal 4 3 2 5 2 2" xfId="7091"/>
    <cellStyle name="Normal 4 3 2 5 3" xfId="3208"/>
    <cellStyle name="Normal 4 3 2 5 3 2" xfId="7092"/>
    <cellStyle name="Normal 4 3 2 5 4" xfId="3209"/>
    <cellStyle name="Normal 4 3 2 5 4 2" xfId="7093"/>
    <cellStyle name="Normal 4 3 2 5 5" xfId="2878"/>
    <cellStyle name="Normal 4 3 2 5 5 2" xfId="6766"/>
    <cellStyle name="Normal 4 3 2 5 6" xfId="1763"/>
    <cellStyle name="Normal 4 3 2 5 6 2" xfId="5672"/>
    <cellStyle name="Normal 4 3 2 5 7" xfId="1829"/>
    <cellStyle name="Normal 4 3 2 5 7 2" xfId="5738"/>
    <cellStyle name="Normal 4 3 2 5 8" xfId="1832"/>
    <cellStyle name="Normal 4 3 2 5 8 2" xfId="5741"/>
    <cellStyle name="Normal 4 3 2 5 9" xfId="14189"/>
    <cellStyle name="Normal 4 3 2 6" xfId="3211"/>
    <cellStyle name="Normal 4 3 2 6 10" xfId="14190"/>
    <cellStyle name="Normal 4 3 2 6 11" xfId="14191"/>
    <cellStyle name="Normal 4 3 2 6 12" xfId="14192"/>
    <cellStyle name="Normal 4 3 2 6 13" xfId="14193"/>
    <cellStyle name="Normal 4 3 2 6 14" xfId="14194"/>
    <cellStyle name="Normal 4 3 2 6 15" xfId="14195"/>
    <cellStyle name="Normal 4 3 2 6 16" xfId="14196"/>
    <cellStyle name="Normal 4 3 2 6 17" xfId="14197"/>
    <cellStyle name="Normal 4 3 2 6 18" xfId="7094"/>
    <cellStyle name="Normal 4 3 2 6 2" xfId="3212"/>
    <cellStyle name="Normal 4 3 2 6 2 2" xfId="7096"/>
    <cellStyle name="Normal 4 3 2 6 3" xfId="3213"/>
    <cellStyle name="Normal 4 3 2 6 3 2" xfId="7097"/>
    <cellStyle name="Normal 4 3 2 6 4" xfId="3214"/>
    <cellStyle name="Normal 4 3 2 6 4 2" xfId="7098"/>
    <cellStyle name="Normal 4 3 2 6 5" xfId="3216"/>
    <cellStyle name="Normal 4 3 2 6 5 2" xfId="7099"/>
    <cellStyle name="Normal 4 3 2 6 6" xfId="738"/>
    <cellStyle name="Normal 4 3 2 6 6 2" xfId="4665"/>
    <cellStyle name="Normal 4 3 2 6 7" xfId="748"/>
    <cellStyle name="Normal 4 3 2 6 7 2" xfId="4675"/>
    <cellStyle name="Normal 4 3 2 6 8" xfId="1839"/>
    <cellStyle name="Normal 4 3 2 6 8 2" xfId="5748"/>
    <cellStyle name="Normal 4 3 2 6 9" xfId="14198"/>
    <cellStyle name="Normal 4 3 2 7" xfId="3219"/>
    <cellStyle name="Normal 4 3 2 7 10" xfId="14199"/>
    <cellStyle name="Normal 4 3 2 7 11" xfId="14200"/>
    <cellStyle name="Normal 4 3 2 7 12" xfId="14201"/>
    <cellStyle name="Normal 4 3 2 7 13" xfId="14202"/>
    <cellStyle name="Normal 4 3 2 7 14" xfId="14203"/>
    <cellStyle name="Normal 4 3 2 7 15" xfId="14204"/>
    <cellStyle name="Normal 4 3 2 7 16" xfId="14205"/>
    <cellStyle name="Normal 4 3 2 7 17" xfId="14206"/>
    <cellStyle name="Normal 4 3 2 7 18" xfId="7101"/>
    <cellStyle name="Normal 4 3 2 7 2" xfId="3220"/>
    <cellStyle name="Normal 4 3 2 7 2 2" xfId="7104"/>
    <cellStyle name="Normal 4 3 2 7 3" xfId="3221"/>
    <cellStyle name="Normal 4 3 2 7 3 2" xfId="7105"/>
    <cellStyle name="Normal 4 3 2 7 4" xfId="3222"/>
    <cellStyle name="Normal 4 3 2 7 4 2" xfId="7106"/>
    <cellStyle name="Normal 4 3 2 7 5" xfId="3224"/>
    <cellStyle name="Normal 4 3 2 7 5 2" xfId="7107"/>
    <cellStyle name="Normal 4 3 2 7 6" xfId="1851"/>
    <cellStyle name="Normal 4 3 2 7 6 2" xfId="5760"/>
    <cellStyle name="Normal 4 3 2 7 7" xfId="305"/>
    <cellStyle name="Normal 4 3 2 7 7 2" xfId="4249"/>
    <cellStyle name="Normal 4 3 2 7 8" xfId="313"/>
    <cellStyle name="Normal 4 3 2 7 8 2" xfId="4255"/>
    <cellStyle name="Normal 4 3 2 7 9" xfId="14207"/>
    <cellStyle name="Normal 4 3 2 8" xfId="42"/>
    <cellStyle name="Normal 4 3 2 8 10" xfId="14208"/>
    <cellStyle name="Normal 4 3 2 8 11" xfId="14209"/>
    <cellStyle name="Normal 4 3 2 8 12" xfId="14210"/>
    <cellStyle name="Normal 4 3 2 8 13" xfId="14211"/>
    <cellStyle name="Normal 4 3 2 8 14" xfId="14212"/>
    <cellStyle name="Normal 4 3 2 8 15" xfId="14213"/>
    <cellStyle name="Normal 4 3 2 8 16" xfId="14214"/>
    <cellStyle name="Normal 4 3 2 8 17" xfId="14215"/>
    <cellStyle name="Normal 4 3 2 8 18" xfId="3997"/>
    <cellStyle name="Normal 4 3 2 8 2" xfId="787"/>
    <cellStyle name="Normal 4 3 2 8 2 2" xfId="4714"/>
    <cellStyle name="Normal 4 3 2 8 3" xfId="790"/>
    <cellStyle name="Normal 4 3 2 8 3 2" xfId="4716"/>
    <cellStyle name="Normal 4 3 2 8 4" xfId="3225"/>
    <cellStyle name="Normal 4 3 2 8 4 2" xfId="7109"/>
    <cellStyle name="Normal 4 3 2 8 5" xfId="3227"/>
    <cellStyle name="Normal 4 3 2 8 5 2" xfId="7110"/>
    <cellStyle name="Normal 4 3 2 8 6" xfId="1861"/>
    <cellStyle name="Normal 4 3 2 8 6 2" xfId="5770"/>
    <cellStyle name="Normal 4 3 2 8 7" xfId="1864"/>
    <cellStyle name="Normal 4 3 2 8 7 2" xfId="5773"/>
    <cellStyle name="Normal 4 3 2 8 8" xfId="1867"/>
    <cellStyle name="Normal 4 3 2 8 8 2" xfId="5776"/>
    <cellStyle name="Normal 4 3 2 8 9" xfId="14216"/>
    <cellStyle name="Normal 4 3 2 9" xfId="3229"/>
    <cellStyle name="Normal 4 3 2 9 10" xfId="14217"/>
    <cellStyle name="Normal 4 3 2 9 11" xfId="14218"/>
    <cellStyle name="Normal 4 3 2 9 12" xfId="14219"/>
    <cellStyle name="Normal 4 3 2 9 13" xfId="14220"/>
    <cellStyle name="Normal 4 3 2 9 14" xfId="14221"/>
    <cellStyle name="Normal 4 3 2 9 15" xfId="14222"/>
    <cellStyle name="Normal 4 3 2 9 16" xfId="14223"/>
    <cellStyle name="Normal 4 3 2 9 17" xfId="14224"/>
    <cellStyle name="Normal 4 3 2 9 18" xfId="7112"/>
    <cellStyle name="Normal 4 3 2 9 2" xfId="3230"/>
    <cellStyle name="Normal 4 3 2 9 2 2" xfId="7114"/>
    <cellStyle name="Normal 4 3 2 9 3" xfId="3231"/>
    <cellStyle name="Normal 4 3 2 9 3 2" xfId="7115"/>
    <cellStyle name="Normal 4 3 2 9 4" xfId="340"/>
    <cellStyle name="Normal 4 3 2 9 4 2" xfId="4282"/>
    <cellStyle name="Normal 4 3 2 9 5" xfId="344"/>
    <cellStyle name="Normal 4 3 2 9 5 2" xfId="4287"/>
    <cellStyle name="Normal 4 3 2 9 6" xfId="1875"/>
    <cellStyle name="Normal 4 3 2 9 6 2" xfId="5783"/>
    <cellStyle name="Normal 4 3 2 9 7" xfId="1877"/>
    <cellStyle name="Normal 4 3 2 9 7 2" xfId="5785"/>
    <cellStyle name="Normal 4 3 2 9 8" xfId="1879"/>
    <cellStyle name="Normal 4 3 2 9 8 2" xfId="5787"/>
    <cellStyle name="Normal 4 3 2 9 9" xfId="14225"/>
    <cellStyle name="Normal 4 3 2_Achampally-Gattubuthkur-Ganga-CRR" xfId="1870"/>
    <cellStyle name="Normal 4 3 20" xfId="14226"/>
    <cellStyle name="Normal 4 3 21" xfId="14227"/>
    <cellStyle name="Normal 4 3 22" xfId="14228"/>
    <cellStyle name="Normal 4 3 23" xfId="14229"/>
    <cellStyle name="Normal 4 3 24" xfId="14230"/>
    <cellStyle name="Normal 4 3 25" xfId="14231"/>
    <cellStyle name="Normal 4 3 26" xfId="14232"/>
    <cellStyle name="Normal 4 3 27" xfId="14233"/>
    <cellStyle name="Normal 4 3 28" xfId="6514"/>
    <cellStyle name="Normal 4 3 3" xfId="3233"/>
    <cellStyle name="Normal 4 3 3 10" xfId="14234"/>
    <cellStyle name="Normal 4 3 3 11" xfId="14235"/>
    <cellStyle name="Normal 4 3 3 12" xfId="14236"/>
    <cellStyle name="Normal 4 3 3 13" xfId="14237"/>
    <cellStyle name="Normal 4 3 3 14" xfId="14238"/>
    <cellStyle name="Normal 4 3 3 15" xfId="14239"/>
    <cellStyle name="Normal 4 3 3 16" xfId="14240"/>
    <cellStyle name="Normal 4 3 3 17" xfId="14241"/>
    <cellStyle name="Normal 4 3 3 18" xfId="7116"/>
    <cellStyle name="Normal 4 3 3 2" xfId="3234"/>
    <cellStyle name="Normal 4 3 3 2 2" xfId="7118"/>
    <cellStyle name="Normal 4 3 3 3" xfId="3236"/>
    <cellStyle name="Normal 4 3 3 3 2" xfId="7119"/>
    <cellStyle name="Normal 4 3 3 4" xfId="3238"/>
    <cellStyle name="Normal 4 3 3 4 2" xfId="7121"/>
    <cellStyle name="Normal 4 3 3 5" xfId="3240"/>
    <cellStyle name="Normal 4 3 3 5 2" xfId="7123"/>
    <cellStyle name="Normal 4 3 3 6" xfId="3242"/>
    <cellStyle name="Normal 4 3 3 6 2" xfId="7125"/>
    <cellStyle name="Normal 4 3 3 7" xfId="3245"/>
    <cellStyle name="Normal 4 3 3 7 2" xfId="7127"/>
    <cellStyle name="Normal 4 3 3 8" xfId="3248"/>
    <cellStyle name="Normal 4 3 3 8 2" xfId="7130"/>
    <cellStyle name="Normal 4 3 3 9" xfId="14242"/>
    <cellStyle name="Normal 4 3 4" xfId="3250"/>
    <cellStyle name="Normal 4 3 4 10" xfId="14243"/>
    <cellStyle name="Normal 4 3 4 11" xfId="14244"/>
    <cellStyle name="Normal 4 3 4 12" xfId="14245"/>
    <cellStyle name="Normal 4 3 4 13" xfId="14246"/>
    <cellStyle name="Normal 4 3 4 14" xfId="14247"/>
    <cellStyle name="Normal 4 3 4 15" xfId="14248"/>
    <cellStyle name="Normal 4 3 4 16" xfId="14249"/>
    <cellStyle name="Normal 4 3 4 17" xfId="14250"/>
    <cellStyle name="Normal 4 3 4 18" xfId="7133"/>
    <cellStyle name="Normal 4 3 4 2" xfId="3251"/>
    <cellStyle name="Normal 4 3 4 2 2" xfId="7135"/>
    <cellStyle name="Normal 4 3 4 3" xfId="3253"/>
    <cellStyle name="Normal 4 3 4 3 2" xfId="7136"/>
    <cellStyle name="Normal 4 3 4 4" xfId="3256"/>
    <cellStyle name="Normal 4 3 4 4 2" xfId="7138"/>
    <cellStyle name="Normal 4 3 4 5" xfId="3259"/>
    <cellStyle name="Normal 4 3 4 5 2" xfId="7140"/>
    <cellStyle name="Normal 4 3 4 6" xfId="3261"/>
    <cellStyle name="Normal 4 3 4 6 2" xfId="7142"/>
    <cellStyle name="Normal 4 3 4 7" xfId="3264"/>
    <cellStyle name="Normal 4 3 4 7 2" xfId="7144"/>
    <cellStyle name="Normal 4 3 4 8" xfId="3267"/>
    <cellStyle name="Normal 4 3 4 8 2" xfId="7147"/>
    <cellStyle name="Normal 4 3 4 9" xfId="14251"/>
    <cellStyle name="Normal 4 3 5" xfId="3270"/>
    <cellStyle name="Normal 4 3 5 10" xfId="14252"/>
    <cellStyle name="Normal 4 3 5 11" xfId="14253"/>
    <cellStyle name="Normal 4 3 5 12" xfId="14254"/>
    <cellStyle name="Normal 4 3 5 13" xfId="14255"/>
    <cellStyle name="Normal 4 3 5 14" xfId="14256"/>
    <cellStyle name="Normal 4 3 5 15" xfId="14257"/>
    <cellStyle name="Normal 4 3 5 16" xfId="14258"/>
    <cellStyle name="Normal 4 3 5 17" xfId="14259"/>
    <cellStyle name="Normal 4 3 5 18" xfId="7150"/>
    <cellStyle name="Normal 4 3 5 2" xfId="3271"/>
    <cellStyle name="Normal 4 3 5 2 2" xfId="14260"/>
    <cellStyle name="Normal 4 3 5 2 2 2" xfId="14261"/>
    <cellStyle name="Normal 4 3 5 2 2 2 2" xfId="14262"/>
    <cellStyle name="Normal 4 3 5 2 2 3" xfId="14263"/>
    <cellStyle name="Normal 4 3 5 2 3" xfId="14264"/>
    <cellStyle name="Normal 4 3 5 2 3 2" xfId="14265"/>
    <cellStyle name="Normal 4 3 5 2 4" xfId="14266"/>
    <cellStyle name="Normal 4 3 5 2 4 2" xfId="14267"/>
    <cellStyle name="Normal 4 3 5 2 5" xfId="14268"/>
    <cellStyle name="Normal 4 3 5 2 6" xfId="7153"/>
    <cellStyle name="Normal 4 3 5 3" xfId="3273"/>
    <cellStyle name="Normal 4 3 5 3 2" xfId="14269"/>
    <cellStyle name="Normal 4 3 5 3 2 2" xfId="14270"/>
    <cellStyle name="Normal 4 3 5 3 2 2 2" xfId="14271"/>
    <cellStyle name="Normal 4 3 5 3 2 3" xfId="14272"/>
    <cellStyle name="Normal 4 3 5 3 3" xfId="14273"/>
    <cellStyle name="Normal 4 3 5 3 3 2" xfId="14274"/>
    <cellStyle name="Normal 4 3 5 3 4" xfId="14275"/>
    <cellStyle name="Normal 4 3 5 3 4 2" xfId="14276"/>
    <cellStyle name="Normal 4 3 5 3 5" xfId="14277"/>
    <cellStyle name="Normal 4 3 5 3 6" xfId="7154"/>
    <cellStyle name="Normal 4 3 5 4" xfId="3276"/>
    <cellStyle name="Normal 4 3 5 4 2" xfId="14278"/>
    <cellStyle name="Normal 4 3 5 4 2 2" xfId="14279"/>
    <cellStyle name="Normal 4 3 5 4 3" xfId="14280"/>
    <cellStyle name="Normal 4 3 5 4 4" xfId="7156"/>
    <cellStyle name="Normal 4 3 5 5" xfId="3278"/>
    <cellStyle name="Normal 4 3 5 5 2" xfId="14281"/>
    <cellStyle name="Normal 4 3 5 5 3" xfId="7159"/>
    <cellStyle name="Normal 4 3 5 6" xfId="3280"/>
    <cellStyle name="Normal 4 3 5 6 2" xfId="14282"/>
    <cellStyle name="Normal 4 3 5 6 3" xfId="7161"/>
    <cellStyle name="Normal 4 3 5 7" xfId="3282"/>
    <cellStyle name="Normal 4 3 5 7 2" xfId="7163"/>
    <cellStyle name="Normal 4 3 5 8" xfId="3284"/>
    <cellStyle name="Normal 4 3 5 8 2" xfId="7165"/>
    <cellStyle name="Normal 4 3 5 9" xfId="14283"/>
    <cellStyle name="Normal 4 3 6" xfId="3287"/>
    <cellStyle name="Normal 4 3 6 10" xfId="14284"/>
    <cellStyle name="Normal 4 3 6 11" xfId="14285"/>
    <cellStyle name="Normal 4 3 6 12" xfId="14286"/>
    <cellStyle name="Normal 4 3 6 13" xfId="14287"/>
    <cellStyle name="Normal 4 3 6 14" xfId="14288"/>
    <cellStyle name="Normal 4 3 6 15" xfId="14289"/>
    <cellStyle name="Normal 4 3 6 16" xfId="14290"/>
    <cellStyle name="Normal 4 3 6 17" xfId="14291"/>
    <cellStyle name="Normal 4 3 6 18" xfId="7167"/>
    <cellStyle name="Normal 4 3 6 2" xfId="3288"/>
    <cellStyle name="Normal 4 3 6 2 2" xfId="14292"/>
    <cellStyle name="Normal 4 3 6 2 2 2" xfId="14293"/>
    <cellStyle name="Normal 4 3 6 2 3" xfId="14294"/>
    <cellStyle name="Normal 4 3 6 2 4" xfId="7170"/>
    <cellStyle name="Normal 4 3 6 3" xfId="3290"/>
    <cellStyle name="Normal 4 3 6 3 2" xfId="14295"/>
    <cellStyle name="Normal 4 3 6 3 3" xfId="7171"/>
    <cellStyle name="Normal 4 3 6 4" xfId="3292"/>
    <cellStyle name="Normal 4 3 6 4 2" xfId="14296"/>
    <cellStyle name="Normal 4 3 6 4 3" xfId="7173"/>
    <cellStyle name="Normal 4 3 6 5" xfId="3294"/>
    <cellStyle name="Normal 4 3 6 5 2" xfId="7175"/>
    <cellStyle name="Normal 4 3 6 6" xfId="3296"/>
    <cellStyle name="Normal 4 3 6 6 2" xfId="7177"/>
    <cellStyle name="Normal 4 3 6 7" xfId="3299"/>
    <cellStyle name="Normal 4 3 6 7 2" xfId="7179"/>
    <cellStyle name="Normal 4 3 6 8" xfId="3302"/>
    <cellStyle name="Normal 4 3 6 8 2" xfId="7182"/>
    <cellStyle name="Normal 4 3 6 9" xfId="14297"/>
    <cellStyle name="Normal 4 3 7" xfId="3304"/>
    <cellStyle name="Normal 4 3 7 10" xfId="14298"/>
    <cellStyle name="Normal 4 3 7 11" xfId="14299"/>
    <cellStyle name="Normal 4 3 7 12" xfId="14300"/>
    <cellStyle name="Normal 4 3 7 13" xfId="14301"/>
    <cellStyle name="Normal 4 3 7 14" xfId="14302"/>
    <cellStyle name="Normal 4 3 7 15" xfId="14303"/>
    <cellStyle name="Normal 4 3 7 16" xfId="14304"/>
    <cellStyle name="Normal 4 3 7 17" xfId="14305"/>
    <cellStyle name="Normal 4 3 7 18" xfId="7185"/>
    <cellStyle name="Normal 4 3 7 2" xfId="3306"/>
    <cellStyle name="Normal 4 3 7 2 2" xfId="14306"/>
    <cellStyle name="Normal 4 3 7 2 2 2" xfId="14307"/>
    <cellStyle name="Normal 4 3 7 2 3" xfId="14308"/>
    <cellStyle name="Normal 4 3 7 2 4" xfId="7187"/>
    <cellStyle name="Normal 4 3 7 3" xfId="3309"/>
    <cellStyle name="Normal 4 3 7 3 2" xfId="14309"/>
    <cellStyle name="Normal 4 3 7 3 3" xfId="7189"/>
    <cellStyle name="Normal 4 3 7 4" xfId="3312"/>
    <cellStyle name="Normal 4 3 7 4 2" xfId="14310"/>
    <cellStyle name="Normal 4 3 7 4 3" xfId="7192"/>
    <cellStyle name="Normal 4 3 7 5" xfId="3315"/>
    <cellStyle name="Normal 4 3 7 5 2" xfId="7195"/>
    <cellStyle name="Normal 4 3 7 6" xfId="3318"/>
    <cellStyle name="Normal 4 3 7 6 2" xfId="7198"/>
    <cellStyle name="Normal 4 3 7 7" xfId="3321"/>
    <cellStyle name="Normal 4 3 7 7 2" xfId="7201"/>
    <cellStyle name="Normal 4 3 7 8" xfId="3323"/>
    <cellStyle name="Normal 4 3 7 8 2" xfId="7204"/>
    <cellStyle name="Normal 4 3 7 9" xfId="14311"/>
    <cellStyle name="Normal 4 3 8" xfId="3325"/>
    <cellStyle name="Normal 4 3 8 10" xfId="14312"/>
    <cellStyle name="Normal 4 3 8 11" xfId="14313"/>
    <cellStyle name="Normal 4 3 8 12" xfId="14314"/>
    <cellStyle name="Normal 4 3 8 13" xfId="14315"/>
    <cellStyle name="Normal 4 3 8 14" xfId="14316"/>
    <cellStyle name="Normal 4 3 8 15" xfId="14317"/>
    <cellStyle name="Normal 4 3 8 16" xfId="14318"/>
    <cellStyle name="Normal 4 3 8 17" xfId="14319"/>
    <cellStyle name="Normal 4 3 8 18" xfId="7206"/>
    <cellStyle name="Normal 4 3 8 2" xfId="3326"/>
    <cellStyle name="Normal 4 3 8 2 2" xfId="14320"/>
    <cellStyle name="Normal 4 3 8 2 2 2" xfId="14321"/>
    <cellStyle name="Normal 4 3 8 2 3" xfId="14322"/>
    <cellStyle name="Normal 4 3 8 2 4" xfId="7208"/>
    <cellStyle name="Normal 4 3 8 3" xfId="3328"/>
    <cellStyle name="Normal 4 3 8 3 2" xfId="14323"/>
    <cellStyle name="Normal 4 3 8 3 3" xfId="7209"/>
    <cellStyle name="Normal 4 3 8 4" xfId="3330"/>
    <cellStyle name="Normal 4 3 8 4 2" xfId="14324"/>
    <cellStyle name="Normal 4 3 8 4 3" xfId="7211"/>
    <cellStyle name="Normal 4 3 8 5" xfId="3332"/>
    <cellStyle name="Normal 4 3 8 5 2" xfId="7213"/>
    <cellStyle name="Normal 4 3 8 6" xfId="3334"/>
    <cellStyle name="Normal 4 3 8 6 2" xfId="7215"/>
    <cellStyle name="Normal 4 3 8 7" xfId="3336"/>
    <cellStyle name="Normal 4 3 8 7 2" xfId="7217"/>
    <cellStyle name="Normal 4 3 8 8" xfId="3338"/>
    <cellStyle name="Normal 4 3 8 8 2" xfId="7219"/>
    <cellStyle name="Normal 4 3 8 9" xfId="14325"/>
    <cellStyle name="Normal 4 3 9" xfId="3339"/>
    <cellStyle name="Normal 4 3 9 10" xfId="14326"/>
    <cellStyle name="Normal 4 3 9 11" xfId="14327"/>
    <cellStyle name="Normal 4 3 9 12" xfId="14328"/>
    <cellStyle name="Normal 4 3 9 13" xfId="14329"/>
    <cellStyle name="Normal 4 3 9 14" xfId="14330"/>
    <cellStyle name="Normal 4 3 9 15" xfId="14331"/>
    <cellStyle name="Normal 4 3 9 16" xfId="14332"/>
    <cellStyle name="Normal 4 3 9 17" xfId="14333"/>
    <cellStyle name="Normal 4 3 9 18" xfId="7221"/>
    <cellStyle name="Normal 4 3 9 2" xfId="3340"/>
    <cellStyle name="Normal 4 3 9 2 2" xfId="14334"/>
    <cellStyle name="Normal 4 3 9 2 2 2" xfId="14335"/>
    <cellStyle name="Normal 4 3 9 2 3" xfId="14336"/>
    <cellStyle name="Normal 4 3 9 2 4" xfId="7222"/>
    <cellStyle name="Normal 4 3 9 3" xfId="3342"/>
    <cellStyle name="Normal 4 3 9 3 2" xfId="14337"/>
    <cellStyle name="Normal 4 3 9 3 3" xfId="7223"/>
    <cellStyle name="Normal 4 3 9 4" xfId="3344"/>
    <cellStyle name="Normal 4 3 9 4 2" xfId="14338"/>
    <cellStyle name="Normal 4 3 9 4 3" xfId="7225"/>
    <cellStyle name="Normal 4 3 9 5" xfId="3347"/>
    <cellStyle name="Normal 4 3 9 5 2" xfId="7227"/>
    <cellStyle name="Normal 4 3 9 6" xfId="3349"/>
    <cellStyle name="Normal 4 3 9 6 2" xfId="7229"/>
    <cellStyle name="Normal 4 3 9 7" xfId="3351"/>
    <cellStyle name="Normal 4 3 9 7 2" xfId="7231"/>
    <cellStyle name="Normal 4 3 9 8" xfId="3353"/>
    <cellStyle name="Normal 4 3 9 8 2" xfId="7233"/>
    <cellStyle name="Normal 4 3 9 9" xfId="14339"/>
    <cellStyle name="Normal 4 3_2bhk_19122016" xfId="14340"/>
    <cellStyle name="Normal 4 30" xfId="14341"/>
    <cellStyle name="Normal 4 31" xfId="4973"/>
    <cellStyle name="Normal 4 35" xfId="1514"/>
    <cellStyle name="Normal 4 35 2" xfId="5431"/>
    <cellStyle name="Normal 4 4" xfId="2623"/>
    <cellStyle name="Normal 4 4 10" xfId="2697"/>
    <cellStyle name="Normal 4 4 10 10" xfId="14342"/>
    <cellStyle name="Normal 4 4 10 11" xfId="14343"/>
    <cellStyle name="Normal 4 4 10 12" xfId="14344"/>
    <cellStyle name="Normal 4 4 10 13" xfId="14345"/>
    <cellStyle name="Normal 4 4 10 14" xfId="14346"/>
    <cellStyle name="Normal 4 4 10 15" xfId="14347"/>
    <cellStyle name="Normal 4 4 10 16" xfId="14348"/>
    <cellStyle name="Normal 4 4 10 17" xfId="14349"/>
    <cellStyle name="Normal 4 4 10 18" xfId="6590"/>
    <cellStyle name="Normal 4 4 10 2" xfId="1688"/>
    <cellStyle name="Normal 4 4 10 2 2" xfId="5601"/>
    <cellStyle name="Normal 4 4 10 3" xfId="1690"/>
    <cellStyle name="Normal 4 4 10 3 2" xfId="5603"/>
    <cellStyle name="Normal 4 4 10 4" xfId="1692"/>
    <cellStyle name="Normal 4 4 10 4 2" xfId="5605"/>
    <cellStyle name="Normal 4 4 10 5" xfId="1694"/>
    <cellStyle name="Normal 4 4 10 5 2" xfId="5607"/>
    <cellStyle name="Normal 4 4 10 6" xfId="1696"/>
    <cellStyle name="Normal 4 4 10 6 2" xfId="5609"/>
    <cellStyle name="Normal 4 4 10 7" xfId="3354"/>
    <cellStyle name="Normal 4 4 10 7 2" xfId="7235"/>
    <cellStyle name="Normal 4 4 10 8" xfId="3355"/>
    <cellStyle name="Normal 4 4 10 8 2" xfId="7236"/>
    <cellStyle name="Normal 4 4 10 9" xfId="14350"/>
    <cellStyle name="Normal 4 4 11" xfId="153"/>
    <cellStyle name="Normal 4 4 11 2" xfId="4091"/>
    <cellStyle name="Normal 4 4 12" xfId="174"/>
    <cellStyle name="Normal 4 4 12 2" xfId="4105"/>
    <cellStyle name="Normal 4 4 13" xfId="99"/>
    <cellStyle name="Normal 4 4 13 2" xfId="4044"/>
    <cellStyle name="Normal 4 4 14" xfId="31"/>
    <cellStyle name="Normal 4 4 14 2" xfId="3989"/>
    <cellStyle name="Normal 4 4 15" xfId="214"/>
    <cellStyle name="Normal 4 4 15 2" xfId="4139"/>
    <cellStyle name="Normal 4 4 16" xfId="225"/>
    <cellStyle name="Normal 4 4 16 2" xfId="4147"/>
    <cellStyle name="Normal 4 4 17" xfId="1901"/>
    <cellStyle name="Normal 4 4 17 2" xfId="5808"/>
    <cellStyle name="Normal 4 4 18" xfId="14351"/>
    <cellStyle name="Normal 4 4 19" xfId="14352"/>
    <cellStyle name="Normal 4 4 2" xfId="3356"/>
    <cellStyle name="Normal 4 4 2 10" xfId="14353"/>
    <cellStyle name="Normal 4 4 2 11" xfId="14354"/>
    <cellStyle name="Normal 4 4 2 12" xfId="14355"/>
    <cellStyle name="Normal 4 4 2 13" xfId="14356"/>
    <cellStyle name="Normal 4 4 2 14" xfId="14357"/>
    <cellStyle name="Normal 4 4 2 15" xfId="14358"/>
    <cellStyle name="Normal 4 4 2 16" xfId="14359"/>
    <cellStyle name="Normal 4 4 2 17" xfId="14360"/>
    <cellStyle name="Normal 4 4 2 18" xfId="7237"/>
    <cellStyle name="Normal 4 4 2 2" xfId="3357"/>
    <cellStyle name="Normal 4 4 2 2 2" xfId="7238"/>
    <cellStyle name="Normal 4 4 2 3" xfId="349"/>
    <cellStyle name="Normal 4 4 2 3 2" xfId="4291"/>
    <cellStyle name="Normal 4 4 2 4" xfId="3358"/>
    <cellStyle name="Normal 4 4 2 4 2" xfId="7239"/>
    <cellStyle name="Normal 4 4 2 5" xfId="3359"/>
    <cellStyle name="Normal 4 4 2 5 2" xfId="7240"/>
    <cellStyle name="Normal 4 4 2 6" xfId="3360"/>
    <cellStyle name="Normal 4 4 2 6 2" xfId="7241"/>
    <cellStyle name="Normal 4 4 2 7" xfId="3361"/>
    <cellStyle name="Normal 4 4 2 7 2" xfId="7242"/>
    <cellStyle name="Normal 4 4 2 8" xfId="3362"/>
    <cellStyle name="Normal 4 4 2 8 2" xfId="7243"/>
    <cellStyle name="Normal 4 4 2 9" xfId="14361"/>
    <cellStyle name="Normal 4 4 20" xfId="14362"/>
    <cellStyle name="Normal 4 4 21" xfId="14363"/>
    <cellStyle name="Normal 4 4 22" xfId="14364"/>
    <cellStyle name="Normal 4 4 23" xfId="14365"/>
    <cellStyle name="Normal 4 4 24" xfId="14366"/>
    <cellStyle name="Normal 4 4 25" xfId="14367"/>
    <cellStyle name="Normal 4 4 26" xfId="14368"/>
    <cellStyle name="Normal 4 4 27" xfId="6517"/>
    <cellStyle name="Normal 4 4 3" xfId="3363"/>
    <cellStyle name="Normal 4 4 3 10" xfId="14369"/>
    <cellStyle name="Normal 4 4 3 11" xfId="14370"/>
    <cellStyle name="Normal 4 4 3 12" xfId="14371"/>
    <cellStyle name="Normal 4 4 3 13" xfId="14372"/>
    <cellStyle name="Normal 4 4 3 14" xfId="14373"/>
    <cellStyle name="Normal 4 4 3 15" xfId="14374"/>
    <cellStyle name="Normal 4 4 3 16" xfId="14375"/>
    <cellStyle name="Normal 4 4 3 17" xfId="14376"/>
    <cellStyle name="Normal 4 4 3 18" xfId="7244"/>
    <cellStyle name="Normal 4 4 3 2" xfId="3364"/>
    <cellStyle name="Normal 4 4 3 2 2" xfId="7245"/>
    <cellStyle name="Normal 4 4 3 3" xfId="363"/>
    <cellStyle name="Normal 4 4 3 3 2" xfId="4307"/>
    <cellStyle name="Normal 4 4 3 4" xfId="3365"/>
    <cellStyle name="Normal 4 4 3 4 2" xfId="7246"/>
    <cellStyle name="Normal 4 4 3 5" xfId="3366"/>
    <cellStyle name="Normal 4 4 3 5 2" xfId="7247"/>
    <cellStyle name="Normal 4 4 3 6" xfId="3367"/>
    <cellStyle name="Normal 4 4 3 6 2" xfId="7248"/>
    <cellStyle name="Normal 4 4 3 7" xfId="3368"/>
    <cellStyle name="Normal 4 4 3 7 2" xfId="7249"/>
    <cellStyle name="Normal 4 4 3 8" xfId="3369"/>
    <cellStyle name="Normal 4 4 3 8 2" xfId="7250"/>
    <cellStyle name="Normal 4 4 3 9" xfId="14377"/>
    <cellStyle name="Normal 4 4 4" xfId="3370"/>
    <cellStyle name="Normal 4 4 4 10" xfId="14378"/>
    <cellStyle name="Normal 4 4 4 11" xfId="14379"/>
    <cellStyle name="Normal 4 4 4 12" xfId="14380"/>
    <cellStyle name="Normal 4 4 4 13" xfId="14381"/>
    <cellStyle name="Normal 4 4 4 14" xfId="14382"/>
    <cellStyle name="Normal 4 4 4 15" xfId="14383"/>
    <cellStyle name="Normal 4 4 4 16" xfId="14384"/>
    <cellStyle name="Normal 4 4 4 17" xfId="14385"/>
    <cellStyle name="Normal 4 4 4 18" xfId="7251"/>
    <cellStyle name="Normal 4 4 4 2" xfId="3371"/>
    <cellStyle name="Normal 4 4 4 2 2" xfId="7252"/>
    <cellStyle name="Normal 4 4 4 3" xfId="3372"/>
    <cellStyle name="Normal 4 4 4 3 2" xfId="7253"/>
    <cellStyle name="Normal 4 4 4 4" xfId="3373"/>
    <cellStyle name="Normal 4 4 4 4 2" xfId="7254"/>
    <cellStyle name="Normal 4 4 4 5" xfId="3374"/>
    <cellStyle name="Normal 4 4 4 5 2" xfId="7255"/>
    <cellStyle name="Normal 4 4 4 6" xfId="3375"/>
    <cellStyle name="Normal 4 4 4 6 2" xfId="7256"/>
    <cellStyle name="Normal 4 4 4 7" xfId="3376"/>
    <cellStyle name="Normal 4 4 4 7 2" xfId="7257"/>
    <cellStyle name="Normal 4 4 4 8" xfId="3377"/>
    <cellStyle name="Normal 4 4 4 8 2" xfId="7258"/>
    <cellStyle name="Normal 4 4 4 9" xfId="14386"/>
    <cellStyle name="Normal 4 4 5" xfId="3378"/>
    <cellStyle name="Normal 4 4 5 10" xfId="14387"/>
    <cellStyle name="Normal 4 4 5 11" xfId="14388"/>
    <cellStyle name="Normal 4 4 5 12" xfId="14389"/>
    <cellStyle name="Normal 4 4 5 13" xfId="14390"/>
    <cellStyle name="Normal 4 4 5 14" xfId="14391"/>
    <cellStyle name="Normal 4 4 5 15" xfId="14392"/>
    <cellStyle name="Normal 4 4 5 16" xfId="14393"/>
    <cellStyle name="Normal 4 4 5 17" xfId="14394"/>
    <cellStyle name="Normal 4 4 5 18" xfId="7259"/>
    <cellStyle name="Normal 4 4 5 2" xfId="2984"/>
    <cellStyle name="Normal 4 4 5 2 2" xfId="6871"/>
    <cellStyle name="Normal 4 4 5 3" xfId="2986"/>
    <cellStyle name="Normal 4 4 5 3 2" xfId="6873"/>
    <cellStyle name="Normal 4 4 5 4" xfId="3379"/>
    <cellStyle name="Normal 4 4 5 4 2" xfId="7260"/>
    <cellStyle name="Normal 4 4 5 5" xfId="3380"/>
    <cellStyle name="Normal 4 4 5 5 2" xfId="7261"/>
    <cellStyle name="Normal 4 4 5 6" xfId="3381"/>
    <cellStyle name="Normal 4 4 5 6 2" xfId="7262"/>
    <cellStyle name="Normal 4 4 5 7" xfId="3382"/>
    <cellStyle name="Normal 4 4 5 7 2" xfId="7263"/>
    <cellStyle name="Normal 4 4 5 8" xfId="3383"/>
    <cellStyle name="Normal 4 4 5 8 2" xfId="7264"/>
    <cellStyle name="Normal 4 4 5 9" xfId="14395"/>
    <cellStyle name="Normal 4 4 6" xfId="3384"/>
    <cellStyle name="Normal 4 4 6 10" xfId="14396"/>
    <cellStyle name="Normal 4 4 6 11" xfId="14397"/>
    <cellStyle name="Normal 4 4 6 12" xfId="14398"/>
    <cellStyle name="Normal 4 4 6 13" xfId="14399"/>
    <cellStyle name="Normal 4 4 6 14" xfId="14400"/>
    <cellStyle name="Normal 4 4 6 15" xfId="14401"/>
    <cellStyle name="Normal 4 4 6 16" xfId="14402"/>
    <cellStyle name="Normal 4 4 6 17" xfId="14403"/>
    <cellStyle name="Normal 4 4 6 18" xfId="7265"/>
    <cellStyle name="Normal 4 4 6 2" xfId="3385"/>
    <cellStyle name="Normal 4 4 6 2 2" xfId="7266"/>
    <cellStyle name="Normal 4 4 6 3" xfId="3386"/>
    <cellStyle name="Normal 4 4 6 3 2" xfId="7267"/>
    <cellStyle name="Normal 4 4 6 4" xfId="3387"/>
    <cellStyle name="Normal 4 4 6 4 2" xfId="7268"/>
    <cellStyle name="Normal 4 4 6 5" xfId="3388"/>
    <cellStyle name="Normal 4 4 6 5 2" xfId="7269"/>
    <cellStyle name="Normal 4 4 6 6" xfId="3389"/>
    <cellStyle name="Normal 4 4 6 6 2" xfId="7270"/>
    <cellStyle name="Normal 4 4 6 7" xfId="3390"/>
    <cellStyle name="Normal 4 4 6 7 2" xfId="7271"/>
    <cellStyle name="Normal 4 4 6 8" xfId="3391"/>
    <cellStyle name="Normal 4 4 6 8 2" xfId="7272"/>
    <cellStyle name="Normal 4 4 6 9" xfId="14404"/>
    <cellStyle name="Normal 4 4 7" xfId="3392"/>
    <cellStyle name="Normal 4 4 7 10" xfId="14405"/>
    <cellStyle name="Normal 4 4 7 11" xfId="14406"/>
    <cellStyle name="Normal 4 4 7 12" xfId="14407"/>
    <cellStyle name="Normal 4 4 7 13" xfId="14408"/>
    <cellStyle name="Normal 4 4 7 14" xfId="14409"/>
    <cellStyle name="Normal 4 4 7 15" xfId="14410"/>
    <cellStyle name="Normal 4 4 7 16" xfId="14411"/>
    <cellStyle name="Normal 4 4 7 17" xfId="14412"/>
    <cellStyle name="Normal 4 4 7 18" xfId="7273"/>
    <cellStyle name="Normal 4 4 7 2" xfId="1793"/>
    <cellStyle name="Normal 4 4 7 2 2" xfId="5703"/>
    <cellStyle name="Normal 4 4 7 3" xfId="1795"/>
    <cellStyle name="Normal 4 4 7 3 2" xfId="5705"/>
    <cellStyle name="Normal 4 4 7 4" xfId="3393"/>
    <cellStyle name="Normal 4 4 7 4 2" xfId="7274"/>
    <cellStyle name="Normal 4 4 7 5" xfId="3394"/>
    <cellStyle name="Normal 4 4 7 5 2" xfId="7275"/>
    <cellStyle name="Normal 4 4 7 6" xfId="3395"/>
    <cellStyle name="Normal 4 4 7 6 2" xfId="7276"/>
    <cellStyle name="Normal 4 4 7 7" xfId="3396"/>
    <cellStyle name="Normal 4 4 7 7 2" xfId="7277"/>
    <cellStyle name="Normal 4 4 7 8" xfId="3397"/>
    <cellStyle name="Normal 4 4 7 8 2" xfId="7278"/>
    <cellStyle name="Normal 4 4 7 9" xfId="14413"/>
    <cellStyle name="Normal 4 4 8" xfId="3398"/>
    <cellStyle name="Normal 4 4 8 10" xfId="14414"/>
    <cellStyle name="Normal 4 4 8 11" xfId="14415"/>
    <cellStyle name="Normal 4 4 8 12" xfId="14416"/>
    <cellStyle name="Normal 4 4 8 13" xfId="14417"/>
    <cellStyle name="Normal 4 4 8 14" xfId="14418"/>
    <cellStyle name="Normal 4 4 8 15" xfId="14419"/>
    <cellStyle name="Normal 4 4 8 16" xfId="14420"/>
    <cellStyle name="Normal 4 4 8 17" xfId="14421"/>
    <cellStyle name="Normal 4 4 8 18" xfId="7279"/>
    <cellStyle name="Normal 4 4 8 2" xfId="1679"/>
    <cellStyle name="Normal 4 4 8 2 2" xfId="5591"/>
    <cellStyle name="Normal 4 4 8 3" xfId="1797"/>
    <cellStyle name="Normal 4 4 8 3 2" xfId="5707"/>
    <cellStyle name="Normal 4 4 8 4" xfId="3399"/>
    <cellStyle name="Normal 4 4 8 4 2" xfId="7280"/>
    <cellStyle name="Normal 4 4 8 5" xfId="3400"/>
    <cellStyle name="Normal 4 4 8 5 2" xfId="7281"/>
    <cellStyle name="Normal 4 4 8 6" xfId="3401"/>
    <cellStyle name="Normal 4 4 8 6 2" xfId="7282"/>
    <cellStyle name="Normal 4 4 8 7" xfId="3402"/>
    <cellStyle name="Normal 4 4 8 7 2" xfId="7283"/>
    <cellStyle name="Normal 4 4 8 8" xfId="3403"/>
    <cellStyle name="Normal 4 4 8 8 2" xfId="7284"/>
    <cellStyle name="Normal 4 4 8 9" xfId="14422"/>
    <cellStyle name="Normal 4 4 9" xfId="3404"/>
    <cellStyle name="Normal 4 4 9 10" xfId="14423"/>
    <cellStyle name="Normal 4 4 9 11" xfId="14424"/>
    <cellStyle name="Normal 4 4 9 12" xfId="14425"/>
    <cellStyle name="Normal 4 4 9 13" xfId="14426"/>
    <cellStyle name="Normal 4 4 9 14" xfId="14427"/>
    <cellStyle name="Normal 4 4 9 15" xfId="14428"/>
    <cellStyle name="Normal 4 4 9 16" xfId="14429"/>
    <cellStyle name="Normal 4 4 9 17" xfId="14430"/>
    <cellStyle name="Normal 4 4 9 18" xfId="7285"/>
    <cellStyle name="Normal 4 4 9 2" xfId="3405"/>
    <cellStyle name="Normal 4 4 9 2 2" xfId="7286"/>
    <cellStyle name="Normal 4 4 9 3" xfId="3406"/>
    <cellStyle name="Normal 4 4 9 3 2" xfId="7287"/>
    <cellStyle name="Normal 4 4 9 4" xfId="3407"/>
    <cellStyle name="Normal 4 4 9 4 2" xfId="7288"/>
    <cellStyle name="Normal 4 4 9 5" xfId="3408"/>
    <cellStyle name="Normal 4 4 9 5 2" xfId="7289"/>
    <cellStyle name="Normal 4 4 9 6" xfId="3409"/>
    <cellStyle name="Normal 4 4 9 6 2" xfId="7290"/>
    <cellStyle name="Normal 4 4 9 7" xfId="3410"/>
    <cellStyle name="Normal 4 4 9 7 2" xfId="7291"/>
    <cellStyle name="Normal 4 4 9 8" xfId="3411"/>
    <cellStyle name="Normal 4 4 9 8 2" xfId="7292"/>
    <cellStyle name="Normal 4 4 9 9" xfId="14431"/>
    <cellStyle name="Normal 4 4_Achampally-Gattubuthkur-Ganga-CRR" xfId="847"/>
    <cellStyle name="Normal 4 5" xfId="2625"/>
    <cellStyle name="Normal 4 5 10" xfId="2739"/>
    <cellStyle name="Normal 4 5 10 10" xfId="14432"/>
    <cellStyle name="Normal 4 5 10 11" xfId="14433"/>
    <cellStyle name="Normal 4 5 10 12" xfId="14434"/>
    <cellStyle name="Normal 4 5 10 13" xfId="14435"/>
    <cellStyle name="Normal 4 5 10 14" xfId="14436"/>
    <cellStyle name="Normal 4 5 10 15" xfId="14437"/>
    <cellStyle name="Normal 4 5 10 16" xfId="14438"/>
    <cellStyle name="Normal 4 5 10 17" xfId="14439"/>
    <cellStyle name="Normal 4 5 10 18" xfId="6632"/>
    <cellStyle name="Normal 4 5 10 2" xfId="3412"/>
    <cellStyle name="Normal 4 5 10 2 2" xfId="7293"/>
    <cellStyle name="Normal 4 5 10 3" xfId="3413"/>
    <cellStyle name="Normal 4 5 10 3 2" xfId="7294"/>
    <cellStyle name="Normal 4 5 10 4" xfId="588"/>
    <cellStyle name="Normal 4 5 10 4 2" xfId="4522"/>
    <cellStyle name="Normal 4 5 10 5" xfId="593"/>
    <cellStyle name="Normal 4 5 10 5 2" xfId="4527"/>
    <cellStyle name="Normal 4 5 10 6" xfId="515"/>
    <cellStyle name="Normal 4 5 10 6 2" xfId="4452"/>
    <cellStyle name="Normal 4 5 10 7" xfId="519"/>
    <cellStyle name="Normal 4 5 10 7 2" xfId="4455"/>
    <cellStyle name="Normal 4 5 10 8" xfId="69"/>
    <cellStyle name="Normal 4 5 10 8 2" xfId="4021"/>
    <cellStyle name="Normal 4 5 10 9" xfId="14440"/>
    <cellStyle name="Normal 4 5 11" xfId="1922"/>
    <cellStyle name="Normal 4 5 11 10" xfId="14441"/>
    <cellStyle name="Normal 4 5 11 11" xfId="14442"/>
    <cellStyle name="Normal 4 5 11 12" xfId="14443"/>
    <cellStyle name="Normal 4 5 11 13" xfId="14444"/>
    <cellStyle name="Normal 4 5 11 14" xfId="14445"/>
    <cellStyle name="Normal 4 5 11 15" xfId="14446"/>
    <cellStyle name="Normal 4 5 11 16" xfId="14447"/>
    <cellStyle name="Normal 4 5 11 17" xfId="14448"/>
    <cellStyle name="Normal 4 5 11 18" xfId="5829"/>
    <cellStyle name="Normal 4 5 11 2" xfId="3414"/>
    <cellStyle name="Normal 4 5 11 2 2" xfId="7295"/>
    <cellStyle name="Normal 4 5 11 3" xfId="1709"/>
    <cellStyle name="Normal 4 5 11 3 2" xfId="5622"/>
    <cellStyle name="Normal 4 5 11 4" xfId="803"/>
    <cellStyle name="Normal 4 5 11 4 2" xfId="4730"/>
    <cellStyle name="Normal 4 5 11 5" xfId="805"/>
    <cellStyle name="Normal 4 5 11 5 2" xfId="4732"/>
    <cellStyle name="Normal 4 5 11 6" xfId="807"/>
    <cellStyle name="Normal 4 5 11 6 2" xfId="4734"/>
    <cellStyle name="Normal 4 5 11 7" xfId="809"/>
    <cellStyle name="Normal 4 5 11 7 2" xfId="4736"/>
    <cellStyle name="Normal 4 5 11 8" xfId="811"/>
    <cellStyle name="Normal 4 5 11 8 2" xfId="4738"/>
    <cellStyle name="Normal 4 5 11 9" xfId="14449"/>
    <cellStyle name="Normal 4 5 12" xfId="1926"/>
    <cellStyle name="Normal 4 5 12 2" xfId="5832"/>
    <cellStyle name="Normal 4 5 13" xfId="1929"/>
    <cellStyle name="Normal 4 5 13 2" xfId="5835"/>
    <cellStyle name="Normal 4 5 14" xfId="1931"/>
    <cellStyle name="Normal 4 5 14 2" xfId="5837"/>
    <cellStyle name="Normal 4 5 15" xfId="1933"/>
    <cellStyle name="Normal 4 5 15 2" xfId="5839"/>
    <cellStyle name="Normal 4 5 16" xfId="1935"/>
    <cellStyle name="Normal 4 5 16 2" xfId="5841"/>
    <cellStyle name="Normal 4 5 17" xfId="1937"/>
    <cellStyle name="Normal 4 5 17 2" xfId="5843"/>
    <cellStyle name="Normal 4 5 18" xfId="3415"/>
    <cellStyle name="Normal 4 5 18 2" xfId="7296"/>
    <cellStyle name="Normal 4 5 19" xfId="14450"/>
    <cellStyle name="Normal 4 5 2" xfId="3416"/>
    <cellStyle name="Normal 4 5 2 10" xfId="1185"/>
    <cellStyle name="Normal 4 5 2 10 10" xfId="14451"/>
    <cellStyle name="Normal 4 5 2 10 11" xfId="14452"/>
    <cellStyle name="Normal 4 5 2 10 12" xfId="14453"/>
    <cellStyle name="Normal 4 5 2 10 13" xfId="14454"/>
    <cellStyle name="Normal 4 5 2 10 14" xfId="14455"/>
    <cellStyle name="Normal 4 5 2 10 15" xfId="14456"/>
    <cellStyle name="Normal 4 5 2 10 16" xfId="14457"/>
    <cellStyle name="Normal 4 5 2 10 17" xfId="14458"/>
    <cellStyle name="Normal 4 5 2 10 18" xfId="5106"/>
    <cellStyle name="Normal 4 5 2 10 2" xfId="2678"/>
    <cellStyle name="Normal 4 5 2 10 2 2" xfId="6571"/>
    <cellStyle name="Normal 4 5 2 10 3" xfId="2680"/>
    <cellStyle name="Normal 4 5 2 10 3 2" xfId="6573"/>
    <cellStyle name="Normal 4 5 2 10 4" xfId="2682"/>
    <cellStyle name="Normal 4 5 2 10 4 2" xfId="6575"/>
    <cellStyle name="Normal 4 5 2 10 5" xfId="2684"/>
    <cellStyle name="Normal 4 5 2 10 5 2" xfId="6577"/>
    <cellStyle name="Normal 4 5 2 10 6" xfId="2686"/>
    <cellStyle name="Normal 4 5 2 10 6 2" xfId="6579"/>
    <cellStyle name="Normal 4 5 2 10 7" xfId="2688"/>
    <cellStyle name="Normal 4 5 2 10 7 2" xfId="6581"/>
    <cellStyle name="Normal 4 5 2 10 8" xfId="2690"/>
    <cellStyle name="Normal 4 5 2 10 8 2" xfId="6583"/>
    <cellStyle name="Normal 4 5 2 10 9" xfId="14459"/>
    <cellStyle name="Normal 4 5 2 11" xfId="390"/>
    <cellStyle name="Normal 4 5 2 11 2" xfId="4338"/>
    <cellStyle name="Normal 4 5 2 12" xfId="401"/>
    <cellStyle name="Normal 4 5 2 12 2" xfId="4349"/>
    <cellStyle name="Normal 4 5 2 13" xfId="1190"/>
    <cellStyle name="Normal 4 5 2 13 2" xfId="5111"/>
    <cellStyle name="Normal 4 5 2 14" xfId="1194"/>
    <cellStyle name="Normal 4 5 2 14 2" xfId="5115"/>
    <cellStyle name="Normal 4 5 2 15" xfId="1201"/>
    <cellStyle name="Normal 4 5 2 15 2" xfId="5121"/>
    <cellStyle name="Normal 4 5 2 16" xfId="636"/>
    <cellStyle name="Normal 4 5 2 16 2" xfId="4573"/>
    <cellStyle name="Normal 4 5 2 17" xfId="121"/>
    <cellStyle name="Normal 4 5 2 17 2" xfId="4064"/>
    <cellStyle name="Normal 4 5 2 18" xfId="14460"/>
    <cellStyle name="Normal 4 5 2 19" xfId="14461"/>
    <cellStyle name="Normal 4 5 2 2" xfId="3417"/>
    <cellStyle name="Normal 4 5 2 2 10" xfId="14462"/>
    <cellStyle name="Normal 4 5 2 2 11" xfId="14463"/>
    <cellStyle name="Normal 4 5 2 2 12" xfId="14464"/>
    <cellStyle name="Normal 4 5 2 2 13" xfId="14465"/>
    <cellStyle name="Normal 4 5 2 2 14" xfId="14466"/>
    <cellStyle name="Normal 4 5 2 2 15" xfId="14467"/>
    <cellStyle name="Normal 4 5 2 2 16" xfId="14468"/>
    <cellStyle name="Normal 4 5 2 2 17" xfId="14469"/>
    <cellStyle name="Normal 4 5 2 2 18" xfId="7298"/>
    <cellStyle name="Normal 4 5 2 2 2" xfId="1998"/>
    <cellStyle name="Normal 4 5 2 2 2 2" xfId="5903"/>
    <cellStyle name="Normal 4 5 2 2 3" xfId="2000"/>
    <cellStyle name="Normal 4 5 2 2 3 2" xfId="5905"/>
    <cellStyle name="Normal 4 5 2 2 4" xfId="2002"/>
    <cellStyle name="Normal 4 5 2 2 4 2" xfId="5907"/>
    <cellStyle name="Normal 4 5 2 2 5" xfId="2004"/>
    <cellStyle name="Normal 4 5 2 2 5 2" xfId="5909"/>
    <cellStyle name="Normal 4 5 2 2 6" xfId="2006"/>
    <cellStyle name="Normal 4 5 2 2 6 2" xfId="5911"/>
    <cellStyle name="Normal 4 5 2 2 7" xfId="3418"/>
    <cellStyle name="Normal 4 5 2 2 7 2" xfId="7299"/>
    <cellStyle name="Normal 4 5 2 2 8" xfId="3419"/>
    <cellStyle name="Normal 4 5 2 2 8 2" xfId="7300"/>
    <cellStyle name="Normal 4 5 2 2 9" xfId="14470"/>
    <cellStyle name="Normal 4 5 2 20" xfId="14471"/>
    <cellStyle name="Normal 4 5 2 21" xfId="14472"/>
    <cellStyle name="Normal 4 5 2 22" xfId="14473"/>
    <cellStyle name="Normal 4 5 2 23" xfId="14474"/>
    <cellStyle name="Normal 4 5 2 24" xfId="14475"/>
    <cellStyle name="Normal 4 5 2 25" xfId="14476"/>
    <cellStyle name="Normal 4 5 2 26" xfId="14477"/>
    <cellStyle name="Normal 4 5 2 27" xfId="7297"/>
    <cellStyle name="Normal 4 5 2 3" xfId="2532"/>
    <cellStyle name="Normal 4 5 2 3 10" xfId="14478"/>
    <cellStyle name="Normal 4 5 2 3 11" xfId="14479"/>
    <cellStyle name="Normal 4 5 2 3 12" xfId="14480"/>
    <cellStyle name="Normal 4 5 2 3 13" xfId="14481"/>
    <cellStyle name="Normal 4 5 2 3 14" xfId="14482"/>
    <cellStyle name="Normal 4 5 2 3 15" xfId="14483"/>
    <cellStyle name="Normal 4 5 2 3 16" xfId="14484"/>
    <cellStyle name="Normal 4 5 2 3 17" xfId="14485"/>
    <cellStyle name="Normal 4 5 2 3 18" xfId="6427"/>
    <cellStyle name="Normal 4 5 2 3 2" xfId="2012"/>
    <cellStyle name="Normal 4 5 2 3 2 2" xfId="5918"/>
    <cellStyle name="Normal 4 5 2 3 3" xfId="197"/>
    <cellStyle name="Normal 4 5 2 3 3 2" xfId="4124"/>
    <cellStyle name="Normal 4 5 2 3 4" xfId="149"/>
    <cellStyle name="Normal 4 5 2 3 4 2" xfId="4086"/>
    <cellStyle name="Normal 4 5 2 3 5" xfId="2015"/>
    <cellStyle name="Normal 4 5 2 3 5 2" xfId="5921"/>
    <cellStyle name="Normal 4 5 2 3 6" xfId="2018"/>
    <cellStyle name="Normal 4 5 2 3 6 2" xfId="5924"/>
    <cellStyle name="Normal 4 5 2 3 7" xfId="2548"/>
    <cellStyle name="Normal 4 5 2 3 7 2" xfId="6443"/>
    <cellStyle name="Normal 4 5 2 3 8" xfId="2550"/>
    <cellStyle name="Normal 4 5 2 3 8 2" xfId="6445"/>
    <cellStyle name="Normal 4 5 2 3 9" xfId="14486"/>
    <cellStyle name="Normal 4 5 2 4" xfId="1020"/>
    <cellStyle name="Normal 4 5 2 4 10" xfId="14487"/>
    <cellStyle name="Normal 4 5 2 4 11" xfId="14488"/>
    <cellStyle name="Normal 4 5 2 4 12" xfId="14489"/>
    <cellStyle name="Normal 4 5 2 4 13" xfId="14490"/>
    <cellStyle name="Normal 4 5 2 4 14" xfId="14491"/>
    <cellStyle name="Normal 4 5 2 4 15" xfId="14492"/>
    <cellStyle name="Normal 4 5 2 4 16" xfId="14493"/>
    <cellStyle name="Normal 4 5 2 4 17" xfId="14494"/>
    <cellStyle name="Normal 4 5 2 4 18" xfId="4941"/>
    <cellStyle name="Normal 4 5 2 4 2" xfId="2027"/>
    <cellStyle name="Normal 4 5 2 4 2 2" xfId="5934"/>
    <cellStyle name="Normal 4 5 2 4 3" xfId="2031"/>
    <cellStyle name="Normal 4 5 2 4 3 2" xfId="5937"/>
    <cellStyle name="Normal 4 5 2 4 4" xfId="2034"/>
    <cellStyle name="Normal 4 5 2 4 4 2" xfId="5940"/>
    <cellStyle name="Normal 4 5 2 4 5" xfId="2037"/>
    <cellStyle name="Normal 4 5 2 4 5 2" xfId="5943"/>
    <cellStyle name="Normal 4 5 2 4 6" xfId="2040"/>
    <cellStyle name="Normal 4 5 2 4 6 2" xfId="5946"/>
    <cellStyle name="Normal 4 5 2 4 7" xfId="2553"/>
    <cellStyle name="Normal 4 5 2 4 7 2" xfId="6448"/>
    <cellStyle name="Normal 4 5 2 4 8" xfId="2555"/>
    <cellStyle name="Normal 4 5 2 4 8 2" xfId="6451"/>
    <cellStyle name="Normal 4 5 2 4 9" xfId="14495"/>
    <cellStyle name="Normal 4 5 2 5" xfId="366"/>
    <cellStyle name="Normal 4 5 2 5 10" xfId="14496"/>
    <cellStyle name="Normal 4 5 2 5 11" xfId="14497"/>
    <cellStyle name="Normal 4 5 2 5 12" xfId="14498"/>
    <cellStyle name="Normal 4 5 2 5 13" xfId="14499"/>
    <cellStyle name="Normal 4 5 2 5 14" xfId="14500"/>
    <cellStyle name="Normal 4 5 2 5 15" xfId="14501"/>
    <cellStyle name="Normal 4 5 2 5 16" xfId="14502"/>
    <cellStyle name="Normal 4 5 2 5 17" xfId="14503"/>
    <cellStyle name="Normal 4 5 2 5 18" xfId="4311"/>
    <cellStyle name="Normal 4 5 2 5 2" xfId="2047"/>
    <cellStyle name="Normal 4 5 2 5 2 2" xfId="5952"/>
    <cellStyle name="Normal 4 5 2 5 3" xfId="2050"/>
    <cellStyle name="Normal 4 5 2 5 3 2" xfId="5956"/>
    <cellStyle name="Normal 4 5 2 5 4" xfId="2053"/>
    <cellStyle name="Normal 4 5 2 5 4 2" xfId="5959"/>
    <cellStyle name="Normal 4 5 2 5 5" xfId="2056"/>
    <cellStyle name="Normal 4 5 2 5 5 2" xfId="5962"/>
    <cellStyle name="Normal 4 5 2 5 6" xfId="2059"/>
    <cellStyle name="Normal 4 5 2 5 6 2" xfId="5965"/>
    <cellStyle name="Normal 4 5 2 5 7" xfId="2561"/>
    <cellStyle name="Normal 4 5 2 5 7 2" xfId="6456"/>
    <cellStyle name="Normal 4 5 2 5 8" xfId="2563"/>
    <cellStyle name="Normal 4 5 2 5 8 2" xfId="6459"/>
    <cellStyle name="Normal 4 5 2 5 9" xfId="14504"/>
    <cellStyle name="Normal 4 5 2 6" xfId="373"/>
    <cellStyle name="Normal 4 5 2 6 10" xfId="14505"/>
    <cellStyle name="Normal 4 5 2 6 11" xfId="14506"/>
    <cellStyle name="Normal 4 5 2 6 12" xfId="14507"/>
    <cellStyle name="Normal 4 5 2 6 13" xfId="14508"/>
    <cellStyle name="Normal 4 5 2 6 14" xfId="14509"/>
    <cellStyle name="Normal 4 5 2 6 15" xfId="14510"/>
    <cellStyle name="Normal 4 5 2 6 16" xfId="14511"/>
    <cellStyle name="Normal 4 5 2 6 17" xfId="14512"/>
    <cellStyle name="Normal 4 5 2 6 18" xfId="4319"/>
    <cellStyle name="Normal 4 5 2 6 2" xfId="2069"/>
    <cellStyle name="Normal 4 5 2 6 2 2" xfId="5973"/>
    <cellStyle name="Normal 4 5 2 6 3" xfId="2072"/>
    <cellStyle name="Normal 4 5 2 6 3 2" xfId="5977"/>
    <cellStyle name="Normal 4 5 2 6 4" xfId="1246"/>
    <cellStyle name="Normal 4 5 2 6 4 2" xfId="5167"/>
    <cellStyle name="Normal 4 5 2 6 5" xfId="1249"/>
    <cellStyle name="Normal 4 5 2 6 5 2" xfId="5170"/>
    <cellStyle name="Normal 4 5 2 6 6" xfId="2075"/>
    <cellStyle name="Normal 4 5 2 6 6 2" xfId="5979"/>
    <cellStyle name="Normal 4 5 2 6 7" xfId="3420"/>
    <cellStyle name="Normal 4 5 2 6 7 2" xfId="7301"/>
    <cellStyle name="Normal 4 5 2 6 8" xfId="3099"/>
    <cellStyle name="Normal 4 5 2 6 8 2" xfId="6984"/>
    <cellStyle name="Normal 4 5 2 6 9" xfId="14513"/>
    <cellStyle name="Normal 4 5 2 7" xfId="1024"/>
    <cellStyle name="Normal 4 5 2 7 10" xfId="14514"/>
    <cellStyle name="Normal 4 5 2 7 11" xfId="14515"/>
    <cellStyle name="Normal 4 5 2 7 12" xfId="14516"/>
    <cellStyle name="Normal 4 5 2 7 13" xfId="14517"/>
    <cellStyle name="Normal 4 5 2 7 14" xfId="14518"/>
    <cellStyle name="Normal 4 5 2 7 15" xfId="14519"/>
    <cellStyle name="Normal 4 5 2 7 16" xfId="14520"/>
    <cellStyle name="Normal 4 5 2 7 17" xfId="14521"/>
    <cellStyle name="Normal 4 5 2 7 18" xfId="4945"/>
    <cellStyle name="Normal 4 5 2 7 2" xfId="3422"/>
    <cellStyle name="Normal 4 5 2 7 2 2" xfId="7302"/>
    <cellStyle name="Normal 4 5 2 7 3" xfId="3423"/>
    <cellStyle name="Normal 4 5 2 7 3 2" xfId="7304"/>
    <cellStyle name="Normal 4 5 2 7 4" xfId="3424"/>
    <cellStyle name="Normal 4 5 2 7 4 2" xfId="7305"/>
    <cellStyle name="Normal 4 5 2 7 5" xfId="3425"/>
    <cellStyle name="Normal 4 5 2 7 5 2" xfId="7306"/>
    <cellStyle name="Normal 4 5 2 7 6" xfId="3426"/>
    <cellStyle name="Normal 4 5 2 7 6 2" xfId="7307"/>
    <cellStyle name="Normal 4 5 2 7 7" xfId="3427"/>
    <cellStyle name="Normal 4 5 2 7 7 2" xfId="7308"/>
    <cellStyle name="Normal 4 5 2 7 8" xfId="658"/>
    <cellStyle name="Normal 4 5 2 7 8 2" xfId="4590"/>
    <cellStyle name="Normal 4 5 2 7 9" xfId="14522"/>
    <cellStyle name="Normal 4 5 2 8" xfId="559"/>
    <cellStyle name="Normal 4 5 2 8 10" xfId="14523"/>
    <cellStyle name="Normal 4 5 2 8 11" xfId="14524"/>
    <cellStyle name="Normal 4 5 2 8 12" xfId="14525"/>
    <cellStyle name="Normal 4 5 2 8 13" xfId="14526"/>
    <cellStyle name="Normal 4 5 2 8 14" xfId="14527"/>
    <cellStyle name="Normal 4 5 2 8 15" xfId="14528"/>
    <cellStyle name="Normal 4 5 2 8 16" xfId="14529"/>
    <cellStyle name="Normal 4 5 2 8 17" xfId="14530"/>
    <cellStyle name="Normal 4 5 2 8 18" xfId="4494"/>
    <cellStyle name="Normal 4 5 2 8 2" xfId="429"/>
    <cellStyle name="Normal 4 5 2 8 2 2" xfId="4372"/>
    <cellStyle name="Normal 4 5 2 8 3" xfId="563"/>
    <cellStyle name="Normal 4 5 2 8 3 2" xfId="4497"/>
    <cellStyle name="Normal 4 5 2 8 4" xfId="1150"/>
    <cellStyle name="Normal 4 5 2 8 4 2" xfId="5073"/>
    <cellStyle name="Normal 4 5 2 8 5" xfId="3428"/>
    <cellStyle name="Normal 4 5 2 8 5 2" xfId="7309"/>
    <cellStyle name="Normal 4 5 2 8 6" xfId="3429"/>
    <cellStyle name="Normal 4 5 2 8 6 2" xfId="7310"/>
    <cellStyle name="Normal 4 5 2 8 7" xfId="3430"/>
    <cellStyle name="Normal 4 5 2 8 7 2" xfId="7311"/>
    <cellStyle name="Normal 4 5 2 8 8" xfId="3106"/>
    <cellStyle name="Normal 4 5 2 8 8 2" xfId="6991"/>
    <cellStyle name="Normal 4 5 2 8 9" xfId="14531"/>
    <cellStyle name="Normal 4 5 2 9" xfId="1027"/>
    <cellStyle name="Normal 4 5 2 9 10" xfId="14532"/>
    <cellStyle name="Normal 4 5 2 9 11" xfId="14533"/>
    <cellStyle name="Normal 4 5 2 9 12" xfId="14534"/>
    <cellStyle name="Normal 4 5 2 9 13" xfId="14535"/>
    <cellStyle name="Normal 4 5 2 9 14" xfId="14536"/>
    <cellStyle name="Normal 4 5 2 9 15" xfId="14537"/>
    <cellStyle name="Normal 4 5 2 9 16" xfId="14538"/>
    <cellStyle name="Normal 4 5 2 9 17" xfId="14539"/>
    <cellStyle name="Normal 4 5 2 9 18" xfId="4948"/>
    <cellStyle name="Normal 4 5 2 9 2" xfId="442"/>
    <cellStyle name="Normal 4 5 2 9 2 2" xfId="4384"/>
    <cellStyle name="Normal 4 5 2 9 3" xfId="3431"/>
    <cellStyle name="Normal 4 5 2 9 3 2" xfId="7312"/>
    <cellStyle name="Normal 4 5 2 9 4" xfId="3432"/>
    <cellStyle name="Normal 4 5 2 9 4 2" xfId="7313"/>
    <cellStyle name="Normal 4 5 2 9 5" xfId="3433"/>
    <cellStyle name="Normal 4 5 2 9 5 2" xfId="7314"/>
    <cellStyle name="Normal 4 5 2 9 6" xfId="3434"/>
    <cellStyle name="Normal 4 5 2 9 6 2" xfId="7315"/>
    <cellStyle name="Normal 4 5 2 9 7" xfId="3435"/>
    <cellStyle name="Normal 4 5 2 9 7 2" xfId="7316"/>
    <cellStyle name="Normal 4 5 2 9 8" xfId="3436"/>
    <cellStyle name="Normal 4 5 2 9 8 2" xfId="7317"/>
    <cellStyle name="Normal 4 5 2 9 9" xfId="14540"/>
    <cellStyle name="Normal 4 5 2_Achampally-Gattubuthkur-Ganga-CRR" xfId="3437"/>
    <cellStyle name="Normal 4 5 20" xfId="14541"/>
    <cellStyle name="Normal 4 5 21" xfId="14542"/>
    <cellStyle name="Normal 4 5 22" xfId="14543"/>
    <cellStyle name="Normal 4 5 23" xfId="14544"/>
    <cellStyle name="Normal 4 5 24" xfId="14545"/>
    <cellStyle name="Normal 4 5 25" xfId="14546"/>
    <cellStyle name="Normal 4 5 26" xfId="14547"/>
    <cellStyle name="Normal 4 5 27" xfId="14548"/>
    <cellStyle name="Normal 4 5 28" xfId="6519"/>
    <cellStyle name="Normal 4 5 3" xfId="3438"/>
    <cellStyle name="Normal 4 5 3 10" xfId="14549"/>
    <cellStyle name="Normal 4 5 3 11" xfId="14550"/>
    <cellStyle name="Normal 4 5 3 12" xfId="14551"/>
    <cellStyle name="Normal 4 5 3 13" xfId="14552"/>
    <cellStyle name="Normal 4 5 3 14" xfId="14553"/>
    <cellStyle name="Normal 4 5 3 15" xfId="14554"/>
    <cellStyle name="Normal 4 5 3 16" xfId="14555"/>
    <cellStyle name="Normal 4 5 3 17" xfId="14556"/>
    <cellStyle name="Normal 4 5 3 18" xfId="7318"/>
    <cellStyle name="Normal 4 5 3 2" xfId="3439"/>
    <cellStyle name="Normal 4 5 3 2 2" xfId="7319"/>
    <cellStyle name="Normal 4 5 3 3" xfId="2590"/>
    <cellStyle name="Normal 4 5 3 3 2" xfId="6484"/>
    <cellStyle name="Normal 4 5 3 4" xfId="1035"/>
    <cellStyle name="Normal 4 5 3 4 2" xfId="4956"/>
    <cellStyle name="Normal 4 5 3 5" xfId="1038"/>
    <cellStyle name="Normal 4 5 3 5 2" xfId="4959"/>
    <cellStyle name="Normal 4 5 3 6" xfId="1042"/>
    <cellStyle name="Normal 4 5 3 6 2" xfId="4963"/>
    <cellStyle name="Normal 4 5 3 7" xfId="1047"/>
    <cellStyle name="Normal 4 5 3 7 2" xfId="4968"/>
    <cellStyle name="Normal 4 5 3 8" xfId="1051"/>
    <cellStyle name="Normal 4 5 3 8 2" xfId="4972"/>
    <cellStyle name="Normal 4 5 3 9" xfId="14557"/>
    <cellStyle name="Normal 4 5 4" xfId="3440"/>
    <cellStyle name="Normal 4 5 4 10" xfId="14558"/>
    <cellStyle name="Normal 4 5 4 11" xfId="14559"/>
    <cellStyle name="Normal 4 5 4 12" xfId="14560"/>
    <cellStyle name="Normal 4 5 4 13" xfId="14561"/>
    <cellStyle name="Normal 4 5 4 14" xfId="14562"/>
    <cellStyle name="Normal 4 5 4 15" xfId="14563"/>
    <cellStyle name="Normal 4 5 4 16" xfId="14564"/>
    <cellStyle name="Normal 4 5 4 17" xfId="14565"/>
    <cellStyle name="Normal 4 5 4 18" xfId="7320"/>
    <cellStyle name="Normal 4 5 4 2" xfId="3441"/>
    <cellStyle name="Normal 4 5 4 2 2" xfId="7321"/>
    <cellStyle name="Normal 4 5 4 3" xfId="2638"/>
    <cellStyle name="Normal 4 5 4 3 2" xfId="6531"/>
    <cellStyle name="Normal 4 5 4 4" xfId="1059"/>
    <cellStyle name="Normal 4 5 4 4 2" xfId="4980"/>
    <cellStyle name="Normal 4 5 4 5" xfId="8"/>
    <cellStyle name="Normal 4 5 4 5 2" xfId="3973"/>
    <cellStyle name="Normal 4 5 4 6" xfId="542"/>
    <cellStyle name="Normal 4 5 4 6 2" xfId="4476"/>
    <cellStyle name="Normal 4 5 4 7" xfId="549"/>
    <cellStyle name="Normal 4 5 4 7 2" xfId="4482"/>
    <cellStyle name="Normal 4 5 4 8" xfId="1064"/>
    <cellStyle name="Normal 4 5 4 8 2" xfId="4985"/>
    <cellStyle name="Normal 4 5 4 9" xfId="14566"/>
    <cellStyle name="Normal 4 5 5" xfId="3442"/>
    <cellStyle name="Normal 4 5 5 10" xfId="14567"/>
    <cellStyle name="Normal 4 5 5 11" xfId="14568"/>
    <cellStyle name="Normal 4 5 5 12" xfId="14569"/>
    <cellStyle name="Normal 4 5 5 13" xfId="14570"/>
    <cellStyle name="Normal 4 5 5 14" xfId="14571"/>
    <cellStyle name="Normal 4 5 5 15" xfId="14572"/>
    <cellStyle name="Normal 4 5 5 16" xfId="14573"/>
    <cellStyle name="Normal 4 5 5 17" xfId="14574"/>
    <cellStyle name="Normal 4 5 5 18" xfId="7322"/>
    <cellStyle name="Normal 4 5 5 2" xfId="2123"/>
    <cellStyle name="Normal 4 5 5 2 2" xfId="6025"/>
    <cellStyle name="Normal 4 5 5 3" xfId="2133"/>
    <cellStyle name="Normal 4 5 5 3 2" xfId="6036"/>
    <cellStyle name="Normal 4 5 5 4" xfId="1072"/>
    <cellStyle name="Normal 4 5 5 4 2" xfId="4995"/>
    <cellStyle name="Normal 4 5 5 5" xfId="1078"/>
    <cellStyle name="Normal 4 5 5 5 2" xfId="5001"/>
    <cellStyle name="Normal 4 5 5 6" xfId="1084"/>
    <cellStyle name="Normal 4 5 5 6 2" xfId="5006"/>
    <cellStyle name="Normal 4 5 5 7" xfId="1089"/>
    <cellStyle name="Normal 4 5 5 7 2" xfId="5011"/>
    <cellStyle name="Normal 4 5 5 8" xfId="1094"/>
    <cellStyle name="Normal 4 5 5 8 2" xfId="5016"/>
    <cellStyle name="Normal 4 5 5 9" xfId="14575"/>
    <cellStyle name="Normal 4 5 6" xfId="3443"/>
    <cellStyle name="Normal 4 5 6 10" xfId="14576"/>
    <cellStyle name="Normal 4 5 6 11" xfId="14577"/>
    <cellStyle name="Normal 4 5 6 12" xfId="14578"/>
    <cellStyle name="Normal 4 5 6 13" xfId="14579"/>
    <cellStyle name="Normal 4 5 6 14" xfId="14580"/>
    <cellStyle name="Normal 4 5 6 15" xfId="14581"/>
    <cellStyle name="Normal 4 5 6 16" xfId="14582"/>
    <cellStyle name="Normal 4 5 6 17" xfId="14583"/>
    <cellStyle name="Normal 4 5 6 18" xfId="7323"/>
    <cellStyle name="Normal 4 5 6 2" xfId="3444"/>
    <cellStyle name="Normal 4 5 6 2 2" xfId="7324"/>
    <cellStyle name="Normal 4 5 6 3" xfId="2641"/>
    <cellStyle name="Normal 4 5 6 3 2" xfId="6534"/>
    <cellStyle name="Normal 4 5 6 4" xfId="710"/>
    <cellStyle name="Normal 4 5 6 4 2" xfId="4639"/>
    <cellStyle name="Normal 4 5 6 5" xfId="1104"/>
    <cellStyle name="Normal 4 5 6 5 2" xfId="5025"/>
    <cellStyle name="Normal 4 5 6 6" xfId="1106"/>
    <cellStyle name="Normal 4 5 6 6 2" xfId="5027"/>
    <cellStyle name="Normal 4 5 6 7" xfId="1112"/>
    <cellStyle name="Normal 4 5 6 7 2" xfId="5032"/>
    <cellStyle name="Normal 4 5 6 8" xfId="1118"/>
    <cellStyle name="Normal 4 5 6 8 2" xfId="5038"/>
    <cellStyle name="Normal 4 5 6 9" xfId="14584"/>
    <cellStyle name="Normal 4 5 7" xfId="3445"/>
    <cellStyle name="Normal 4 5 7 10" xfId="14585"/>
    <cellStyle name="Normal 4 5 7 11" xfId="14586"/>
    <cellStyle name="Normal 4 5 7 12" xfId="14587"/>
    <cellStyle name="Normal 4 5 7 13" xfId="14588"/>
    <cellStyle name="Normal 4 5 7 14" xfId="14589"/>
    <cellStyle name="Normal 4 5 7 15" xfId="14590"/>
    <cellStyle name="Normal 4 5 7 16" xfId="14591"/>
    <cellStyle name="Normal 4 5 7 17" xfId="14592"/>
    <cellStyle name="Normal 4 5 7 18" xfId="7325"/>
    <cellStyle name="Normal 4 5 7 2" xfId="3446"/>
    <cellStyle name="Normal 4 5 7 2 2" xfId="7326"/>
    <cellStyle name="Normal 4 5 7 3" xfId="3447"/>
    <cellStyle name="Normal 4 5 7 3 2" xfId="7327"/>
    <cellStyle name="Normal 4 5 7 4" xfId="1132"/>
    <cellStyle name="Normal 4 5 7 4 2" xfId="5053"/>
    <cellStyle name="Normal 4 5 7 5" xfId="1134"/>
    <cellStyle name="Normal 4 5 7 5 2" xfId="5055"/>
    <cellStyle name="Normal 4 5 7 6" xfId="270"/>
    <cellStyle name="Normal 4 5 7 6 2" xfId="4221"/>
    <cellStyle name="Normal 4 5 7 7" xfId="277"/>
    <cellStyle name="Normal 4 5 7 7 2" xfId="4227"/>
    <cellStyle name="Normal 4 5 7 8" xfId="1139"/>
    <cellStyle name="Normal 4 5 7 8 2" xfId="5059"/>
    <cellStyle name="Normal 4 5 7 9" xfId="14593"/>
    <cellStyle name="Normal 4 5 8" xfId="3448"/>
    <cellStyle name="Normal 4 5 8 10" xfId="14594"/>
    <cellStyle name="Normal 4 5 8 11" xfId="14595"/>
    <cellStyle name="Normal 4 5 8 12" xfId="14596"/>
    <cellStyle name="Normal 4 5 8 13" xfId="14597"/>
    <cellStyle name="Normal 4 5 8 14" xfId="14598"/>
    <cellStyle name="Normal 4 5 8 15" xfId="14599"/>
    <cellStyle name="Normal 4 5 8 16" xfId="14600"/>
    <cellStyle name="Normal 4 5 8 17" xfId="14601"/>
    <cellStyle name="Normal 4 5 8 18" xfId="7328"/>
    <cellStyle name="Normal 4 5 8 2" xfId="3449"/>
    <cellStyle name="Normal 4 5 8 2 2" xfId="7329"/>
    <cellStyle name="Normal 4 5 8 3" xfId="3450"/>
    <cellStyle name="Normal 4 5 8 3 2" xfId="7330"/>
    <cellStyle name="Normal 4 5 8 4" xfId="1145"/>
    <cellStyle name="Normal 4 5 8 4 2" xfId="5066"/>
    <cellStyle name="Normal 4 5 8 5" xfId="108"/>
    <cellStyle name="Normal 4 5 8 5 2" xfId="4056"/>
    <cellStyle name="Normal 4 5 8 6" xfId="168"/>
    <cellStyle name="Normal 4 5 8 6 2" xfId="4101"/>
    <cellStyle name="Normal 4 5 8 7" xfId="185"/>
    <cellStyle name="Normal 4 5 8 7 2" xfId="4116"/>
    <cellStyle name="Normal 4 5 8 8" xfId="193"/>
    <cellStyle name="Normal 4 5 8 8 2" xfId="4127"/>
    <cellStyle name="Normal 4 5 8 9" xfId="14602"/>
    <cellStyle name="Normal 4 5 9" xfId="3451"/>
    <cellStyle name="Normal 4 5 9 10" xfId="14603"/>
    <cellStyle name="Normal 4 5 9 11" xfId="14604"/>
    <cellStyle name="Normal 4 5 9 12" xfId="14605"/>
    <cellStyle name="Normal 4 5 9 13" xfId="14606"/>
    <cellStyle name="Normal 4 5 9 14" xfId="14607"/>
    <cellStyle name="Normal 4 5 9 15" xfId="14608"/>
    <cellStyle name="Normal 4 5 9 16" xfId="14609"/>
    <cellStyle name="Normal 4 5 9 17" xfId="14610"/>
    <cellStyle name="Normal 4 5 9 18" xfId="7331"/>
    <cellStyle name="Normal 4 5 9 2" xfId="3452"/>
    <cellStyle name="Normal 4 5 9 2 2" xfId="7332"/>
    <cellStyle name="Normal 4 5 9 3" xfId="3453"/>
    <cellStyle name="Normal 4 5 9 3 2" xfId="7333"/>
    <cellStyle name="Normal 4 5 9 4" xfId="3454"/>
    <cellStyle name="Normal 4 5 9 4 2" xfId="7334"/>
    <cellStyle name="Normal 4 5 9 5" xfId="3455"/>
    <cellStyle name="Normal 4 5 9 5 2" xfId="7335"/>
    <cellStyle name="Normal 4 5 9 6" xfId="3456"/>
    <cellStyle name="Normal 4 5 9 6 2" xfId="7336"/>
    <cellStyle name="Normal 4 5 9 7" xfId="3457"/>
    <cellStyle name="Normal 4 5 9 7 2" xfId="7337"/>
    <cellStyle name="Normal 4 5 9 8" xfId="3458"/>
    <cellStyle name="Normal 4 5 9 8 2" xfId="7338"/>
    <cellStyle name="Normal 4 5 9 9" xfId="14611"/>
    <cellStyle name="Normal 4 5_2bhk_19122016" xfId="14612"/>
    <cellStyle name="Normal 4 6" xfId="2627"/>
    <cellStyle name="Normal 4 6 10" xfId="14613"/>
    <cellStyle name="Normal 4 6 11" xfId="14614"/>
    <cellStyle name="Normal 4 6 12" xfId="14615"/>
    <cellStyle name="Normal 4 6 13" xfId="14616"/>
    <cellStyle name="Normal 4 6 14" xfId="14617"/>
    <cellStyle name="Normal 4 6 15" xfId="14618"/>
    <cellStyle name="Normal 4 6 16" xfId="14619"/>
    <cellStyle name="Normal 4 6 17" xfId="14620"/>
    <cellStyle name="Normal 4 6 18" xfId="6521"/>
    <cellStyle name="Normal 4 6 2" xfId="3460"/>
    <cellStyle name="Normal 4 6 2 2" xfId="7340"/>
    <cellStyle name="Normal 4 6 3" xfId="3461"/>
    <cellStyle name="Normal 4 6 3 2" xfId="7341"/>
    <cellStyle name="Normal 4 6 4" xfId="3462"/>
    <cellStyle name="Normal 4 6 4 2" xfId="7342"/>
    <cellStyle name="Normal 4 6 5" xfId="3463"/>
    <cellStyle name="Normal 4 6 5 2" xfId="7343"/>
    <cellStyle name="Normal 4 6 6" xfId="3464"/>
    <cellStyle name="Normal 4 6 6 2" xfId="7344"/>
    <cellStyle name="Normal 4 6 7" xfId="1149"/>
    <cellStyle name="Normal 4 6 7 2" xfId="5068"/>
    <cellStyle name="Normal 4 6 8" xfId="3465"/>
    <cellStyle name="Normal 4 6 8 2" xfId="7345"/>
    <cellStyle name="Normal 4 6 9" xfId="14621"/>
    <cellStyle name="Normal 4 7" xfId="2629"/>
    <cellStyle name="Normal 4 7 2" xfId="14622"/>
    <cellStyle name="Normal 4 7 3" xfId="6523"/>
    <cellStyle name="Normal 4 8" xfId="2631"/>
    <cellStyle name="Normal 4 8 2" xfId="6526"/>
    <cellStyle name="Normal 4 9" xfId="3119"/>
    <cellStyle name="Normal 4 9 2" xfId="7004"/>
    <cellStyle name="Normal 4_2bhk_19122016" xfId="14623"/>
    <cellStyle name="Normal 40" xfId="2914"/>
    <cellStyle name="Normal 40 2" xfId="14624"/>
    <cellStyle name="Normal 40 3" xfId="6801"/>
    <cellStyle name="Normal 41" xfId="2917"/>
    <cellStyle name="Normal 41 2" xfId="6804"/>
    <cellStyle name="Normal 42" xfId="2920"/>
    <cellStyle name="Normal 42 2" xfId="6807"/>
    <cellStyle name="Normal 43" xfId="2936"/>
    <cellStyle name="Normal 43 2" xfId="14625"/>
    <cellStyle name="Normal 43 2 2" xfId="14626"/>
    <cellStyle name="Normal 43 2 2 2" xfId="14627"/>
    <cellStyle name="Normal 43 2 3" xfId="14628"/>
    <cellStyle name="Normal 43 3" xfId="14629"/>
    <cellStyle name="Normal 43 3 2" xfId="14630"/>
    <cellStyle name="Normal 43 4" xfId="14631"/>
    <cellStyle name="Normal 43 4 2" xfId="14632"/>
    <cellStyle name="Normal 43 5" xfId="14633"/>
    <cellStyle name="Normal 43 6" xfId="6823"/>
    <cellStyle name="Normal 44" xfId="2938"/>
    <cellStyle name="Normal 44 2" xfId="14634"/>
    <cellStyle name="Normal 44 2 2" xfId="3771"/>
    <cellStyle name="Normal 44 2 2 2" xfId="7824"/>
    <cellStyle name="Normal 44 2 3" xfId="14635"/>
    <cellStyle name="Normal 44 2 4" xfId="14636"/>
    <cellStyle name="Normal 44 3" xfId="14637"/>
    <cellStyle name="Normal 44 4" xfId="6825"/>
    <cellStyle name="Normal 45" xfId="3467"/>
    <cellStyle name="Normal 45 10" xfId="14638"/>
    <cellStyle name="Normal 45 11" xfId="14639"/>
    <cellStyle name="Normal 45 12" xfId="14640"/>
    <cellStyle name="Normal 45 13" xfId="7346"/>
    <cellStyle name="Normal 45 2" xfId="717"/>
    <cellStyle name="Normal 45 2 10" xfId="14641"/>
    <cellStyle name="Normal 45 2 11" xfId="4646"/>
    <cellStyle name="Normal 45 2 2" xfId="14642"/>
    <cellStyle name="Normal 45 2 3" xfId="14643"/>
    <cellStyle name="Normal 45 2 4" xfId="14644"/>
    <cellStyle name="Normal 45 2 5" xfId="14645"/>
    <cellStyle name="Normal 45 2 6" xfId="14646"/>
    <cellStyle name="Normal 45 2 7" xfId="14647"/>
    <cellStyle name="Normal 45 2 8" xfId="14648"/>
    <cellStyle name="Normal 45 2 9" xfId="14649"/>
    <cellStyle name="Normal 45 3" xfId="2695"/>
    <cellStyle name="Normal 45 3 10" xfId="14650"/>
    <cellStyle name="Normal 45 3 11" xfId="6588"/>
    <cellStyle name="Normal 45 3 2" xfId="14651"/>
    <cellStyle name="Normal 45 3 3" xfId="14652"/>
    <cellStyle name="Normal 45 3 4" xfId="14653"/>
    <cellStyle name="Normal 45 3 5" xfId="14654"/>
    <cellStyle name="Normal 45 3 6" xfId="14655"/>
    <cellStyle name="Normal 45 3 7" xfId="14656"/>
    <cellStyle name="Normal 45 3 8" xfId="14657"/>
    <cellStyle name="Normal 45 3 9" xfId="14658"/>
    <cellStyle name="Normal 45 4" xfId="14659"/>
    <cellStyle name="Normal 45 5" xfId="14660"/>
    <cellStyle name="Normal 45 6" xfId="14661"/>
    <cellStyle name="Normal 45 7" xfId="14662"/>
    <cellStyle name="Normal 45 8" xfId="14663"/>
    <cellStyle name="Normal 45 9" xfId="14664"/>
    <cellStyle name="Normal 46" xfId="3469"/>
    <cellStyle name="Normal 46 2" xfId="14665"/>
    <cellStyle name="Normal 46 3" xfId="7348"/>
    <cellStyle name="Normal 47" xfId="3472"/>
    <cellStyle name="Normal 47 10" xfId="14666"/>
    <cellStyle name="Normal 47 11" xfId="14667"/>
    <cellStyle name="Normal 47 12" xfId="14668"/>
    <cellStyle name="Normal 47 13" xfId="7350"/>
    <cellStyle name="Normal 47 2" xfId="2709"/>
    <cellStyle name="Normal 47 2 10" xfId="14669"/>
    <cellStyle name="Normal 47 2 11" xfId="6602"/>
    <cellStyle name="Normal 47 2 2" xfId="14670"/>
    <cellStyle name="Normal 47 2 3" xfId="14671"/>
    <cellStyle name="Normal 47 2 4" xfId="14672"/>
    <cellStyle name="Normal 47 2 5" xfId="14673"/>
    <cellStyle name="Normal 47 2 6" xfId="14674"/>
    <cellStyle name="Normal 47 2 7" xfId="14675"/>
    <cellStyle name="Normal 47 2 8" xfId="14676"/>
    <cellStyle name="Normal 47 2 9" xfId="14677"/>
    <cellStyle name="Normal 47 3" xfId="2711"/>
    <cellStyle name="Normal 47 3 10" xfId="14678"/>
    <cellStyle name="Normal 47 3 11" xfId="6604"/>
    <cellStyle name="Normal 47 3 2" xfId="14679"/>
    <cellStyle name="Normal 47 3 3" xfId="14680"/>
    <cellStyle name="Normal 47 3 4" xfId="14681"/>
    <cellStyle name="Normal 47 3 5" xfId="14682"/>
    <cellStyle name="Normal 47 3 6" xfId="14683"/>
    <cellStyle name="Normal 47 3 7" xfId="14684"/>
    <cellStyle name="Normal 47 3 8" xfId="14685"/>
    <cellStyle name="Normal 47 3 9" xfId="14686"/>
    <cellStyle name="Normal 47 4" xfId="14687"/>
    <cellStyle name="Normal 47 5" xfId="14688"/>
    <cellStyle name="Normal 47 6" xfId="14689"/>
    <cellStyle name="Normal 47 7" xfId="14690"/>
    <cellStyle name="Normal 47 8" xfId="14691"/>
    <cellStyle name="Normal 47 9" xfId="14692"/>
    <cellStyle name="Normal 48" xfId="3474"/>
    <cellStyle name="Normal 48 2" xfId="14693"/>
    <cellStyle name="Normal 48 3" xfId="7352"/>
    <cellStyle name="Normal 49" xfId="799"/>
    <cellStyle name="Normal 49 2" xfId="14694"/>
    <cellStyle name="Normal 49 3" xfId="4725"/>
    <cellStyle name="Normal 5" xfId="1055"/>
    <cellStyle name="Normal 5 10" xfId="3475"/>
    <cellStyle name="Normal 5 10 10" xfId="14695"/>
    <cellStyle name="Normal 5 10 11" xfId="14696"/>
    <cellStyle name="Normal 5 10 12" xfId="14697"/>
    <cellStyle name="Normal 5 10 13" xfId="14698"/>
    <cellStyle name="Normal 5 10 14" xfId="14699"/>
    <cellStyle name="Normal 5 10 15" xfId="14700"/>
    <cellStyle name="Normal 5 10 16" xfId="14701"/>
    <cellStyle name="Normal 5 10 17" xfId="14702"/>
    <cellStyle name="Normal 5 10 18" xfId="7354"/>
    <cellStyle name="Normal 5 10 2" xfId="268"/>
    <cellStyle name="Normal 5 10 2 2" xfId="4215"/>
    <cellStyle name="Normal 5 10 3" xfId="286"/>
    <cellStyle name="Normal 5 10 3 2" xfId="4232"/>
    <cellStyle name="Normal 5 10 4" xfId="3476"/>
    <cellStyle name="Normal 5 10 4 2" xfId="7355"/>
    <cellStyle name="Normal 5 10 5" xfId="3477"/>
    <cellStyle name="Normal 5 10 5 2" xfId="7356"/>
    <cellStyle name="Normal 5 10 6" xfId="3478"/>
    <cellStyle name="Normal 5 10 6 2" xfId="7357"/>
    <cellStyle name="Normal 5 10 7" xfId="2994"/>
    <cellStyle name="Normal 5 10 7 2" xfId="6881"/>
    <cellStyle name="Normal 5 10 8" xfId="2996"/>
    <cellStyle name="Normal 5 10 8 2" xfId="6883"/>
    <cellStyle name="Normal 5 10 9" xfId="14703"/>
    <cellStyle name="Normal 5 11" xfId="3479"/>
    <cellStyle name="Normal 5 11 10" xfId="14704"/>
    <cellStyle name="Normal 5 11 11" xfId="14705"/>
    <cellStyle name="Normal 5 11 12" xfId="14706"/>
    <cellStyle name="Normal 5 11 13" xfId="14707"/>
    <cellStyle name="Normal 5 11 14" xfId="14708"/>
    <cellStyle name="Normal 5 11 15" xfId="14709"/>
    <cellStyle name="Normal 5 11 16" xfId="14710"/>
    <cellStyle name="Normal 5 11 17" xfId="14711"/>
    <cellStyle name="Normal 5 11 18" xfId="7358"/>
    <cellStyle name="Normal 5 11 2" xfId="293"/>
    <cellStyle name="Normal 5 11 2 2" xfId="4243"/>
    <cellStyle name="Normal 5 11 3" xfId="136"/>
    <cellStyle name="Normal 5 11 3 2" xfId="4070"/>
    <cellStyle name="Normal 5 11 4" xfId="3480"/>
    <cellStyle name="Normal 5 11 4 2" xfId="7359"/>
    <cellStyle name="Normal 5 11 5" xfId="3481"/>
    <cellStyle name="Normal 5 11 5 2" xfId="7360"/>
    <cellStyle name="Normal 5 11 6" xfId="3482"/>
    <cellStyle name="Normal 5 11 6 2" xfId="7361"/>
    <cellStyle name="Normal 5 11 7" xfId="2998"/>
    <cellStyle name="Normal 5 11 7 2" xfId="6885"/>
    <cellStyle name="Normal 5 11 8" xfId="3000"/>
    <cellStyle name="Normal 5 11 8 2" xfId="6887"/>
    <cellStyle name="Normal 5 11 9" xfId="14712"/>
    <cellStyle name="Normal 5 12" xfId="3483"/>
    <cellStyle name="Normal 5 12 2" xfId="7362"/>
    <cellStyle name="Normal 5 13" xfId="2375"/>
    <cellStyle name="Normal 5 13 2" xfId="6270"/>
    <cellStyle name="Normal 5 14" xfId="3484"/>
    <cellStyle name="Normal 5 14 2" xfId="7363"/>
    <cellStyle name="Normal 5 15" xfId="3485"/>
    <cellStyle name="Normal 5 15 2" xfId="7364"/>
    <cellStyle name="Normal 5 16" xfId="3486"/>
    <cellStyle name="Normal 5 16 2" xfId="7365"/>
    <cellStyle name="Normal 5 17" xfId="3487"/>
    <cellStyle name="Normal 5 17 2" xfId="7366"/>
    <cellStyle name="Normal 5 18" xfId="3488"/>
    <cellStyle name="Normal 5 18 2" xfId="7367"/>
    <cellStyle name="Normal 5 19" xfId="14713"/>
    <cellStyle name="Normal 5 2" xfId="2537"/>
    <cellStyle name="Normal 5 2 10" xfId="421"/>
    <cellStyle name="Normal 5 2 10 10" xfId="14714"/>
    <cellStyle name="Normal 5 2 10 11" xfId="14715"/>
    <cellStyle name="Normal 5 2 10 12" xfId="14716"/>
    <cellStyle name="Normal 5 2 10 13" xfId="14717"/>
    <cellStyle name="Normal 5 2 10 14" xfId="14718"/>
    <cellStyle name="Normal 5 2 10 15" xfId="14719"/>
    <cellStyle name="Normal 5 2 10 16" xfId="14720"/>
    <cellStyle name="Normal 5 2 10 17" xfId="14721"/>
    <cellStyle name="Normal 5 2 10 18" xfId="4360"/>
    <cellStyle name="Normal 5 2 10 2" xfId="425"/>
    <cellStyle name="Normal 5 2 10 2 10" xfId="14722"/>
    <cellStyle name="Normal 5 2 10 2 11" xfId="14723"/>
    <cellStyle name="Normal 5 2 10 2 12" xfId="14724"/>
    <cellStyle name="Normal 5 2 10 2 13" xfId="4365"/>
    <cellStyle name="Normal 5 2 10 2 2" xfId="3489"/>
    <cellStyle name="Normal 5 2 10 2 2 10" xfId="14725"/>
    <cellStyle name="Normal 5 2 10 2 2 11" xfId="7368"/>
    <cellStyle name="Normal 5 2 10 2 2 2" xfId="14726"/>
    <cellStyle name="Normal 5 2 10 2 2 3" xfId="14727"/>
    <cellStyle name="Normal 5 2 10 2 2 4" xfId="14728"/>
    <cellStyle name="Normal 5 2 10 2 2 5" xfId="14729"/>
    <cellStyle name="Normal 5 2 10 2 2 6" xfId="14730"/>
    <cellStyle name="Normal 5 2 10 2 2 7" xfId="14731"/>
    <cellStyle name="Normal 5 2 10 2 2 8" xfId="14732"/>
    <cellStyle name="Normal 5 2 10 2 2 9" xfId="14733"/>
    <cellStyle name="Normal 5 2 10 2 3" xfId="3490"/>
    <cellStyle name="Normal 5 2 10 2 3 10" xfId="14734"/>
    <cellStyle name="Normal 5 2 10 2 3 11" xfId="7369"/>
    <cellStyle name="Normal 5 2 10 2 3 2" xfId="14735"/>
    <cellStyle name="Normal 5 2 10 2 3 3" xfId="14736"/>
    <cellStyle name="Normal 5 2 10 2 3 4" xfId="14737"/>
    <cellStyle name="Normal 5 2 10 2 3 5" xfId="14738"/>
    <cellStyle name="Normal 5 2 10 2 3 6" xfId="14739"/>
    <cellStyle name="Normal 5 2 10 2 3 7" xfId="14740"/>
    <cellStyle name="Normal 5 2 10 2 3 8" xfId="14741"/>
    <cellStyle name="Normal 5 2 10 2 3 9" xfId="14742"/>
    <cellStyle name="Normal 5 2 10 2 4" xfId="14743"/>
    <cellStyle name="Normal 5 2 10 2 5" xfId="14744"/>
    <cellStyle name="Normal 5 2 10 2 6" xfId="14745"/>
    <cellStyle name="Normal 5 2 10 2 7" xfId="14746"/>
    <cellStyle name="Normal 5 2 10 2 8" xfId="14747"/>
    <cellStyle name="Normal 5 2 10 2 9" xfId="14748"/>
    <cellStyle name="Normal 5 2 10 3" xfId="387"/>
    <cellStyle name="Normal 5 2 10 3 10" xfId="14749"/>
    <cellStyle name="Normal 5 2 10 3 11" xfId="14750"/>
    <cellStyle name="Normal 5 2 10 3 12" xfId="14751"/>
    <cellStyle name="Normal 5 2 10 3 13" xfId="4328"/>
    <cellStyle name="Normal 5 2 10 3 2" xfId="2570"/>
    <cellStyle name="Normal 5 2 10 3 2 10" xfId="14752"/>
    <cellStyle name="Normal 5 2 10 3 2 11" xfId="6465"/>
    <cellStyle name="Normal 5 2 10 3 2 2" xfId="14753"/>
    <cellStyle name="Normal 5 2 10 3 2 3" xfId="14754"/>
    <cellStyle name="Normal 5 2 10 3 2 4" xfId="14755"/>
    <cellStyle name="Normal 5 2 10 3 2 5" xfId="14756"/>
    <cellStyle name="Normal 5 2 10 3 2 6" xfId="14757"/>
    <cellStyle name="Normal 5 2 10 3 2 7" xfId="14758"/>
    <cellStyle name="Normal 5 2 10 3 2 8" xfId="14759"/>
    <cellStyle name="Normal 5 2 10 3 2 9" xfId="14760"/>
    <cellStyle name="Normal 5 2 10 3 3" xfId="2572"/>
    <cellStyle name="Normal 5 2 10 3 3 10" xfId="14761"/>
    <cellStyle name="Normal 5 2 10 3 3 11" xfId="6467"/>
    <cellStyle name="Normal 5 2 10 3 3 2" xfId="14762"/>
    <cellStyle name="Normal 5 2 10 3 3 3" xfId="14763"/>
    <cellStyle name="Normal 5 2 10 3 3 4" xfId="14764"/>
    <cellStyle name="Normal 5 2 10 3 3 5" xfId="14765"/>
    <cellStyle name="Normal 5 2 10 3 3 6" xfId="14766"/>
    <cellStyle name="Normal 5 2 10 3 3 7" xfId="14767"/>
    <cellStyle name="Normal 5 2 10 3 3 8" xfId="14768"/>
    <cellStyle name="Normal 5 2 10 3 3 9" xfId="14769"/>
    <cellStyle name="Normal 5 2 10 3 4" xfId="14770"/>
    <cellStyle name="Normal 5 2 10 3 5" xfId="14771"/>
    <cellStyle name="Normal 5 2 10 3 6" xfId="14772"/>
    <cellStyle name="Normal 5 2 10 3 7" xfId="14773"/>
    <cellStyle name="Normal 5 2 10 3 8" xfId="14774"/>
    <cellStyle name="Normal 5 2 10 3 9" xfId="14775"/>
    <cellStyle name="Normal 5 2 10 4" xfId="3491"/>
    <cellStyle name="Normal 5 2 10 4 10" xfId="14776"/>
    <cellStyle name="Normal 5 2 10 4 11" xfId="14777"/>
    <cellStyle name="Normal 5 2 10 4 12" xfId="14778"/>
    <cellStyle name="Normal 5 2 10 4 13" xfId="7370"/>
    <cellStyle name="Normal 5 2 10 4 2" xfId="2579"/>
    <cellStyle name="Normal 5 2 10 4 2 10" xfId="14779"/>
    <cellStyle name="Normal 5 2 10 4 2 11" xfId="6473"/>
    <cellStyle name="Normal 5 2 10 4 2 2" xfId="14780"/>
    <cellStyle name="Normal 5 2 10 4 2 3" xfId="14781"/>
    <cellStyle name="Normal 5 2 10 4 2 4" xfId="14782"/>
    <cellStyle name="Normal 5 2 10 4 2 5" xfId="14783"/>
    <cellStyle name="Normal 5 2 10 4 2 6" xfId="14784"/>
    <cellStyle name="Normal 5 2 10 4 2 7" xfId="14785"/>
    <cellStyle name="Normal 5 2 10 4 2 8" xfId="14786"/>
    <cellStyle name="Normal 5 2 10 4 2 9" xfId="14787"/>
    <cellStyle name="Normal 5 2 10 4 3" xfId="2581"/>
    <cellStyle name="Normal 5 2 10 4 3 10" xfId="14788"/>
    <cellStyle name="Normal 5 2 10 4 3 11" xfId="6475"/>
    <cellStyle name="Normal 5 2 10 4 3 2" xfId="14789"/>
    <cellStyle name="Normal 5 2 10 4 3 3" xfId="14790"/>
    <cellStyle name="Normal 5 2 10 4 3 4" xfId="14791"/>
    <cellStyle name="Normal 5 2 10 4 3 5" xfId="14792"/>
    <cellStyle name="Normal 5 2 10 4 3 6" xfId="14793"/>
    <cellStyle name="Normal 5 2 10 4 3 7" xfId="14794"/>
    <cellStyle name="Normal 5 2 10 4 3 8" xfId="14795"/>
    <cellStyle name="Normal 5 2 10 4 3 9" xfId="14796"/>
    <cellStyle name="Normal 5 2 10 4 4" xfId="14797"/>
    <cellStyle name="Normal 5 2 10 4 5" xfId="14798"/>
    <cellStyle name="Normal 5 2 10 4 6" xfId="14799"/>
    <cellStyle name="Normal 5 2 10 4 7" xfId="14800"/>
    <cellStyle name="Normal 5 2 10 4 8" xfId="14801"/>
    <cellStyle name="Normal 5 2 10 4 9" xfId="14802"/>
    <cellStyle name="Normal 5 2 10 5" xfId="3493"/>
    <cellStyle name="Normal 5 2 10 5 10" xfId="14803"/>
    <cellStyle name="Normal 5 2 10 5 11" xfId="14804"/>
    <cellStyle name="Normal 5 2 10 5 12" xfId="14805"/>
    <cellStyle name="Normal 5 2 10 5 13" xfId="7371"/>
    <cellStyle name="Normal 5 2 10 5 2" xfId="3495"/>
    <cellStyle name="Normal 5 2 10 5 2 10" xfId="14806"/>
    <cellStyle name="Normal 5 2 10 5 2 11" xfId="7373"/>
    <cellStyle name="Normal 5 2 10 5 2 2" xfId="14807"/>
    <cellStyle name="Normal 5 2 10 5 2 3" xfId="14808"/>
    <cellStyle name="Normal 5 2 10 5 2 4" xfId="14809"/>
    <cellStyle name="Normal 5 2 10 5 2 5" xfId="14810"/>
    <cellStyle name="Normal 5 2 10 5 2 6" xfId="14811"/>
    <cellStyle name="Normal 5 2 10 5 2 7" xfId="14812"/>
    <cellStyle name="Normal 5 2 10 5 2 8" xfId="14813"/>
    <cellStyle name="Normal 5 2 10 5 2 9" xfId="14814"/>
    <cellStyle name="Normal 5 2 10 5 3" xfId="3497"/>
    <cellStyle name="Normal 5 2 10 5 3 10" xfId="14815"/>
    <cellStyle name="Normal 5 2 10 5 3 11" xfId="7375"/>
    <cellStyle name="Normal 5 2 10 5 3 2" xfId="14816"/>
    <cellStyle name="Normal 5 2 10 5 3 3" xfId="14817"/>
    <cellStyle name="Normal 5 2 10 5 3 4" xfId="14818"/>
    <cellStyle name="Normal 5 2 10 5 3 5" xfId="14819"/>
    <cellStyle name="Normal 5 2 10 5 3 6" xfId="14820"/>
    <cellStyle name="Normal 5 2 10 5 3 7" xfId="14821"/>
    <cellStyle name="Normal 5 2 10 5 3 8" xfId="14822"/>
    <cellStyle name="Normal 5 2 10 5 3 9" xfId="14823"/>
    <cellStyle name="Normal 5 2 10 5 4" xfId="14824"/>
    <cellStyle name="Normal 5 2 10 5 5" xfId="14825"/>
    <cellStyle name="Normal 5 2 10 5 6" xfId="14826"/>
    <cellStyle name="Normal 5 2 10 5 7" xfId="14827"/>
    <cellStyle name="Normal 5 2 10 5 8" xfId="14828"/>
    <cellStyle name="Normal 5 2 10 5 9" xfId="14829"/>
    <cellStyle name="Normal 5 2 10 6" xfId="3499"/>
    <cellStyle name="Normal 5 2 10 6 10" xfId="14830"/>
    <cellStyle name="Normal 5 2 10 6 11" xfId="14831"/>
    <cellStyle name="Normal 5 2 10 6 12" xfId="14832"/>
    <cellStyle name="Normal 5 2 10 6 13" xfId="7377"/>
    <cellStyle name="Normal 5 2 10 6 2" xfId="3501"/>
    <cellStyle name="Normal 5 2 10 6 2 10" xfId="14833"/>
    <cellStyle name="Normal 5 2 10 6 2 11" xfId="7379"/>
    <cellStyle name="Normal 5 2 10 6 2 2" xfId="14834"/>
    <cellStyle name="Normal 5 2 10 6 2 3" xfId="14835"/>
    <cellStyle name="Normal 5 2 10 6 2 4" xfId="14836"/>
    <cellStyle name="Normal 5 2 10 6 2 5" xfId="14837"/>
    <cellStyle name="Normal 5 2 10 6 2 6" xfId="14838"/>
    <cellStyle name="Normal 5 2 10 6 2 7" xfId="14839"/>
    <cellStyle name="Normal 5 2 10 6 2 8" xfId="14840"/>
    <cellStyle name="Normal 5 2 10 6 2 9" xfId="14841"/>
    <cellStyle name="Normal 5 2 10 6 3" xfId="3503"/>
    <cellStyle name="Normal 5 2 10 6 3 10" xfId="14842"/>
    <cellStyle name="Normal 5 2 10 6 3 11" xfId="7381"/>
    <cellStyle name="Normal 5 2 10 6 3 2" xfId="14843"/>
    <cellStyle name="Normal 5 2 10 6 3 3" xfId="14844"/>
    <cellStyle name="Normal 5 2 10 6 3 4" xfId="14845"/>
    <cellStyle name="Normal 5 2 10 6 3 5" xfId="14846"/>
    <cellStyle name="Normal 5 2 10 6 3 6" xfId="14847"/>
    <cellStyle name="Normal 5 2 10 6 3 7" xfId="14848"/>
    <cellStyle name="Normal 5 2 10 6 3 8" xfId="14849"/>
    <cellStyle name="Normal 5 2 10 6 3 9" xfId="14850"/>
    <cellStyle name="Normal 5 2 10 6 4" xfId="14851"/>
    <cellStyle name="Normal 5 2 10 6 5" xfId="14852"/>
    <cellStyle name="Normal 5 2 10 6 6" xfId="14853"/>
    <cellStyle name="Normal 5 2 10 6 7" xfId="14854"/>
    <cellStyle name="Normal 5 2 10 6 8" xfId="14855"/>
    <cellStyle name="Normal 5 2 10 6 9" xfId="14856"/>
    <cellStyle name="Normal 5 2 10 7" xfId="3505"/>
    <cellStyle name="Normal 5 2 10 7 10" xfId="14857"/>
    <cellStyle name="Normal 5 2 10 7 11" xfId="7383"/>
    <cellStyle name="Normal 5 2 10 7 2" xfId="14858"/>
    <cellStyle name="Normal 5 2 10 7 3" xfId="14859"/>
    <cellStyle name="Normal 5 2 10 7 4" xfId="14860"/>
    <cellStyle name="Normal 5 2 10 7 5" xfId="14861"/>
    <cellStyle name="Normal 5 2 10 7 6" xfId="14862"/>
    <cellStyle name="Normal 5 2 10 7 7" xfId="14863"/>
    <cellStyle name="Normal 5 2 10 7 8" xfId="14864"/>
    <cellStyle name="Normal 5 2 10 7 9" xfId="14865"/>
    <cellStyle name="Normal 5 2 10 8" xfId="3507"/>
    <cellStyle name="Normal 5 2 10 8 10" xfId="14866"/>
    <cellStyle name="Normal 5 2 10 8 11" xfId="7385"/>
    <cellStyle name="Normal 5 2 10 8 2" xfId="14867"/>
    <cellStyle name="Normal 5 2 10 8 3" xfId="14868"/>
    <cellStyle name="Normal 5 2 10 8 4" xfId="14869"/>
    <cellStyle name="Normal 5 2 10 8 5" xfId="14870"/>
    <cellStyle name="Normal 5 2 10 8 6" xfId="14871"/>
    <cellStyle name="Normal 5 2 10 8 7" xfId="14872"/>
    <cellStyle name="Normal 5 2 10 8 8" xfId="14873"/>
    <cellStyle name="Normal 5 2 10 8 9" xfId="14874"/>
    <cellStyle name="Normal 5 2 10 9" xfId="14875"/>
    <cellStyle name="Normal 5 2 11" xfId="432"/>
    <cellStyle name="Normal 5 2 11 10" xfId="14876"/>
    <cellStyle name="Normal 5 2 11 11" xfId="14877"/>
    <cellStyle name="Normal 5 2 11 12" xfId="14878"/>
    <cellStyle name="Normal 5 2 11 13" xfId="4368"/>
    <cellStyle name="Normal 5 2 11 2" xfId="2400"/>
    <cellStyle name="Normal 5 2 11 2 10" xfId="14879"/>
    <cellStyle name="Normal 5 2 11 2 11" xfId="6295"/>
    <cellStyle name="Normal 5 2 11 2 2" xfId="14880"/>
    <cellStyle name="Normal 5 2 11 2 2 2" xfId="14881"/>
    <cellStyle name="Normal 5 2 11 2 3" xfId="14882"/>
    <cellStyle name="Normal 5 2 11 2 4" xfId="14883"/>
    <cellStyle name="Normal 5 2 11 2 5" xfId="14884"/>
    <cellStyle name="Normal 5 2 11 2 6" xfId="14885"/>
    <cellStyle name="Normal 5 2 11 2 7" xfId="14886"/>
    <cellStyle name="Normal 5 2 11 2 8" xfId="14887"/>
    <cellStyle name="Normal 5 2 11 2 9" xfId="14888"/>
    <cellStyle name="Normal 5 2 11 3" xfId="2402"/>
    <cellStyle name="Normal 5 2 11 3 10" xfId="14889"/>
    <cellStyle name="Normal 5 2 11 3 11" xfId="6297"/>
    <cellStyle name="Normal 5 2 11 3 2" xfId="14890"/>
    <cellStyle name="Normal 5 2 11 3 3" xfId="14891"/>
    <cellStyle name="Normal 5 2 11 3 4" xfId="14892"/>
    <cellStyle name="Normal 5 2 11 3 5" xfId="14893"/>
    <cellStyle name="Normal 5 2 11 3 6" xfId="14894"/>
    <cellStyle name="Normal 5 2 11 3 7" xfId="14895"/>
    <cellStyle name="Normal 5 2 11 3 8" xfId="14896"/>
    <cellStyle name="Normal 5 2 11 3 9" xfId="14897"/>
    <cellStyle name="Normal 5 2 11 4" xfId="14898"/>
    <cellStyle name="Normal 5 2 11 4 2" xfId="14899"/>
    <cellStyle name="Normal 5 2 11 5" xfId="14900"/>
    <cellStyle name="Normal 5 2 11 6" xfId="14901"/>
    <cellStyle name="Normal 5 2 11 7" xfId="14902"/>
    <cellStyle name="Normal 5 2 11 8" xfId="14903"/>
    <cellStyle name="Normal 5 2 11 9" xfId="14904"/>
    <cellStyle name="Normal 5 2 12" xfId="566"/>
    <cellStyle name="Normal 5 2 12 10" xfId="14905"/>
    <cellStyle name="Normal 5 2 12 11" xfId="14906"/>
    <cellStyle name="Normal 5 2 12 12" xfId="14907"/>
    <cellStyle name="Normal 5 2 12 13" xfId="4499"/>
    <cellStyle name="Normal 5 2 12 2" xfId="2407"/>
    <cellStyle name="Normal 5 2 12 2 10" xfId="14908"/>
    <cellStyle name="Normal 5 2 12 2 11" xfId="6302"/>
    <cellStyle name="Normal 5 2 12 2 2" xfId="14909"/>
    <cellStyle name="Normal 5 2 12 2 3" xfId="14910"/>
    <cellStyle name="Normal 5 2 12 2 4" xfId="14911"/>
    <cellStyle name="Normal 5 2 12 2 5" xfId="14912"/>
    <cellStyle name="Normal 5 2 12 2 6" xfId="14913"/>
    <cellStyle name="Normal 5 2 12 2 7" xfId="14914"/>
    <cellStyle name="Normal 5 2 12 2 8" xfId="14915"/>
    <cellStyle name="Normal 5 2 12 2 9" xfId="14916"/>
    <cellStyle name="Normal 5 2 12 3" xfId="2409"/>
    <cellStyle name="Normal 5 2 12 3 10" xfId="14917"/>
    <cellStyle name="Normal 5 2 12 3 11" xfId="6304"/>
    <cellStyle name="Normal 5 2 12 3 2" xfId="14918"/>
    <cellStyle name="Normal 5 2 12 3 3" xfId="14919"/>
    <cellStyle name="Normal 5 2 12 3 4" xfId="14920"/>
    <cellStyle name="Normal 5 2 12 3 5" xfId="14921"/>
    <cellStyle name="Normal 5 2 12 3 6" xfId="14922"/>
    <cellStyle name="Normal 5 2 12 3 7" xfId="14923"/>
    <cellStyle name="Normal 5 2 12 3 8" xfId="14924"/>
    <cellStyle name="Normal 5 2 12 3 9" xfId="14925"/>
    <cellStyle name="Normal 5 2 12 4" xfId="14926"/>
    <cellStyle name="Normal 5 2 12 5" xfId="14927"/>
    <cellStyle name="Normal 5 2 12 6" xfId="14928"/>
    <cellStyle name="Normal 5 2 12 7" xfId="14929"/>
    <cellStyle name="Normal 5 2 12 8" xfId="14930"/>
    <cellStyle name="Normal 5 2 12 9" xfId="14931"/>
    <cellStyle name="Normal 5 2 13" xfId="1152"/>
    <cellStyle name="Normal 5 2 13 10" xfId="14932"/>
    <cellStyle name="Normal 5 2 13 11" xfId="14933"/>
    <cellStyle name="Normal 5 2 13 12" xfId="14934"/>
    <cellStyle name="Normal 5 2 13 13" xfId="5071"/>
    <cellStyle name="Normal 5 2 13 2" xfId="1154"/>
    <cellStyle name="Normal 5 2 13 2 10" xfId="14935"/>
    <cellStyle name="Normal 5 2 13 2 11" xfId="5076"/>
    <cellStyle name="Normal 5 2 13 2 2" xfId="14936"/>
    <cellStyle name="Normal 5 2 13 2 3" xfId="14937"/>
    <cellStyle name="Normal 5 2 13 2 4" xfId="14938"/>
    <cellStyle name="Normal 5 2 13 2 5" xfId="14939"/>
    <cellStyle name="Normal 5 2 13 2 6" xfId="14940"/>
    <cellStyle name="Normal 5 2 13 2 7" xfId="14941"/>
    <cellStyle name="Normal 5 2 13 2 8" xfId="14942"/>
    <cellStyle name="Normal 5 2 13 2 9" xfId="14943"/>
    <cellStyle name="Normal 5 2 13 3" xfId="1157"/>
    <cellStyle name="Normal 5 2 13 3 10" xfId="14944"/>
    <cellStyle name="Normal 5 2 13 3 11" xfId="5079"/>
    <cellStyle name="Normal 5 2 13 3 2" xfId="14945"/>
    <cellStyle name="Normal 5 2 13 3 3" xfId="14946"/>
    <cellStyle name="Normal 5 2 13 3 4" xfId="14947"/>
    <cellStyle name="Normal 5 2 13 3 5" xfId="14948"/>
    <cellStyle name="Normal 5 2 13 3 6" xfId="14949"/>
    <cellStyle name="Normal 5 2 13 3 7" xfId="14950"/>
    <cellStyle name="Normal 5 2 13 3 8" xfId="14951"/>
    <cellStyle name="Normal 5 2 13 3 9" xfId="14952"/>
    <cellStyle name="Normal 5 2 13 4" xfId="14953"/>
    <cellStyle name="Normal 5 2 13 5" xfId="14954"/>
    <cellStyle name="Normal 5 2 13 6" xfId="14955"/>
    <cellStyle name="Normal 5 2 13 7" xfId="14956"/>
    <cellStyle name="Normal 5 2 13 8" xfId="14957"/>
    <cellStyle name="Normal 5 2 13 9" xfId="14958"/>
    <cellStyle name="Normal 5 2 14" xfId="1698"/>
    <cellStyle name="Normal 5 2 14 10" xfId="14959"/>
    <cellStyle name="Normal 5 2 14 11" xfId="14960"/>
    <cellStyle name="Normal 5 2 14 12" xfId="14961"/>
    <cellStyle name="Normal 5 2 14 13" xfId="5611"/>
    <cellStyle name="Normal 5 2 14 2" xfId="555"/>
    <cellStyle name="Normal 5 2 14 2 10" xfId="14962"/>
    <cellStyle name="Normal 5 2 14 2 11" xfId="4489"/>
    <cellStyle name="Normal 5 2 14 2 2" xfId="14963"/>
    <cellStyle name="Normal 5 2 14 2 3" xfId="14964"/>
    <cellStyle name="Normal 5 2 14 2 4" xfId="14965"/>
    <cellStyle name="Normal 5 2 14 2 5" xfId="14966"/>
    <cellStyle name="Normal 5 2 14 2 6" xfId="14967"/>
    <cellStyle name="Normal 5 2 14 2 7" xfId="14968"/>
    <cellStyle name="Normal 5 2 14 2 8" xfId="14969"/>
    <cellStyle name="Normal 5 2 14 2 9" xfId="14970"/>
    <cellStyle name="Normal 5 2 14 3" xfId="2422"/>
    <cellStyle name="Normal 5 2 14 3 10" xfId="14971"/>
    <cellStyle name="Normal 5 2 14 3 11" xfId="6317"/>
    <cellStyle name="Normal 5 2 14 3 2" xfId="14972"/>
    <cellStyle name="Normal 5 2 14 3 3" xfId="14973"/>
    <cellStyle name="Normal 5 2 14 3 4" xfId="14974"/>
    <cellStyle name="Normal 5 2 14 3 5" xfId="14975"/>
    <cellStyle name="Normal 5 2 14 3 6" xfId="14976"/>
    <cellStyle name="Normal 5 2 14 3 7" xfId="14977"/>
    <cellStyle name="Normal 5 2 14 3 8" xfId="14978"/>
    <cellStyle name="Normal 5 2 14 3 9" xfId="14979"/>
    <cellStyle name="Normal 5 2 14 4" xfId="14980"/>
    <cellStyle name="Normal 5 2 14 5" xfId="14981"/>
    <cellStyle name="Normal 5 2 14 6" xfId="14982"/>
    <cellStyle name="Normal 5 2 14 7" xfId="14983"/>
    <cellStyle name="Normal 5 2 14 8" xfId="14984"/>
    <cellStyle name="Normal 5 2 14 9" xfId="14985"/>
    <cellStyle name="Normal 5 2 15" xfId="3508"/>
    <cellStyle name="Normal 5 2 15 10" xfId="14986"/>
    <cellStyle name="Normal 5 2 15 11" xfId="14987"/>
    <cellStyle name="Normal 5 2 15 12" xfId="14988"/>
    <cellStyle name="Normal 5 2 15 13" xfId="7387"/>
    <cellStyle name="Normal 5 2 15 2" xfId="781"/>
    <cellStyle name="Normal 5 2 15 2 10" xfId="14989"/>
    <cellStyle name="Normal 5 2 15 2 11" xfId="4709"/>
    <cellStyle name="Normal 5 2 15 2 2" xfId="14990"/>
    <cellStyle name="Normal 5 2 15 2 3" xfId="14991"/>
    <cellStyle name="Normal 5 2 15 2 4" xfId="14992"/>
    <cellStyle name="Normal 5 2 15 2 5" xfId="14993"/>
    <cellStyle name="Normal 5 2 15 2 6" xfId="14994"/>
    <cellStyle name="Normal 5 2 15 2 7" xfId="14995"/>
    <cellStyle name="Normal 5 2 15 2 8" xfId="14996"/>
    <cellStyle name="Normal 5 2 15 2 9" xfId="14997"/>
    <cellStyle name="Normal 5 2 15 3" xfId="317"/>
    <cellStyle name="Normal 5 2 15 3 10" xfId="14998"/>
    <cellStyle name="Normal 5 2 15 3 11" xfId="4263"/>
    <cellStyle name="Normal 5 2 15 3 2" xfId="14999"/>
    <cellStyle name="Normal 5 2 15 3 3" xfId="15000"/>
    <cellStyle name="Normal 5 2 15 3 4" xfId="15001"/>
    <cellStyle name="Normal 5 2 15 3 5" xfId="15002"/>
    <cellStyle name="Normal 5 2 15 3 6" xfId="15003"/>
    <cellStyle name="Normal 5 2 15 3 7" xfId="15004"/>
    <cellStyle name="Normal 5 2 15 3 8" xfId="15005"/>
    <cellStyle name="Normal 5 2 15 3 9" xfId="15006"/>
    <cellStyle name="Normal 5 2 15 4" xfId="15007"/>
    <cellStyle name="Normal 5 2 15 5" xfId="15008"/>
    <cellStyle name="Normal 5 2 15 6" xfId="15009"/>
    <cellStyle name="Normal 5 2 15 7" xfId="15010"/>
    <cellStyle name="Normal 5 2 15 8" xfId="15011"/>
    <cellStyle name="Normal 5 2 15 9" xfId="15012"/>
    <cellStyle name="Normal 5 2 16" xfId="3459"/>
    <cellStyle name="Normal 5 2 16 10" xfId="15013"/>
    <cellStyle name="Normal 5 2 16 11" xfId="7339"/>
    <cellStyle name="Normal 5 2 16 2" xfId="15014"/>
    <cellStyle name="Normal 5 2 16 3" xfId="15015"/>
    <cellStyle name="Normal 5 2 16 4" xfId="15016"/>
    <cellStyle name="Normal 5 2 16 5" xfId="15017"/>
    <cellStyle name="Normal 5 2 16 6" xfId="15018"/>
    <cellStyle name="Normal 5 2 16 7" xfId="15019"/>
    <cellStyle name="Normal 5 2 16 8" xfId="15020"/>
    <cellStyle name="Normal 5 2 16 9" xfId="15021"/>
    <cellStyle name="Normal 5 2 17" xfId="3509"/>
    <cellStyle name="Normal 5 2 17 10" xfId="15022"/>
    <cellStyle name="Normal 5 2 17 11" xfId="7388"/>
    <cellStyle name="Normal 5 2 17 2" xfId="15023"/>
    <cellStyle name="Normal 5 2 17 3" xfId="15024"/>
    <cellStyle name="Normal 5 2 17 4" xfId="15025"/>
    <cellStyle name="Normal 5 2 17 5" xfId="15026"/>
    <cellStyle name="Normal 5 2 17 6" xfId="15027"/>
    <cellStyle name="Normal 5 2 17 7" xfId="15028"/>
    <cellStyle name="Normal 5 2 17 8" xfId="15029"/>
    <cellStyle name="Normal 5 2 17 9" xfId="15030"/>
    <cellStyle name="Normal 5 2 18" xfId="15031"/>
    <cellStyle name="Normal 5 2 19" xfId="15032"/>
    <cellStyle name="Normal 5 2 2" xfId="3510"/>
    <cellStyle name="Normal 5 2 2 2" xfId="15033"/>
    <cellStyle name="Normal 5 2 2 2 2" xfId="15034"/>
    <cellStyle name="Normal 5 2 2 2 3" xfId="15035"/>
    <cellStyle name="Normal 5 2 2 3" xfId="15036"/>
    <cellStyle name="Normal 5 2 2 4" xfId="7389"/>
    <cellStyle name="Normal 5 2 20" xfId="15037"/>
    <cellStyle name="Normal 5 2 21" xfId="15038"/>
    <cellStyle name="Normal 5 2 22" xfId="15039"/>
    <cellStyle name="Normal 5 2 23" xfId="15040"/>
    <cellStyle name="Normal 5 2 24" xfId="15041"/>
    <cellStyle name="Normal 5 2 25" xfId="15042"/>
    <cellStyle name="Normal 5 2 26" xfId="15043"/>
    <cellStyle name="Normal 5 2 27" xfId="6433"/>
    <cellStyle name="Normal 5 2 3" xfId="1303"/>
    <cellStyle name="Normal 5 2 3 10" xfId="15044"/>
    <cellStyle name="Normal 5 2 3 11" xfId="15045"/>
    <cellStyle name="Normal 5 2 3 12" xfId="15046"/>
    <cellStyle name="Normal 5 2 3 13" xfId="15047"/>
    <cellStyle name="Normal 5 2 3 14" xfId="15048"/>
    <cellStyle name="Normal 5 2 3 15" xfId="15049"/>
    <cellStyle name="Normal 5 2 3 16" xfId="15050"/>
    <cellStyle name="Normal 5 2 3 17" xfId="15051"/>
    <cellStyle name="Normal 5 2 3 18" xfId="5223"/>
    <cellStyle name="Normal 5 2 3 2" xfId="3511"/>
    <cellStyle name="Normal 5 2 3 2 10" xfId="15052"/>
    <cellStyle name="Normal 5 2 3 2 11" xfId="15053"/>
    <cellStyle name="Normal 5 2 3 2 12" xfId="15054"/>
    <cellStyle name="Normal 5 2 3 2 13" xfId="7390"/>
    <cellStyle name="Normal 5 2 3 2 2" xfId="3512"/>
    <cellStyle name="Normal 5 2 3 2 2 10" xfId="15055"/>
    <cellStyle name="Normal 5 2 3 2 2 11" xfId="7391"/>
    <cellStyle name="Normal 5 2 3 2 2 2" xfId="15056"/>
    <cellStyle name="Normal 5 2 3 2 2 3" xfId="15057"/>
    <cellStyle name="Normal 5 2 3 2 2 4" xfId="15058"/>
    <cellStyle name="Normal 5 2 3 2 2 5" xfId="15059"/>
    <cellStyle name="Normal 5 2 3 2 2 6" xfId="15060"/>
    <cellStyle name="Normal 5 2 3 2 2 7" xfId="15061"/>
    <cellStyle name="Normal 5 2 3 2 2 8" xfId="15062"/>
    <cellStyle name="Normal 5 2 3 2 2 9" xfId="15063"/>
    <cellStyle name="Normal 5 2 3 2 3" xfId="3513"/>
    <cellStyle name="Normal 5 2 3 2 3 10" xfId="15064"/>
    <cellStyle name="Normal 5 2 3 2 3 11" xfId="7392"/>
    <cellStyle name="Normal 5 2 3 2 3 2" xfId="15065"/>
    <cellStyle name="Normal 5 2 3 2 3 3" xfId="15066"/>
    <cellStyle name="Normal 5 2 3 2 3 4" xfId="15067"/>
    <cellStyle name="Normal 5 2 3 2 3 5" xfId="15068"/>
    <cellStyle name="Normal 5 2 3 2 3 6" xfId="15069"/>
    <cellStyle name="Normal 5 2 3 2 3 7" xfId="15070"/>
    <cellStyle name="Normal 5 2 3 2 3 8" xfId="15071"/>
    <cellStyle name="Normal 5 2 3 2 3 9" xfId="15072"/>
    <cellStyle name="Normal 5 2 3 2 4" xfId="15073"/>
    <cellStyle name="Normal 5 2 3 2 5" xfId="15074"/>
    <cellStyle name="Normal 5 2 3 2 6" xfId="15075"/>
    <cellStyle name="Normal 5 2 3 2 7" xfId="15076"/>
    <cellStyle name="Normal 5 2 3 2 8" xfId="15077"/>
    <cellStyle name="Normal 5 2 3 2 9" xfId="15078"/>
    <cellStyle name="Normal 5 2 3 3" xfId="3514"/>
    <cellStyle name="Normal 5 2 3 3 10" xfId="15079"/>
    <cellStyle name="Normal 5 2 3 3 11" xfId="15080"/>
    <cellStyle name="Normal 5 2 3 3 12" xfId="15081"/>
    <cellStyle name="Normal 5 2 3 3 13" xfId="7393"/>
    <cellStyle name="Normal 5 2 3 3 2" xfId="1387"/>
    <cellStyle name="Normal 5 2 3 3 2 10" xfId="15082"/>
    <cellStyle name="Normal 5 2 3 3 2 11" xfId="5303"/>
    <cellStyle name="Normal 5 2 3 3 2 2" xfId="15083"/>
    <cellStyle name="Normal 5 2 3 3 2 3" xfId="15084"/>
    <cellStyle name="Normal 5 2 3 3 2 4" xfId="15085"/>
    <cellStyle name="Normal 5 2 3 3 2 5" xfId="15086"/>
    <cellStyle name="Normal 5 2 3 3 2 6" xfId="15087"/>
    <cellStyle name="Normal 5 2 3 3 2 7" xfId="15088"/>
    <cellStyle name="Normal 5 2 3 3 2 8" xfId="15089"/>
    <cellStyle name="Normal 5 2 3 3 2 9" xfId="15090"/>
    <cellStyle name="Normal 5 2 3 3 3" xfId="1391"/>
    <cellStyle name="Normal 5 2 3 3 3 10" xfId="15091"/>
    <cellStyle name="Normal 5 2 3 3 3 11" xfId="5307"/>
    <cellStyle name="Normal 5 2 3 3 3 2" xfId="15092"/>
    <cellStyle name="Normal 5 2 3 3 3 3" xfId="15093"/>
    <cellStyle name="Normal 5 2 3 3 3 4" xfId="15094"/>
    <cellStyle name="Normal 5 2 3 3 3 5" xfId="15095"/>
    <cellStyle name="Normal 5 2 3 3 3 6" xfId="15096"/>
    <cellStyle name="Normal 5 2 3 3 3 7" xfId="15097"/>
    <cellStyle name="Normal 5 2 3 3 3 8" xfId="15098"/>
    <cellStyle name="Normal 5 2 3 3 3 9" xfId="15099"/>
    <cellStyle name="Normal 5 2 3 3 4" xfId="15100"/>
    <cellStyle name="Normal 5 2 3 3 5" xfId="15101"/>
    <cellStyle name="Normal 5 2 3 3 6" xfId="15102"/>
    <cellStyle name="Normal 5 2 3 3 7" xfId="15103"/>
    <cellStyle name="Normal 5 2 3 3 8" xfId="15104"/>
    <cellStyle name="Normal 5 2 3 3 9" xfId="15105"/>
    <cellStyle name="Normal 5 2 3 4" xfId="3515"/>
    <cellStyle name="Normal 5 2 3 4 10" xfId="15106"/>
    <cellStyle name="Normal 5 2 3 4 11" xfId="15107"/>
    <cellStyle name="Normal 5 2 3 4 12" xfId="15108"/>
    <cellStyle name="Normal 5 2 3 4 13" xfId="7394"/>
    <cellStyle name="Normal 5 2 3 4 2" xfId="1009"/>
    <cellStyle name="Normal 5 2 3 4 2 10" xfId="15109"/>
    <cellStyle name="Normal 5 2 3 4 2 11" xfId="4932"/>
    <cellStyle name="Normal 5 2 3 4 2 2" xfId="15110"/>
    <cellStyle name="Normal 5 2 3 4 2 3" xfId="15111"/>
    <cellStyle name="Normal 5 2 3 4 2 4" xfId="15112"/>
    <cellStyle name="Normal 5 2 3 4 2 5" xfId="15113"/>
    <cellStyle name="Normal 5 2 3 4 2 6" xfId="15114"/>
    <cellStyle name="Normal 5 2 3 4 2 7" xfId="15115"/>
    <cellStyle name="Normal 5 2 3 4 2 8" xfId="15116"/>
    <cellStyle name="Normal 5 2 3 4 2 9" xfId="15117"/>
    <cellStyle name="Normal 5 2 3 4 3" xfId="1013"/>
    <cellStyle name="Normal 5 2 3 4 3 10" xfId="15118"/>
    <cellStyle name="Normal 5 2 3 4 3 11" xfId="4936"/>
    <cellStyle name="Normal 5 2 3 4 3 2" xfId="15119"/>
    <cellStyle name="Normal 5 2 3 4 3 3" xfId="15120"/>
    <cellStyle name="Normal 5 2 3 4 3 4" xfId="15121"/>
    <cellStyle name="Normal 5 2 3 4 3 5" xfId="15122"/>
    <cellStyle name="Normal 5 2 3 4 3 6" xfId="15123"/>
    <cellStyle name="Normal 5 2 3 4 3 7" xfId="15124"/>
    <cellStyle name="Normal 5 2 3 4 3 8" xfId="15125"/>
    <cellStyle name="Normal 5 2 3 4 3 9" xfId="15126"/>
    <cellStyle name="Normal 5 2 3 4 4" xfId="15127"/>
    <cellStyle name="Normal 5 2 3 4 5" xfId="15128"/>
    <cellStyle name="Normal 5 2 3 4 6" xfId="15129"/>
    <cellStyle name="Normal 5 2 3 4 7" xfId="15130"/>
    <cellStyle name="Normal 5 2 3 4 8" xfId="15131"/>
    <cellStyle name="Normal 5 2 3 4 9" xfId="15132"/>
    <cellStyle name="Normal 5 2 3 5" xfId="3516"/>
    <cellStyle name="Normal 5 2 3 5 10" xfId="15133"/>
    <cellStyle name="Normal 5 2 3 5 11" xfId="15134"/>
    <cellStyle name="Normal 5 2 3 5 12" xfId="15135"/>
    <cellStyle name="Normal 5 2 3 5 13" xfId="7395"/>
    <cellStyle name="Normal 5 2 3 5 2" xfId="372"/>
    <cellStyle name="Normal 5 2 3 5 2 10" xfId="15136"/>
    <cellStyle name="Normal 5 2 3 5 2 11" xfId="4318"/>
    <cellStyle name="Normal 5 2 3 5 2 2" xfId="15137"/>
    <cellStyle name="Normal 5 2 3 5 2 3" xfId="15138"/>
    <cellStyle name="Normal 5 2 3 5 2 4" xfId="15139"/>
    <cellStyle name="Normal 5 2 3 5 2 5" xfId="15140"/>
    <cellStyle name="Normal 5 2 3 5 2 6" xfId="15141"/>
    <cellStyle name="Normal 5 2 3 5 2 7" xfId="15142"/>
    <cellStyle name="Normal 5 2 3 5 2 8" xfId="15143"/>
    <cellStyle name="Normal 5 2 3 5 2 9" xfId="15144"/>
    <cellStyle name="Normal 5 2 3 5 3" xfId="1023"/>
    <cellStyle name="Normal 5 2 3 5 3 10" xfId="15145"/>
    <cellStyle name="Normal 5 2 3 5 3 11" xfId="4944"/>
    <cellStyle name="Normal 5 2 3 5 3 2" xfId="15146"/>
    <cellStyle name="Normal 5 2 3 5 3 3" xfId="15147"/>
    <cellStyle name="Normal 5 2 3 5 3 4" xfId="15148"/>
    <cellStyle name="Normal 5 2 3 5 3 5" xfId="15149"/>
    <cellStyle name="Normal 5 2 3 5 3 6" xfId="15150"/>
    <cellStyle name="Normal 5 2 3 5 3 7" xfId="15151"/>
    <cellStyle name="Normal 5 2 3 5 3 8" xfId="15152"/>
    <cellStyle name="Normal 5 2 3 5 3 9" xfId="15153"/>
    <cellStyle name="Normal 5 2 3 5 4" xfId="15154"/>
    <cellStyle name="Normal 5 2 3 5 5" xfId="15155"/>
    <cellStyle name="Normal 5 2 3 5 6" xfId="15156"/>
    <cellStyle name="Normal 5 2 3 5 7" xfId="15157"/>
    <cellStyle name="Normal 5 2 3 5 8" xfId="15158"/>
    <cellStyle name="Normal 5 2 3 5 9" xfId="15159"/>
    <cellStyle name="Normal 5 2 3 6" xfId="7"/>
    <cellStyle name="Normal 5 2 3 6 10" xfId="15160"/>
    <cellStyle name="Normal 5 2 3 6 11" xfId="15161"/>
    <cellStyle name="Normal 5 2 3 6 12" xfId="15162"/>
    <cellStyle name="Normal 5 2 3 6 13" xfId="3968"/>
    <cellStyle name="Normal 5 2 3 6 2" xfId="1041"/>
    <cellStyle name="Normal 5 2 3 6 2 10" xfId="15163"/>
    <cellStyle name="Normal 5 2 3 6 2 11" xfId="4962"/>
    <cellStyle name="Normal 5 2 3 6 2 2" xfId="15164"/>
    <cellStyle name="Normal 5 2 3 6 2 3" xfId="15165"/>
    <cellStyle name="Normal 5 2 3 6 2 4" xfId="15166"/>
    <cellStyle name="Normal 5 2 3 6 2 5" xfId="15167"/>
    <cellStyle name="Normal 5 2 3 6 2 6" xfId="15168"/>
    <cellStyle name="Normal 5 2 3 6 2 7" xfId="15169"/>
    <cellStyle name="Normal 5 2 3 6 2 8" xfId="15170"/>
    <cellStyle name="Normal 5 2 3 6 2 9" xfId="15171"/>
    <cellStyle name="Normal 5 2 3 6 3" xfId="1046"/>
    <cellStyle name="Normal 5 2 3 6 3 10" xfId="15172"/>
    <cellStyle name="Normal 5 2 3 6 3 11" xfId="4967"/>
    <cellStyle name="Normal 5 2 3 6 3 2" xfId="15173"/>
    <cellStyle name="Normal 5 2 3 6 3 3" xfId="15174"/>
    <cellStyle name="Normal 5 2 3 6 3 4" xfId="15175"/>
    <cellStyle name="Normal 5 2 3 6 3 5" xfId="15176"/>
    <cellStyle name="Normal 5 2 3 6 3 6" xfId="15177"/>
    <cellStyle name="Normal 5 2 3 6 3 7" xfId="15178"/>
    <cellStyle name="Normal 5 2 3 6 3 8" xfId="15179"/>
    <cellStyle name="Normal 5 2 3 6 3 9" xfId="15180"/>
    <cellStyle name="Normal 5 2 3 6 4" xfId="15181"/>
    <cellStyle name="Normal 5 2 3 6 5" xfId="15182"/>
    <cellStyle name="Normal 5 2 3 6 6" xfId="15183"/>
    <cellStyle name="Normal 5 2 3 6 7" xfId="15184"/>
    <cellStyle name="Normal 5 2 3 6 8" xfId="15185"/>
    <cellStyle name="Normal 5 2 3 6 9" xfId="15186"/>
    <cellStyle name="Normal 5 2 3 7" xfId="3517"/>
    <cellStyle name="Normal 5 2 3 7 10" xfId="15187"/>
    <cellStyle name="Normal 5 2 3 7 11" xfId="7396"/>
    <cellStyle name="Normal 5 2 3 7 2" xfId="15188"/>
    <cellStyle name="Normal 5 2 3 7 3" xfId="15189"/>
    <cellStyle name="Normal 5 2 3 7 4" xfId="15190"/>
    <cellStyle name="Normal 5 2 3 7 5" xfId="15191"/>
    <cellStyle name="Normal 5 2 3 7 6" xfId="15192"/>
    <cellStyle name="Normal 5 2 3 7 7" xfId="15193"/>
    <cellStyle name="Normal 5 2 3 7 8" xfId="15194"/>
    <cellStyle name="Normal 5 2 3 7 9" xfId="15195"/>
    <cellStyle name="Normal 5 2 3 8" xfId="2125"/>
    <cellStyle name="Normal 5 2 3 8 10" xfId="15196"/>
    <cellStyle name="Normal 5 2 3 8 11" xfId="6027"/>
    <cellStyle name="Normal 5 2 3 8 2" xfId="15197"/>
    <cellStyle name="Normal 5 2 3 8 3" xfId="15198"/>
    <cellStyle name="Normal 5 2 3 8 4" xfId="15199"/>
    <cellStyle name="Normal 5 2 3 8 5" xfId="15200"/>
    <cellStyle name="Normal 5 2 3 8 6" xfId="15201"/>
    <cellStyle name="Normal 5 2 3 8 7" xfId="15202"/>
    <cellStyle name="Normal 5 2 3 8 8" xfId="15203"/>
    <cellStyle name="Normal 5 2 3 8 9" xfId="15204"/>
    <cellStyle name="Normal 5 2 3 9" xfId="15205"/>
    <cellStyle name="Normal 5 2 4" xfId="1305"/>
    <cellStyle name="Normal 5 2 4 10" xfId="15206"/>
    <cellStyle name="Normal 5 2 4 11" xfId="15207"/>
    <cellStyle name="Normal 5 2 4 12" xfId="15208"/>
    <cellStyle name="Normal 5 2 4 13" xfId="15209"/>
    <cellStyle name="Normal 5 2 4 14" xfId="15210"/>
    <cellStyle name="Normal 5 2 4 15" xfId="15211"/>
    <cellStyle name="Normal 5 2 4 16" xfId="15212"/>
    <cellStyle name="Normal 5 2 4 17" xfId="15213"/>
    <cellStyle name="Normal 5 2 4 18" xfId="5225"/>
    <cellStyle name="Normal 5 2 4 2" xfId="1495"/>
    <cellStyle name="Normal 5 2 4 2 10" xfId="15214"/>
    <cellStyle name="Normal 5 2 4 2 11" xfId="15215"/>
    <cellStyle name="Normal 5 2 4 2 12" xfId="15216"/>
    <cellStyle name="Normal 5 2 4 2 13" xfId="5413"/>
    <cellStyle name="Normal 5 2 4 2 2" xfId="3518"/>
    <cellStyle name="Normal 5 2 4 2 2 10" xfId="15217"/>
    <cellStyle name="Normal 5 2 4 2 2 11" xfId="7397"/>
    <cellStyle name="Normal 5 2 4 2 2 2" xfId="15218"/>
    <cellStyle name="Normal 5 2 4 2 2 2 2" xfId="15219"/>
    <cellStyle name="Normal 5 2 4 2 2 2 2 2" xfId="15220"/>
    <cellStyle name="Normal 5 2 4 2 2 2 3" xfId="15221"/>
    <cellStyle name="Normal 5 2 4 2 2 3" xfId="15222"/>
    <cellStyle name="Normal 5 2 4 2 2 3 2" xfId="15223"/>
    <cellStyle name="Normal 5 2 4 2 2 4" xfId="15224"/>
    <cellStyle name="Normal 5 2 4 2 2 4 2" xfId="15225"/>
    <cellStyle name="Normal 5 2 4 2 2 5" xfId="15226"/>
    <cellStyle name="Normal 5 2 4 2 2 6" xfId="15227"/>
    <cellStyle name="Normal 5 2 4 2 2 7" xfId="15228"/>
    <cellStyle name="Normal 5 2 4 2 2 8" xfId="15229"/>
    <cellStyle name="Normal 5 2 4 2 2 9" xfId="15230"/>
    <cellStyle name="Normal 5 2 4 2 3" xfId="3519"/>
    <cellStyle name="Normal 5 2 4 2 3 10" xfId="15231"/>
    <cellStyle name="Normal 5 2 4 2 3 11" xfId="7398"/>
    <cellStyle name="Normal 5 2 4 2 3 2" xfId="15232"/>
    <cellStyle name="Normal 5 2 4 2 3 2 2" xfId="15233"/>
    <cellStyle name="Normal 5 2 4 2 3 2 2 2" xfId="15234"/>
    <cellStyle name="Normal 5 2 4 2 3 2 3" xfId="15235"/>
    <cellStyle name="Normal 5 2 4 2 3 3" xfId="15236"/>
    <cellStyle name="Normal 5 2 4 2 3 3 2" xfId="15237"/>
    <cellStyle name="Normal 5 2 4 2 3 4" xfId="15238"/>
    <cellStyle name="Normal 5 2 4 2 3 4 2" xfId="15239"/>
    <cellStyle name="Normal 5 2 4 2 3 5" xfId="15240"/>
    <cellStyle name="Normal 5 2 4 2 3 6" xfId="15241"/>
    <cellStyle name="Normal 5 2 4 2 3 7" xfId="15242"/>
    <cellStyle name="Normal 5 2 4 2 3 8" xfId="15243"/>
    <cellStyle name="Normal 5 2 4 2 3 9" xfId="15244"/>
    <cellStyle name="Normal 5 2 4 2 4" xfId="15245"/>
    <cellStyle name="Normal 5 2 4 2 4 2" xfId="15246"/>
    <cellStyle name="Normal 5 2 4 2 4 2 2" xfId="15247"/>
    <cellStyle name="Normal 5 2 4 2 4 3" xfId="15248"/>
    <cellStyle name="Normal 5 2 4 2 5" xfId="15249"/>
    <cellStyle name="Normal 5 2 4 2 5 2" xfId="15250"/>
    <cellStyle name="Normal 5 2 4 2 6" xfId="15251"/>
    <cellStyle name="Normal 5 2 4 2 6 2" xfId="15252"/>
    <cellStyle name="Normal 5 2 4 2 7" xfId="15253"/>
    <cellStyle name="Normal 5 2 4 2 8" xfId="15254"/>
    <cellStyle name="Normal 5 2 4 2 9" xfId="15255"/>
    <cellStyle name="Normal 5 2 4 3" xfId="1517"/>
    <cellStyle name="Normal 5 2 4 3 10" xfId="15256"/>
    <cellStyle name="Normal 5 2 4 3 11" xfId="15257"/>
    <cellStyle name="Normal 5 2 4 3 12" xfId="15258"/>
    <cellStyle name="Normal 5 2 4 3 13" xfId="5435"/>
    <cellStyle name="Normal 5 2 4 3 2" xfId="3520"/>
    <cellStyle name="Normal 5 2 4 3 2 10" xfId="15259"/>
    <cellStyle name="Normal 5 2 4 3 2 11" xfId="7399"/>
    <cellStyle name="Normal 5 2 4 3 2 2" xfId="15260"/>
    <cellStyle name="Normal 5 2 4 3 2 2 2" xfId="15261"/>
    <cellStyle name="Normal 5 2 4 3 2 3" xfId="15262"/>
    <cellStyle name="Normal 5 2 4 3 2 4" xfId="15263"/>
    <cellStyle name="Normal 5 2 4 3 2 5" xfId="15264"/>
    <cellStyle name="Normal 5 2 4 3 2 6" xfId="15265"/>
    <cellStyle name="Normal 5 2 4 3 2 7" xfId="15266"/>
    <cellStyle name="Normal 5 2 4 3 2 8" xfId="15267"/>
    <cellStyle name="Normal 5 2 4 3 2 9" xfId="15268"/>
    <cellStyle name="Normal 5 2 4 3 3" xfId="3521"/>
    <cellStyle name="Normal 5 2 4 3 3 10" xfId="15269"/>
    <cellStyle name="Normal 5 2 4 3 3 11" xfId="7400"/>
    <cellStyle name="Normal 5 2 4 3 3 2" xfId="15270"/>
    <cellStyle name="Normal 5 2 4 3 3 3" xfId="15271"/>
    <cellStyle name="Normal 5 2 4 3 3 4" xfId="15272"/>
    <cellStyle name="Normal 5 2 4 3 3 5" xfId="15273"/>
    <cellStyle name="Normal 5 2 4 3 3 6" xfId="15274"/>
    <cellStyle name="Normal 5 2 4 3 3 7" xfId="15275"/>
    <cellStyle name="Normal 5 2 4 3 3 8" xfId="15276"/>
    <cellStyle name="Normal 5 2 4 3 3 9" xfId="15277"/>
    <cellStyle name="Normal 5 2 4 3 4" xfId="15278"/>
    <cellStyle name="Normal 5 2 4 3 4 2" xfId="15279"/>
    <cellStyle name="Normal 5 2 4 3 5" xfId="15280"/>
    <cellStyle name="Normal 5 2 4 3 6" xfId="15281"/>
    <cellStyle name="Normal 5 2 4 3 7" xfId="15282"/>
    <cellStyle name="Normal 5 2 4 3 8" xfId="15283"/>
    <cellStyle name="Normal 5 2 4 3 9" xfId="15284"/>
    <cellStyle name="Normal 5 2 4 4" xfId="1535"/>
    <cellStyle name="Normal 5 2 4 4 10" xfId="15285"/>
    <cellStyle name="Normal 5 2 4 4 11" xfId="15286"/>
    <cellStyle name="Normal 5 2 4 4 12" xfId="15287"/>
    <cellStyle name="Normal 5 2 4 4 13" xfId="5453"/>
    <cellStyle name="Normal 5 2 4 4 2" xfId="1175"/>
    <cellStyle name="Normal 5 2 4 4 2 10" xfId="15288"/>
    <cellStyle name="Normal 5 2 4 4 2 11" xfId="5097"/>
    <cellStyle name="Normal 5 2 4 4 2 2" xfId="15289"/>
    <cellStyle name="Normal 5 2 4 4 2 2 2" xfId="15290"/>
    <cellStyle name="Normal 5 2 4 4 2 3" xfId="15291"/>
    <cellStyle name="Normal 5 2 4 4 2 4" xfId="15292"/>
    <cellStyle name="Normal 5 2 4 4 2 5" xfId="15293"/>
    <cellStyle name="Normal 5 2 4 4 2 6" xfId="15294"/>
    <cellStyle name="Normal 5 2 4 4 2 7" xfId="15295"/>
    <cellStyle name="Normal 5 2 4 4 2 8" xfId="15296"/>
    <cellStyle name="Normal 5 2 4 4 2 9" xfId="15297"/>
    <cellStyle name="Normal 5 2 4 4 3" xfId="1179"/>
    <cellStyle name="Normal 5 2 4 4 3 10" xfId="15298"/>
    <cellStyle name="Normal 5 2 4 4 3 11" xfId="5101"/>
    <cellStyle name="Normal 5 2 4 4 3 2" xfId="15299"/>
    <cellStyle name="Normal 5 2 4 4 3 3" xfId="15300"/>
    <cellStyle name="Normal 5 2 4 4 3 4" xfId="15301"/>
    <cellStyle name="Normal 5 2 4 4 3 5" xfId="15302"/>
    <cellStyle name="Normal 5 2 4 4 3 6" xfId="15303"/>
    <cellStyle name="Normal 5 2 4 4 3 7" xfId="15304"/>
    <cellStyle name="Normal 5 2 4 4 3 8" xfId="15305"/>
    <cellStyle name="Normal 5 2 4 4 3 9" xfId="15306"/>
    <cellStyle name="Normal 5 2 4 4 4" xfId="15307"/>
    <cellStyle name="Normal 5 2 4 4 4 2" xfId="15308"/>
    <cellStyle name="Normal 5 2 4 4 5" xfId="15309"/>
    <cellStyle name="Normal 5 2 4 4 6" xfId="15310"/>
    <cellStyle name="Normal 5 2 4 4 7" xfId="15311"/>
    <cellStyle name="Normal 5 2 4 4 8" xfId="15312"/>
    <cellStyle name="Normal 5 2 4 4 9" xfId="15313"/>
    <cellStyle name="Normal 5 2 4 5" xfId="2379"/>
    <cellStyle name="Normal 5 2 4 5 10" xfId="15314"/>
    <cellStyle name="Normal 5 2 4 5 11" xfId="15315"/>
    <cellStyle name="Normal 5 2 4 5 12" xfId="15316"/>
    <cellStyle name="Normal 5 2 4 5 13" xfId="6274"/>
    <cellStyle name="Normal 5 2 4 5 2" xfId="400"/>
    <cellStyle name="Normal 5 2 4 5 2 10" xfId="15317"/>
    <cellStyle name="Normal 5 2 4 5 2 11" xfId="4348"/>
    <cellStyle name="Normal 5 2 4 5 2 2" xfId="15318"/>
    <cellStyle name="Normal 5 2 4 5 2 2 2" xfId="15319"/>
    <cellStyle name="Normal 5 2 4 5 2 3" xfId="15320"/>
    <cellStyle name="Normal 5 2 4 5 2 4" xfId="15321"/>
    <cellStyle name="Normal 5 2 4 5 2 5" xfId="15322"/>
    <cellStyle name="Normal 5 2 4 5 2 6" xfId="15323"/>
    <cellStyle name="Normal 5 2 4 5 2 7" xfId="15324"/>
    <cellStyle name="Normal 5 2 4 5 2 8" xfId="15325"/>
    <cellStyle name="Normal 5 2 4 5 2 9" xfId="15326"/>
    <cellStyle name="Normal 5 2 4 5 3" xfId="1189"/>
    <cellStyle name="Normal 5 2 4 5 3 10" xfId="15327"/>
    <cellStyle name="Normal 5 2 4 5 3 11" xfId="5110"/>
    <cellStyle name="Normal 5 2 4 5 3 2" xfId="15328"/>
    <cellStyle name="Normal 5 2 4 5 3 3" xfId="15329"/>
    <cellStyle name="Normal 5 2 4 5 3 4" xfId="15330"/>
    <cellStyle name="Normal 5 2 4 5 3 5" xfId="15331"/>
    <cellStyle name="Normal 5 2 4 5 3 6" xfId="15332"/>
    <cellStyle name="Normal 5 2 4 5 3 7" xfId="15333"/>
    <cellStyle name="Normal 5 2 4 5 3 8" xfId="15334"/>
    <cellStyle name="Normal 5 2 4 5 3 9" xfId="15335"/>
    <cellStyle name="Normal 5 2 4 5 4" xfId="15336"/>
    <cellStyle name="Normal 5 2 4 5 4 2" xfId="15337"/>
    <cellStyle name="Normal 5 2 4 5 5" xfId="15338"/>
    <cellStyle name="Normal 5 2 4 5 6" xfId="15339"/>
    <cellStyle name="Normal 5 2 4 5 7" xfId="15340"/>
    <cellStyle name="Normal 5 2 4 5 8" xfId="15341"/>
    <cellStyle name="Normal 5 2 4 5 9" xfId="15342"/>
    <cellStyle name="Normal 5 2 4 6" xfId="2381"/>
    <cellStyle name="Normal 5 2 4 6 10" xfId="15343"/>
    <cellStyle name="Normal 5 2 4 6 11" xfId="15344"/>
    <cellStyle name="Normal 5 2 4 6 12" xfId="15345"/>
    <cellStyle name="Normal 5 2 4 6 13" xfId="6276"/>
    <cellStyle name="Normal 5 2 4 6 2" xfId="164"/>
    <cellStyle name="Normal 5 2 4 6 2 10" xfId="15346"/>
    <cellStyle name="Normal 5 2 4 6 2 11" xfId="4097"/>
    <cellStyle name="Normal 5 2 4 6 2 2" xfId="15347"/>
    <cellStyle name="Normal 5 2 4 6 2 2 2" xfId="15348"/>
    <cellStyle name="Normal 5 2 4 6 2 3" xfId="15349"/>
    <cellStyle name="Normal 5 2 4 6 2 4" xfId="15350"/>
    <cellStyle name="Normal 5 2 4 6 2 5" xfId="15351"/>
    <cellStyle name="Normal 5 2 4 6 2 6" xfId="15352"/>
    <cellStyle name="Normal 5 2 4 6 2 7" xfId="15353"/>
    <cellStyle name="Normal 5 2 4 6 2 8" xfId="15354"/>
    <cellStyle name="Normal 5 2 4 6 2 9" xfId="15355"/>
    <cellStyle name="Normal 5 2 4 6 3" xfId="178"/>
    <cellStyle name="Normal 5 2 4 6 3 10" xfId="15356"/>
    <cellStyle name="Normal 5 2 4 6 3 11" xfId="4112"/>
    <cellStyle name="Normal 5 2 4 6 3 2" xfId="15357"/>
    <cellStyle name="Normal 5 2 4 6 3 3" xfId="15358"/>
    <cellStyle name="Normal 5 2 4 6 3 4" xfId="15359"/>
    <cellStyle name="Normal 5 2 4 6 3 5" xfId="15360"/>
    <cellStyle name="Normal 5 2 4 6 3 6" xfId="15361"/>
    <cellStyle name="Normal 5 2 4 6 3 7" xfId="15362"/>
    <cellStyle name="Normal 5 2 4 6 3 8" xfId="15363"/>
    <cellStyle name="Normal 5 2 4 6 3 9" xfId="15364"/>
    <cellStyle name="Normal 5 2 4 6 4" xfId="15365"/>
    <cellStyle name="Normal 5 2 4 6 4 2" xfId="15366"/>
    <cellStyle name="Normal 5 2 4 6 5" xfId="15367"/>
    <cellStyle name="Normal 5 2 4 6 6" xfId="15368"/>
    <cellStyle name="Normal 5 2 4 6 7" xfId="15369"/>
    <cellStyle name="Normal 5 2 4 6 8" xfId="15370"/>
    <cellStyle name="Normal 5 2 4 6 9" xfId="15371"/>
    <cellStyle name="Normal 5 2 4 7" xfId="3522"/>
    <cellStyle name="Normal 5 2 4 7 10" xfId="15372"/>
    <cellStyle name="Normal 5 2 4 7 11" xfId="7401"/>
    <cellStyle name="Normal 5 2 4 7 2" xfId="15373"/>
    <cellStyle name="Normal 5 2 4 7 2 2" xfId="15374"/>
    <cellStyle name="Normal 5 2 4 7 3" xfId="15375"/>
    <cellStyle name="Normal 5 2 4 7 4" xfId="15376"/>
    <cellStyle name="Normal 5 2 4 7 5" xfId="15377"/>
    <cellStyle name="Normal 5 2 4 7 6" xfId="15378"/>
    <cellStyle name="Normal 5 2 4 7 7" xfId="15379"/>
    <cellStyle name="Normal 5 2 4 7 8" xfId="15380"/>
    <cellStyle name="Normal 5 2 4 7 9" xfId="15381"/>
    <cellStyle name="Normal 5 2 4 8" xfId="943"/>
    <cellStyle name="Normal 5 2 4 8 10" xfId="15382"/>
    <cellStyle name="Normal 5 2 4 8 11" xfId="4866"/>
    <cellStyle name="Normal 5 2 4 8 2" xfId="15383"/>
    <cellStyle name="Normal 5 2 4 8 3" xfId="15384"/>
    <cellStyle name="Normal 5 2 4 8 4" xfId="15385"/>
    <cellStyle name="Normal 5 2 4 8 5" xfId="15386"/>
    <cellStyle name="Normal 5 2 4 8 6" xfId="15387"/>
    <cellStyle name="Normal 5 2 4 8 7" xfId="15388"/>
    <cellStyle name="Normal 5 2 4 8 8" xfId="15389"/>
    <cellStyle name="Normal 5 2 4 8 9" xfId="15390"/>
    <cellStyle name="Normal 5 2 4 9" xfId="15391"/>
    <cellStyle name="Normal 5 2 4 9 2" xfId="15392"/>
    <cellStyle name="Normal 5 2 5" xfId="1308"/>
    <cellStyle name="Normal 5 2 5 10" xfId="15393"/>
    <cellStyle name="Normal 5 2 5 11" xfId="15394"/>
    <cellStyle name="Normal 5 2 5 12" xfId="15395"/>
    <cellStyle name="Normal 5 2 5 13" xfId="15396"/>
    <cellStyle name="Normal 5 2 5 14" xfId="15397"/>
    <cellStyle name="Normal 5 2 5 15" xfId="15398"/>
    <cellStyle name="Normal 5 2 5 16" xfId="15399"/>
    <cellStyle name="Normal 5 2 5 17" xfId="15400"/>
    <cellStyle name="Normal 5 2 5 18" xfId="5228"/>
    <cellStyle name="Normal 5 2 5 2" xfId="3523"/>
    <cellStyle name="Normal 5 2 5 2 10" xfId="15401"/>
    <cellStyle name="Normal 5 2 5 2 11" xfId="15402"/>
    <cellStyle name="Normal 5 2 5 2 12" xfId="15403"/>
    <cellStyle name="Normal 5 2 5 2 13" xfId="7402"/>
    <cellStyle name="Normal 5 2 5 2 2" xfId="3524"/>
    <cellStyle name="Normal 5 2 5 2 2 10" xfId="15404"/>
    <cellStyle name="Normal 5 2 5 2 2 11" xfId="7403"/>
    <cellStyle name="Normal 5 2 5 2 2 2" xfId="15405"/>
    <cellStyle name="Normal 5 2 5 2 2 2 2" xfId="15406"/>
    <cellStyle name="Normal 5 2 5 2 2 3" xfId="15407"/>
    <cellStyle name="Normal 5 2 5 2 2 4" xfId="15408"/>
    <cellStyle name="Normal 5 2 5 2 2 5" xfId="15409"/>
    <cellStyle name="Normal 5 2 5 2 2 6" xfId="15410"/>
    <cellStyle name="Normal 5 2 5 2 2 7" xfId="15411"/>
    <cellStyle name="Normal 5 2 5 2 2 8" xfId="15412"/>
    <cellStyle name="Normal 5 2 5 2 2 9" xfId="15413"/>
    <cellStyle name="Normal 5 2 5 2 3" xfId="3525"/>
    <cellStyle name="Normal 5 2 5 2 3 10" xfId="15414"/>
    <cellStyle name="Normal 5 2 5 2 3 11" xfId="7404"/>
    <cellStyle name="Normal 5 2 5 2 3 2" xfId="15415"/>
    <cellStyle name="Normal 5 2 5 2 3 3" xfId="15416"/>
    <cellStyle name="Normal 5 2 5 2 3 4" xfId="15417"/>
    <cellStyle name="Normal 5 2 5 2 3 5" xfId="15418"/>
    <cellStyle name="Normal 5 2 5 2 3 6" xfId="15419"/>
    <cellStyle name="Normal 5 2 5 2 3 7" xfId="15420"/>
    <cellStyle name="Normal 5 2 5 2 3 8" xfId="15421"/>
    <cellStyle name="Normal 5 2 5 2 3 9" xfId="15422"/>
    <cellStyle name="Normal 5 2 5 2 4" xfId="15423"/>
    <cellStyle name="Normal 5 2 5 2 4 2" xfId="15424"/>
    <cellStyle name="Normal 5 2 5 2 5" xfId="15425"/>
    <cellStyle name="Normal 5 2 5 2 6" xfId="15426"/>
    <cellStyle name="Normal 5 2 5 2 7" xfId="15427"/>
    <cellStyle name="Normal 5 2 5 2 8" xfId="15428"/>
    <cellStyle name="Normal 5 2 5 2 9" xfId="15429"/>
    <cellStyle name="Normal 5 2 5 3" xfId="3526"/>
    <cellStyle name="Normal 5 2 5 3 10" xfId="15430"/>
    <cellStyle name="Normal 5 2 5 3 11" xfId="15431"/>
    <cellStyle name="Normal 5 2 5 3 12" xfId="15432"/>
    <cellStyle name="Normal 5 2 5 3 13" xfId="7405"/>
    <cellStyle name="Normal 5 2 5 3 2" xfId="3527"/>
    <cellStyle name="Normal 5 2 5 3 2 10" xfId="15433"/>
    <cellStyle name="Normal 5 2 5 3 2 11" xfId="7406"/>
    <cellStyle name="Normal 5 2 5 3 2 2" xfId="15434"/>
    <cellStyle name="Normal 5 2 5 3 2 2 2" xfId="15435"/>
    <cellStyle name="Normal 5 2 5 3 2 3" xfId="15436"/>
    <cellStyle name="Normal 5 2 5 3 2 4" xfId="15437"/>
    <cellStyle name="Normal 5 2 5 3 2 5" xfId="15438"/>
    <cellStyle name="Normal 5 2 5 3 2 6" xfId="15439"/>
    <cellStyle name="Normal 5 2 5 3 2 7" xfId="15440"/>
    <cellStyle name="Normal 5 2 5 3 2 8" xfId="15441"/>
    <cellStyle name="Normal 5 2 5 3 2 9" xfId="15442"/>
    <cellStyle name="Normal 5 2 5 3 3" xfId="3528"/>
    <cellStyle name="Normal 5 2 5 3 3 10" xfId="15443"/>
    <cellStyle name="Normal 5 2 5 3 3 11" xfId="7407"/>
    <cellStyle name="Normal 5 2 5 3 3 2" xfId="15444"/>
    <cellStyle name="Normal 5 2 5 3 3 3" xfId="15445"/>
    <cellStyle name="Normal 5 2 5 3 3 4" xfId="15446"/>
    <cellStyle name="Normal 5 2 5 3 3 5" xfId="15447"/>
    <cellStyle name="Normal 5 2 5 3 3 6" xfId="15448"/>
    <cellStyle name="Normal 5 2 5 3 3 7" xfId="15449"/>
    <cellStyle name="Normal 5 2 5 3 3 8" xfId="15450"/>
    <cellStyle name="Normal 5 2 5 3 3 9" xfId="15451"/>
    <cellStyle name="Normal 5 2 5 3 4" xfId="15452"/>
    <cellStyle name="Normal 5 2 5 3 4 2" xfId="15453"/>
    <cellStyle name="Normal 5 2 5 3 5" xfId="15454"/>
    <cellStyle name="Normal 5 2 5 3 6" xfId="15455"/>
    <cellStyle name="Normal 5 2 5 3 7" xfId="15456"/>
    <cellStyle name="Normal 5 2 5 3 8" xfId="15457"/>
    <cellStyle name="Normal 5 2 5 3 9" xfId="15458"/>
    <cellStyle name="Normal 5 2 5 4" xfId="3529"/>
    <cellStyle name="Normal 5 2 5 4 10" xfId="15459"/>
    <cellStyle name="Normal 5 2 5 4 11" xfId="15460"/>
    <cellStyle name="Normal 5 2 5 4 12" xfId="15461"/>
    <cellStyle name="Normal 5 2 5 4 13" xfId="7408"/>
    <cellStyle name="Normal 5 2 5 4 2" xfId="3530"/>
    <cellStyle name="Normal 5 2 5 4 2 10" xfId="15462"/>
    <cellStyle name="Normal 5 2 5 4 2 11" xfId="7409"/>
    <cellStyle name="Normal 5 2 5 4 2 2" xfId="15463"/>
    <cellStyle name="Normal 5 2 5 4 2 2 2" xfId="15464"/>
    <cellStyle name="Normal 5 2 5 4 2 3" xfId="15465"/>
    <cellStyle name="Normal 5 2 5 4 2 4" xfId="15466"/>
    <cellStyle name="Normal 5 2 5 4 2 5" xfId="15467"/>
    <cellStyle name="Normal 5 2 5 4 2 6" xfId="15468"/>
    <cellStyle name="Normal 5 2 5 4 2 7" xfId="15469"/>
    <cellStyle name="Normal 5 2 5 4 2 8" xfId="15470"/>
    <cellStyle name="Normal 5 2 5 4 2 9" xfId="15471"/>
    <cellStyle name="Normal 5 2 5 4 3" xfId="1553"/>
    <cellStyle name="Normal 5 2 5 4 3 10" xfId="15472"/>
    <cellStyle name="Normal 5 2 5 4 3 11" xfId="5470"/>
    <cellStyle name="Normal 5 2 5 4 3 2" xfId="15473"/>
    <cellStyle name="Normal 5 2 5 4 3 3" xfId="15474"/>
    <cellStyle name="Normal 5 2 5 4 3 4" xfId="15475"/>
    <cellStyle name="Normal 5 2 5 4 3 5" xfId="15476"/>
    <cellStyle name="Normal 5 2 5 4 3 6" xfId="15477"/>
    <cellStyle name="Normal 5 2 5 4 3 7" xfId="15478"/>
    <cellStyle name="Normal 5 2 5 4 3 8" xfId="15479"/>
    <cellStyle name="Normal 5 2 5 4 3 9" xfId="15480"/>
    <cellStyle name="Normal 5 2 5 4 4" xfId="15481"/>
    <cellStyle name="Normal 5 2 5 4 4 2" xfId="15482"/>
    <cellStyle name="Normal 5 2 5 4 5" xfId="15483"/>
    <cellStyle name="Normal 5 2 5 4 6" xfId="15484"/>
    <cellStyle name="Normal 5 2 5 4 7" xfId="15485"/>
    <cellStyle name="Normal 5 2 5 4 8" xfId="15486"/>
    <cellStyle name="Normal 5 2 5 4 9" xfId="15487"/>
    <cellStyle name="Normal 5 2 5 5" xfId="3531"/>
    <cellStyle name="Normal 5 2 5 5 10" xfId="15488"/>
    <cellStyle name="Normal 5 2 5 5 11" xfId="15489"/>
    <cellStyle name="Normal 5 2 5 5 12" xfId="15490"/>
    <cellStyle name="Normal 5 2 5 5 13" xfId="7410"/>
    <cellStyle name="Normal 5 2 5 5 2" xfId="1260"/>
    <cellStyle name="Normal 5 2 5 5 2 10" xfId="15491"/>
    <cellStyle name="Normal 5 2 5 5 2 11" xfId="5180"/>
    <cellStyle name="Normal 5 2 5 5 2 2" xfId="15492"/>
    <cellStyle name="Normal 5 2 5 5 2 2 2" xfId="15493"/>
    <cellStyle name="Normal 5 2 5 5 2 3" xfId="15494"/>
    <cellStyle name="Normal 5 2 5 5 2 4" xfId="15495"/>
    <cellStyle name="Normal 5 2 5 5 2 5" xfId="15496"/>
    <cellStyle name="Normal 5 2 5 5 2 6" xfId="15497"/>
    <cellStyle name="Normal 5 2 5 5 2 7" xfId="15498"/>
    <cellStyle name="Normal 5 2 5 5 2 8" xfId="15499"/>
    <cellStyle name="Normal 5 2 5 5 2 9" xfId="15500"/>
    <cellStyle name="Normal 5 2 5 5 3" xfId="678"/>
    <cellStyle name="Normal 5 2 5 5 3 10" xfId="15501"/>
    <cellStyle name="Normal 5 2 5 5 3 11" xfId="4610"/>
    <cellStyle name="Normal 5 2 5 5 3 2" xfId="15502"/>
    <cellStyle name="Normal 5 2 5 5 3 3" xfId="15503"/>
    <cellStyle name="Normal 5 2 5 5 3 4" xfId="15504"/>
    <cellStyle name="Normal 5 2 5 5 3 5" xfId="15505"/>
    <cellStyle name="Normal 5 2 5 5 3 6" xfId="15506"/>
    <cellStyle name="Normal 5 2 5 5 3 7" xfId="15507"/>
    <cellStyle name="Normal 5 2 5 5 3 8" xfId="15508"/>
    <cellStyle name="Normal 5 2 5 5 3 9" xfId="15509"/>
    <cellStyle name="Normal 5 2 5 5 4" xfId="15510"/>
    <cellStyle name="Normal 5 2 5 5 4 2" xfId="15511"/>
    <cellStyle name="Normal 5 2 5 5 5" xfId="15512"/>
    <cellStyle name="Normal 5 2 5 5 6" xfId="15513"/>
    <cellStyle name="Normal 5 2 5 5 7" xfId="15514"/>
    <cellStyle name="Normal 5 2 5 5 8" xfId="15515"/>
    <cellStyle name="Normal 5 2 5 5 9" xfId="15516"/>
    <cellStyle name="Normal 5 2 5 6" xfId="3532"/>
    <cellStyle name="Normal 5 2 5 6 10" xfId="15517"/>
    <cellStyle name="Normal 5 2 5 6 11" xfId="15518"/>
    <cellStyle name="Normal 5 2 5 6 12" xfId="15519"/>
    <cellStyle name="Normal 5 2 5 6 13" xfId="7411"/>
    <cellStyle name="Normal 5 2 5 6 2" xfId="3269"/>
    <cellStyle name="Normal 5 2 5 6 2 10" xfId="15520"/>
    <cellStyle name="Normal 5 2 5 6 2 11" xfId="7151"/>
    <cellStyle name="Normal 5 2 5 6 2 2" xfId="15521"/>
    <cellStyle name="Normal 5 2 5 6 2 3" xfId="15522"/>
    <cellStyle name="Normal 5 2 5 6 2 4" xfId="15523"/>
    <cellStyle name="Normal 5 2 5 6 2 5" xfId="15524"/>
    <cellStyle name="Normal 5 2 5 6 2 6" xfId="15525"/>
    <cellStyle name="Normal 5 2 5 6 2 7" xfId="15526"/>
    <cellStyle name="Normal 5 2 5 6 2 8" xfId="15527"/>
    <cellStyle name="Normal 5 2 5 6 2 9" xfId="15528"/>
    <cellStyle name="Normal 5 2 5 6 3" xfId="3286"/>
    <cellStyle name="Normal 5 2 5 6 3 10" xfId="15529"/>
    <cellStyle name="Normal 5 2 5 6 3 11" xfId="7168"/>
    <cellStyle name="Normal 5 2 5 6 3 2" xfId="15530"/>
    <cellStyle name="Normal 5 2 5 6 3 3" xfId="15531"/>
    <cellStyle name="Normal 5 2 5 6 3 4" xfId="15532"/>
    <cellStyle name="Normal 5 2 5 6 3 5" xfId="15533"/>
    <cellStyle name="Normal 5 2 5 6 3 6" xfId="15534"/>
    <cellStyle name="Normal 5 2 5 6 3 7" xfId="15535"/>
    <cellStyle name="Normal 5 2 5 6 3 8" xfId="15536"/>
    <cellStyle name="Normal 5 2 5 6 3 9" xfId="15537"/>
    <cellStyle name="Normal 5 2 5 6 4" xfId="15538"/>
    <cellStyle name="Normal 5 2 5 6 5" xfId="15539"/>
    <cellStyle name="Normal 5 2 5 6 6" xfId="15540"/>
    <cellStyle name="Normal 5 2 5 6 7" xfId="15541"/>
    <cellStyle name="Normal 5 2 5 6 8" xfId="15542"/>
    <cellStyle name="Normal 5 2 5 6 9" xfId="15543"/>
    <cellStyle name="Normal 5 2 5 7" xfId="3533"/>
    <cellStyle name="Normal 5 2 5 7 10" xfId="15544"/>
    <cellStyle name="Normal 5 2 5 7 11" xfId="7412"/>
    <cellStyle name="Normal 5 2 5 7 2" xfId="15545"/>
    <cellStyle name="Normal 5 2 5 7 3" xfId="15546"/>
    <cellStyle name="Normal 5 2 5 7 4" xfId="15547"/>
    <cellStyle name="Normal 5 2 5 7 5" xfId="15548"/>
    <cellStyle name="Normal 5 2 5 7 6" xfId="15549"/>
    <cellStyle name="Normal 5 2 5 7 7" xfId="15550"/>
    <cellStyle name="Normal 5 2 5 7 8" xfId="15551"/>
    <cellStyle name="Normal 5 2 5 7 9" xfId="15552"/>
    <cellStyle name="Normal 5 2 5 8" xfId="3534"/>
    <cellStyle name="Normal 5 2 5 8 10" xfId="15553"/>
    <cellStyle name="Normal 5 2 5 8 11" xfId="7413"/>
    <cellStyle name="Normal 5 2 5 8 2" xfId="15554"/>
    <cellStyle name="Normal 5 2 5 8 3" xfId="15555"/>
    <cellStyle name="Normal 5 2 5 8 4" xfId="15556"/>
    <cellStyle name="Normal 5 2 5 8 5" xfId="15557"/>
    <cellStyle name="Normal 5 2 5 8 6" xfId="15558"/>
    <cellStyle name="Normal 5 2 5 8 7" xfId="15559"/>
    <cellStyle name="Normal 5 2 5 8 8" xfId="15560"/>
    <cellStyle name="Normal 5 2 5 8 9" xfId="15561"/>
    <cellStyle name="Normal 5 2 5 9" xfId="15562"/>
    <cellStyle name="Normal 5 2 6" xfId="1311"/>
    <cellStyle name="Normal 5 2 6 10" xfId="15563"/>
    <cellStyle name="Normal 5 2 6 11" xfId="15564"/>
    <cellStyle name="Normal 5 2 6 12" xfId="15565"/>
    <cellStyle name="Normal 5 2 6 13" xfId="15566"/>
    <cellStyle name="Normal 5 2 6 14" xfId="15567"/>
    <cellStyle name="Normal 5 2 6 15" xfId="15568"/>
    <cellStyle name="Normal 5 2 6 16" xfId="15569"/>
    <cellStyle name="Normal 5 2 6 17" xfId="15570"/>
    <cellStyle name="Normal 5 2 6 18" xfId="5231"/>
    <cellStyle name="Normal 5 2 6 2" xfId="2895"/>
    <cellStyle name="Normal 5 2 6 2 10" xfId="15571"/>
    <cellStyle name="Normal 5 2 6 2 11" xfId="15572"/>
    <cellStyle name="Normal 5 2 6 2 12" xfId="15573"/>
    <cellStyle name="Normal 5 2 6 2 13" xfId="6784"/>
    <cellStyle name="Normal 5 2 6 2 2" xfId="3536"/>
    <cellStyle name="Normal 5 2 6 2 2 10" xfId="15574"/>
    <cellStyle name="Normal 5 2 6 2 2 11" xfId="7414"/>
    <cellStyle name="Normal 5 2 6 2 2 2" xfId="15575"/>
    <cellStyle name="Normal 5 2 6 2 2 2 2" xfId="15576"/>
    <cellStyle name="Normal 5 2 6 2 2 3" xfId="15577"/>
    <cellStyle name="Normal 5 2 6 2 2 4" xfId="15578"/>
    <cellStyle name="Normal 5 2 6 2 2 5" xfId="15579"/>
    <cellStyle name="Normal 5 2 6 2 2 6" xfId="15580"/>
    <cellStyle name="Normal 5 2 6 2 2 7" xfId="15581"/>
    <cellStyle name="Normal 5 2 6 2 2 8" xfId="15582"/>
    <cellStyle name="Normal 5 2 6 2 2 9" xfId="15583"/>
    <cellStyle name="Normal 5 2 6 2 3" xfId="3538"/>
    <cellStyle name="Normal 5 2 6 2 3 10" xfId="15584"/>
    <cellStyle name="Normal 5 2 6 2 3 11" xfId="7416"/>
    <cellStyle name="Normal 5 2 6 2 3 2" xfId="15585"/>
    <cellStyle name="Normal 5 2 6 2 3 3" xfId="15586"/>
    <cellStyle name="Normal 5 2 6 2 3 4" xfId="15587"/>
    <cellStyle name="Normal 5 2 6 2 3 5" xfId="15588"/>
    <cellStyle name="Normal 5 2 6 2 3 6" xfId="15589"/>
    <cellStyle name="Normal 5 2 6 2 3 7" xfId="15590"/>
    <cellStyle name="Normal 5 2 6 2 3 8" xfId="15591"/>
    <cellStyle name="Normal 5 2 6 2 3 9" xfId="15592"/>
    <cellStyle name="Normal 5 2 6 2 4" xfId="15593"/>
    <cellStyle name="Normal 5 2 6 2 4 2" xfId="15594"/>
    <cellStyle name="Normal 5 2 6 2 5" xfId="15595"/>
    <cellStyle name="Normal 5 2 6 2 6" xfId="15596"/>
    <cellStyle name="Normal 5 2 6 2 7" xfId="15597"/>
    <cellStyle name="Normal 5 2 6 2 8" xfId="15598"/>
    <cellStyle name="Normal 5 2 6 2 9" xfId="15599"/>
    <cellStyle name="Normal 5 2 6 3" xfId="2897"/>
    <cellStyle name="Normal 5 2 6 3 10" xfId="15600"/>
    <cellStyle name="Normal 5 2 6 3 11" xfId="15601"/>
    <cellStyle name="Normal 5 2 6 3 12" xfId="15602"/>
    <cellStyle name="Normal 5 2 6 3 13" xfId="6786"/>
    <cellStyle name="Normal 5 2 6 3 2" xfId="3539"/>
    <cellStyle name="Normal 5 2 6 3 2 10" xfId="15603"/>
    <cellStyle name="Normal 5 2 6 3 2 11" xfId="7418"/>
    <cellStyle name="Normal 5 2 6 3 2 2" xfId="15604"/>
    <cellStyle name="Normal 5 2 6 3 2 2 2" xfId="15605"/>
    <cellStyle name="Normal 5 2 6 3 2 3" xfId="15606"/>
    <cellStyle name="Normal 5 2 6 3 2 4" xfId="15607"/>
    <cellStyle name="Normal 5 2 6 3 2 5" xfId="15608"/>
    <cellStyle name="Normal 5 2 6 3 2 6" xfId="15609"/>
    <cellStyle name="Normal 5 2 6 3 2 7" xfId="15610"/>
    <cellStyle name="Normal 5 2 6 3 2 8" xfId="15611"/>
    <cellStyle name="Normal 5 2 6 3 2 9" xfId="15612"/>
    <cellStyle name="Normal 5 2 6 3 3" xfId="3540"/>
    <cellStyle name="Normal 5 2 6 3 3 10" xfId="15613"/>
    <cellStyle name="Normal 5 2 6 3 3 11" xfId="7419"/>
    <cellStyle name="Normal 5 2 6 3 3 2" xfId="15614"/>
    <cellStyle name="Normal 5 2 6 3 3 3" xfId="15615"/>
    <cellStyle name="Normal 5 2 6 3 3 4" xfId="15616"/>
    <cellStyle name="Normal 5 2 6 3 3 5" xfId="15617"/>
    <cellStyle name="Normal 5 2 6 3 3 6" xfId="15618"/>
    <cellStyle name="Normal 5 2 6 3 3 7" xfId="15619"/>
    <cellStyle name="Normal 5 2 6 3 3 8" xfId="15620"/>
    <cellStyle name="Normal 5 2 6 3 3 9" xfId="15621"/>
    <cellStyle name="Normal 5 2 6 3 4" xfId="15622"/>
    <cellStyle name="Normal 5 2 6 3 4 2" xfId="15623"/>
    <cellStyle name="Normal 5 2 6 3 5" xfId="15624"/>
    <cellStyle name="Normal 5 2 6 3 6" xfId="15625"/>
    <cellStyle name="Normal 5 2 6 3 7" xfId="15626"/>
    <cellStyle name="Normal 5 2 6 3 8" xfId="15627"/>
    <cellStyle name="Normal 5 2 6 3 9" xfId="15628"/>
    <cellStyle name="Normal 5 2 6 4" xfId="3541"/>
    <cellStyle name="Normal 5 2 6 4 10" xfId="15629"/>
    <cellStyle name="Normal 5 2 6 4 11" xfId="15630"/>
    <cellStyle name="Normal 5 2 6 4 12" xfId="15631"/>
    <cellStyle name="Normal 5 2 6 4 13" xfId="7420"/>
    <cellStyle name="Normal 5 2 6 4 2" xfId="205"/>
    <cellStyle name="Normal 5 2 6 4 2 10" xfId="15632"/>
    <cellStyle name="Normal 5 2 6 4 2 11" xfId="4130"/>
    <cellStyle name="Normal 5 2 6 4 2 2" xfId="15633"/>
    <cellStyle name="Normal 5 2 6 4 2 2 2" xfId="15634"/>
    <cellStyle name="Normal 5 2 6 4 2 3" xfId="15635"/>
    <cellStyle name="Normal 5 2 6 4 2 4" xfId="15636"/>
    <cellStyle name="Normal 5 2 6 4 2 5" xfId="15637"/>
    <cellStyle name="Normal 5 2 6 4 2 6" xfId="15638"/>
    <cellStyle name="Normal 5 2 6 4 2 7" xfId="15639"/>
    <cellStyle name="Normal 5 2 6 4 2 8" xfId="15640"/>
    <cellStyle name="Normal 5 2 6 4 2 9" xfId="15641"/>
    <cellStyle name="Normal 5 2 6 4 3" xfId="212"/>
    <cellStyle name="Normal 5 2 6 4 3 10" xfId="15642"/>
    <cellStyle name="Normal 5 2 6 4 3 11" xfId="4137"/>
    <cellStyle name="Normal 5 2 6 4 3 2" xfId="15643"/>
    <cellStyle name="Normal 5 2 6 4 3 3" xfId="15644"/>
    <cellStyle name="Normal 5 2 6 4 3 4" xfId="15645"/>
    <cellStyle name="Normal 5 2 6 4 3 5" xfId="15646"/>
    <cellStyle name="Normal 5 2 6 4 3 6" xfId="15647"/>
    <cellStyle name="Normal 5 2 6 4 3 7" xfId="15648"/>
    <cellStyle name="Normal 5 2 6 4 3 8" xfId="15649"/>
    <cellStyle name="Normal 5 2 6 4 3 9" xfId="15650"/>
    <cellStyle name="Normal 5 2 6 4 4" xfId="15651"/>
    <cellStyle name="Normal 5 2 6 4 4 2" xfId="15652"/>
    <cellStyle name="Normal 5 2 6 4 5" xfId="15653"/>
    <cellStyle name="Normal 5 2 6 4 6" xfId="15654"/>
    <cellStyle name="Normal 5 2 6 4 7" xfId="15655"/>
    <cellStyle name="Normal 5 2 6 4 8" xfId="15656"/>
    <cellStyle name="Normal 5 2 6 4 9" xfId="15657"/>
    <cellStyle name="Normal 5 2 6 5" xfId="3542"/>
    <cellStyle name="Normal 5 2 6 5 10" xfId="15658"/>
    <cellStyle name="Normal 5 2 6 5 11" xfId="15659"/>
    <cellStyle name="Normal 5 2 6 5 12" xfId="15660"/>
    <cellStyle name="Normal 5 2 6 5 13" xfId="7421"/>
    <cellStyle name="Normal 5 2 6 5 2" xfId="1307"/>
    <cellStyle name="Normal 5 2 6 5 2 10" xfId="15661"/>
    <cellStyle name="Normal 5 2 6 5 2 11" xfId="5227"/>
    <cellStyle name="Normal 5 2 6 5 2 2" xfId="15662"/>
    <cellStyle name="Normal 5 2 6 5 2 2 2" xfId="15663"/>
    <cellStyle name="Normal 5 2 6 5 2 3" xfId="15664"/>
    <cellStyle name="Normal 5 2 6 5 2 4" xfId="15665"/>
    <cellStyle name="Normal 5 2 6 5 2 5" xfId="15666"/>
    <cellStyle name="Normal 5 2 6 5 2 6" xfId="15667"/>
    <cellStyle name="Normal 5 2 6 5 2 7" xfId="15668"/>
    <cellStyle name="Normal 5 2 6 5 2 8" xfId="15669"/>
    <cellStyle name="Normal 5 2 6 5 2 9" xfId="15670"/>
    <cellStyle name="Normal 5 2 6 5 3" xfId="1310"/>
    <cellStyle name="Normal 5 2 6 5 3 10" xfId="15671"/>
    <cellStyle name="Normal 5 2 6 5 3 11" xfId="5230"/>
    <cellStyle name="Normal 5 2 6 5 3 2" xfId="15672"/>
    <cellStyle name="Normal 5 2 6 5 3 3" xfId="15673"/>
    <cellStyle name="Normal 5 2 6 5 3 4" xfId="15674"/>
    <cellStyle name="Normal 5 2 6 5 3 5" xfId="15675"/>
    <cellStyle name="Normal 5 2 6 5 3 6" xfId="15676"/>
    <cellStyle name="Normal 5 2 6 5 3 7" xfId="15677"/>
    <cellStyle name="Normal 5 2 6 5 3 8" xfId="15678"/>
    <cellStyle name="Normal 5 2 6 5 3 9" xfId="15679"/>
    <cellStyle name="Normal 5 2 6 5 4" xfId="15680"/>
    <cellStyle name="Normal 5 2 6 5 4 2" xfId="15681"/>
    <cellStyle name="Normal 5 2 6 5 5" xfId="15682"/>
    <cellStyle name="Normal 5 2 6 5 6" xfId="15683"/>
    <cellStyle name="Normal 5 2 6 5 7" xfId="15684"/>
    <cellStyle name="Normal 5 2 6 5 8" xfId="15685"/>
    <cellStyle name="Normal 5 2 6 5 9" xfId="15686"/>
    <cellStyle name="Normal 5 2 6 6" xfId="3543"/>
    <cellStyle name="Normal 5 2 6 6 10" xfId="15687"/>
    <cellStyle name="Normal 5 2 6 6 11" xfId="15688"/>
    <cellStyle name="Normal 5 2 6 6 12" xfId="15689"/>
    <cellStyle name="Normal 5 2 6 6 13" xfId="7422"/>
    <cellStyle name="Normal 5 2 6 6 2" xfId="1333"/>
    <cellStyle name="Normal 5 2 6 6 2 10" xfId="15690"/>
    <cellStyle name="Normal 5 2 6 6 2 11" xfId="5252"/>
    <cellStyle name="Normal 5 2 6 6 2 2" xfId="15691"/>
    <cellStyle name="Normal 5 2 6 6 2 3" xfId="15692"/>
    <cellStyle name="Normal 5 2 6 6 2 4" xfId="15693"/>
    <cellStyle name="Normal 5 2 6 6 2 5" xfId="15694"/>
    <cellStyle name="Normal 5 2 6 6 2 6" xfId="15695"/>
    <cellStyle name="Normal 5 2 6 6 2 7" xfId="15696"/>
    <cellStyle name="Normal 5 2 6 6 2 8" xfId="15697"/>
    <cellStyle name="Normal 5 2 6 6 2 9" xfId="15698"/>
    <cellStyle name="Normal 5 2 6 6 3" xfId="1337"/>
    <cellStyle name="Normal 5 2 6 6 3 10" xfId="15699"/>
    <cellStyle name="Normal 5 2 6 6 3 11" xfId="5256"/>
    <cellStyle name="Normal 5 2 6 6 3 2" xfId="15700"/>
    <cellStyle name="Normal 5 2 6 6 3 3" xfId="15701"/>
    <cellStyle name="Normal 5 2 6 6 3 4" xfId="15702"/>
    <cellStyle name="Normal 5 2 6 6 3 5" xfId="15703"/>
    <cellStyle name="Normal 5 2 6 6 3 6" xfId="15704"/>
    <cellStyle name="Normal 5 2 6 6 3 7" xfId="15705"/>
    <cellStyle name="Normal 5 2 6 6 3 8" xfId="15706"/>
    <cellStyle name="Normal 5 2 6 6 3 9" xfId="15707"/>
    <cellStyle name="Normal 5 2 6 6 4" xfId="15708"/>
    <cellStyle name="Normal 5 2 6 6 5" xfId="15709"/>
    <cellStyle name="Normal 5 2 6 6 6" xfId="15710"/>
    <cellStyle name="Normal 5 2 6 6 7" xfId="15711"/>
    <cellStyle name="Normal 5 2 6 6 8" xfId="15712"/>
    <cellStyle name="Normal 5 2 6 6 9" xfId="15713"/>
    <cellStyle name="Normal 5 2 6 7" xfId="1667"/>
    <cellStyle name="Normal 5 2 6 7 10" xfId="15714"/>
    <cellStyle name="Normal 5 2 6 7 11" xfId="5580"/>
    <cellStyle name="Normal 5 2 6 7 2" xfId="15715"/>
    <cellStyle name="Normal 5 2 6 7 3" xfId="15716"/>
    <cellStyle name="Normal 5 2 6 7 4" xfId="15717"/>
    <cellStyle name="Normal 5 2 6 7 5" xfId="15718"/>
    <cellStyle name="Normal 5 2 6 7 6" xfId="15719"/>
    <cellStyle name="Normal 5 2 6 7 7" xfId="15720"/>
    <cellStyle name="Normal 5 2 6 7 8" xfId="15721"/>
    <cellStyle name="Normal 5 2 6 7 9" xfId="15722"/>
    <cellStyle name="Normal 5 2 6 8" xfId="1669"/>
    <cellStyle name="Normal 5 2 6 8 10" xfId="15723"/>
    <cellStyle name="Normal 5 2 6 8 11" xfId="5583"/>
    <cellStyle name="Normal 5 2 6 8 2" xfId="15724"/>
    <cellStyle name="Normal 5 2 6 8 3" xfId="15725"/>
    <cellStyle name="Normal 5 2 6 8 4" xfId="15726"/>
    <cellStyle name="Normal 5 2 6 8 5" xfId="15727"/>
    <cellStyle name="Normal 5 2 6 8 6" xfId="15728"/>
    <cellStyle name="Normal 5 2 6 8 7" xfId="15729"/>
    <cellStyle name="Normal 5 2 6 8 8" xfId="15730"/>
    <cellStyle name="Normal 5 2 6 8 9" xfId="15731"/>
    <cellStyle name="Normal 5 2 6 9" xfId="15732"/>
    <cellStyle name="Normal 5 2 7" xfId="1313"/>
    <cellStyle name="Normal 5 2 7 10" xfId="15733"/>
    <cellStyle name="Normal 5 2 7 11" xfId="15734"/>
    <cellStyle name="Normal 5 2 7 12" xfId="15735"/>
    <cellStyle name="Normal 5 2 7 13" xfId="15736"/>
    <cellStyle name="Normal 5 2 7 14" xfId="15737"/>
    <cellStyle name="Normal 5 2 7 15" xfId="15738"/>
    <cellStyle name="Normal 5 2 7 16" xfId="15739"/>
    <cellStyle name="Normal 5 2 7 17" xfId="15740"/>
    <cellStyle name="Normal 5 2 7 18" xfId="5233"/>
    <cellStyle name="Normal 5 2 7 2" xfId="3545"/>
    <cellStyle name="Normal 5 2 7 2 10" xfId="15741"/>
    <cellStyle name="Normal 5 2 7 2 11" xfId="15742"/>
    <cellStyle name="Normal 5 2 7 2 12" xfId="15743"/>
    <cellStyle name="Normal 5 2 7 2 13" xfId="7423"/>
    <cellStyle name="Normal 5 2 7 2 2" xfId="3546"/>
    <cellStyle name="Normal 5 2 7 2 2 10" xfId="15744"/>
    <cellStyle name="Normal 5 2 7 2 2 11" xfId="7425"/>
    <cellStyle name="Normal 5 2 7 2 2 2" xfId="15745"/>
    <cellStyle name="Normal 5 2 7 2 2 2 2" xfId="15746"/>
    <cellStyle name="Normal 5 2 7 2 2 3" xfId="15747"/>
    <cellStyle name="Normal 5 2 7 2 2 4" xfId="15748"/>
    <cellStyle name="Normal 5 2 7 2 2 5" xfId="15749"/>
    <cellStyle name="Normal 5 2 7 2 2 6" xfId="15750"/>
    <cellStyle name="Normal 5 2 7 2 2 7" xfId="15751"/>
    <cellStyle name="Normal 5 2 7 2 2 8" xfId="15752"/>
    <cellStyle name="Normal 5 2 7 2 2 9" xfId="15753"/>
    <cellStyle name="Normal 5 2 7 2 3" xfId="3547"/>
    <cellStyle name="Normal 5 2 7 2 3 10" xfId="15754"/>
    <cellStyle name="Normal 5 2 7 2 3 11" xfId="7426"/>
    <cellStyle name="Normal 5 2 7 2 3 2" xfId="15755"/>
    <cellStyle name="Normal 5 2 7 2 3 3" xfId="15756"/>
    <cellStyle name="Normal 5 2 7 2 3 4" xfId="15757"/>
    <cellStyle name="Normal 5 2 7 2 3 5" xfId="15758"/>
    <cellStyle name="Normal 5 2 7 2 3 6" xfId="15759"/>
    <cellStyle name="Normal 5 2 7 2 3 7" xfId="15760"/>
    <cellStyle name="Normal 5 2 7 2 3 8" xfId="15761"/>
    <cellStyle name="Normal 5 2 7 2 3 9" xfId="15762"/>
    <cellStyle name="Normal 5 2 7 2 4" xfId="15763"/>
    <cellStyle name="Normal 5 2 7 2 4 2" xfId="15764"/>
    <cellStyle name="Normal 5 2 7 2 5" xfId="15765"/>
    <cellStyle name="Normal 5 2 7 2 6" xfId="15766"/>
    <cellStyle name="Normal 5 2 7 2 7" xfId="15767"/>
    <cellStyle name="Normal 5 2 7 2 8" xfId="15768"/>
    <cellStyle name="Normal 5 2 7 2 9" xfId="15769"/>
    <cellStyle name="Normal 5 2 7 3" xfId="3548"/>
    <cellStyle name="Normal 5 2 7 3 10" xfId="15770"/>
    <cellStyle name="Normal 5 2 7 3 11" xfId="15771"/>
    <cellStyle name="Normal 5 2 7 3 12" xfId="15772"/>
    <cellStyle name="Normal 5 2 7 3 13" xfId="7427"/>
    <cellStyle name="Normal 5 2 7 3 2" xfId="3549"/>
    <cellStyle name="Normal 5 2 7 3 2 10" xfId="15773"/>
    <cellStyle name="Normal 5 2 7 3 2 11" xfId="7428"/>
    <cellStyle name="Normal 5 2 7 3 2 2" xfId="15774"/>
    <cellStyle name="Normal 5 2 7 3 2 2 2" xfId="15775"/>
    <cellStyle name="Normal 5 2 7 3 2 3" xfId="15776"/>
    <cellStyle name="Normal 5 2 7 3 2 4" xfId="15777"/>
    <cellStyle name="Normal 5 2 7 3 2 5" xfId="15778"/>
    <cellStyle name="Normal 5 2 7 3 2 6" xfId="15779"/>
    <cellStyle name="Normal 5 2 7 3 2 7" xfId="15780"/>
    <cellStyle name="Normal 5 2 7 3 2 8" xfId="15781"/>
    <cellStyle name="Normal 5 2 7 3 2 9" xfId="15782"/>
    <cellStyle name="Normal 5 2 7 3 3" xfId="3550"/>
    <cellStyle name="Normal 5 2 7 3 3 10" xfId="15783"/>
    <cellStyle name="Normal 5 2 7 3 3 11" xfId="7429"/>
    <cellStyle name="Normal 5 2 7 3 3 2" xfId="15784"/>
    <cellStyle name="Normal 5 2 7 3 3 3" xfId="15785"/>
    <cellStyle name="Normal 5 2 7 3 3 4" xfId="15786"/>
    <cellStyle name="Normal 5 2 7 3 3 5" xfId="15787"/>
    <cellStyle name="Normal 5 2 7 3 3 6" xfId="15788"/>
    <cellStyle name="Normal 5 2 7 3 3 7" xfId="15789"/>
    <cellStyle name="Normal 5 2 7 3 3 8" xfId="15790"/>
    <cellStyle name="Normal 5 2 7 3 3 9" xfId="15791"/>
    <cellStyle name="Normal 5 2 7 3 4" xfId="15792"/>
    <cellStyle name="Normal 5 2 7 3 4 2" xfId="15793"/>
    <cellStyle name="Normal 5 2 7 3 5" xfId="15794"/>
    <cellStyle name="Normal 5 2 7 3 6" xfId="15795"/>
    <cellStyle name="Normal 5 2 7 3 7" xfId="15796"/>
    <cellStyle name="Normal 5 2 7 3 8" xfId="15797"/>
    <cellStyle name="Normal 5 2 7 3 9" xfId="15798"/>
    <cellStyle name="Normal 5 2 7 4" xfId="3552"/>
    <cellStyle name="Normal 5 2 7 4 10" xfId="15799"/>
    <cellStyle name="Normal 5 2 7 4 11" xfId="15800"/>
    <cellStyle name="Normal 5 2 7 4 12" xfId="15801"/>
    <cellStyle name="Normal 5 2 7 4 13" xfId="7430"/>
    <cellStyle name="Normal 5 2 7 4 2" xfId="1428"/>
    <cellStyle name="Normal 5 2 7 4 2 10" xfId="15802"/>
    <cellStyle name="Normal 5 2 7 4 2 11" xfId="5346"/>
    <cellStyle name="Normal 5 2 7 4 2 2" xfId="15803"/>
    <cellStyle name="Normal 5 2 7 4 2 3" xfId="15804"/>
    <cellStyle name="Normal 5 2 7 4 2 4" xfId="15805"/>
    <cellStyle name="Normal 5 2 7 4 2 5" xfId="15806"/>
    <cellStyle name="Normal 5 2 7 4 2 6" xfId="15807"/>
    <cellStyle name="Normal 5 2 7 4 2 7" xfId="15808"/>
    <cellStyle name="Normal 5 2 7 4 2 8" xfId="15809"/>
    <cellStyle name="Normal 5 2 7 4 2 9" xfId="15810"/>
    <cellStyle name="Normal 5 2 7 4 3" xfId="1430"/>
    <cellStyle name="Normal 5 2 7 4 3 10" xfId="15811"/>
    <cellStyle name="Normal 5 2 7 4 3 11" xfId="5348"/>
    <cellStyle name="Normal 5 2 7 4 3 2" xfId="15812"/>
    <cellStyle name="Normal 5 2 7 4 3 3" xfId="15813"/>
    <cellStyle name="Normal 5 2 7 4 3 4" xfId="15814"/>
    <cellStyle name="Normal 5 2 7 4 3 5" xfId="15815"/>
    <cellStyle name="Normal 5 2 7 4 3 6" xfId="15816"/>
    <cellStyle name="Normal 5 2 7 4 3 7" xfId="15817"/>
    <cellStyle name="Normal 5 2 7 4 3 8" xfId="15818"/>
    <cellStyle name="Normal 5 2 7 4 3 9" xfId="15819"/>
    <cellStyle name="Normal 5 2 7 4 4" xfId="15820"/>
    <cellStyle name="Normal 5 2 7 4 5" xfId="15821"/>
    <cellStyle name="Normal 5 2 7 4 6" xfId="15822"/>
    <cellStyle name="Normal 5 2 7 4 7" xfId="15823"/>
    <cellStyle name="Normal 5 2 7 4 8" xfId="15824"/>
    <cellStyle name="Normal 5 2 7 4 9" xfId="15825"/>
    <cellStyle name="Normal 5 2 7 5" xfId="3554"/>
    <cellStyle name="Normal 5 2 7 5 10" xfId="15826"/>
    <cellStyle name="Normal 5 2 7 5 11" xfId="15827"/>
    <cellStyle name="Normal 5 2 7 5 12" xfId="15828"/>
    <cellStyle name="Normal 5 2 7 5 13" xfId="7432"/>
    <cellStyle name="Normal 5 2 7 5 2" xfId="1438"/>
    <cellStyle name="Normal 5 2 7 5 2 10" xfId="15829"/>
    <cellStyle name="Normal 5 2 7 5 2 11" xfId="5356"/>
    <cellStyle name="Normal 5 2 7 5 2 2" xfId="15830"/>
    <cellStyle name="Normal 5 2 7 5 2 3" xfId="15831"/>
    <cellStyle name="Normal 5 2 7 5 2 4" xfId="15832"/>
    <cellStyle name="Normal 5 2 7 5 2 5" xfId="15833"/>
    <cellStyle name="Normal 5 2 7 5 2 6" xfId="15834"/>
    <cellStyle name="Normal 5 2 7 5 2 7" xfId="15835"/>
    <cellStyle name="Normal 5 2 7 5 2 8" xfId="15836"/>
    <cellStyle name="Normal 5 2 7 5 2 9" xfId="15837"/>
    <cellStyle name="Normal 5 2 7 5 3" xfId="1441"/>
    <cellStyle name="Normal 5 2 7 5 3 10" xfId="15838"/>
    <cellStyle name="Normal 5 2 7 5 3 11" xfId="5359"/>
    <cellStyle name="Normal 5 2 7 5 3 2" xfId="15839"/>
    <cellStyle name="Normal 5 2 7 5 3 3" xfId="15840"/>
    <cellStyle name="Normal 5 2 7 5 3 4" xfId="15841"/>
    <cellStyle name="Normal 5 2 7 5 3 5" xfId="15842"/>
    <cellStyle name="Normal 5 2 7 5 3 6" xfId="15843"/>
    <cellStyle name="Normal 5 2 7 5 3 7" xfId="15844"/>
    <cellStyle name="Normal 5 2 7 5 3 8" xfId="15845"/>
    <cellStyle name="Normal 5 2 7 5 3 9" xfId="15846"/>
    <cellStyle name="Normal 5 2 7 5 4" xfId="15847"/>
    <cellStyle name="Normal 5 2 7 5 5" xfId="15848"/>
    <cellStyle name="Normal 5 2 7 5 6" xfId="15849"/>
    <cellStyle name="Normal 5 2 7 5 7" xfId="15850"/>
    <cellStyle name="Normal 5 2 7 5 8" xfId="15851"/>
    <cellStyle name="Normal 5 2 7 5 9" xfId="15852"/>
    <cellStyle name="Normal 5 2 7 6" xfId="3555"/>
    <cellStyle name="Normal 5 2 7 6 10" xfId="15853"/>
    <cellStyle name="Normal 5 2 7 6 11" xfId="15854"/>
    <cellStyle name="Normal 5 2 7 6 12" xfId="15855"/>
    <cellStyle name="Normal 5 2 7 6 13" xfId="7434"/>
    <cellStyle name="Normal 5 2 7 6 2" xfId="1459"/>
    <cellStyle name="Normal 5 2 7 6 2 10" xfId="15856"/>
    <cellStyle name="Normal 5 2 7 6 2 11" xfId="5375"/>
    <cellStyle name="Normal 5 2 7 6 2 2" xfId="15857"/>
    <cellStyle name="Normal 5 2 7 6 2 3" xfId="15858"/>
    <cellStyle name="Normal 5 2 7 6 2 4" xfId="15859"/>
    <cellStyle name="Normal 5 2 7 6 2 5" xfId="15860"/>
    <cellStyle name="Normal 5 2 7 6 2 6" xfId="15861"/>
    <cellStyle name="Normal 5 2 7 6 2 7" xfId="15862"/>
    <cellStyle name="Normal 5 2 7 6 2 8" xfId="15863"/>
    <cellStyle name="Normal 5 2 7 6 2 9" xfId="15864"/>
    <cellStyle name="Normal 5 2 7 6 3" xfId="1462"/>
    <cellStyle name="Normal 5 2 7 6 3 10" xfId="15865"/>
    <cellStyle name="Normal 5 2 7 6 3 11" xfId="5378"/>
    <cellStyle name="Normal 5 2 7 6 3 2" xfId="15866"/>
    <cellStyle name="Normal 5 2 7 6 3 3" xfId="15867"/>
    <cellStyle name="Normal 5 2 7 6 3 4" xfId="15868"/>
    <cellStyle name="Normal 5 2 7 6 3 5" xfId="15869"/>
    <cellStyle name="Normal 5 2 7 6 3 6" xfId="15870"/>
    <cellStyle name="Normal 5 2 7 6 3 7" xfId="15871"/>
    <cellStyle name="Normal 5 2 7 6 3 8" xfId="15872"/>
    <cellStyle name="Normal 5 2 7 6 3 9" xfId="15873"/>
    <cellStyle name="Normal 5 2 7 6 4" xfId="15874"/>
    <cellStyle name="Normal 5 2 7 6 5" xfId="15875"/>
    <cellStyle name="Normal 5 2 7 6 6" xfId="15876"/>
    <cellStyle name="Normal 5 2 7 6 7" xfId="15877"/>
    <cellStyle name="Normal 5 2 7 6 8" xfId="15878"/>
    <cellStyle name="Normal 5 2 7 6 9" xfId="15879"/>
    <cellStyle name="Normal 5 2 7 7" xfId="3556"/>
    <cellStyle name="Normal 5 2 7 7 10" xfId="15880"/>
    <cellStyle name="Normal 5 2 7 7 11" xfId="7435"/>
    <cellStyle name="Normal 5 2 7 7 2" xfId="15881"/>
    <cellStyle name="Normal 5 2 7 7 3" xfId="15882"/>
    <cellStyle name="Normal 5 2 7 7 4" xfId="15883"/>
    <cellStyle name="Normal 5 2 7 7 5" xfId="15884"/>
    <cellStyle name="Normal 5 2 7 7 6" xfId="15885"/>
    <cellStyle name="Normal 5 2 7 7 7" xfId="15886"/>
    <cellStyle name="Normal 5 2 7 7 8" xfId="15887"/>
    <cellStyle name="Normal 5 2 7 7 9" xfId="15888"/>
    <cellStyle name="Normal 5 2 7 8" xfId="3557"/>
    <cellStyle name="Normal 5 2 7 8 10" xfId="15889"/>
    <cellStyle name="Normal 5 2 7 8 11" xfId="7436"/>
    <cellStyle name="Normal 5 2 7 8 2" xfId="15890"/>
    <cellStyle name="Normal 5 2 7 8 3" xfId="15891"/>
    <cellStyle name="Normal 5 2 7 8 4" xfId="15892"/>
    <cellStyle name="Normal 5 2 7 8 5" xfId="15893"/>
    <cellStyle name="Normal 5 2 7 8 6" xfId="15894"/>
    <cellStyle name="Normal 5 2 7 8 7" xfId="15895"/>
    <cellStyle name="Normal 5 2 7 8 8" xfId="15896"/>
    <cellStyle name="Normal 5 2 7 8 9" xfId="15897"/>
    <cellStyle name="Normal 5 2 7 9" xfId="15898"/>
    <cellStyle name="Normal 5 2 8" xfId="1315"/>
    <cellStyle name="Normal 5 2 8 10" xfId="15899"/>
    <cellStyle name="Normal 5 2 8 11" xfId="15900"/>
    <cellStyle name="Normal 5 2 8 12" xfId="15901"/>
    <cellStyle name="Normal 5 2 8 13" xfId="15902"/>
    <cellStyle name="Normal 5 2 8 14" xfId="15903"/>
    <cellStyle name="Normal 5 2 8 15" xfId="15904"/>
    <cellStyle name="Normal 5 2 8 16" xfId="15905"/>
    <cellStyle name="Normal 5 2 8 17" xfId="15906"/>
    <cellStyle name="Normal 5 2 8 18" xfId="5235"/>
    <cellStyle name="Normal 5 2 8 2" xfId="3559"/>
    <cellStyle name="Normal 5 2 8 2 10" xfId="15907"/>
    <cellStyle name="Normal 5 2 8 2 11" xfId="15908"/>
    <cellStyle name="Normal 5 2 8 2 12" xfId="15909"/>
    <cellStyle name="Normal 5 2 8 2 13" xfId="7437"/>
    <cellStyle name="Normal 5 2 8 2 2" xfId="2150"/>
    <cellStyle name="Normal 5 2 8 2 2 10" xfId="15910"/>
    <cellStyle name="Normal 5 2 8 2 2 11" xfId="6051"/>
    <cellStyle name="Normal 5 2 8 2 2 2" xfId="15911"/>
    <cellStyle name="Normal 5 2 8 2 2 3" xfId="15912"/>
    <cellStyle name="Normal 5 2 8 2 2 4" xfId="15913"/>
    <cellStyle name="Normal 5 2 8 2 2 5" xfId="15914"/>
    <cellStyle name="Normal 5 2 8 2 2 6" xfId="15915"/>
    <cellStyle name="Normal 5 2 8 2 2 7" xfId="15916"/>
    <cellStyle name="Normal 5 2 8 2 2 8" xfId="15917"/>
    <cellStyle name="Normal 5 2 8 2 2 9" xfId="15918"/>
    <cellStyle name="Normal 5 2 8 2 3" xfId="2699"/>
    <cellStyle name="Normal 5 2 8 2 3 10" xfId="15919"/>
    <cellStyle name="Normal 5 2 8 2 3 11" xfId="6592"/>
    <cellStyle name="Normal 5 2 8 2 3 2" xfId="15920"/>
    <cellStyle name="Normal 5 2 8 2 3 3" xfId="15921"/>
    <cellStyle name="Normal 5 2 8 2 3 4" xfId="15922"/>
    <cellStyle name="Normal 5 2 8 2 3 5" xfId="15923"/>
    <cellStyle name="Normal 5 2 8 2 3 6" xfId="15924"/>
    <cellStyle name="Normal 5 2 8 2 3 7" xfId="15925"/>
    <cellStyle name="Normal 5 2 8 2 3 8" xfId="15926"/>
    <cellStyle name="Normal 5 2 8 2 3 9" xfId="15927"/>
    <cellStyle name="Normal 5 2 8 2 4" xfId="15928"/>
    <cellStyle name="Normal 5 2 8 2 5" xfId="15929"/>
    <cellStyle name="Normal 5 2 8 2 6" xfId="15930"/>
    <cellStyle name="Normal 5 2 8 2 7" xfId="15931"/>
    <cellStyle name="Normal 5 2 8 2 8" xfId="15932"/>
    <cellStyle name="Normal 5 2 8 2 9" xfId="15933"/>
    <cellStyle name="Normal 5 2 8 3" xfId="3560"/>
    <cellStyle name="Normal 5 2 8 3 10" xfId="15934"/>
    <cellStyle name="Normal 5 2 8 3 11" xfId="15935"/>
    <cellStyle name="Normal 5 2 8 3 12" xfId="15936"/>
    <cellStyle name="Normal 5 2 8 3 13" xfId="7439"/>
    <cellStyle name="Normal 5 2 8 3 2" xfId="3561"/>
    <cellStyle name="Normal 5 2 8 3 2 10" xfId="15937"/>
    <cellStyle name="Normal 5 2 8 3 2 11" xfId="7440"/>
    <cellStyle name="Normal 5 2 8 3 2 2" xfId="15938"/>
    <cellStyle name="Normal 5 2 8 3 2 3" xfId="15939"/>
    <cellStyle name="Normal 5 2 8 3 2 4" xfId="15940"/>
    <cellStyle name="Normal 5 2 8 3 2 5" xfId="15941"/>
    <cellStyle name="Normal 5 2 8 3 2 6" xfId="15942"/>
    <cellStyle name="Normal 5 2 8 3 2 7" xfId="15943"/>
    <cellStyle name="Normal 5 2 8 3 2 8" xfId="15944"/>
    <cellStyle name="Normal 5 2 8 3 2 9" xfId="15945"/>
    <cellStyle name="Normal 5 2 8 3 3" xfId="2159"/>
    <cellStyle name="Normal 5 2 8 3 3 10" xfId="15946"/>
    <cellStyle name="Normal 5 2 8 3 3 11" xfId="6061"/>
    <cellStyle name="Normal 5 2 8 3 3 2" xfId="15947"/>
    <cellStyle name="Normal 5 2 8 3 3 3" xfId="15948"/>
    <cellStyle name="Normal 5 2 8 3 3 4" xfId="15949"/>
    <cellStyle name="Normal 5 2 8 3 3 5" xfId="15950"/>
    <cellStyle name="Normal 5 2 8 3 3 6" xfId="15951"/>
    <cellStyle name="Normal 5 2 8 3 3 7" xfId="15952"/>
    <cellStyle name="Normal 5 2 8 3 3 8" xfId="15953"/>
    <cellStyle name="Normal 5 2 8 3 3 9" xfId="15954"/>
    <cellStyle name="Normal 5 2 8 3 4" xfId="15955"/>
    <cellStyle name="Normal 5 2 8 3 5" xfId="15956"/>
    <cellStyle name="Normal 5 2 8 3 6" xfId="15957"/>
    <cellStyle name="Normal 5 2 8 3 7" xfId="15958"/>
    <cellStyle name="Normal 5 2 8 3 8" xfId="15959"/>
    <cellStyle name="Normal 5 2 8 3 9" xfId="15960"/>
    <cellStyle name="Normal 5 2 8 4" xfId="3563"/>
    <cellStyle name="Normal 5 2 8 4 10" xfId="15961"/>
    <cellStyle name="Normal 5 2 8 4 11" xfId="15962"/>
    <cellStyle name="Normal 5 2 8 4 12" xfId="15963"/>
    <cellStyle name="Normal 5 2 8 4 13" xfId="7441"/>
    <cellStyle name="Normal 5 2 8 4 2" xfId="3564"/>
    <cellStyle name="Normal 5 2 8 4 2 10" xfId="15964"/>
    <cellStyle name="Normal 5 2 8 4 2 11" xfId="7443"/>
    <cellStyle name="Normal 5 2 8 4 2 2" xfId="15965"/>
    <cellStyle name="Normal 5 2 8 4 2 3" xfId="15966"/>
    <cellStyle name="Normal 5 2 8 4 2 4" xfId="15967"/>
    <cellStyle name="Normal 5 2 8 4 2 5" xfId="15968"/>
    <cellStyle name="Normal 5 2 8 4 2 6" xfId="15969"/>
    <cellStyle name="Normal 5 2 8 4 2 7" xfId="15970"/>
    <cellStyle name="Normal 5 2 8 4 2 8" xfId="15971"/>
    <cellStyle name="Normal 5 2 8 4 2 9" xfId="15972"/>
    <cellStyle name="Normal 5 2 8 4 3" xfId="2714"/>
    <cellStyle name="Normal 5 2 8 4 3 10" xfId="15973"/>
    <cellStyle name="Normal 5 2 8 4 3 11" xfId="6607"/>
    <cellStyle name="Normal 5 2 8 4 3 2" xfId="15974"/>
    <cellStyle name="Normal 5 2 8 4 3 3" xfId="15975"/>
    <cellStyle name="Normal 5 2 8 4 3 4" xfId="15976"/>
    <cellStyle name="Normal 5 2 8 4 3 5" xfId="15977"/>
    <cellStyle name="Normal 5 2 8 4 3 6" xfId="15978"/>
    <cellStyle name="Normal 5 2 8 4 3 7" xfId="15979"/>
    <cellStyle name="Normal 5 2 8 4 3 8" xfId="15980"/>
    <cellStyle name="Normal 5 2 8 4 3 9" xfId="15981"/>
    <cellStyle name="Normal 5 2 8 4 4" xfId="15982"/>
    <cellStyle name="Normal 5 2 8 4 5" xfId="15983"/>
    <cellStyle name="Normal 5 2 8 4 6" xfId="15984"/>
    <cellStyle name="Normal 5 2 8 4 7" xfId="15985"/>
    <cellStyle name="Normal 5 2 8 4 8" xfId="15986"/>
    <cellStyle name="Normal 5 2 8 4 9" xfId="15987"/>
    <cellStyle name="Normal 5 2 8 5" xfId="3566"/>
    <cellStyle name="Normal 5 2 8 5 10" xfId="15988"/>
    <cellStyle name="Normal 5 2 8 5 11" xfId="15989"/>
    <cellStyle name="Normal 5 2 8 5 12" xfId="15990"/>
    <cellStyle name="Normal 5 2 8 5 13" xfId="7444"/>
    <cellStyle name="Normal 5 2 8 5 2" xfId="3567"/>
    <cellStyle name="Normal 5 2 8 5 2 10" xfId="15991"/>
    <cellStyle name="Normal 5 2 8 5 2 11" xfId="7446"/>
    <cellStyle name="Normal 5 2 8 5 2 2" xfId="15992"/>
    <cellStyle name="Normal 5 2 8 5 2 3" xfId="15993"/>
    <cellStyle name="Normal 5 2 8 5 2 4" xfId="15994"/>
    <cellStyle name="Normal 5 2 8 5 2 5" xfId="15995"/>
    <cellStyle name="Normal 5 2 8 5 2 6" xfId="15996"/>
    <cellStyle name="Normal 5 2 8 5 2 7" xfId="15997"/>
    <cellStyle name="Normal 5 2 8 5 2 8" xfId="15998"/>
    <cellStyle name="Normal 5 2 8 5 2 9" xfId="15999"/>
    <cellStyle name="Normal 5 2 8 5 3" xfId="2722"/>
    <cellStyle name="Normal 5 2 8 5 3 10" xfId="16000"/>
    <cellStyle name="Normal 5 2 8 5 3 11" xfId="6615"/>
    <cellStyle name="Normal 5 2 8 5 3 2" xfId="16001"/>
    <cellStyle name="Normal 5 2 8 5 3 3" xfId="16002"/>
    <cellStyle name="Normal 5 2 8 5 3 4" xfId="16003"/>
    <cellStyle name="Normal 5 2 8 5 3 5" xfId="16004"/>
    <cellStyle name="Normal 5 2 8 5 3 6" xfId="16005"/>
    <cellStyle name="Normal 5 2 8 5 3 7" xfId="16006"/>
    <cellStyle name="Normal 5 2 8 5 3 8" xfId="16007"/>
    <cellStyle name="Normal 5 2 8 5 3 9" xfId="16008"/>
    <cellStyle name="Normal 5 2 8 5 4" xfId="16009"/>
    <cellStyle name="Normal 5 2 8 5 5" xfId="16010"/>
    <cellStyle name="Normal 5 2 8 5 6" xfId="16011"/>
    <cellStyle name="Normal 5 2 8 5 7" xfId="16012"/>
    <cellStyle name="Normal 5 2 8 5 8" xfId="16013"/>
    <cellStyle name="Normal 5 2 8 5 9" xfId="16014"/>
    <cellStyle name="Normal 5 2 8 6" xfId="3568"/>
    <cellStyle name="Normal 5 2 8 6 10" xfId="16015"/>
    <cellStyle name="Normal 5 2 8 6 11" xfId="16016"/>
    <cellStyle name="Normal 5 2 8 6 12" xfId="16017"/>
    <cellStyle name="Normal 5 2 8 6 13" xfId="7447"/>
    <cellStyle name="Normal 5 2 8 6 2" xfId="3569"/>
    <cellStyle name="Normal 5 2 8 6 2 10" xfId="16018"/>
    <cellStyle name="Normal 5 2 8 6 2 11" xfId="7448"/>
    <cellStyle name="Normal 5 2 8 6 2 2" xfId="16019"/>
    <cellStyle name="Normal 5 2 8 6 2 3" xfId="16020"/>
    <cellStyle name="Normal 5 2 8 6 2 4" xfId="16021"/>
    <cellStyle name="Normal 5 2 8 6 2 5" xfId="16022"/>
    <cellStyle name="Normal 5 2 8 6 2 6" xfId="16023"/>
    <cellStyle name="Normal 5 2 8 6 2 7" xfId="16024"/>
    <cellStyle name="Normal 5 2 8 6 2 8" xfId="16025"/>
    <cellStyle name="Normal 5 2 8 6 2 9" xfId="16026"/>
    <cellStyle name="Normal 5 2 8 6 3" xfId="2732"/>
    <cellStyle name="Normal 5 2 8 6 3 10" xfId="16027"/>
    <cellStyle name="Normal 5 2 8 6 3 11" xfId="6625"/>
    <cellStyle name="Normal 5 2 8 6 3 2" xfId="16028"/>
    <cellStyle name="Normal 5 2 8 6 3 3" xfId="16029"/>
    <cellStyle name="Normal 5 2 8 6 3 4" xfId="16030"/>
    <cellStyle name="Normal 5 2 8 6 3 5" xfId="16031"/>
    <cellStyle name="Normal 5 2 8 6 3 6" xfId="16032"/>
    <cellStyle name="Normal 5 2 8 6 3 7" xfId="16033"/>
    <cellStyle name="Normal 5 2 8 6 3 8" xfId="16034"/>
    <cellStyle name="Normal 5 2 8 6 3 9" xfId="16035"/>
    <cellStyle name="Normal 5 2 8 6 4" xfId="16036"/>
    <cellStyle name="Normal 5 2 8 6 5" xfId="16037"/>
    <cellStyle name="Normal 5 2 8 6 6" xfId="16038"/>
    <cellStyle name="Normal 5 2 8 6 7" xfId="16039"/>
    <cellStyle name="Normal 5 2 8 6 8" xfId="16040"/>
    <cellStyle name="Normal 5 2 8 6 9" xfId="16041"/>
    <cellStyle name="Normal 5 2 8 7" xfId="3570"/>
    <cellStyle name="Normal 5 2 8 7 10" xfId="16042"/>
    <cellStyle name="Normal 5 2 8 7 11" xfId="7449"/>
    <cellStyle name="Normal 5 2 8 7 2" xfId="16043"/>
    <cellStyle name="Normal 5 2 8 7 3" xfId="16044"/>
    <cellStyle name="Normal 5 2 8 7 4" xfId="16045"/>
    <cellStyle name="Normal 5 2 8 7 5" xfId="16046"/>
    <cellStyle name="Normal 5 2 8 7 6" xfId="16047"/>
    <cellStyle name="Normal 5 2 8 7 7" xfId="16048"/>
    <cellStyle name="Normal 5 2 8 7 8" xfId="16049"/>
    <cellStyle name="Normal 5 2 8 7 9" xfId="16050"/>
    <cellStyle name="Normal 5 2 8 8" xfId="3571"/>
    <cellStyle name="Normal 5 2 8 8 10" xfId="16051"/>
    <cellStyle name="Normal 5 2 8 8 11" xfId="7450"/>
    <cellStyle name="Normal 5 2 8 8 2" xfId="16052"/>
    <cellStyle name="Normal 5 2 8 8 3" xfId="16053"/>
    <cellStyle name="Normal 5 2 8 8 4" xfId="16054"/>
    <cellStyle name="Normal 5 2 8 8 5" xfId="16055"/>
    <cellStyle name="Normal 5 2 8 8 6" xfId="16056"/>
    <cellStyle name="Normal 5 2 8 8 7" xfId="16057"/>
    <cellStyle name="Normal 5 2 8 8 8" xfId="16058"/>
    <cellStyle name="Normal 5 2 8 8 9" xfId="16059"/>
    <cellStyle name="Normal 5 2 8 9" xfId="16060"/>
    <cellStyle name="Normal 5 2 9" xfId="1318"/>
    <cellStyle name="Normal 5 2 9 10" xfId="16061"/>
    <cellStyle name="Normal 5 2 9 11" xfId="16062"/>
    <cellStyle name="Normal 5 2 9 12" xfId="16063"/>
    <cellStyle name="Normal 5 2 9 13" xfId="16064"/>
    <cellStyle name="Normal 5 2 9 14" xfId="16065"/>
    <cellStyle name="Normal 5 2 9 15" xfId="16066"/>
    <cellStyle name="Normal 5 2 9 16" xfId="16067"/>
    <cellStyle name="Normal 5 2 9 17" xfId="16068"/>
    <cellStyle name="Normal 5 2 9 18" xfId="5238"/>
    <cellStyle name="Normal 5 2 9 2" xfId="2447"/>
    <cellStyle name="Normal 5 2 9 2 10" xfId="16069"/>
    <cellStyle name="Normal 5 2 9 2 11" xfId="16070"/>
    <cellStyle name="Normal 5 2 9 2 12" xfId="16071"/>
    <cellStyle name="Normal 5 2 9 2 13" xfId="6341"/>
    <cellStyle name="Normal 5 2 9 2 2" xfId="3572"/>
    <cellStyle name="Normal 5 2 9 2 2 10" xfId="16072"/>
    <cellStyle name="Normal 5 2 9 2 2 11" xfId="7451"/>
    <cellStyle name="Normal 5 2 9 2 2 2" xfId="16073"/>
    <cellStyle name="Normal 5 2 9 2 2 3" xfId="16074"/>
    <cellStyle name="Normal 5 2 9 2 2 4" xfId="16075"/>
    <cellStyle name="Normal 5 2 9 2 2 5" xfId="16076"/>
    <cellStyle name="Normal 5 2 9 2 2 6" xfId="16077"/>
    <cellStyle name="Normal 5 2 9 2 2 7" xfId="16078"/>
    <cellStyle name="Normal 5 2 9 2 2 8" xfId="16079"/>
    <cellStyle name="Normal 5 2 9 2 2 9" xfId="16080"/>
    <cellStyle name="Normal 5 2 9 2 3" xfId="3573"/>
    <cellStyle name="Normal 5 2 9 2 3 10" xfId="16081"/>
    <cellStyle name="Normal 5 2 9 2 3 11" xfId="7452"/>
    <cellStyle name="Normal 5 2 9 2 3 2" xfId="16082"/>
    <cellStyle name="Normal 5 2 9 2 3 3" xfId="16083"/>
    <cellStyle name="Normal 5 2 9 2 3 4" xfId="16084"/>
    <cellStyle name="Normal 5 2 9 2 3 5" xfId="16085"/>
    <cellStyle name="Normal 5 2 9 2 3 6" xfId="16086"/>
    <cellStyle name="Normal 5 2 9 2 3 7" xfId="16087"/>
    <cellStyle name="Normal 5 2 9 2 3 8" xfId="16088"/>
    <cellStyle name="Normal 5 2 9 2 3 9" xfId="16089"/>
    <cellStyle name="Normal 5 2 9 2 4" xfId="16090"/>
    <cellStyle name="Normal 5 2 9 2 5" xfId="16091"/>
    <cellStyle name="Normal 5 2 9 2 6" xfId="16092"/>
    <cellStyle name="Normal 5 2 9 2 7" xfId="16093"/>
    <cellStyle name="Normal 5 2 9 2 8" xfId="16094"/>
    <cellStyle name="Normal 5 2 9 2 9" xfId="16095"/>
    <cellStyle name="Normal 5 2 9 3" xfId="1652"/>
    <cellStyle name="Normal 5 2 9 3 10" xfId="16096"/>
    <cellStyle name="Normal 5 2 9 3 11" xfId="16097"/>
    <cellStyle name="Normal 5 2 9 3 12" xfId="16098"/>
    <cellStyle name="Normal 5 2 9 3 13" xfId="5565"/>
    <cellStyle name="Normal 5 2 9 3 2" xfId="3574"/>
    <cellStyle name="Normal 5 2 9 3 2 10" xfId="16099"/>
    <cellStyle name="Normal 5 2 9 3 2 11" xfId="7453"/>
    <cellStyle name="Normal 5 2 9 3 2 2" xfId="16100"/>
    <cellStyle name="Normal 5 2 9 3 2 3" xfId="16101"/>
    <cellStyle name="Normal 5 2 9 3 2 4" xfId="16102"/>
    <cellStyle name="Normal 5 2 9 3 2 5" xfId="16103"/>
    <cellStyle name="Normal 5 2 9 3 2 6" xfId="16104"/>
    <cellStyle name="Normal 5 2 9 3 2 7" xfId="16105"/>
    <cellStyle name="Normal 5 2 9 3 2 8" xfId="16106"/>
    <cellStyle name="Normal 5 2 9 3 2 9" xfId="16107"/>
    <cellStyle name="Normal 5 2 9 3 3" xfId="3575"/>
    <cellStyle name="Normal 5 2 9 3 3 10" xfId="16108"/>
    <cellStyle name="Normal 5 2 9 3 3 11" xfId="7454"/>
    <cellStyle name="Normal 5 2 9 3 3 2" xfId="16109"/>
    <cellStyle name="Normal 5 2 9 3 3 3" xfId="16110"/>
    <cellStyle name="Normal 5 2 9 3 3 4" xfId="16111"/>
    <cellStyle name="Normal 5 2 9 3 3 5" xfId="16112"/>
    <cellStyle name="Normal 5 2 9 3 3 6" xfId="16113"/>
    <cellStyle name="Normal 5 2 9 3 3 7" xfId="16114"/>
    <cellStyle name="Normal 5 2 9 3 3 8" xfId="16115"/>
    <cellStyle name="Normal 5 2 9 3 3 9" xfId="16116"/>
    <cellStyle name="Normal 5 2 9 3 4" xfId="16117"/>
    <cellStyle name="Normal 5 2 9 3 5" xfId="16118"/>
    <cellStyle name="Normal 5 2 9 3 6" xfId="16119"/>
    <cellStyle name="Normal 5 2 9 3 7" xfId="16120"/>
    <cellStyle name="Normal 5 2 9 3 8" xfId="16121"/>
    <cellStyle name="Normal 5 2 9 3 9" xfId="16122"/>
    <cellStyle name="Normal 5 2 9 4" xfId="1655"/>
    <cellStyle name="Normal 5 2 9 4 10" xfId="16123"/>
    <cellStyle name="Normal 5 2 9 4 11" xfId="16124"/>
    <cellStyle name="Normal 5 2 9 4 12" xfId="16125"/>
    <cellStyle name="Normal 5 2 9 4 13" xfId="5569"/>
    <cellStyle name="Normal 5 2 9 4 2" xfId="2764"/>
    <cellStyle name="Normal 5 2 9 4 2 10" xfId="16126"/>
    <cellStyle name="Normal 5 2 9 4 2 11" xfId="6657"/>
    <cellStyle name="Normal 5 2 9 4 2 2" xfId="16127"/>
    <cellStyle name="Normal 5 2 9 4 2 3" xfId="16128"/>
    <cellStyle name="Normal 5 2 9 4 2 4" xfId="16129"/>
    <cellStyle name="Normal 5 2 9 4 2 5" xfId="16130"/>
    <cellStyle name="Normal 5 2 9 4 2 6" xfId="16131"/>
    <cellStyle name="Normal 5 2 9 4 2 7" xfId="16132"/>
    <cellStyle name="Normal 5 2 9 4 2 8" xfId="16133"/>
    <cellStyle name="Normal 5 2 9 4 2 9" xfId="16134"/>
    <cellStyle name="Normal 5 2 9 4 3" xfId="2768"/>
    <cellStyle name="Normal 5 2 9 4 3 10" xfId="16135"/>
    <cellStyle name="Normal 5 2 9 4 3 11" xfId="6661"/>
    <cellStyle name="Normal 5 2 9 4 3 2" xfId="16136"/>
    <cellStyle name="Normal 5 2 9 4 3 3" xfId="16137"/>
    <cellStyle name="Normal 5 2 9 4 3 4" xfId="16138"/>
    <cellStyle name="Normal 5 2 9 4 3 5" xfId="16139"/>
    <cellStyle name="Normal 5 2 9 4 3 6" xfId="16140"/>
    <cellStyle name="Normal 5 2 9 4 3 7" xfId="16141"/>
    <cellStyle name="Normal 5 2 9 4 3 8" xfId="16142"/>
    <cellStyle name="Normal 5 2 9 4 3 9" xfId="16143"/>
    <cellStyle name="Normal 5 2 9 4 4" xfId="16144"/>
    <cellStyle name="Normal 5 2 9 4 5" xfId="16145"/>
    <cellStyle name="Normal 5 2 9 4 6" xfId="16146"/>
    <cellStyle name="Normal 5 2 9 4 7" xfId="16147"/>
    <cellStyle name="Normal 5 2 9 4 8" xfId="16148"/>
    <cellStyle name="Normal 5 2 9 4 9" xfId="16149"/>
    <cellStyle name="Normal 5 2 9 5" xfId="1988"/>
    <cellStyle name="Normal 5 2 9 5 10" xfId="16150"/>
    <cellStyle name="Normal 5 2 9 5 11" xfId="16151"/>
    <cellStyle name="Normal 5 2 9 5 12" xfId="16152"/>
    <cellStyle name="Normal 5 2 9 5 13" xfId="5893"/>
    <cellStyle name="Normal 5 2 9 5 2" xfId="2785"/>
    <cellStyle name="Normal 5 2 9 5 2 10" xfId="16153"/>
    <cellStyle name="Normal 5 2 9 5 2 11" xfId="6678"/>
    <cellStyle name="Normal 5 2 9 5 2 2" xfId="16154"/>
    <cellStyle name="Normal 5 2 9 5 2 3" xfId="16155"/>
    <cellStyle name="Normal 5 2 9 5 2 4" xfId="16156"/>
    <cellStyle name="Normal 5 2 9 5 2 5" xfId="16157"/>
    <cellStyle name="Normal 5 2 9 5 2 6" xfId="16158"/>
    <cellStyle name="Normal 5 2 9 5 2 7" xfId="16159"/>
    <cellStyle name="Normal 5 2 9 5 2 8" xfId="16160"/>
    <cellStyle name="Normal 5 2 9 5 2 9" xfId="16161"/>
    <cellStyle name="Normal 5 2 9 5 3" xfId="2789"/>
    <cellStyle name="Normal 5 2 9 5 3 10" xfId="16162"/>
    <cellStyle name="Normal 5 2 9 5 3 11" xfId="6682"/>
    <cellStyle name="Normal 5 2 9 5 3 2" xfId="16163"/>
    <cellStyle name="Normal 5 2 9 5 3 3" xfId="16164"/>
    <cellStyle name="Normal 5 2 9 5 3 4" xfId="16165"/>
    <cellStyle name="Normal 5 2 9 5 3 5" xfId="16166"/>
    <cellStyle name="Normal 5 2 9 5 3 6" xfId="16167"/>
    <cellStyle name="Normal 5 2 9 5 3 7" xfId="16168"/>
    <cellStyle name="Normal 5 2 9 5 3 8" xfId="16169"/>
    <cellStyle name="Normal 5 2 9 5 3 9" xfId="16170"/>
    <cellStyle name="Normal 5 2 9 5 4" xfId="16171"/>
    <cellStyle name="Normal 5 2 9 5 5" xfId="16172"/>
    <cellStyle name="Normal 5 2 9 5 6" xfId="16173"/>
    <cellStyle name="Normal 5 2 9 5 7" xfId="16174"/>
    <cellStyle name="Normal 5 2 9 5 8" xfId="16175"/>
    <cellStyle name="Normal 5 2 9 5 9" xfId="16176"/>
    <cellStyle name="Normal 5 2 9 6" xfId="1991"/>
    <cellStyle name="Normal 5 2 9 6 10" xfId="16177"/>
    <cellStyle name="Normal 5 2 9 6 11" xfId="16178"/>
    <cellStyle name="Normal 5 2 9 6 12" xfId="16179"/>
    <cellStyle name="Normal 5 2 9 6 13" xfId="5896"/>
    <cellStyle name="Normal 5 2 9 6 2" xfId="2799"/>
    <cellStyle name="Normal 5 2 9 6 2 10" xfId="16180"/>
    <cellStyle name="Normal 5 2 9 6 2 11" xfId="6692"/>
    <cellStyle name="Normal 5 2 9 6 2 2" xfId="16181"/>
    <cellStyle name="Normal 5 2 9 6 2 3" xfId="16182"/>
    <cellStyle name="Normal 5 2 9 6 2 4" xfId="16183"/>
    <cellStyle name="Normal 5 2 9 6 2 5" xfId="16184"/>
    <cellStyle name="Normal 5 2 9 6 2 6" xfId="16185"/>
    <cellStyle name="Normal 5 2 9 6 2 7" xfId="16186"/>
    <cellStyle name="Normal 5 2 9 6 2 8" xfId="16187"/>
    <cellStyle name="Normal 5 2 9 6 2 9" xfId="16188"/>
    <cellStyle name="Normal 5 2 9 6 3" xfId="2802"/>
    <cellStyle name="Normal 5 2 9 6 3 10" xfId="16189"/>
    <cellStyle name="Normal 5 2 9 6 3 11" xfId="6695"/>
    <cellStyle name="Normal 5 2 9 6 3 2" xfId="16190"/>
    <cellStyle name="Normal 5 2 9 6 3 3" xfId="16191"/>
    <cellStyle name="Normal 5 2 9 6 3 4" xfId="16192"/>
    <cellStyle name="Normal 5 2 9 6 3 5" xfId="16193"/>
    <cellStyle name="Normal 5 2 9 6 3 6" xfId="16194"/>
    <cellStyle name="Normal 5 2 9 6 3 7" xfId="16195"/>
    <cellStyle name="Normal 5 2 9 6 3 8" xfId="16196"/>
    <cellStyle name="Normal 5 2 9 6 3 9" xfId="16197"/>
    <cellStyle name="Normal 5 2 9 6 4" xfId="16198"/>
    <cellStyle name="Normal 5 2 9 6 5" xfId="16199"/>
    <cellStyle name="Normal 5 2 9 6 6" xfId="16200"/>
    <cellStyle name="Normal 5 2 9 6 7" xfId="16201"/>
    <cellStyle name="Normal 5 2 9 6 8" xfId="16202"/>
    <cellStyle name="Normal 5 2 9 6 9" xfId="16203"/>
    <cellStyle name="Normal 5 2 9 7" xfId="3576"/>
    <cellStyle name="Normal 5 2 9 7 10" xfId="16204"/>
    <cellStyle name="Normal 5 2 9 7 11" xfId="7455"/>
    <cellStyle name="Normal 5 2 9 7 2" xfId="16205"/>
    <cellStyle name="Normal 5 2 9 7 3" xfId="16206"/>
    <cellStyle name="Normal 5 2 9 7 4" xfId="16207"/>
    <cellStyle name="Normal 5 2 9 7 5" xfId="16208"/>
    <cellStyle name="Normal 5 2 9 7 6" xfId="16209"/>
    <cellStyle name="Normal 5 2 9 7 7" xfId="16210"/>
    <cellStyle name="Normal 5 2 9 7 8" xfId="16211"/>
    <cellStyle name="Normal 5 2 9 7 9" xfId="16212"/>
    <cellStyle name="Normal 5 2 9 8" xfId="1122"/>
    <cellStyle name="Normal 5 2 9 8 10" xfId="16213"/>
    <cellStyle name="Normal 5 2 9 8 11" xfId="5041"/>
    <cellStyle name="Normal 5 2 9 8 2" xfId="16214"/>
    <cellStyle name="Normal 5 2 9 8 3" xfId="16215"/>
    <cellStyle name="Normal 5 2 9 8 4" xfId="16216"/>
    <cellStyle name="Normal 5 2 9 8 5" xfId="16217"/>
    <cellStyle name="Normal 5 2 9 8 6" xfId="16218"/>
    <cellStyle name="Normal 5 2 9 8 7" xfId="16219"/>
    <cellStyle name="Normal 5 2 9 8 8" xfId="16220"/>
    <cellStyle name="Normal 5 2 9 8 9" xfId="16221"/>
    <cellStyle name="Normal 5 2 9 9" xfId="16222"/>
    <cellStyle name="Normal 5 2_2bhk_19122016" xfId="16223"/>
    <cellStyle name="Normal 5 2_temp-mtc" xfId="1822"/>
    <cellStyle name="Normal 5 20" xfId="16224"/>
    <cellStyle name="Normal 5 21" xfId="16225"/>
    <cellStyle name="Normal 5 22" xfId="16226"/>
    <cellStyle name="Normal 5 23" xfId="16227"/>
    <cellStyle name="Normal 5 24" xfId="16228"/>
    <cellStyle name="Normal 5 25" xfId="16229"/>
    <cellStyle name="Normal 5 26" xfId="16230"/>
    <cellStyle name="Normal 5 27" xfId="16231"/>
    <cellStyle name="Normal 5 28" xfId="4976"/>
    <cellStyle name="Normal 5 3" xfId="2541"/>
    <cellStyle name="Normal 5 3 10" xfId="16232"/>
    <cellStyle name="Normal 5 3 11" xfId="16233"/>
    <cellStyle name="Normal 5 3 12" xfId="16234"/>
    <cellStyle name="Normal 5 3 13" xfId="16235"/>
    <cellStyle name="Normal 5 3 14" xfId="16236"/>
    <cellStyle name="Normal 5 3 15" xfId="16237"/>
    <cellStyle name="Normal 5 3 16" xfId="16238"/>
    <cellStyle name="Normal 5 3 17" xfId="16239"/>
    <cellStyle name="Normal 5 3 18" xfId="6437"/>
    <cellStyle name="Normal 5 3 2" xfId="3002"/>
    <cellStyle name="Normal 5 3 2 2" xfId="6889"/>
    <cellStyle name="Normal 5 3 3" xfId="1326"/>
    <cellStyle name="Normal 5 3 3 2" xfId="5245"/>
    <cellStyle name="Normal 5 3 4" xfId="1329"/>
    <cellStyle name="Normal 5 3 4 2" xfId="5248"/>
    <cellStyle name="Normal 5 3 5" xfId="1332"/>
    <cellStyle name="Normal 5 3 5 2" xfId="5251"/>
    <cellStyle name="Normal 5 3 6" xfId="1336"/>
    <cellStyle name="Normal 5 3 6 2" xfId="5255"/>
    <cellStyle name="Normal 5 3 7" xfId="1341"/>
    <cellStyle name="Normal 5 3 7 2" xfId="5259"/>
    <cellStyle name="Normal 5 3 8" xfId="230"/>
    <cellStyle name="Normal 5 3 8 2" xfId="4178"/>
    <cellStyle name="Normal 5 3 9" xfId="16240"/>
    <cellStyle name="Normal 5 4" xfId="45"/>
    <cellStyle name="Normal 5 4 10" xfId="16241"/>
    <cellStyle name="Normal 5 4 11" xfId="16242"/>
    <cellStyle name="Normal 5 4 12" xfId="16243"/>
    <cellStyle name="Normal 5 4 13" xfId="16244"/>
    <cellStyle name="Normal 5 4 14" xfId="16245"/>
    <cellStyle name="Normal 5 4 15" xfId="16246"/>
    <cellStyle name="Normal 5 4 16" xfId="16247"/>
    <cellStyle name="Normal 5 4 17" xfId="16248"/>
    <cellStyle name="Normal 5 4 18" xfId="4002"/>
    <cellStyle name="Normal 5 4 2" xfId="3011"/>
    <cellStyle name="Normal 5 4 2 2" xfId="6898"/>
    <cellStyle name="Normal 5 4 3" xfId="1347"/>
    <cellStyle name="Normal 5 4 3 2" xfId="5265"/>
    <cellStyle name="Normal 5 4 4" xfId="1350"/>
    <cellStyle name="Normal 5 4 4 2" xfId="5268"/>
    <cellStyle name="Normal 5 4 5" xfId="1353"/>
    <cellStyle name="Normal 5 4 5 2" xfId="5271"/>
    <cellStyle name="Normal 5 4 6" xfId="1358"/>
    <cellStyle name="Normal 5 4 6 2" xfId="5276"/>
    <cellStyle name="Normal 5 4 7" xfId="1363"/>
    <cellStyle name="Normal 5 4 7 2" xfId="5280"/>
    <cellStyle name="Normal 5 4 8" xfId="242"/>
    <cellStyle name="Normal 5 4 8 2" xfId="4190"/>
    <cellStyle name="Normal 5 4 9" xfId="16249"/>
    <cellStyle name="Normal 5 5" xfId="2545"/>
    <cellStyle name="Normal 5 5 10" xfId="16250"/>
    <cellStyle name="Normal 5 5 11" xfId="16251"/>
    <cellStyle name="Normal 5 5 12" xfId="16252"/>
    <cellStyle name="Normal 5 5 13" xfId="16253"/>
    <cellStyle name="Normal 5 5 14" xfId="16254"/>
    <cellStyle name="Normal 5 5 15" xfId="16255"/>
    <cellStyle name="Normal 5 5 16" xfId="16256"/>
    <cellStyle name="Normal 5 5 17" xfId="16257"/>
    <cellStyle name="Normal 5 5 18" xfId="6441"/>
    <cellStyle name="Normal 5 5 2" xfId="3020"/>
    <cellStyle name="Normal 5 5 2 2" xfId="16258"/>
    <cellStyle name="Normal 5 5 2 2 2" xfId="16259"/>
    <cellStyle name="Normal 5 5 2 2 2 2" xfId="16260"/>
    <cellStyle name="Normal 5 5 2 2 3" xfId="16261"/>
    <cellStyle name="Normal 5 5 2 3" xfId="16262"/>
    <cellStyle name="Normal 5 5 2 3 2" xfId="16263"/>
    <cellStyle name="Normal 5 5 2 4" xfId="16264"/>
    <cellStyle name="Normal 5 5 2 4 2" xfId="16265"/>
    <cellStyle name="Normal 5 5 2 5" xfId="16266"/>
    <cellStyle name="Normal 5 5 2 6" xfId="6907"/>
    <cellStyle name="Normal 5 5 3" xfId="1369"/>
    <cellStyle name="Normal 5 5 3 2" xfId="16267"/>
    <cellStyle name="Normal 5 5 3 2 2" xfId="16268"/>
    <cellStyle name="Normal 5 5 3 2 2 2" xfId="16269"/>
    <cellStyle name="Normal 5 5 3 2 3" xfId="16270"/>
    <cellStyle name="Normal 5 5 3 3" xfId="16271"/>
    <cellStyle name="Normal 5 5 3 3 2" xfId="16272"/>
    <cellStyle name="Normal 5 5 3 4" xfId="16273"/>
    <cellStyle name="Normal 5 5 3 4 2" xfId="16274"/>
    <cellStyle name="Normal 5 5 3 5" xfId="16275"/>
    <cellStyle name="Normal 5 5 3 6" xfId="5286"/>
    <cellStyle name="Normal 5 5 4" xfId="1373"/>
    <cellStyle name="Normal 5 5 4 2" xfId="16276"/>
    <cellStyle name="Normal 5 5 4 2 2" xfId="16277"/>
    <cellStyle name="Normal 5 5 4 2 2 2" xfId="16278"/>
    <cellStyle name="Normal 5 5 4 2 3" xfId="16279"/>
    <cellStyle name="Normal 5 5 4 3" xfId="16280"/>
    <cellStyle name="Normal 5 5 4 3 2" xfId="16281"/>
    <cellStyle name="Normal 5 5 4 4" xfId="16282"/>
    <cellStyle name="Normal 5 5 4 4 2" xfId="16283"/>
    <cellStyle name="Normal 5 5 4 5" xfId="16284"/>
    <cellStyle name="Normal 5 5 4 6" xfId="5290"/>
    <cellStyle name="Normal 5 5 5" xfId="531"/>
    <cellStyle name="Normal 5 5 5 2" xfId="16285"/>
    <cellStyle name="Normal 5 5 5 2 2" xfId="16286"/>
    <cellStyle name="Normal 5 5 5 2 2 2" xfId="16287"/>
    <cellStyle name="Normal 5 5 5 2 3" xfId="16288"/>
    <cellStyle name="Normal 5 5 5 3" xfId="16289"/>
    <cellStyle name="Normal 5 5 5 3 2" xfId="16290"/>
    <cellStyle name="Normal 5 5 5 4" xfId="16291"/>
    <cellStyle name="Normal 5 5 5 4 2" xfId="16292"/>
    <cellStyle name="Normal 5 5 5 5" xfId="16293"/>
    <cellStyle name="Normal 5 5 5 6" xfId="4467"/>
    <cellStyle name="Normal 5 5 6" xfId="72"/>
    <cellStyle name="Normal 5 5 6 2" xfId="16294"/>
    <cellStyle name="Normal 5 5 6 2 2" xfId="16295"/>
    <cellStyle name="Normal 5 5 6 3" xfId="16296"/>
    <cellStyle name="Normal 5 5 6 4" xfId="4024"/>
    <cellStyle name="Normal 5 5 7" xfId="49"/>
    <cellStyle name="Normal 5 5 7 2" xfId="16297"/>
    <cellStyle name="Normal 5 5 7 3" xfId="3998"/>
    <cellStyle name="Normal 5 5 8" xfId="78"/>
    <cellStyle name="Normal 5 5 8 2" xfId="16298"/>
    <cellStyle name="Normal 5 5 8 3" xfId="4030"/>
    <cellStyle name="Normal 5 5 9" xfId="16299"/>
    <cellStyle name="Normal 5 6" xfId="84"/>
    <cellStyle name="Normal 5 6 10" xfId="16300"/>
    <cellStyle name="Normal 5 6 11" xfId="16301"/>
    <cellStyle name="Normal 5 6 12" xfId="16302"/>
    <cellStyle name="Normal 5 6 13" xfId="16303"/>
    <cellStyle name="Normal 5 6 14" xfId="16304"/>
    <cellStyle name="Normal 5 6 15" xfId="16305"/>
    <cellStyle name="Normal 5 6 16" xfId="16306"/>
    <cellStyle name="Normal 5 6 17" xfId="16307"/>
    <cellStyle name="Normal 5 6 18" xfId="4042"/>
    <cellStyle name="Normal 5 6 2" xfId="3031"/>
    <cellStyle name="Normal 5 6 2 2" xfId="16308"/>
    <cellStyle name="Normal 5 6 2 2 2" xfId="16309"/>
    <cellStyle name="Normal 5 6 2 2 2 2" xfId="16310"/>
    <cellStyle name="Normal 5 6 2 2 3" xfId="16311"/>
    <cellStyle name="Normal 5 6 2 3" xfId="16312"/>
    <cellStyle name="Normal 5 6 2 3 2" xfId="16313"/>
    <cellStyle name="Normal 5 6 2 4" xfId="16314"/>
    <cellStyle name="Normal 5 6 2 4 2" xfId="16315"/>
    <cellStyle name="Normal 5 6 2 5" xfId="16316"/>
    <cellStyle name="Normal 5 6 2 6" xfId="6917"/>
    <cellStyle name="Normal 5 6 3" xfId="1377"/>
    <cellStyle name="Normal 5 6 3 2" xfId="16317"/>
    <cellStyle name="Normal 5 6 3 2 2" xfId="16318"/>
    <cellStyle name="Normal 5 6 3 2 2 2" xfId="16319"/>
    <cellStyle name="Normal 5 6 3 2 3" xfId="16320"/>
    <cellStyle name="Normal 5 6 3 3" xfId="16321"/>
    <cellStyle name="Normal 5 6 3 3 2" xfId="16322"/>
    <cellStyle name="Normal 5 6 3 4" xfId="16323"/>
    <cellStyle name="Normal 5 6 3 4 2" xfId="16324"/>
    <cellStyle name="Normal 5 6 3 5" xfId="16325"/>
    <cellStyle name="Normal 5 6 3 6" xfId="5295"/>
    <cellStyle name="Normal 5 6 4" xfId="1379"/>
    <cellStyle name="Normal 5 6 4 2" xfId="16326"/>
    <cellStyle name="Normal 5 6 4 2 2" xfId="16327"/>
    <cellStyle name="Normal 5 6 4 2 2 2" xfId="16328"/>
    <cellStyle name="Normal 5 6 4 2 3" xfId="16329"/>
    <cellStyle name="Normal 5 6 4 3" xfId="16330"/>
    <cellStyle name="Normal 5 6 4 3 2" xfId="16331"/>
    <cellStyle name="Normal 5 6 4 4" xfId="16332"/>
    <cellStyle name="Normal 5 6 4 4 2" xfId="16333"/>
    <cellStyle name="Normal 5 6 4 5" xfId="16334"/>
    <cellStyle name="Normal 5 6 4 6" xfId="5297"/>
    <cellStyle name="Normal 5 6 5" xfId="754"/>
    <cellStyle name="Normal 5 6 5 2" xfId="16335"/>
    <cellStyle name="Normal 5 6 5 2 2" xfId="16336"/>
    <cellStyle name="Normal 5 6 5 2 2 2" xfId="16337"/>
    <cellStyle name="Normal 5 6 5 2 3" xfId="16338"/>
    <cellStyle name="Normal 5 6 5 3" xfId="16339"/>
    <cellStyle name="Normal 5 6 5 3 2" xfId="16340"/>
    <cellStyle name="Normal 5 6 5 4" xfId="16341"/>
    <cellStyle name="Normal 5 6 5 4 2" xfId="16342"/>
    <cellStyle name="Normal 5 6 5 5" xfId="16343"/>
    <cellStyle name="Normal 5 6 5 6" xfId="4684"/>
    <cellStyle name="Normal 5 6 6" xfId="65"/>
    <cellStyle name="Normal 5 6 6 2" xfId="16344"/>
    <cellStyle name="Normal 5 6 6 2 2" xfId="16345"/>
    <cellStyle name="Normal 5 6 6 3" xfId="16346"/>
    <cellStyle name="Normal 5 6 6 4" xfId="4016"/>
    <cellStyle name="Normal 5 6 7" xfId="1382"/>
    <cellStyle name="Normal 5 6 7 2" xfId="16347"/>
    <cellStyle name="Normal 5 6 7 3" xfId="5299"/>
    <cellStyle name="Normal 5 6 8" xfId="248"/>
    <cellStyle name="Normal 5 6 8 2" xfId="16348"/>
    <cellStyle name="Normal 5 6 8 3" xfId="4200"/>
    <cellStyle name="Normal 5 6 9" xfId="16349"/>
    <cellStyle name="Normal 5 7" xfId="766"/>
    <cellStyle name="Normal 5 7 10" xfId="16350"/>
    <cellStyle name="Normal 5 7 11" xfId="16351"/>
    <cellStyle name="Normal 5 7 12" xfId="16352"/>
    <cellStyle name="Normal 5 7 13" xfId="16353"/>
    <cellStyle name="Normal 5 7 14" xfId="16354"/>
    <cellStyle name="Normal 5 7 15" xfId="16355"/>
    <cellStyle name="Normal 5 7 16" xfId="16356"/>
    <cellStyle name="Normal 5 7 17" xfId="16357"/>
    <cellStyle name="Normal 5 7 18" xfId="4693"/>
    <cellStyle name="Normal 5 7 2" xfId="3042"/>
    <cellStyle name="Normal 5 7 2 2" xfId="6928"/>
    <cellStyle name="Normal 5 7 3" xfId="1385"/>
    <cellStyle name="Normal 5 7 3 2" xfId="5305"/>
    <cellStyle name="Normal 5 7 4" xfId="1389"/>
    <cellStyle name="Normal 5 7 4 2" xfId="5309"/>
    <cellStyle name="Normal 5 7 5" xfId="22"/>
    <cellStyle name="Normal 5 7 5 2" xfId="3985"/>
    <cellStyle name="Normal 5 7 6" xfId="1394"/>
    <cellStyle name="Normal 5 7 6 2" xfId="5311"/>
    <cellStyle name="Normal 5 7 7" xfId="1397"/>
    <cellStyle name="Normal 5 7 7 2" xfId="5314"/>
    <cellStyle name="Normal 5 7 8" xfId="267"/>
    <cellStyle name="Normal 5 7 8 2" xfId="4214"/>
    <cellStyle name="Normal 5 7 9" xfId="16358"/>
    <cellStyle name="Normal 5 8" xfId="2634"/>
    <cellStyle name="Normal 5 8 10" xfId="16359"/>
    <cellStyle name="Normal 5 8 11" xfId="16360"/>
    <cellStyle name="Normal 5 8 12" xfId="16361"/>
    <cellStyle name="Normal 5 8 13" xfId="16362"/>
    <cellStyle name="Normal 5 8 14" xfId="16363"/>
    <cellStyle name="Normal 5 8 15" xfId="16364"/>
    <cellStyle name="Normal 5 8 16" xfId="16365"/>
    <cellStyle name="Normal 5 8 17" xfId="16366"/>
    <cellStyle name="Normal 5 8 18" xfId="6528"/>
    <cellStyle name="Normal 5 8 2" xfId="3045"/>
    <cellStyle name="Normal 5 8 2 2" xfId="6931"/>
    <cellStyle name="Normal 5 8 3" xfId="1011"/>
    <cellStyle name="Normal 5 8 3 2" xfId="4930"/>
    <cellStyle name="Normal 5 8 4" xfId="1015"/>
    <cellStyle name="Normal 5 8 4 2" xfId="4934"/>
    <cellStyle name="Normal 5 8 5" xfId="1018"/>
    <cellStyle name="Normal 5 8 5 2" xfId="4938"/>
    <cellStyle name="Normal 5 8 6" xfId="940"/>
    <cellStyle name="Normal 5 8 6 2" xfId="4863"/>
    <cellStyle name="Normal 5 8 7" xfId="965"/>
    <cellStyle name="Normal 5 8 7 2" xfId="4888"/>
    <cellStyle name="Normal 5 8 8" xfId="292"/>
    <cellStyle name="Normal 5 8 8 2" xfId="4242"/>
    <cellStyle name="Normal 5 8 9" xfId="16367"/>
    <cellStyle name="Normal 5 9" xfId="3577"/>
    <cellStyle name="Normal 5 9 10" xfId="16368"/>
    <cellStyle name="Normal 5 9 11" xfId="16369"/>
    <cellStyle name="Normal 5 9 12" xfId="16370"/>
    <cellStyle name="Normal 5 9 13" xfId="16371"/>
    <cellStyle name="Normal 5 9 14" xfId="16372"/>
    <cellStyle name="Normal 5 9 15" xfId="16373"/>
    <cellStyle name="Normal 5 9 16" xfId="16374"/>
    <cellStyle name="Normal 5 9 17" xfId="16375"/>
    <cellStyle name="Normal 5 9 18" xfId="7456"/>
    <cellStyle name="Normal 5 9 2" xfId="3054"/>
    <cellStyle name="Normal 5 9 2 2" xfId="6940"/>
    <cellStyle name="Normal 5 9 3" xfId="3578"/>
    <cellStyle name="Normal 5 9 3 2" xfId="7457"/>
    <cellStyle name="Normal 5 9 4" xfId="3579"/>
    <cellStyle name="Normal 5 9 4 2" xfId="7458"/>
    <cellStyle name="Normal 5 9 5" xfId="3580"/>
    <cellStyle name="Normal 5 9 5 2" xfId="7459"/>
    <cellStyle name="Normal 5 9 6" xfId="3581"/>
    <cellStyle name="Normal 5 9 6 2" xfId="7460"/>
    <cellStyle name="Normal 5 9 7" xfId="3582"/>
    <cellStyle name="Normal 5 9 7 2" xfId="7461"/>
    <cellStyle name="Normal 5 9 8" xfId="3583"/>
    <cellStyle name="Normal 5 9 8 2" xfId="7462"/>
    <cellStyle name="Normal 5 9 9" xfId="16376"/>
    <cellStyle name="Normal 5_126  NAGANOOL TO GADDAMPALLY  - 82.50  LAKHS" xfId="16377"/>
    <cellStyle name="Normal 50" xfId="3466"/>
    <cellStyle name="Normal 50 2" xfId="16378"/>
    <cellStyle name="Normal 50 3" xfId="7347"/>
    <cellStyle name="Normal 51" xfId="3468"/>
    <cellStyle name="Normal 51 2" xfId="16379"/>
    <cellStyle name="Normal 51 3" xfId="7349"/>
    <cellStyle name="Normal 52" xfId="3471"/>
    <cellStyle name="Normal 52 2" xfId="7351"/>
    <cellStyle name="Normal 53" xfId="3473"/>
    <cellStyle name="Normal 53 2" xfId="7353"/>
    <cellStyle name="Normal 54" xfId="798"/>
    <cellStyle name="Normal 54 10" xfId="16380"/>
    <cellStyle name="Normal 54 11" xfId="16381"/>
    <cellStyle name="Normal 54 12" xfId="16382"/>
    <cellStyle name="Normal 54 13" xfId="16383"/>
    <cellStyle name="Normal 54 14" xfId="16384"/>
    <cellStyle name="Normal 54 15" xfId="4726"/>
    <cellStyle name="Normal 54 2" xfId="2726"/>
    <cellStyle name="Normal 54 2 10" xfId="16385"/>
    <cellStyle name="Normal 54 2 11" xfId="16386"/>
    <cellStyle name="Normal 54 2 12" xfId="16387"/>
    <cellStyle name="Normal 54 2 13" xfId="6619"/>
    <cellStyle name="Normal 54 2 2" xfId="190"/>
    <cellStyle name="Normal 54 2 2 10" xfId="16388"/>
    <cellStyle name="Normal 54 2 2 11" xfId="4119"/>
    <cellStyle name="Normal 54 2 2 2" xfId="16389"/>
    <cellStyle name="Normal 54 2 2 3" xfId="16390"/>
    <cellStyle name="Normal 54 2 2 4" xfId="16391"/>
    <cellStyle name="Normal 54 2 2 5" xfId="16392"/>
    <cellStyle name="Normal 54 2 2 6" xfId="16393"/>
    <cellStyle name="Normal 54 2 2 7" xfId="16394"/>
    <cellStyle name="Normal 54 2 2 8" xfId="16395"/>
    <cellStyle name="Normal 54 2 2 9" xfId="16396"/>
    <cellStyle name="Normal 54 2 3" xfId="3585"/>
    <cellStyle name="Normal 54 2 3 10" xfId="16397"/>
    <cellStyle name="Normal 54 2 3 11" xfId="7464"/>
    <cellStyle name="Normal 54 2 3 2" xfId="16398"/>
    <cellStyle name="Normal 54 2 3 3" xfId="16399"/>
    <cellStyle name="Normal 54 2 3 4" xfId="16400"/>
    <cellStyle name="Normal 54 2 3 5" xfId="16401"/>
    <cellStyle name="Normal 54 2 3 6" xfId="16402"/>
    <cellStyle name="Normal 54 2 3 7" xfId="16403"/>
    <cellStyle name="Normal 54 2 3 8" xfId="16404"/>
    <cellStyle name="Normal 54 2 3 9" xfId="16405"/>
    <cellStyle name="Normal 54 2 4" xfId="16406"/>
    <cellStyle name="Normal 54 2 5" xfId="16407"/>
    <cellStyle name="Normal 54 2 6" xfId="16408"/>
    <cellStyle name="Normal 54 2 7" xfId="16409"/>
    <cellStyle name="Normal 54 2 8" xfId="16410"/>
    <cellStyle name="Normal 54 2 9" xfId="16411"/>
    <cellStyle name="Normal 54 3" xfId="2728"/>
    <cellStyle name="Normal 54 3 10" xfId="16412"/>
    <cellStyle name="Normal 54 3 11" xfId="16413"/>
    <cellStyle name="Normal 54 3 12" xfId="16414"/>
    <cellStyle name="Normal 54 3 13" xfId="6621"/>
    <cellStyle name="Normal 54 3 2" xfId="3586"/>
    <cellStyle name="Normal 54 3 2 10" xfId="16415"/>
    <cellStyle name="Normal 54 3 2 11" xfId="7465"/>
    <cellStyle name="Normal 54 3 2 2" xfId="16416"/>
    <cellStyle name="Normal 54 3 2 3" xfId="16417"/>
    <cellStyle name="Normal 54 3 2 4" xfId="16418"/>
    <cellStyle name="Normal 54 3 2 5" xfId="16419"/>
    <cellStyle name="Normal 54 3 2 6" xfId="16420"/>
    <cellStyle name="Normal 54 3 2 7" xfId="16421"/>
    <cellStyle name="Normal 54 3 2 8" xfId="16422"/>
    <cellStyle name="Normal 54 3 2 9" xfId="16423"/>
    <cellStyle name="Normal 54 3 3" xfId="3587"/>
    <cellStyle name="Normal 54 3 3 10" xfId="16424"/>
    <cellStyle name="Normal 54 3 3 11" xfId="7466"/>
    <cellStyle name="Normal 54 3 3 2" xfId="16425"/>
    <cellStyle name="Normal 54 3 3 3" xfId="16426"/>
    <cellStyle name="Normal 54 3 3 4" xfId="16427"/>
    <cellStyle name="Normal 54 3 3 5" xfId="16428"/>
    <cellStyle name="Normal 54 3 3 6" xfId="16429"/>
    <cellStyle name="Normal 54 3 3 7" xfId="16430"/>
    <cellStyle name="Normal 54 3 3 8" xfId="16431"/>
    <cellStyle name="Normal 54 3 3 9" xfId="16432"/>
    <cellStyle name="Normal 54 3 4" xfId="16433"/>
    <cellStyle name="Normal 54 3 5" xfId="16434"/>
    <cellStyle name="Normal 54 3 6" xfId="16435"/>
    <cellStyle name="Normal 54 3 7" xfId="16436"/>
    <cellStyle name="Normal 54 3 8" xfId="16437"/>
    <cellStyle name="Normal 54 3 9" xfId="16438"/>
    <cellStyle name="Normal 54 4" xfId="2730"/>
    <cellStyle name="Normal 54 4 10" xfId="16439"/>
    <cellStyle name="Normal 54 4 11" xfId="6623"/>
    <cellStyle name="Normal 54 4 2" xfId="16440"/>
    <cellStyle name="Normal 54 4 3" xfId="16441"/>
    <cellStyle name="Normal 54 4 4" xfId="16442"/>
    <cellStyle name="Normal 54 4 5" xfId="16443"/>
    <cellStyle name="Normal 54 4 6" xfId="16444"/>
    <cellStyle name="Normal 54 4 7" xfId="16445"/>
    <cellStyle name="Normal 54 4 8" xfId="16446"/>
    <cellStyle name="Normal 54 4 9" xfId="16447"/>
    <cellStyle name="Normal 54 5" xfId="1919"/>
    <cellStyle name="Normal 54 5 10" xfId="16448"/>
    <cellStyle name="Normal 54 5 11" xfId="5826"/>
    <cellStyle name="Normal 54 5 2" xfId="16449"/>
    <cellStyle name="Normal 54 5 3" xfId="16450"/>
    <cellStyle name="Normal 54 5 4" xfId="16451"/>
    <cellStyle name="Normal 54 5 5" xfId="16452"/>
    <cellStyle name="Normal 54 5 6" xfId="16453"/>
    <cellStyle name="Normal 54 5 7" xfId="16454"/>
    <cellStyle name="Normal 54 5 8" xfId="16455"/>
    <cellStyle name="Normal 54 5 9" xfId="16456"/>
    <cellStyle name="Normal 54 6" xfId="16457"/>
    <cellStyle name="Normal 54 7" xfId="16458"/>
    <cellStyle name="Normal 54 8" xfId="16459"/>
    <cellStyle name="Normal 54 9" xfId="16460"/>
    <cellStyle name="Normal 55" xfId="16461"/>
    <cellStyle name="Normal 55 2" xfId="16462"/>
    <cellStyle name="Normal 55 2 2" xfId="16463"/>
    <cellStyle name="Normal 56" xfId="16464"/>
    <cellStyle name="Normal 57" xfId="101"/>
    <cellStyle name="Normal 57 10" xfId="16465"/>
    <cellStyle name="Normal 57 11" xfId="16466"/>
    <cellStyle name="Normal 57 12" xfId="16467"/>
    <cellStyle name="Normal 57 13" xfId="16468"/>
    <cellStyle name="Normal 57 14" xfId="16469"/>
    <cellStyle name="Normal 57 15" xfId="16470"/>
    <cellStyle name="Normal 57 16" xfId="16471"/>
    <cellStyle name="Normal 57 17" xfId="16472"/>
    <cellStyle name="Normal 57 18" xfId="4046"/>
    <cellStyle name="Normal 57 2" xfId="1736"/>
    <cellStyle name="Normal 57 2 2" xfId="5648"/>
    <cellStyle name="Normal 57 3" xfId="1738"/>
    <cellStyle name="Normal 57 3 2" xfId="5650"/>
    <cellStyle name="Normal 57 4" xfId="3588"/>
    <cellStyle name="Normal 57 4 2" xfId="7467"/>
    <cellStyle name="Normal 57 5" xfId="3589"/>
    <cellStyle name="Normal 57 5 2" xfId="7468"/>
    <cellStyle name="Normal 57 6" xfId="144"/>
    <cellStyle name="Normal 57 6 2" xfId="4083"/>
    <cellStyle name="Normal 57 7" xfId="167"/>
    <cellStyle name="Normal 57 7 2" xfId="4094"/>
    <cellStyle name="Normal 57 8" xfId="180"/>
    <cellStyle name="Normal 57 8 2" xfId="4109"/>
    <cellStyle name="Normal 57 9" xfId="16473"/>
    <cellStyle name="Normal 58" xfId="35"/>
    <cellStyle name="Normal 58 2" xfId="3993"/>
    <cellStyle name="Normal 59" xfId="16474"/>
    <cellStyle name="Normal 6" xfId="772"/>
    <cellStyle name="Normal 6 10" xfId="16475"/>
    <cellStyle name="Normal 6 10 2" xfId="16476"/>
    <cellStyle name="Normal 6 10 2 2" xfId="16477"/>
    <cellStyle name="Normal 6 10 2 2 2" xfId="16478"/>
    <cellStyle name="Normal 6 10 2 3" xfId="16479"/>
    <cellStyle name="Normal 6 10 3" xfId="16480"/>
    <cellStyle name="Normal 6 10 3 2" xfId="16481"/>
    <cellStyle name="Normal 6 10 4" xfId="16482"/>
    <cellStyle name="Normal 6 10 4 2" xfId="16483"/>
    <cellStyle name="Normal 6 10 5" xfId="16484"/>
    <cellStyle name="Normal 6 11" xfId="16485"/>
    <cellStyle name="Normal 6 11 2" xfId="16486"/>
    <cellStyle name="Normal 6 11 2 2" xfId="16487"/>
    <cellStyle name="Normal 6 11 3" xfId="16488"/>
    <cellStyle name="Normal 6 12" xfId="16489"/>
    <cellStyle name="Normal 6 12 2" xfId="16490"/>
    <cellStyle name="Normal 6 13" xfId="16491"/>
    <cellStyle name="Normal 6 13 2" xfId="16492"/>
    <cellStyle name="Normal 6 14" xfId="16493"/>
    <cellStyle name="Normal 6 15" xfId="4700"/>
    <cellStyle name="Normal 6 2" xfId="759"/>
    <cellStyle name="Normal 6 2 2" xfId="3590"/>
    <cellStyle name="Normal 6 2 2 10" xfId="16494"/>
    <cellStyle name="Normal 6 2 2 11" xfId="16495"/>
    <cellStyle name="Normal 6 2 2 12" xfId="16496"/>
    <cellStyle name="Normal 6 2 2 13" xfId="7469"/>
    <cellStyle name="Normal 6 2 2 2" xfId="1221"/>
    <cellStyle name="Normal 6 2 2 2 10" xfId="16497"/>
    <cellStyle name="Normal 6 2 2 2 11" xfId="5141"/>
    <cellStyle name="Normal 6 2 2 2 2" xfId="16498"/>
    <cellStyle name="Normal 6 2 2 2 3" xfId="16499"/>
    <cellStyle name="Normal 6 2 2 2 4" xfId="16500"/>
    <cellStyle name="Normal 6 2 2 2 5" xfId="16501"/>
    <cellStyle name="Normal 6 2 2 2 6" xfId="16502"/>
    <cellStyle name="Normal 6 2 2 2 7" xfId="16503"/>
    <cellStyle name="Normal 6 2 2 2 8" xfId="16504"/>
    <cellStyle name="Normal 6 2 2 2 9" xfId="16505"/>
    <cellStyle name="Normal 6 2 2 3" xfId="946"/>
    <cellStyle name="Normal 6 2 2 3 10" xfId="16506"/>
    <cellStyle name="Normal 6 2 2 3 11" xfId="4872"/>
    <cellStyle name="Normal 6 2 2 3 2" xfId="16507"/>
    <cellStyle name="Normal 6 2 2 3 3" xfId="16508"/>
    <cellStyle name="Normal 6 2 2 3 4" xfId="16509"/>
    <cellStyle name="Normal 6 2 2 3 5" xfId="16510"/>
    <cellStyle name="Normal 6 2 2 3 6" xfId="16511"/>
    <cellStyle name="Normal 6 2 2 3 7" xfId="16512"/>
    <cellStyle name="Normal 6 2 2 3 8" xfId="16513"/>
    <cellStyle name="Normal 6 2 2 3 9" xfId="16514"/>
    <cellStyle name="Normal 6 2 2 4" xfId="16515"/>
    <cellStyle name="Normal 6 2 2 5" xfId="16516"/>
    <cellStyle name="Normal 6 2 2 6" xfId="16517"/>
    <cellStyle name="Normal 6 2 2 7" xfId="16518"/>
    <cellStyle name="Normal 6 2 2 8" xfId="16519"/>
    <cellStyle name="Normal 6 2 2 9" xfId="16520"/>
    <cellStyle name="Normal 6 2 3" xfId="1436"/>
    <cellStyle name="Normal 6 2 3 10" xfId="16521"/>
    <cellStyle name="Normal 6 2 3 11" xfId="16522"/>
    <cellStyle name="Normal 6 2 3 12" xfId="16523"/>
    <cellStyle name="Normal 6 2 3 13" xfId="5354"/>
    <cellStyle name="Normal 6 2 3 2" xfId="733"/>
    <cellStyle name="Normal 6 2 3 2 10" xfId="16524"/>
    <cellStyle name="Normal 6 2 3 2 11" xfId="4662"/>
    <cellStyle name="Normal 6 2 3 2 2" xfId="16525"/>
    <cellStyle name="Normal 6 2 3 2 3" xfId="16526"/>
    <cellStyle name="Normal 6 2 3 2 4" xfId="16527"/>
    <cellStyle name="Normal 6 2 3 2 5" xfId="16528"/>
    <cellStyle name="Normal 6 2 3 2 6" xfId="16529"/>
    <cellStyle name="Normal 6 2 3 2 7" xfId="16530"/>
    <cellStyle name="Normal 6 2 3 2 8" xfId="16531"/>
    <cellStyle name="Normal 6 2 3 2 9" xfId="16532"/>
    <cellStyle name="Normal 6 2 3 3" xfId="742"/>
    <cellStyle name="Normal 6 2 3 3 10" xfId="16533"/>
    <cellStyle name="Normal 6 2 3 3 11" xfId="4672"/>
    <cellStyle name="Normal 6 2 3 3 2" xfId="16534"/>
    <cellStyle name="Normal 6 2 3 3 3" xfId="16535"/>
    <cellStyle name="Normal 6 2 3 3 4" xfId="16536"/>
    <cellStyle name="Normal 6 2 3 3 5" xfId="16537"/>
    <cellStyle name="Normal 6 2 3 3 6" xfId="16538"/>
    <cellStyle name="Normal 6 2 3 3 7" xfId="16539"/>
    <cellStyle name="Normal 6 2 3 3 8" xfId="16540"/>
    <cellStyle name="Normal 6 2 3 3 9" xfId="16541"/>
    <cellStyle name="Normal 6 2 3 4" xfId="16542"/>
    <cellStyle name="Normal 6 2 3 5" xfId="16543"/>
    <cellStyle name="Normal 6 2 3 6" xfId="16544"/>
    <cellStyle name="Normal 6 2 3 7" xfId="16545"/>
    <cellStyle name="Normal 6 2 3 8" xfId="16546"/>
    <cellStyle name="Normal 6 2 3 9" xfId="16547"/>
    <cellStyle name="Normal 6 2 4" xfId="4687"/>
    <cellStyle name="Normal 6 3" xfId="1557"/>
    <cellStyle name="Normal 6 3 2" xfId="5475"/>
    <cellStyle name="Normal 6 4" xfId="1560"/>
    <cellStyle name="Normal 6 4 2" xfId="5478"/>
    <cellStyle name="Normal 6 5" xfId="16548"/>
    <cellStyle name="Normal 6 6" xfId="16549"/>
    <cellStyle name="Normal 6 6 2" xfId="16550"/>
    <cellStyle name="Normal 6 6 2 2" xfId="16551"/>
    <cellStyle name="Normal 6 6 2 2 2" xfId="16552"/>
    <cellStyle name="Normal 6 6 2 2 2 2" xfId="16553"/>
    <cellStyle name="Normal 6 6 2 2 3" xfId="16554"/>
    <cellStyle name="Normal 6 6 2 3" xfId="16555"/>
    <cellStyle name="Normal 6 6 2 3 2" xfId="16556"/>
    <cellStyle name="Normal 6 6 2 4" xfId="16557"/>
    <cellStyle name="Normal 6 6 2 4 2" xfId="16558"/>
    <cellStyle name="Normal 6 6 2 5" xfId="16559"/>
    <cellStyle name="Normal 6 6 3" xfId="16560"/>
    <cellStyle name="Normal 6 6 3 2" xfId="16561"/>
    <cellStyle name="Normal 6 6 3 2 2" xfId="16562"/>
    <cellStyle name="Normal 6 6 3 2 2 2" xfId="16563"/>
    <cellStyle name="Normal 6 6 3 2 3" xfId="16564"/>
    <cellStyle name="Normal 6 6 3 3" xfId="16565"/>
    <cellStyle name="Normal 6 6 3 3 2" xfId="16566"/>
    <cellStyle name="Normal 6 6 3 4" xfId="16567"/>
    <cellStyle name="Normal 6 6 3 4 2" xfId="16568"/>
    <cellStyle name="Normal 6 6 3 5" xfId="16569"/>
    <cellStyle name="Normal 6 6 4" xfId="16570"/>
    <cellStyle name="Normal 6 6 4 2" xfId="16571"/>
    <cellStyle name="Normal 6 6 4 2 2" xfId="16572"/>
    <cellStyle name="Normal 6 6 4 3" xfId="16573"/>
    <cellStyle name="Normal 6 6 5" xfId="16574"/>
    <cellStyle name="Normal 6 6 5 2" xfId="16575"/>
    <cellStyle name="Normal 6 6 6" xfId="16576"/>
    <cellStyle name="Normal 6 6 6 2" xfId="16577"/>
    <cellStyle name="Normal 6 6 7" xfId="16578"/>
    <cellStyle name="Normal 6 7" xfId="16579"/>
    <cellStyle name="Normal 6 7 2" xfId="16580"/>
    <cellStyle name="Normal 6 7 2 2" xfId="16581"/>
    <cellStyle name="Normal 6 7 2 2 2" xfId="16582"/>
    <cellStyle name="Normal 6 7 2 3" xfId="16583"/>
    <cellStyle name="Normal 6 7 3" xfId="16584"/>
    <cellStyle name="Normal 6 7 3 2" xfId="16585"/>
    <cellStyle name="Normal 6 7 4" xfId="16586"/>
    <cellStyle name="Normal 6 7 4 2" xfId="16587"/>
    <cellStyle name="Normal 6 7 5" xfId="16588"/>
    <cellStyle name="Normal 6 8" xfId="16589"/>
    <cellStyle name="Normal 6 8 2" xfId="16590"/>
    <cellStyle name="Normal 6 8 2 2" xfId="16591"/>
    <cellStyle name="Normal 6 8 2 2 2" xfId="16592"/>
    <cellStyle name="Normal 6 8 2 3" xfId="16593"/>
    <cellStyle name="Normal 6 8 3" xfId="16594"/>
    <cellStyle name="Normal 6 8 3 2" xfId="16595"/>
    <cellStyle name="Normal 6 8 4" xfId="16596"/>
    <cellStyle name="Normal 6 8 4 2" xfId="16597"/>
    <cellStyle name="Normal 6 8 5" xfId="16598"/>
    <cellStyle name="Normal 6 9" xfId="16599"/>
    <cellStyle name="Normal 6 9 2" xfId="16600"/>
    <cellStyle name="Normal 6 9 2 2" xfId="16601"/>
    <cellStyle name="Normal 6 9 2 2 2" xfId="16602"/>
    <cellStyle name="Normal 6 9 2 3" xfId="16603"/>
    <cellStyle name="Normal 6 9 3" xfId="16604"/>
    <cellStyle name="Normal 6 9 3 2" xfId="16605"/>
    <cellStyle name="Normal 6 9 4" xfId="16606"/>
    <cellStyle name="Normal 6 9 4 2" xfId="16607"/>
    <cellStyle name="Normal 6 9 5" xfId="16608"/>
    <cellStyle name="Normal 6_2bhk_19122016" xfId="16609"/>
    <cellStyle name="Normal 60" xfId="16610"/>
    <cellStyle name="Normal 61" xfId="16611"/>
    <cellStyle name="Normal 62" xfId="16612"/>
    <cellStyle name="Normal 63" xfId="16613"/>
    <cellStyle name="Normal 64" xfId="16614"/>
    <cellStyle name="Normal 65" xfId="16615"/>
    <cellStyle name="Normal 66" xfId="16616"/>
    <cellStyle name="Normal 67" xfId="16617"/>
    <cellStyle name="Normal 68" xfId="16618"/>
    <cellStyle name="Normal 68 2" xfId="16619"/>
    <cellStyle name="Normal 68 3" xfId="16620"/>
    <cellStyle name="Normal 68 3 2" xfId="16621"/>
    <cellStyle name="Normal 68 4" xfId="16622"/>
    <cellStyle name="Normal 68 5" xfId="16623"/>
    <cellStyle name="Normal 68 5 2" xfId="16624"/>
    <cellStyle name="Normal 68 6" xfId="16625"/>
    <cellStyle name="Normal 68 6 2" xfId="16626"/>
    <cellStyle name="Normal 69" xfId="16627"/>
    <cellStyle name="Normal 69 2" xfId="16628"/>
    <cellStyle name="Normal 7" xfId="2416"/>
    <cellStyle name="Normal 7 10" xfId="3591"/>
    <cellStyle name="Normal 7 10 10" xfId="16629"/>
    <cellStyle name="Normal 7 10 11" xfId="16630"/>
    <cellStyle name="Normal 7 10 12" xfId="16631"/>
    <cellStyle name="Normal 7 10 13" xfId="16632"/>
    <cellStyle name="Normal 7 10 14" xfId="16633"/>
    <cellStyle name="Normal 7 10 15" xfId="16634"/>
    <cellStyle name="Normal 7 10 16" xfId="16635"/>
    <cellStyle name="Normal 7 10 17" xfId="16636"/>
    <cellStyle name="Normal 7 10 18" xfId="7470"/>
    <cellStyle name="Normal 7 10 2" xfId="3593"/>
    <cellStyle name="Normal 7 10 2 2" xfId="7471"/>
    <cellStyle name="Normal 7 10 3" xfId="3594"/>
    <cellStyle name="Normal 7 10 3 2" xfId="7473"/>
    <cellStyle name="Normal 7 10 4" xfId="3595"/>
    <cellStyle name="Normal 7 10 4 2" xfId="7474"/>
    <cellStyle name="Normal 7 10 5" xfId="3596"/>
    <cellStyle name="Normal 7 10 5 2" xfId="7475"/>
    <cellStyle name="Normal 7 10 6" xfId="3597"/>
    <cellStyle name="Normal 7 10 6 2" xfId="7476"/>
    <cellStyle name="Normal 7 10 7" xfId="3598"/>
    <cellStyle name="Normal 7 10 7 2" xfId="7477"/>
    <cellStyle name="Normal 7 10 8" xfId="3599"/>
    <cellStyle name="Normal 7 10 8 2" xfId="7478"/>
    <cellStyle name="Normal 7 10 9" xfId="16637"/>
    <cellStyle name="Normal 7 11" xfId="3600"/>
    <cellStyle name="Normal 7 11 10" xfId="16638"/>
    <cellStyle name="Normal 7 11 11" xfId="16639"/>
    <cellStyle name="Normal 7 11 12" xfId="16640"/>
    <cellStyle name="Normal 7 11 13" xfId="16641"/>
    <cellStyle name="Normal 7 11 14" xfId="16642"/>
    <cellStyle name="Normal 7 11 15" xfId="16643"/>
    <cellStyle name="Normal 7 11 16" xfId="16644"/>
    <cellStyle name="Normal 7 11 17" xfId="16645"/>
    <cellStyle name="Normal 7 11 18" xfId="7479"/>
    <cellStyle name="Normal 7 11 2" xfId="3601"/>
    <cellStyle name="Normal 7 11 2 2" xfId="7480"/>
    <cellStyle name="Normal 7 11 3" xfId="3602"/>
    <cellStyle name="Normal 7 11 3 2" xfId="7481"/>
    <cellStyle name="Normal 7 11 4" xfId="3603"/>
    <cellStyle name="Normal 7 11 4 2" xfId="7482"/>
    <cellStyle name="Normal 7 11 5" xfId="3604"/>
    <cellStyle name="Normal 7 11 5 2" xfId="7483"/>
    <cellStyle name="Normal 7 11 6" xfId="3605"/>
    <cellStyle name="Normal 7 11 6 2" xfId="7484"/>
    <cellStyle name="Normal 7 11 7" xfId="3606"/>
    <cellStyle name="Normal 7 11 7 2" xfId="7485"/>
    <cellStyle name="Normal 7 11 8" xfId="3607"/>
    <cellStyle name="Normal 7 11 8 2" xfId="7486"/>
    <cellStyle name="Normal 7 11 9" xfId="16646"/>
    <cellStyle name="Normal 7 12" xfId="3608"/>
    <cellStyle name="Normal 7 12 10" xfId="16647"/>
    <cellStyle name="Normal 7 12 11" xfId="16648"/>
    <cellStyle name="Normal 7 12 12" xfId="16649"/>
    <cellStyle name="Normal 7 12 13" xfId="16650"/>
    <cellStyle name="Normal 7 12 14" xfId="16651"/>
    <cellStyle name="Normal 7 12 15" xfId="16652"/>
    <cellStyle name="Normal 7 12 16" xfId="16653"/>
    <cellStyle name="Normal 7 12 17" xfId="16654"/>
    <cellStyle name="Normal 7 12 18" xfId="7487"/>
    <cellStyle name="Normal 7 12 2" xfId="3609"/>
    <cellStyle name="Normal 7 12 2 2" xfId="7488"/>
    <cellStyle name="Normal 7 12 3" xfId="3610"/>
    <cellStyle name="Normal 7 12 3 2" xfId="7489"/>
    <cellStyle name="Normal 7 12 4" xfId="3611"/>
    <cellStyle name="Normal 7 12 4 2" xfId="7490"/>
    <cellStyle name="Normal 7 12 5" xfId="3612"/>
    <cellStyle name="Normal 7 12 5 2" xfId="7491"/>
    <cellStyle name="Normal 7 12 6" xfId="3614"/>
    <cellStyle name="Normal 7 12 6 2" xfId="7492"/>
    <cellStyle name="Normal 7 12 7" xfId="3616"/>
    <cellStyle name="Normal 7 12 7 2" xfId="7494"/>
    <cellStyle name="Normal 7 12 8" xfId="3617"/>
    <cellStyle name="Normal 7 12 8 2" xfId="7496"/>
    <cellStyle name="Normal 7 12 9" xfId="16655"/>
    <cellStyle name="Normal 7 13" xfId="3618"/>
    <cellStyle name="Normal 7 13 2" xfId="7497"/>
    <cellStyle name="Normal 7 14" xfId="3305"/>
    <cellStyle name="Normal 7 14 2" xfId="7188"/>
    <cellStyle name="Normal 7 15" xfId="3308"/>
    <cellStyle name="Normal 7 15 2" xfId="7190"/>
    <cellStyle name="Normal 7 16" xfId="3311"/>
    <cellStyle name="Normal 7 16 2" xfId="7193"/>
    <cellStyle name="Normal 7 17" xfId="3314"/>
    <cellStyle name="Normal 7 17 2" xfId="7196"/>
    <cellStyle name="Normal 7 18" xfId="3317"/>
    <cellStyle name="Normal 7 18 2" xfId="7199"/>
    <cellStyle name="Normal 7 19" xfId="3320"/>
    <cellStyle name="Normal 7 19 2" xfId="7202"/>
    <cellStyle name="Normal 7 2" xfId="24"/>
    <cellStyle name="Normal 7 2 2" xfId="3984"/>
    <cellStyle name="Normal 7 20" xfId="16656"/>
    <cellStyle name="Normal 7 21" xfId="16657"/>
    <cellStyle name="Normal 7 22" xfId="16658"/>
    <cellStyle name="Normal 7 23" xfId="16659"/>
    <cellStyle name="Normal 7 24" xfId="16660"/>
    <cellStyle name="Normal 7 25" xfId="16661"/>
    <cellStyle name="Normal 7 26" xfId="16662"/>
    <cellStyle name="Normal 7 27" xfId="16663"/>
    <cellStyle name="Normal 7 28" xfId="16664"/>
    <cellStyle name="Normal 7 29" xfId="6311"/>
    <cellStyle name="Normal 7 3" xfId="3619"/>
    <cellStyle name="Normal 7 3 2" xfId="16665"/>
    <cellStyle name="Normal 7 3 3" xfId="7498"/>
    <cellStyle name="Normal 7 4" xfId="3620"/>
    <cellStyle name="Normal 7 4 10" xfId="16666"/>
    <cellStyle name="Normal 7 4 11" xfId="16667"/>
    <cellStyle name="Normal 7 4 12" xfId="16668"/>
    <cellStyle name="Normal 7 4 13" xfId="16669"/>
    <cellStyle name="Normal 7 4 14" xfId="16670"/>
    <cellStyle name="Normal 7 4 15" xfId="16671"/>
    <cellStyle name="Normal 7 4 16" xfId="16672"/>
    <cellStyle name="Normal 7 4 17" xfId="16673"/>
    <cellStyle name="Normal 7 4 18" xfId="7499"/>
    <cellStyle name="Normal 7 4 2" xfId="3621"/>
    <cellStyle name="Normal 7 4 2 2" xfId="7500"/>
    <cellStyle name="Normal 7 4 3" xfId="1109"/>
    <cellStyle name="Normal 7 4 3 2" xfId="5029"/>
    <cellStyle name="Normal 7 4 4" xfId="1115"/>
    <cellStyle name="Normal 7 4 4 2" xfId="5035"/>
    <cellStyle name="Normal 7 4 5" xfId="3622"/>
    <cellStyle name="Normal 7 4 5 2" xfId="7501"/>
    <cellStyle name="Normal 7 4 6" xfId="3624"/>
    <cellStyle name="Normal 7 4 6 2" xfId="7502"/>
    <cellStyle name="Normal 7 4 7" xfId="3626"/>
    <cellStyle name="Normal 7 4 7 2" xfId="7504"/>
    <cellStyle name="Normal 7 4 8" xfId="3627"/>
    <cellStyle name="Normal 7 4 8 2" xfId="7506"/>
    <cellStyle name="Normal 7 4 9" xfId="16674"/>
    <cellStyle name="Normal 7 5" xfId="3628"/>
    <cellStyle name="Normal 7 5 10" xfId="16675"/>
    <cellStyle name="Normal 7 5 11" xfId="16676"/>
    <cellStyle name="Normal 7 5 12" xfId="16677"/>
    <cellStyle name="Normal 7 5 13" xfId="16678"/>
    <cellStyle name="Normal 7 5 14" xfId="16679"/>
    <cellStyle name="Normal 7 5 15" xfId="16680"/>
    <cellStyle name="Normal 7 5 16" xfId="16681"/>
    <cellStyle name="Normal 7 5 17" xfId="16682"/>
    <cellStyle name="Normal 7 5 18" xfId="7507"/>
    <cellStyle name="Normal 7 5 2" xfId="3629"/>
    <cellStyle name="Normal 7 5 2 2" xfId="7508"/>
    <cellStyle name="Normal 7 5 3" xfId="274"/>
    <cellStyle name="Normal 7 5 3 2" xfId="4225"/>
    <cellStyle name="Normal 7 5 4" xfId="1136"/>
    <cellStyle name="Normal 7 5 4 2" xfId="5057"/>
    <cellStyle name="Normal 7 5 5" xfId="2852"/>
    <cellStyle name="Normal 7 5 5 2" xfId="6743"/>
    <cellStyle name="Normal 7 5 6" xfId="3630"/>
    <cellStyle name="Normal 7 5 6 2" xfId="7509"/>
    <cellStyle name="Normal 7 5 7" xfId="3631"/>
    <cellStyle name="Normal 7 5 7 2" xfId="7510"/>
    <cellStyle name="Normal 7 5 8" xfId="3632"/>
    <cellStyle name="Normal 7 5 8 2" xfId="7511"/>
    <cellStyle name="Normal 7 5 9" xfId="16683"/>
    <cellStyle name="Normal 7 6" xfId="3633"/>
    <cellStyle name="Normal 7 6 10" xfId="16684"/>
    <cellStyle name="Normal 7 6 11" xfId="16685"/>
    <cellStyle name="Normal 7 6 12" xfId="16686"/>
    <cellStyle name="Normal 7 6 13" xfId="16687"/>
    <cellStyle name="Normal 7 6 14" xfId="16688"/>
    <cellStyle name="Normal 7 6 15" xfId="16689"/>
    <cellStyle name="Normal 7 6 16" xfId="16690"/>
    <cellStyle name="Normal 7 6 17" xfId="16691"/>
    <cellStyle name="Normal 7 6 18" xfId="7512"/>
    <cellStyle name="Normal 7 6 2" xfId="3634"/>
    <cellStyle name="Normal 7 6 2 2" xfId="7513"/>
    <cellStyle name="Normal 7 6 3" xfId="3635"/>
    <cellStyle name="Normal 7 6 3 2" xfId="7514"/>
    <cellStyle name="Normal 7 6 4" xfId="3636"/>
    <cellStyle name="Normal 7 6 4 2" xfId="7515"/>
    <cellStyle name="Normal 7 6 5" xfId="3637"/>
    <cellStyle name="Normal 7 6 5 2" xfId="7516"/>
    <cellStyle name="Normal 7 6 6" xfId="3638"/>
    <cellStyle name="Normal 7 6 6 2" xfId="7517"/>
    <cellStyle name="Normal 7 6 7" xfId="3639"/>
    <cellStyle name="Normal 7 6 7 2" xfId="7518"/>
    <cellStyle name="Normal 7 6 8" xfId="3640"/>
    <cellStyle name="Normal 7 6 8 2" xfId="7519"/>
    <cellStyle name="Normal 7 6 9" xfId="16692"/>
    <cellStyle name="Normal 7 7" xfId="3584"/>
    <cellStyle name="Normal 7 7 10" xfId="16693"/>
    <cellStyle name="Normal 7 7 11" xfId="16694"/>
    <cellStyle name="Normal 7 7 12" xfId="16695"/>
    <cellStyle name="Normal 7 7 13" xfId="16696"/>
    <cellStyle name="Normal 7 7 14" xfId="16697"/>
    <cellStyle name="Normal 7 7 15" xfId="16698"/>
    <cellStyle name="Normal 7 7 16" xfId="16699"/>
    <cellStyle name="Normal 7 7 17" xfId="16700"/>
    <cellStyle name="Normal 7 7 18" xfId="7463"/>
    <cellStyle name="Normal 7 7 2" xfId="3641"/>
    <cellStyle name="Normal 7 7 2 2" xfId="7520"/>
    <cellStyle name="Normal 7 7 3" xfId="3642"/>
    <cellStyle name="Normal 7 7 3 2" xfId="7521"/>
    <cellStyle name="Normal 7 7 4" xfId="3643"/>
    <cellStyle name="Normal 7 7 4 2" xfId="7522"/>
    <cellStyle name="Normal 7 7 5" xfId="3644"/>
    <cellStyle name="Normal 7 7 5 2" xfId="7523"/>
    <cellStyle name="Normal 7 7 6" xfId="3645"/>
    <cellStyle name="Normal 7 7 6 2" xfId="7524"/>
    <cellStyle name="Normal 7 7 7" xfId="3646"/>
    <cellStyle name="Normal 7 7 7 2" xfId="7525"/>
    <cellStyle name="Normal 7 7 8" xfId="3647"/>
    <cellStyle name="Normal 7 7 8 2" xfId="7526"/>
    <cellStyle name="Normal 7 7 9" xfId="16701"/>
    <cellStyle name="Normal 7 8" xfId="3648"/>
    <cellStyle name="Normal 7 8 10" xfId="16702"/>
    <cellStyle name="Normal 7 8 11" xfId="16703"/>
    <cellStyle name="Normal 7 8 12" xfId="16704"/>
    <cellStyle name="Normal 7 8 13" xfId="16705"/>
    <cellStyle name="Normal 7 8 14" xfId="16706"/>
    <cellStyle name="Normal 7 8 15" xfId="16707"/>
    <cellStyle name="Normal 7 8 16" xfId="16708"/>
    <cellStyle name="Normal 7 8 17" xfId="16709"/>
    <cellStyle name="Normal 7 8 18" xfId="7527"/>
    <cellStyle name="Normal 7 8 2" xfId="3649"/>
    <cellStyle name="Normal 7 8 2 2" xfId="7528"/>
    <cellStyle name="Normal 7 8 3" xfId="3650"/>
    <cellStyle name="Normal 7 8 3 2" xfId="7529"/>
    <cellStyle name="Normal 7 8 4" xfId="3651"/>
    <cellStyle name="Normal 7 8 4 2" xfId="7530"/>
    <cellStyle name="Normal 7 8 5" xfId="3652"/>
    <cellStyle name="Normal 7 8 5 2" xfId="7531"/>
    <cellStyle name="Normal 7 8 6" xfId="3653"/>
    <cellStyle name="Normal 7 8 6 2" xfId="7532"/>
    <cellStyle name="Normal 7 8 7" xfId="3654"/>
    <cellStyle name="Normal 7 8 7 2" xfId="7533"/>
    <cellStyle name="Normal 7 8 8" xfId="3655"/>
    <cellStyle name="Normal 7 8 8 2" xfId="7534"/>
    <cellStyle name="Normal 7 8 9" xfId="16710"/>
    <cellStyle name="Normal 7 9" xfId="3656"/>
    <cellStyle name="Normal 7 9 10" xfId="16711"/>
    <cellStyle name="Normal 7 9 11" xfId="16712"/>
    <cellStyle name="Normal 7 9 12" xfId="16713"/>
    <cellStyle name="Normal 7 9 13" xfId="16714"/>
    <cellStyle name="Normal 7 9 14" xfId="16715"/>
    <cellStyle name="Normal 7 9 15" xfId="16716"/>
    <cellStyle name="Normal 7 9 16" xfId="16717"/>
    <cellStyle name="Normal 7 9 17" xfId="16718"/>
    <cellStyle name="Normal 7 9 18" xfId="7535"/>
    <cellStyle name="Normal 7 9 2" xfId="3658"/>
    <cellStyle name="Normal 7 9 2 2" xfId="7536"/>
    <cellStyle name="Normal 7 9 3" xfId="3659"/>
    <cellStyle name="Normal 7 9 3 2" xfId="7537"/>
    <cellStyle name="Normal 7 9 4" xfId="3660"/>
    <cellStyle name="Normal 7 9 4 2" xfId="7538"/>
    <cellStyle name="Normal 7 9 5" xfId="3661"/>
    <cellStyle name="Normal 7 9 5 2" xfId="7539"/>
    <cellStyle name="Normal 7 9 6" xfId="3662"/>
    <cellStyle name="Normal 7 9 6 2" xfId="7540"/>
    <cellStyle name="Normal 7 9 7" xfId="2778"/>
    <cellStyle name="Normal 7 9 7 2" xfId="6671"/>
    <cellStyle name="Normal 7 9 8" xfId="2780"/>
    <cellStyle name="Normal 7 9 8 2" xfId="6673"/>
    <cellStyle name="Normal 7 9 9" xfId="16719"/>
    <cellStyle name="Normal 7_126  NAGANOOL TO GADDAMPALLY  - 82.50  LAKHS" xfId="16720"/>
    <cellStyle name="Normal 70" xfId="16721"/>
    <cellStyle name="Normal 70 2" xfId="16722"/>
    <cellStyle name="Normal 70 2 2" xfId="16723"/>
    <cellStyle name="Normal 70 3" xfId="16724"/>
    <cellStyle name="Normal 70 3 2" xfId="16725"/>
    <cellStyle name="Normal 70 3 3" xfId="16726"/>
    <cellStyle name="Normal 71" xfId="16727"/>
    <cellStyle name="Normal 72" xfId="16728"/>
    <cellStyle name="Normal 73" xfId="16729"/>
    <cellStyle name="Normal 74" xfId="16730"/>
    <cellStyle name="Normal 74 2" xfId="16731"/>
    <cellStyle name="Normal 75" xfId="16732"/>
    <cellStyle name="Normal 76" xfId="16733"/>
    <cellStyle name="Normal 77" xfId="16734"/>
    <cellStyle name="Normal 78" xfId="16735"/>
    <cellStyle name="Normal 79" xfId="16736"/>
    <cellStyle name="Normal 8" xfId="2418"/>
    <cellStyle name="Normal 8 10" xfId="1913"/>
    <cellStyle name="Normal 8 10 2" xfId="5820"/>
    <cellStyle name="Normal 8 11" xfId="1915"/>
    <cellStyle name="Normal 8 11 2" xfId="5822"/>
    <cellStyle name="Normal 8 12" xfId="16737"/>
    <cellStyle name="Normal 8 13" xfId="16738"/>
    <cellStyle name="Normal 8 14" xfId="6313"/>
    <cellStyle name="Normal 8 2" xfId="3663"/>
    <cellStyle name="Normal 8 2 2" xfId="3664"/>
    <cellStyle name="Normal 8 2 2 2" xfId="7542"/>
    <cellStyle name="Normal 8 2 3" xfId="7541"/>
    <cellStyle name="Normal 8 3" xfId="3666"/>
    <cellStyle name="Normal 8 3 2" xfId="7543"/>
    <cellStyle name="Normal 8 4" xfId="3668"/>
    <cellStyle name="Normal 8 4 2" xfId="16739"/>
    <cellStyle name="Normal 8 4 3" xfId="7545"/>
    <cellStyle name="Normal 8 5" xfId="296"/>
    <cellStyle name="Normal 8 5 2" xfId="16740"/>
    <cellStyle name="Normal 8 5 3" xfId="4238"/>
    <cellStyle name="Normal 8 6" xfId="127"/>
    <cellStyle name="Normal 8 6 2" xfId="16741"/>
    <cellStyle name="Normal 8 6 3" xfId="4078"/>
    <cellStyle name="Normal 8 7" xfId="3670"/>
    <cellStyle name="Normal 8 7 2" xfId="7547"/>
    <cellStyle name="Normal 8 8" xfId="3672"/>
    <cellStyle name="Normal 8 8 2" xfId="7549"/>
    <cellStyle name="Normal 8 9" xfId="988"/>
    <cellStyle name="Normal 8 9 2" xfId="4909"/>
    <cellStyle name="Normal 8_2015-16 MASTER CC ROAD &amp; DRAIN" xfId="16742"/>
    <cellStyle name="Normal 80" xfId="16743"/>
    <cellStyle name="Normal 81" xfId="16744"/>
    <cellStyle name="Normal 82" xfId="18958"/>
    <cellStyle name="Normal 83" xfId="18960"/>
    <cellStyle name="Normal 88" xfId="16745"/>
    <cellStyle name="Normal 9" xfId="2420"/>
    <cellStyle name="Normal 9 10" xfId="211"/>
    <cellStyle name="Normal 9 10 10" xfId="16746"/>
    <cellStyle name="Normal 9 10 11" xfId="16747"/>
    <cellStyle name="Normal 9 10 12" xfId="16748"/>
    <cellStyle name="Normal 9 10 13" xfId="16749"/>
    <cellStyle name="Normal 9 10 14" xfId="16750"/>
    <cellStyle name="Normal 9 10 15" xfId="16751"/>
    <cellStyle name="Normal 9 10 16" xfId="16752"/>
    <cellStyle name="Normal 9 10 17" xfId="16753"/>
    <cellStyle name="Normal 9 10 18" xfId="4133"/>
    <cellStyle name="Normal 9 10 2" xfId="586"/>
    <cellStyle name="Normal 9 10 2 2" xfId="4514"/>
    <cellStyle name="Normal 9 10 3" xfId="725"/>
    <cellStyle name="Normal 9 10 3 2" xfId="4650"/>
    <cellStyle name="Normal 9 10 4" xfId="2988"/>
    <cellStyle name="Normal 9 10 4 2" xfId="6875"/>
    <cellStyle name="Normal 9 10 5" xfId="3004"/>
    <cellStyle name="Normal 9 10 5 2" xfId="6891"/>
    <cellStyle name="Normal 9 10 6" xfId="3013"/>
    <cellStyle name="Normal 9 10 6 2" xfId="6900"/>
    <cellStyle name="Normal 9 10 7" xfId="3022"/>
    <cellStyle name="Normal 9 10 7 2" xfId="6910"/>
    <cellStyle name="Normal 9 10 8" xfId="3033"/>
    <cellStyle name="Normal 9 10 8 2" xfId="6920"/>
    <cellStyle name="Normal 9 10 9" xfId="16754"/>
    <cellStyle name="Normal 9 11" xfId="219"/>
    <cellStyle name="Normal 9 11 2" xfId="4141"/>
    <cellStyle name="Normal 9 12" xfId="3673"/>
    <cellStyle name="Normal 9 12 2" xfId="7551"/>
    <cellStyle name="Normal 9 13" xfId="3082"/>
    <cellStyle name="Normal 9 13 2" xfId="6967"/>
    <cellStyle name="Normal 9 14" xfId="3084"/>
    <cellStyle name="Normal 9 14 2" xfId="6969"/>
    <cellStyle name="Normal 9 15" xfId="3674"/>
    <cellStyle name="Normal 9 15 2" xfId="7552"/>
    <cellStyle name="Normal 9 16" xfId="3675"/>
    <cellStyle name="Normal 9 16 2" xfId="7553"/>
    <cellStyle name="Normal 9 17" xfId="1143"/>
    <cellStyle name="Normal 9 17 2" xfId="5064"/>
    <cellStyle name="Normal 9 18" xfId="16755"/>
    <cellStyle name="Normal 9 19" xfId="16756"/>
    <cellStyle name="Normal 9 2" xfId="3676"/>
    <cellStyle name="Normal 9 2 10" xfId="16757"/>
    <cellStyle name="Normal 9 2 10 2" xfId="16758"/>
    <cellStyle name="Normal 9 2 11" xfId="16759"/>
    <cellStyle name="Normal 9 2 11 2" xfId="16760"/>
    <cellStyle name="Normal 9 2 12" xfId="16761"/>
    <cellStyle name="Normal 9 2 13" xfId="16762"/>
    <cellStyle name="Normal 9 2 14" xfId="7554"/>
    <cellStyle name="Normal 9 2 2" xfId="16763"/>
    <cellStyle name="Normal 9 2 2 2" xfId="16764"/>
    <cellStyle name="Normal 9 2 2 2 2" xfId="16765"/>
    <cellStyle name="Normal 9 2 2 2 2 2" xfId="16766"/>
    <cellStyle name="Normal 9 2 2 2 2 2 2" xfId="16767"/>
    <cellStyle name="Normal 9 2 2 2 2 3" xfId="16768"/>
    <cellStyle name="Normal 9 2 2 2 3" xfId="16769"/>
    <cellStyle name="Normal 9 2 2 2 3 2" xfId="16770"/>
    <cellStyle name="Normal 9 2 2 2 4" xfId="16771"/>
    <cellStyle name="Normal 9 2 2 2 4 2" xfId="16772"/>
    <cellStyle name="Normal 9 2 2 2 5" xfId="16773"/>
    <cellStyle name="Normal 9 2 2 3" xfId="16774"/>
    <cellStyle name="Normal 9 2 2 3 2" xfId="16775"/>
    <cellStyle name="Normal 9 2 2 3 2 2" xfId="16776"/>
    <cellStyle name="Normal 9 2 2 3 2 2 2" xfId="16777"/>
    <cellStyle name="Normal 9 2 2 3 2 3" xfId="16778"/>
    <cellStyle name="Normal 9 2 2 3 3" xfId="16779"/>
    <cellStyle name="Normal 9 2 2 3 3 2" xfId="16780"/>
    <cellStyle name="Normal 9 2 2 3 4" xfId="16781"/>
    <cellStyle name="Normal 9 2 2 3 4 2" xfId="16782"/>
    <cellStyle name="Normal 9 2 2 3 5" xfId="16783"/>
    <cellStyle name="Normal 9 2 2 4" xfId="16784"/>
    <cellStyle name="Normal 9 2 2 4 2" xfId="16785"/>
    <cellStyle name="Normal 9 2 2 4 2 2" xfId="16786"/>
    <cellStyle name="Normal 9 2 2 4 2 2 2" xfId="16787"/>
    <cellStyle name="Normal 9 2 2 4 2 3" xfId="16788"/>
    <cellStyle name="Normal 9 2 2 4 3" xfId="16789"/>
    <cellStyle name="Normal 9 2 2 4 3 2" xfId="16790"/>
    <cellStyle name="Normal 9 2 2 4 4" xfId="16791"/>
    <cellStyle name="Normal 9 2 2 4 4 2" xfId="16792"/>
    <cellStyle name="Normal 9 2 2 4 5" xfId="16793"/>
    <cellStyle name="Normal 9 2 2 5" xfId="16794"/>
    <cellStyle name="Normal 9 2 2 5 2" xfId="16795"/>
    <cellStyle name="Normal 9 2 2 5 2 2" xfId="16796"/>
    <cellStyle name="Normal 9 2 2 5 2 2 2" xfId="16797"/>
    <cellStyle name="Normal 9 2 2 5 2 3" xfId="16798"/>
    <cellStyle name="Normal 9 2 2 5 3" xfId="16799"/>
    <cellStyle name="Normal 9 2 2 5 3 2" xfId="16800"/>
    <cellStyle name="Normal 9 2 2 5 4" xfId="16801"/>
    <cellStyle name="Normal 9 2 2 5 4 2" xfId="16802"/>
    <cellStyle name="Normal 9 2 2 5 5" xfId="16803"/>
    <cellStyle name="Normal 9 2 2 6" xfId="16804"/>
    <cellStyle name="Normal 9 2 2 6 2" xfId="16805"/>
    <cellStyle name="Normal 9 2 2 6 2 2" xfId="16806"/>
    <cellStyle name="Normal 9 2 2 6 3" xfId="16807"/>
    <cellStyle name="Normal 9 2 2 7" xfId="16808"/>
    <cellStyle name="Normal 9 2 2 7 2" xfId="16809"/>
    <cellStyle name="Normal 9 2 2 8" xfId="16810"/>
    <cellStyle name="Normal 9 2 2 8 2" xfId="16811"/>
    <cellStyle name="Normal 9 2 2 9" xfId="16812"/>
    <cellStyle name="Normal 9 2 3" xfId="16813"/>
    <cellStyle name="Normal 9 2 3 2" xfId="16814"/>
    <cellStyle name="Normal 9 2 3 2 2" xfId="16815"/>
    <cellStyle name="Normal 9 2 3 2 2 2" xfId="16816"/>
    <cellStyle name="Normal 9 2 3 2 2 2 2" xfId="16817"/>
    <cellStyle name="Normal 9 2 3 2 2 3" xfId="16818"/>
    <cellStyle name="Normal 9 2 3 2 3" xfId="16819"/>
    <cellStyle name="Normal 9 2 3 2 3 2" xfId="16820"/>
    <cellStyle name="Normal 9 2 3 2 4" xfId="16821"/>
    <cellStyle name="Normal 9 2 3 2 4 2" xfId="16822"/>
    <cellStyle name="Normal 9 2 3 2 5" xfId="16823"/>
    <cellStyle name="Normal 9 2 3 3" xfId="16824"/>
    <cellStyle name="Normal 9 2 3 3 2" xfId="16825"/>
    <cellStyle name="Normal 9 2 3 3 2 2" xfId="16826"/>
    <cellStyle name="Normal 9 2 3 3 2 2 2" xfId="16827"/>
    <cellStyle name="Normal 9 2 3 3 2 3" xfId="16828"/>
    <cellStyle name="Normal 9 2 3 3 3" xfId="16829"/>
    <cellStyle name="Normal 9 2 3 3 3 2" xfId="16830"/>
    <cellStyle name="Normal 9 2 3 3 4" xfId="16831"/>
    <cellStyle name="Normal 9 2 3 3 4 2" xfId="16832"/>
    <cellStyle name="Normal 9 2 3 3 5" xfId="16833"/>
    <cellStyle name="Normal 9 2 3 4" xfId="16834"/>
    <cellStyle name="Normal 9 2 3 4 2" xfId="16835"/>
    <cellStyle name="Normal 9 2 3 4 2 2" xfId="16836"/>
    <cellStyle name="Normal 9 2 3 4 2 2 2" xfId="16837"/>
    <cellStyle name="Normal 9 2 3 4 2 3" xfId="16838"/>
    <cellStyle name="Normal 9 2 3 4 3" xfId="16839"/>
    <cellStyle name="Normal 9 2 3 4 3 2" xfId="16840"/>
    <cellStyle name="Normal 9 2 3 4 4" xfId="16841"/>
    <cellStyle name="Normal 9 2 3 4 4 2" xfId="16842"/>
    <cellStyle name="Normal 9 2 3 4 5" xfId="16843"/>
    <cellStyle name="Normal 9 2 3 5" xfId="16844"/>
    <cellStyle name="Normal 9 2 3 5 2" xfId="16845"/>
    <cellStyle name="Normal 9 2 3 5 2 2" xfId="16846"/>
    <cellStyle name="Normal 9 2 3 5 2 2 2" xfId="16847"/>
    <cellStyle name="Normal 9 2 3 5 2 3" xfId="16848"/>
    <cellStyle name="Normal 9 2 3 5 3" xfId="16849"/>
    <cellStyle name="Normal 9 2 3 5 3 2" xfId="16850"/>
    <cellStyle name="Normal 9 2 3 5 4" xfId="16851"/>
    <cellStyle name="Normal 9 2 3 5 4 2" xfId="16852"/>
    <cellStyle name="Normal 9 2 3 5 5" xfId="16853"/>
    <cellStyle name="Normal 9 2 3 6" xfId="16854"/>
    <cellStyle name="Normal 9 2 3 6 2" xfId="16855"/>
    <cellStyle name="Normal 9 2 3 6 2 2" xfId="16856"/>
    <cellStyle name="Normal 9 2 3 6 3" xfId="16857"/>
    <cellStyle name="Normal 9 2 3 7" xfId="16858"/>
    <cellStyle name="Normal 9 2 3 7 2" xfId="16859"/>
    <cellStyle name="Normal 9 2 3 8" xfId="16860"/>
    <cellStyle name="Normal 9 2 3 8 2" xfId="16861"/>
    <cellStyle name="Normal 9 2 3 9" xfId="16862"/>
    <cellStyle name="Normal 9 2 4" xfId="16863"/>
    <cellStyle name="Normal 9 2 4 2" xfId="16864"/>
    <cellStyle name="Normal 9 2 4 2 2" xfId="16865"/>
    <cellStyle name="Normal 9 2 4 2 2 2" xfId="16866"/>
    <cellStyle name="Normal 9 2 4 2 2 2 2" xfId="16867"/>
    <cellStyle name="Normal 9 2 4 2 2 3" xfId="16868"/>
    <cellStyle name="Normal 9 2 4 2 3" xfId="16869"/>
    <cellStyle name="Normal 9 2 4 2 3 2" xfId="16870"/>
    <cellStyle name="Normal 9 2 4 2 4" xfId="16871"/>
    <cellStyle name="Normal 9 2 4 2 4 2" xfId="16872"/>
    <cellStyle name="Normal 9 2 4 2 5" xfId="16873"/>
    <cellStyle name="Normal 9 2 4 3" xfId="16874"/>
    <cellStyle name="Normal 9 2 4 3 2" xfId="16875"/>
    <cellStyle name="Normal 9 2 4 3 2 2" xfId="16876"/>
    <cellStyle name="Normal 9 2 4 3 2 2 2" xfId="16877"/>
    <cellStyle name="Normal 9 2 4 3 2 3" xfId="16878"/>
    <cellStyle name="Normal 9 2 4 3 3" xfId="16879"/>
    <cellStyle name="Normal 9 2 4 3 3 2" xfId="16880"/>
    <cellStyle name="Normal 9 2 4 3 4" xfId="16881"/>
    <cellStyle name="Normal 9 2 4 3 4 2" xfId="16882"/>
    <cellStyle name="Normal 9 2 4 3 5" xfId="16883"/>
    <cellStyle name="Normal 9 2 4 4" xfId="16884"/>
    <cellStyle name="Normal 9 2 4 4 2" xfId="16885"/>
    <cellStyle name="Normal 9 2 4 4 2 2" xfId="16886"/>
    <cellStyle name="Normal 9 2 4 4 3" xfId="16887"/>
    <cellStyle name="Normal 9 2 4 5" xfId="16888"/>
    <cellStyle name="Normal 9 2 4 5 2" xfId="16889"/>
    <cellStyle name="Normal 9 2 4 6" xfId="16890"/>
    <cellStyle name="Normal 9 2 4 6 2" xfId="16891"/>
    <cellStyle name="Normal 9 2 4 7" xfId="16892"/>
    <cellStyle name="Normal 9 2 5" xfId="16893"/>
    <cellStyle name="Normal 9 2 5 2" xfId="16894"/>
    <cellStyle name="Normal 9 2 5 2 2" xfId="16895"/>
    <cellStyle name="Normal 9 2 5 2 2 2" xfId="16896"/>
    <cellStyle name="Normal 9 2 5 2 3" xfId="16897"/>
    <cellStyle name="Normal 9 2 5 3" xfId="16898"/>
    <cellStyle name="Normal 9 2 5 3 2" xfId="16899"/>
    <cellStyle name="Normal 9 2 5 4" xfId="16900"/>
    <cellStyle name="Normal 9 2 5 4 2" xfId="16901"/>
    <cellStyle name="Normal 9 2 5 5" xfId="16902"/>
    <cellStyle name="Normal 9 2 6" xfId="16903"/>
    <cellStyle name="Normal 9 2 6 2" xfId="16904"/>
    <cellStyle name="Normal 9 2 6 2 2" xfId="16905"/>
    <cellStyle name="Normal 9 2 6 2 2 2" xfId="16906"/>
    <cellStyle name="Normal 9 2 6 2 3" xfId="16907"/>
    <cellStyle name="Normal 9 2 6 3" xfId="16908"/>
    <cellStyle name="Normal 9 2 6 3 2" xfId="16909"/>
    <cellStyle name="Normal 9 2 6 4" xfId="16910"/>
    <cellStyle name="Normal 9 2 6 4 2" xfId="16911"/>
    <cellStyle name="Normal 9 2 6 5" xfId="16912"/>
    <cellStyle name="Normal 9 2 7" xfId="16913"/>
    <cellStyle name="Normal 9 2 7 2" xfId="16914"/>
    <cellStyle name="Normal 9 2 7 2 2" xfId="16915"/>
    <cellStyle name="Normal 9 2 7 2 2 2" xfId="16916"/>
    <cellStyle name="Normal 9 2 7 2 3" xfId="16917"/>
    <cellStyle name="Normal 9 2 7 3" xfId="16918"/>
    <cellStyle name="Normal 9 2 7 3 2" xfId="16919"/>
    <cellStyle name="Normal 9 2 7 4" xfId="16920"/>
    <cellStyle name="Normal 9 2 7 4 2" xfId="16921"/>
    <cellStyle name="Normal 9 2 7 5" xfId="16922"/>
    <cellStyle name="Normal 9 2 8" xfId="16923"/>
    <cellStyle name="Normal 9 2 8 2" xfId="16924"/>
    <cellStyle name="Normal 9 2 8 2 2" xfId="16925"/>
    <cellStyle name="Normal 9 2 8 2 2 2" xfId="16926"/>
    <cellStyle name="Normal 9 2 8 2 3" xfId="16927"/>
    <cellStyle name="Normal 9 2 8 3" xfId="16928"/>
    <cellStyle name="Normal 9 2 8 3 2" xfId="16929"/>
    <cellStyle name="Normal 9 2 8 4" xfId="16930"/>
    <cellStyle name="Normal 9 2 8 4 2" xfId="16931"/>
    <cellStyle name="Normal 9 2 8 5" xfId="16932"/>
    <cellStyle name="Normal 9 2 9" xfId="16933"/>
    <cellStyle name="Normal 9 2 9 2" xfId="16934"/>
    <cellStyle name="Normal 9 2 9 2 2" xfId="16935"/>
    <cellStyle name="Normal 9 2 9 3" xfId="16936"/>
    <cellStyle name="Normal 9 20" xfId="16937"/>
    <cellStyle name="Normal 9 21" xfId="16938"/>
    <cellStyle name="Normal 9 22" xfId="16939"/>
    <cellStyle name="Normal 9 23" xfId="16940"/>
    <cellStyle name="Normal 9 24" xfId="16941"/>
    <cellStyle name="Normal 9 25" xfId="16942"/>
    <cellStyle name="Normal 9 26" xfId="16943"/>
    <cellStyle name="Normal 9 27" xfId="6315"/>
    <cellStyle name="Normal 9 3" xfId="3677"/>
    <cellStyle name="Normal 9 3 10" xfId="16944"/>
    <cellStyle name="Normal 9 3 10 2" xfId="16945"/>
    <cellStyle name="Normal 9 3 10 2 2" xfId="16946"/>
    <cellStyle name="Normal 9 3 10 3" xfId="16947"/>
    <cellStyle name="Normal 9 3 11" xfId="16948"/>
    <cellStyle name="Normal 9 3 11 2" xfId="16949"/>
    <cellStyle name="Normal 9 3 12" xfId="16950"/>
    <cellStyle name="Normal 9 3 12 2" xfId="16951"/>
    <cellStyle name="Normal 9 3 13" xfId="16952"/>
    <cellStyle name="Normal 9 3 14" xfId="16953"/>
    <cellStyle name="Normal 9 3 15" xfId="16954"/>
    <cellStyle name="Normal 9 3 16" xfId="16955"/>
    <cellStyle name="Normal 9 3 17" xfId="16956"/>
    <cellStyle name="Normal 9 3 18" xfId="7555"/>
    <cellStyle name="Normal 9 3 2" xfId="3678"/>
    <cellStyle name="Normal 9 3 2 10" xfId="16957"/>
    <cellStyle name="Normal 9 3 2 10 2" xfId="16958"/>
    <cellStyle name="Normal 9 3 2 11" xfId="16959"/>
    <cellStyle name="Normal 9 3 2 11 2" xfId="16960"/>
    <cellStyle name="Normal 9 3 2 12" xfId="16961"/>
    <cellStyle name="Normal 9 3 2 13" xfId="16962"/>
    <cellStyle name="Normal 9 3 2 14" xfId="7556"/>
    <cellStyle name="Normal 9 3 2 2" xfId="16963"/>
    <cellStyle name="Normal 9 3 2 2 2" xfId="16964"/>
    <cellStyle name="Normal 9 3 2 2 2 2" xfId="16965"/>
    <cellStyle name="Normal 9 3 2 2 2 2 2" xfId="16966"/>
    <cellStyle name="Normal 9 3 2 2 2 2 2 2" xfId="16967"/>
    <cellStyle name="Normal 9 3 2 2 2 2 3" xfId="16968"/>
    <cellStyle name="Normal 9 3 2 2 2 3" xfId="16969"/>
    <cellStyle name="Normal 9 3 2 2 2 3 2" xfId="16970"/>
    <cellStyle name="Normal 9 3 2 2 2 4" xfId="16971"/>
    <cellStyle name="Normal 9 3 2 2 2 4 2" xfId="16972"/>
    <cellStyle name="Normal 9 3 2 2 2 5" xfId="16973"/>
    <cellStyle name="Normal 9 3 2 2 3" xfId="16974"/>
    <cellStyle name="Normal 9 3 2 2 3 2" xfId="16975"/>
    <cellStyle name="Normal 9 3 2 2 3 2 2" xfId="16976"/>
    <cellStyle name="Normal 9 3 2 2 3 2 2 2" xfId="16977"/>
    <cellStyle name="Normal 9 3 2 2 3 2 3" xfId="16978"/>
    <cellStyle name="Normal 9 3 2 2 3 3" xfId="16979"/>
    <cellStyle name="Normal 9 3 2 2 3 3 2" xfId="16980"/>
    <cellStyle name="Normal 9 3 2 2 3 4" xfId="16981"/>
    <cellStyle name="Normal 9 3 2 2 3 4 2" xfId="16982"/>
    <cellStyle name="Normal 9 3 2 2 3 5" xfId="16983"/>
    <cellStyle name="Normal 9 3 2 2 4" xfId="16984"/>
    <cellStyle name="Normal 9 3 2 2 4 2" xfId="16985"/>
    <cellStyle name="Normal 9 3 2 2 4 2 2" xfId="16986"/>
    <cellStyle name="Normal 9 3 2 2 4 2 2 2" xfId="16987"/>
    <cellStyle name="Normal 9 3 2 2 4 2 3" xfId="16988"/>
    <cellStyle name="Normal 9 3 2 2 4 3" xfId="16989"/>
    <cellStyle name="Normal 9 3 2 2 4 3 2" xfId="16990"/>
    <cellStyle name="Normal 9 3 2 2 4 4" xfId="16991"/>
    <cellStyle name="Normal 9 3 2 2 4 4 2" xfId="16992"/>
    <cellStyle name="Normal 9 3 2 2 4 5" xfId="16993"/>
    <cellStyle name="Normal 9 3 2 2 5" xfId="16994"/>
    <cellStyle name="Normal 9 3 2 2 5 2" xfId="16995"/>
    <cellStyle name="Normal 9 3 2 2 5 2 2" xfId="16996"/>
    <cellStyle name="Normal 9 3 2 2 5 2 2 2" xfId="16997"/>
    <cellStyle name="Normal 9 3 2 2 5 2 3" xfId="16998"/>
    <cellStyle name="Normal 9 3 2 2 5 3" xfId="16999"/>
    <cellStyle name="Normal 9 3 2 2 5 3 2" xfId="17000"/>
    <cellStyle name="Normal 9 3 2 2 5 4" xfId="17001"/>
    <cellStyle name="Normal 9 3 2 2 5 4 2" xfId="17002"/>
    <cellStyle name="Normal 9 3 2 2 5 5" xfId="17003"/>
    <cellStyle name="Normal 9 3 2 2 6" xfId="17004"/>
    <cellStyle name="Normal 9 3 2 2 6 2" xfId="17005"/>
    <cellStyle name="Normal 9 3 2 2 6 2 2" xfId="17006"/>
    <cellStyle name="Normal 9 3 2 2 6 3" xfId="17007"/>
    <cellStyle name="Normal 9 3 2 2 7" xfId="17008"/>
    <cellStyle name="Normal 9 3 2 2 7 2" xfId="17009"/>
    <cellStyle name="Normal 9 3 2 2 8" xfId="17010"/>
    <cellStyle name="Normal 9 3 2 2 8 2" xfId="17011"/>
    <cellStyle name="Normal 9 3 2 2 9" xfId="17012"/>
    <cellStyle name="Normal 9 3 2 3" xfId="17013"/>
    <cellStyle name="Normal 9 3 2 3 2" xfId="17014"/>
    <cellStyle name="Normal 9 3 2 3 2 2" xfId="17015"/>
    <cellStyle name="Normal 9 3 2 3 2 2 2" xfId="17016"/>
    <cellStyle name="Normal 9 3 2 3 2 2 2 2" xfId="17017"/>
    <cellStyle name="Normal 9 3 2 3 2 2 3" xfId="17018"/>
    <cellStyle name="Normal 9 3 2 3 2 3" xfId="17019"/>
    <cellStyle name="Normal 9 3 2 3 2 3 2" xfId="17020"/>
    <cellStyle name="Normal 9 3 2 3 2 4" xfId="17021"/>
    <cellStyle name="Normal 9 3 2 3 2 4 2" xfId="17022"/>
    <cellStyle name="Normal 9 3 2 3 2 5" xfId="17023"/>
    <cellStyle name="Normal 9 3 2 3 3" xfId="17024"/>
    <cellStyle name="Normal 9 3 2 3 3 2" xfId="17025"/>
    <cellStyle name="Normal 9 3 2 3 3 2 2" xfId="17026"/>
    <cellStyle name="Normal 9 3 2 3 3 2 2 2" xfId="17027"/>
    <cellStyle name="Normal 9 3 2 3 3 2 3" xfId="17028"/>
    <cellStyle name="Normal 9 3 2 3 3 3" xfId="17029"/>
    <cellStyle name="Normal 9 3 2 3 3 3 2" xfId="17030"/>
    <cellStyle name="Normal 9 3 2 3 3 4" xfId="17031"/>
    <cellStyle name="Normal 9 3 2 3 3 4 2" xfId="17032"/>
    <cellStyle name="Normal 9 3 2 3 3 5" xfId="17033"/>
    <cellStyle name="Normal 9 3 2 3 4" xfId="17034"/>
    <cellStyle name="Normal 9 3 2 3 4 2" xfId="17035"/>
    <cellStyle name="Normal 9 3 2 3 4 2 2" xfId="17036"/>
    <cellStyle name="Normal 9 3 2 3 4 2 2 2" xfId="17037"/>
    <cellStyle name="Normal 9 3 2 3 4 2 3" xfId="17038"/>
    <cellStyle name="Normal 9 3 2 3 4 3" xfId="17039"/>
    <cellStyle name="Normal 9 3 2 3 4 3 2" xfId="17040"/>
    <cellStyle name="Normal 9 3 2 3 4 4" xfId="17041"/>
    <cellStyle name="Normal 9 3 2 3 4 4 2" xfId="17042"/>
    <cellStyle name="Normal 9 3 2 3 4 5" xfId="17043"/>
    <cellStyle name="Normal 9 3 2 3 5" xfId="17044"/>
    <cellStyle name="Normal 9 3 2 3 5 2" xfId="17045"/>
    <cellStyle name="Normal 9 3 2 3 5 2 2" xfId="17046"/>
    <cellStyle name="Normal 9 3 2 3 5 2 2 2" xfId="17047"/>
    <cellStyle name="Normal 9 3 2 3 5 2 3" xfId="17048"/>
    <cellStyle name="Normal 9 3 2 3 5 3" xfId="17049"/>
    <cellStyle name="Normal 9 3 2 3 5 3 2" xfId="17050"/>
    <cellStyle name="Normal 9 3 2 3 5 4" xfId="17051"/>
    <cellStyle name="Normal 9 3 2 3 5 4 2" xfId="17052"/>
    <cellStyle name="Normal 9 3 2 3 5 5" xfId="17053"/>
    <cellStyle name="Normal 9 3 2 3 6" xfId="17054"/>
    <cellStyle name="Normal 9 3 2 3 6 2" xfId="17055"/>
    <cellStyle name="Normal 9 3 2 3 6 2 2" xfId="17056"/>
    <cellStyle name="Normal 9 3 2 3 6 3" xfId="17057"/>
    <cellStyle name="Normal 9 3 2 3 7" xfId="17058"/>
    <cellStyle name="Normal 9 3 2 3 7 2" xfId="17059"/>
    <cellStyle name="Normal 9 3 2 3 8" xfId="17060"/>
    <cellStyle name="Normal 9 3 2 3 8 2" xfId="17061"/>
    <cellStyle name="Normal 9 3 2 3 9" xfId="17062"/>
    <cellStyle name="Normal 9 3 2 4" xfId="17063"/>
    <cellStyle name="Normal 9 3 2 4 2" xfId="17064"/>
    <cellStyle name="Normal 9 3 2 4 2 2" xfId="17065"/>
    <cellStyle name="Normal 9 3 2 4 2 2 2" xfId="17066"/>
    <cellStyle name="Normal 9 3 2 4 2 2 2 2" xfId="17067"/>
    <cellStyle name="Normal 9 3 2 4 2 2 3" xfId="17068"/>
    <cellStyle name="Normal 9 3 2 4 2 3" xfId="17069"/>
    <cellStyle name="Normal 9 3 2 4 2 3 2" xfId="17070"/>
    <cellStyle name="Normal 9 3 2 4 2 4" xfId="17071"/>
    <cellStyle name="Normal 9 3 2 4 2 4 2" xfId="17072"/>
    <cellStyle name="Normal 9 3 2 4 2 5" xfId="17073"/>
    <cellStyle name="Normal 9 3 2 4 3" xfId="17074"/>
    <cellStyle name="Normal 9 3 2 4 3 2" xfId="17075"/>
    <cellStyle name="Normal 9 3 2 4 3 2 2" xfId="17076"/>
    <cellStyle name="Normal 9 3 2 4 3 2 2 2" xfId="17077"/>
    <cellStyle name="Normal 9 3 2 4 3 2 3" xfId="17078"/>
    <cellStyle name="Normal 9 3 2 4 3 3" xfId="17079"/>
    <cellStyle name="Normal 9 3 2 4 3 3 2" xfId="17080"/>
    <cellStyle name="Normal 9 3 2 4 3 4" xfId="17081"/>
    <cellStyle name="Normal 9 3 2 4 3 4 2" xfId="17082"/>
    <cellStyle name="Normal 9 3 2 4 3 5" xfId="17083"/>
    <cellStyle name="Normal 9 3 2 4 4" xfId="17084"/>
    <cellStyle name="Normal 9 3 2 4 4 2" xfId="17085"/>
    <cellStyle name="Normal 9 3 2 4 4 2 2" xfId="17086"/>
    <cellStyle name="Normal 9 3 2 4 4 3" xfId="17087"/>
    <cellStyle name="Normal 9 3 2 4 5" xfId="17088"/>
    <cellStyle name="Normal 9 3 2 4 5 2" xfId="17089"/>
    <cellStyle name="Normal 9 3 2 4 6" xfId="17090"/>
    <cellStyle name="Normal 9 3 2 4 6 2" xfId="17091"/>
    <cellStyle name="Normal 9 3 2 4 7" xfId="17092"/>
    <cellStyle name="Normal 9 3 2 5" xfId="17093"/>
    <cellStyle name="Normal 9 3 2 5 2" xfId="17094"/>
    <cellStyle name="Normal 9 3 2 5 2 2" xfId="17095"/>
    <cellStyle name="Normal 9 3 2 5 2 2 2" xfId="17096"/>
    <cellStyle name="Normal 9 3 2 5 2 3" xfId="17097"/>
    <cellStyle name="Normal 9 3 2 5 3" xfId="17098"/>
    <cellStyle name="Normal 9 3 2 5 3 2" xfId="17099"/>
    <cellStyle name="Normal 9 3 2 5 4" xfId="17100"/>
    <cellStyle name="Normal 9 3 2 5 4 2" xfId="17101"/>
    <cellStyle name="Normal 9 3 2 5 5" xfId="17102"/>
    <cellStyle name="Normal 9 3 2 6" xfId="17103"/>
    <cellStyle name="Normal 9 3 2 6 2" xfId="17104"/>
    <cellStyle name="Normal 9 3 2 6 2 2" xfId="17105"/>
    <cellStyle name="Normal 9 3 2 6 2 2 2" xfId="17106"/>
    <cellStyle name="Normal 9 3 2 6 2 3" xfId="17107"/>
    <cellStyle name="Normal 9 3 2 6 3" xfId="17108"/>
    <cellStyle name="Normal 9 3 2 6 3 2" xfId="17109"/>
    <cellStyle name="Normal 9 3 2 6 4" xfId="17110"/>
    <cellStyle name="Normal 9 3 2 6 4 2" xfId="17111"/>
    <cellStyle name="Normal 9 3 2 6 5" xfId="17112"/>
    <cellStyle name="Normal 9 3 2 7" xfId="17113"/>
    <cellStyle name="Normal 9 3 2 7 2" xfId="17114"/>
    <cellStyle name="Normal 9 3 2 7 2 2" xfId="17115"/>
    <cellStyle name="Normal 9 3 2 7 2 2 2" xfId="17116"/>
    <cellStyle name="Normal 9 3 2 7 2 3" xfId="17117"/>
    <cellStyle name="Normal 9 3 2 7 3" xfId="17118"/>
    <cellStyle name="Normal 9 3 2 7 3 2" xfId="17119"/>
    <cellStyle name="Normal 9 3 2 7 4" xfId="17120"/>
    <cellStyle name="Normal 9 3 2 7 4 2" xfId="17121"/>
    <cellStyle name="Normal 9 3 2 7 5" xfId="17122"/>
    <cellStyle name="Normal 9 3 2 8" xfId="17123"/>
    <cellStyle name="Normal 9 3 2 8 2" xfId="17124"/>
    <cellStyle name="Normal 9 3 2 8 2 2" xfId="17125"/>
    <cellStyle name="Normal 9 3 2 8 2 2 2" xfId="17126"/>
    <cellStyle name="Normal 9 3 2 8 2 3" xfId="17127"/>
    <cellStyle name="Normal 9 3 2 8 3" xfId="17128"/>
    <cellStyle name="Normal 9 3 2 8 3 2" xfId="17129"/>
    <cellStyle name="Normal 9 3 2 8 4" xfId="17130"/>
    <cellStyle name="Normal 9 3 2 8 4 2" xfId="17131"/>
    <cellStyle name="Normal 9 3 2 8 5" xfId="17132"/>
    <cellStyle name="Normal 9 3 2 9" xfId="17133"/>
    <cellStyle name="Normal 9 3 2 9 2" xfId="17134"/>
    <cellStyle name="Normal 9 3 2 9 2 2" xfId="17135"/>
    <cellStyle name="Normal 9 3 2 9 3" xfId="17136"/>
    <cellStyle name="Normal 9 3 3" xfId="3679"/>
    <cellStyle name="Normal 9 3 3 10" xfId="7557"/>
    <cellStyle name="Normal 9 3 3 2" xfId="17137"/>
    <cellStyle name="Normal 9 3 3 2 2" xfId="17138"/>
    <cellStyle name="Normal 9 3 3 2 2 2" xfId="17139"/>
    <cellStyle name="Normal 9 3 3 2 2 2 2" xfId="17140"/>
    <cellStyle name="Normal 9 3 3 2 2 3" xfId="17141"/>
    <cellStyle name="Normal 9 3 3 2 3" xfId="17142"/>
    <cellStyle name="Normal 9 3 3 2 3 2" xfId="17143"/>
    <cellStyle name="Normal 9 3 3 2 4" xfId="17144"/>
    <cellStyle name="Normal 9 3 3 2 4 2" xfId="17145"/>
    <cellStyle name="Normal 9 3 3 2 5" xfId="17146"/>
    <cellStyle name="Normal 9 3 3 3" xfId="17147"/>
    <cellStyle name="Normal 9 3 3 3 2" xfId="17148"/>
    <cellStyle name="Normal 9 3 3 3 2 2" xfId="17149"/>
    <cellStyle name="Normal 9 3 3 3 2 2 2" xfId="17150"/>
    <cellStyle name="Normal 9 3 3 3 2 3" xfId="17151"/>
    <cellStyle name="Normal 9 3 3 3 3" xfId="17152"/>
    <cellStyle name="Normal 9 3 3 3 3 2" xfId="17153"/>
    <cellStyle name="Normal 9 3 3 3 4" xfId="17154"/>
    <cellStyle name="Normal 9 3 3 3 4 2" xfId="17155"/>
    <cellStyle name="Normal 9 3 3 3 5" xfId="17156"/>
    <cellStyle name="Normal 9 3 3 4" xfId="17157"/>
    <cellStyle name="Normal 9 3 3 4 2" xfId="17158"/>
    <cellStyle name="Normal 9 3 3 4 2 2" xfId="17159"/>
    <cellStyle name="Normal 9 3 3 4 2 2 2" xfId="17160"/>
    <cellStyle name="Normal 9 3 3 4 2 3" xfId="17161"/>
    <cellStyle name="Normal 9 3 3 4 3" xfId="17162"/>
    <cellStyle name="Normal 9 3 3 4 3 2" xfId="17163"/>
    <cellStyle name="Normal 9 3 3 4 4" xfId="17164"/>
    <cellStyle name="Normal 9 3 3 4 4 2" xfId="17165"/>
    <cellStyle name="Normal 9 3 3 4 5" xfId="17166"/>
    <cellStyle name="Normal 9 3 3 5" xfId="17167"/>
    <cellStyle name="Normal 9 3 3 5 2" xfId="17168"/>
    <cellStyle name="Normal 9 3 3 5 2 2" xfId="17169"/>
    <cellStyle name="Normal 9 3 3 5 2 2 2" xfId="17170"/>
    <cellStyle name="Normal 9 3 3 5 2 3" xfId="17171"/>
    <cellStyle name="Normal 9 3 3 5 3" xfId="17172"/>
    <cellStyle name="Normal 9 3 3 5 3 2" xfId="17173"/>
    <cellStyle name="Normal 9 3 3 5 4" xfId="17174"/>
    <cellStyle name="Normal 9 3 3 5 4 2" xfId="17175"/>
    <cellStyle name="Normal 9 3 3 5 5" xfId="17176"/>
    <cellStyle name="Normal 9 3 3 6" xfId="17177"/>
    <cellStyle name="Normal 9 3 3 6 2" xfId="17178"/>
    <cellStyle name="Normal 9 3 3 6 2 2" xfId="17179"/>
    <cellStyle name="Normal 9 3 3 6 3" xfId="17180"/>
    <cellStyle name="Normal 9 3 3 7" xfId="17181"/>
    <cellStyle name="Normal 9 3 3 7 2" xfId="17182"/>
    <cellStyle name="Normal 9 3 3 8" xfId="17183"/>
    <cellStyle name="Normal 9 3 3 8 2" xfId="17184"/>
    <cellStyle name="Normal 9 3 3 9" xfId="17185"/>
    <cellStyle name="Normal 9 3 4" xfId="3680"/>
    <cellStyle name="Normal 9 3 4 10" xfId="7558"/>
    <cellStyle name="Normal 9 3 4 2" xfId="17186"/>
    <cellStyle name="Normal 9 3 4 2 2" xfId="17187"/>
    <cellStyle name="Normal 9 3 4 2 2 2" xfId="17188"/>
    <cellStyle name="Normal 9 3 4 2 2 2 2" xfId="17189"/>
    <cellStyle name="Normal 9 3 4 2 2 3" xfId="17190"/>
    <cellStyle name="Normal 9 3 4 2 3" xfId="17191"/>
    <cellStyle name="Normal 9 3 4 2 3 2" xfId="17192"/>
    <cellStyle name="Normal 9 3 4 2 4" xfId="17193"/>
    <cellStyle name="Normal 9 3 4 2 4 2" xfId="17194"/>
    <cellStyle name="Normal 9 3 4 2 5" xfId="17195"/>
    <cellStyle name="Normal 9 3 4 3" xfId="17196"/>
    <cellStyle name="Normal 9 3 4 3 2" xfId="17197"/>
    <cellStyle name="Normal 9 3 4 3 2 2" xfId="17198"/>
    <cellStyle name="Normal 9 3 4 3 2 2 2" xfId="17199"/>
    <cellStyle name="Normal 9 3 4 3 2 3" xfId="17200"/>
    <cellStyle name="Normal 9 3 4 3 3" xfId="17201"/>
    <cellStyle name="Normal 9 3 4 3 3 2" xfId="17202"/>
    <cellStyle name="Normal 9 3 4 3 4" xfId="17203"/>
    <cellStyle name="Normal 9 3 4 3 4 2" xfId="17204"/>
    <cellStyle name="Normal 9 3 4 3 5" xfId="17205"/>
    <cellStyle name="Normal 9 3 4 4" xfId="17206"/>
    <cellStyle name="Normal 9 3 4 4 2" xfId="17207"/>
    <cellStyle name="Normal 9 3 4 4 2 2" xfId="17208"/>
    <cellStyle name="Normal 9 3 4 4 2 2 2" xfId="17209"/>
    <cellStyle name="Normal 9 3 4 4 2 3" xfId="17210"/>
    <cellStyle name="Normal 9 3 4 4 3" xfId="17211"/>
    <cellStyle name="Normal 9 3 4 4 3 2" xfId="17212"/>
    <cellStyle name="Normal 9 3 4 4 4" xfId="17213"/>
    <cellStyle name="Normal 9 3 4 4 4 2" xfId="17214"/>
    <cellStyle name="Normal 9 3 4 4 5" xfId="17215"/>
    <cellStyle name="Normal 9 3 4 5" xfId="17216"/>
    <cellStyle name="Normal 9 3 4 5 2" xfId="17217"/>
    <cellStyle name="Normal 9 3 4 5 2 2" xfId="17218"/>
    <cellStyle name="Normal 9 3 4 5 2 2 2" xfId="17219"/>
    <cellStyle name="Normal 9 3 4 5 2 3" xfId="17220"/>
    <cellStyle name="Normal 9 3 4 5 3" xfId="17221"/>
    <cellStyle name="Normal 9 3 4 5 3 2" xfId="17222"/>
    <cellStyle name="Normal 9 3 4 5 4" xfId="17223"/>
    <cellStyle name="Normal 9 3 4 5 4 2" xfId="17224"/>
    <cellStyle name="Normal 9 3 4 5 5" xfId="17225"/>
    <cellStyle name="Normal 9 3 4 6" xfId="17226"/>
    <cellStyle name="Normal 9 3 4 6 2" xfId="17227"/>
    <cellStyle name="Normal 9 3 4 6 2 2" xfId="17228"/>
    <cellStyle name="Normal 9 3 4 6 3" xfId="17229"/>
    <cellStyle name="Normal 9 3 4 7" xfId="17230"/>
    <cellStyle name="Normal 9 3 4 7 2" xfId="17231"/>
    <cellStyle name="Normal 9 3 4 8" xfId="17232"/>
    <cellStyle name="Normal 9 3 4 8 2" xfId="17233"/>
    <cellStyle name="Normal 9 3 4 9" xfId="17234"/>
    <cellStyle name="Normal 9 3 5" xfId="3681"/>
    <cellStyle name="Normal 9 3 5 2" xfId="17235"/>
    <cellStyle name="Normal 9 3 5 2 2" xfId="17236"/>
    <cellStyle name="Normal 9 3 5 2 2 2" xfId="17237"/>
    <cellStyle name="Normal 9 3 5 2 2 2 2" xfId="17238"/>
    <cellStyle name="Normal 9 3 5 2 2 3" xfId="17239"/>
    <cellStyle name="Normal 9 3 5 2 3" xfId="17240"/>
    <cellStyle name="Normal 9 3 5 2 3 2" xfId="17241"/>
    <cellStyle name="Normal 9 3 5 2 4" xfId="17242"/>
    <cellStyle name="Normal 9 3 5 2 4 2" xfId="17243"/>
    <cellStyle name="Normal 9 3 5 2 5" xfId="17244"/>
    <cellStyle name="Normal 9 3 5 3" xfId="17245"/>
    <cellStyle name="Normal 9 3 5 3 2" xfId="17246"/>
    <cellStyle name="Normal 9 3 5 3 2 2" xfId="17247"/>
    <cellStyle name="Normal 9 3 5 3 2 2 2" xfId="17248"/>
    <cellStyle name="Normal 9 3 5 3 2 3" xfId="17249"/>
    <cellStyle name="Normal 9 3 5 3 3" xfId="17250"/>
    <cellStyle name="Normal 9 3 5 3 3 2" xfId="17251"/>
    <cellStyle name="Normal 9 3 5 3 4" xfId="17252"/>
    <cellStyle name="Normal 9 3 5 3 4 2" xfId="17253"/>
    <cellStyle name="Normal 9 3 5 3 5" xfId="17254"/>
    <cellStyle name="Normal 9 3 5 4" xfId="17255"/>
    <cellStyle name="Normal 9 3 5 4 2" xfId="17256"/>
    <cellStyle name="Normal 9 3 5 4 2 2" xfId="17257"/>
    <cellStyle name="Normal 9 3 5 4 3" xfId="17258"/>
    <cellStyle name="Normal 9 3 5 5" xfId="17259"/>
    <cellStyle name="Normal 9 3 5 5 2" xfId="17260"/>
    <cellStyle name="Normal 9 3 5 6" xfId="17261"/>
    <cellStyle name="Normal 9 3 5 6 2" xfId="17262"/>
    <cellStyle name="Normal 9 3 5 7" xfId="17263"/>
    <cellStyle name="Normal 9 3 5 8" xfId="7559"/>
    <cellStyle name="Normal 9 3 6" xfId="3682"/>
    <cellStyle name="Normal 9 3 6 2" xfId="17264"/>
    <cellStyle name="Normal 9 3 6 2 2" xfId="17265"/>
    <cellStyle name="Normal 9 3 6 2 2 2" xfId="17266"/>
    <cellStyle name="Normal 9 3 6 2 3" xfId="17267"/>
    <cellStyle name="Normal 9 3 6 3" xfId="17268"/>
    <cellStyle name="Normal 9 3 6 3 2" xfId="17269"/>
    <cellStyle name="Normal 9 3 6 4" xfId="17270"/>
    <cellStyle name="Normal 9 3 6 4 2" xfId="17271"/>
    <cellStyle name="Normal 9 3 6 5" xfId="17272"/>
    <cellStyle name="Normal 9 3 6 6" xfId="7560"/>
    <cellStyle name="Normal 9 3 7" xfId="3683"/>
    <cellStyle name="Normal 9 3 7 2" xfId="17273"/>
    <cellStyle name="Normal 9 3 7 2 2" xfId="17274"/>
    <cellStyle name="Normal 9 3 7 2 2 2" xfId="17275"/>
    <cellStyle name="Normal 9 3 7 2 3" xfId="17276"/>
    <cellStyle name="Normal 9 3 7 3" xfId="17277"/>
    <cellStyle name="Normal 9 3 7 3 2" xfId="17278"/>
    <cellStyle name="Normal 9 3 7 4" xfId="17279"/>
    <cellStyle name="Normal 9 3 7 4 2" xfId="17280"/>
    <cellStyle name="Normal 9 3 7 5" xfId="17281"/>
    <cellStyle name="Normal 9 3 7 6" xfId="7561"/>
    <cellStyle name="Normal 9 3 8" xfId="3684"/>
    <cellStyle name="Normal 9 3 8 2" xfId="17282"/>
    <cellStyle name="Normal 9 3 8 2 2" xfId="17283"/>
    <cellStyle name="Normal 9 3 8 2 2 2" xfId="17284"/>
    <cellStyle name="Normal 9 3 8 2 3" xfId="17285"/>
    <cellStyle name="Normal 9 3 8 3" xfId="17286"/>
    <cellStyle name="Normal 9 3 8 3 2" xfId="17287"/>
    <cellStyle name="Normal 9 3 8 4" xfId="17288"/>
    <cellStyle name="Normal 9 3 8 4 2" xfId="17289"/>
    <cellStyle name="Normal 9 3 8 5" xfId="17290"/>
    <cellStyle name="Normal 9 3 8 6" xfId="7562"/>
    <cellStyle name="Normal 9 3 9" xfId="17291"/>
    <cellStyle name="Normal 9 3 9 2" xfId="17292"/>
    <cellStyle name="Normal 9 3 9 2 2" xfId="17293"/>
    <cellStyle name="Normal 9 3 9 2 2 2" xfId="17294"/>
    <cellStyle name="Normal 9 3 9 2 3" xfId="17295"/>
    <cellStyle name="Normal 9 3 9 3" xfId="17296"/>
    <cellStyle name="Normal 9 3 9 3 2" xfId="17297"/>
    <cellStyle name="Normal 9 3 9 4" xfId="17298"/>
    <cellStyle name="Normal 9 3 9 4 2" xfId="17299"/>
    <cellStyle name="Normal 9 3 9 5" xfId="17300"/>
    <cellStyle name="Normal 9 3_Achampally-Gattubuthkur-Ganga-CRR" xfId="27"/>
    <cellStyle name="Normal 9 4" xfId="3685"/>
    <cellStyle name="Normal 9 4 10" xfId="17301"/>
    <cellStyle name="Normal 9 4 11" xfId="17302"/>
    <cellStyle name="Normal 9 4 12" xfId="17303"/>
    <cellStyle name="Normal 9 4 13" xfId="17304"/>
    <cellStyle name="Normal 9 4 14" xfId="17305"/>
    <cellStyle name="Normal 9 4 15" xfId="17306"/>
    <cellStyle name="Normal 9 4 16" xfId="17307"/>
    <cellStyle name="Normal 9 4 17" xfId="17308"/>
    <cellStyle name="Normal 9 4 18" xfId="7563"/>
    <cellStyle name="Normal 9 4 2" xfId="3687"/>
    <cellStyle name="Normal 9 4 2 2" xfId="7564"/>
    <cellStyle name="Normal 9 4 3" xfId="3689"/>
    <cellStyle name="Normal 9 4 3 2" xfId="7566"/>
    <cellStyle name="Normal 9 4 4" xfId="3691"/>
    <cellStyle name="Normal 9 4 4 2" xfId="7568"/>
    <cellStyle name="Normal 9 4 5" xfId="3693"/>
    <cellStyle name="Normal 9 4 5 2" xfId="7570"/>
    <cellStyle name="Normal 9 4 6" xfId="3695"/>
    <cellStyle name="Normal 9 4 6 2" xfId="7572"/>
    <cellStyle name="Normal 9 4 7" xfId="3696"/>
    <cellStyle name="Normal 9 4 7 2" xfId="7574"/>
    <cellStyle name="Normal 9 4 8" xfId="3697"/>
    <cellStyle name="Normal 9 4 8 2" xfId="7575"/>
    <cellStyle name="Normal 9 4 9" xfId="17309"/>
    <cellStyle name="Normal 9 5" xfId="3698"/>
    <cellStyle name="Normal 9 5 10" xfId="17310"/>
    <cellStyle name="Normal 9 5 11" xfId="17311"/>
    <cellStyle name="Normal 9 5 12" xfId="17312"/>
    <cellStyle name="Normal 9 5 13" xfId="17313"/>
    <cellStyle name="Normal 9 5 14" xfId="17314"/>
    <cellStyle name="Normal 9 5 15" xfId="17315"/>
    <cellStyle name="Normal 9 5 16" xfId="17316"/>
    <cellStyle name="Normal 9 5 17" xfId="17317"/>
    <cellStyle name="Normal 9 5 18" xfId="7576"/>
    <cellStyle name="Normal 9 5 2" xfId="3699"/>
    <cellStyle name="Normal 9 5 2 2" xfId="7577"/>
    <cellStyle name="Normal 9 5 3" xfId="3700"/>
    <cellStyle name="Normal 9 5 3 2" xfId="7578"/>
    <cellStyle name="Normal 9 5 4" xfId="3701"/>
    <cellStyle name="Normal 9 5 4 2" xfId="7579"/>
    <cellStyle name="Normal 9 5 5" xfId="3702"/>
    <cellStyle name="Normal 9 5 5 2" xfId="7580"/>
    <cellStyle name="Normal 9 5 6" xfId="3703"/>
    <cellStyle name="Normal 9 5 6 2" xfId="7581"/>
    <cellStyle name="Normal 9 5 7" xfId="3704"/>
    <cellStyle name="Normal 9 5 7 2" xfId="7582"/>
    <cellStyle name="Normal 9 5 8" xfId="3705"/>
    <cellStyle name="Normal 9 5 8 2" xfId="7583"/>
    <cellStyle name="Normal 9 5 9" xfId="17318"/>
    <cellStyle name="Normal 9 6" xfId="3706"/>
    <cellStyle name="Normal 9 6 10" xfId="17319"/>
    <cellStyle name="Normal 9 6 11" xfId="17320"/>
    <cellStyle name="Normal 9 6 12" xfId="17321"/>
    <cellStyle name="Normal 9 6 13" xfId="17322"/>
    <cellStyle name="Normal 9 6 14" xfId="17323"/>
    <cellStyle name="Normal 9 6 15" xfId="17324"/>
    <cellStyle name="Normal 9 6 16" xfId="17325"/>
    <cellStyle name="Normal 9 6 17" xfId="17326"/>
    <cellStyle name="Normal 9 6 18" xfId="7584"/>
    <cellStyle name="Normal 9 6 2" xfId="3707"/>
    <cellStyle name="Normal 9 6 2 2" xfId="7585"/>
    <cellStyle name="Normal 9 6 3" xfId="3708"/>
    <cellStyle name="Normal 9 6 3 2" xfId="7586"/>
    <cellStyle name="Normal 9 6 4" xfId="3709"/>
    <cellStyle name="Normal 9 6 4 2" xfId="7587"/>
    <cellStyle name="Normal 9 6 5" xfId="3710"/>
    <cellStyle name="Normal 9 6 5 2" xfId="7588"/>
    <cellStyle name="Normal 9 6 6" xfId="3711"/>
    <cellStyle name="Normal 9 6 6 2" xfId="7589"/>
    <cellStyle name="Normal 9 6 7" xfId="3712"/>
    <cellStyle name="Normal 9 6 7 2" xfId="7590"/>
    <cellStyle name="Normal 9 6 8" xfId="3713"/>
    <cellStyle name="Normal 9 6 8 2" xfId="7591"/>
    <cellStyle name="Normal 9 6 9" xfId="17327"/>
    <cellStyle name="Normal 9 7" xfId="3714"/>
    <cellStyle name="Normal 9 7 10" xfId="17328"/>
    <cellStyle name="Normal 9 7 11" xfId="17329"/>
    <cellStyle name="Normal 9 7 12" xfId="17330"/>
    <cellStyle name="Normal 9 7 13" xfId="17331"/>
    <cellStyle name="Normal 9 7 14" xfId="17332"/>
    <cellStyle name="Normal 9 7 15" xfId="17333"/>
    <cellStyle name="Normal 9 7 16" xfId="17334"/>
    <cellStyle name="Normal 9 7 17" xfId="17335"/>
    <cellStyle name="Normal 9 7 18" xfId="7592"/>
    <cellStyle name="Normal 9 7 2" xfId="3715"/>
    <cellStyle name="Normal 9 7 2 2" xfId="7593"/>
    <cellStyle name="Normal 9 7 3" xfId="3716"/>
    <cellStyle name="Normal 9 7 3 2" xfId="7594"/>
    <cellStyle name="Normal 9 7 4" xfId="3717"/>
    <cellStyle name="Normal 9 7 4 2" xfId="7595"/>
    <cellStyle name="Normal 9 7 5" xfId="3718"/>
    <cellStyle name="Normal 9 7 5 2" xfId="7596"/>
    <cellStyle name="Normal 9 7 6" xfId="3719"/>
    <cellStyle name="Normal 9 7 6 2" xfId="7597"/>
    <cellStyle name="Normal 9 7 7" xfId="3720"/>
    <cellStyle name="Normal 9 7 7 2" xfId="7598"/>
    <cellStyle name="Normal 9 7 8" xfId="3721"/>
    <cellStyle name="Normal 9 7 8 2" xfId="7599"/>
    <cellStyle name="Normal 9 7 9" xfId="17336"/>
    <cellStyle name="Normal 9 8" xfId="3723"/>
    <cellStyle name="Normal 9 8 10" xfId="17337"/>
    <cellStyle name="Normal 9 8 11" xfId="17338"/>
    <cellStyle name="Normal 9 8 12" xfId="17339"/>
    <cellStyle name="Normal 9 8 13" xfId="17340"/>
    <cellStyle name="Normal 9 8 14" xfId="17341"/>
    <cellStyle name="Normal 9 8 15" xfId="17342"/>
    <cellStyle name="Normal 9 8 16" xfId="17343"/>
    <cellStyle name="Normal 9 8 17" xfId="17344"/>
    <cellStyle name="Normal 9 8 18" xfId="7600"/>
    <cellStyle name="Normal 9 8 2" xfId="3724"/>
    <cellStyle name="Normal 9 8 2 2" xfId="7602"/>
    <cellStyle name="Normal 9 8 3" xfId="3725"/>
    <cellStyle name="Normal 9 8 3 2" xfId="7603"/>
    <cellStyle name="Normal 9 8 4" xfId="3726"/>
    <cellStyle name="Normal 9 8 4 2" xfId="7604"/>
    <cellStyle name="Normal 9 8 5" xfId="3727"/>
    <cellStyle name="Normal 9 8 5 2" xfId="7605"/>
    <cellStyle name="Normal 9 8 6" xfId="3728"/>
    <cellStyle name="Normal 9 8 6 2" xfId="7606"/>
    <cellStyle name="Normal 9 8 7" xfId="3729"/>
    <cellStyle name="Normal 9 8 7 2" xfId="7607"/>
    <cellStyle name="Normal 9 8 8" xfId="3730"/>
    <cellStyle name="Normal 9 8 8 2" xfId="7608"/>
    <cellStyle name="Normal 9 8 9" xfId="17345"/>
    <cellStyle name="Normal 9 9" xfId="3732"/>
    <cellStyle name="Normal 9 9 10" xfId="17346"/>
    <cellStyle name="Normal 9 9 11" xfId="17347"/>
    <cellStyle name="Normal 9 9 12" xfId="17348"/>
    <cellStyle name="Normal 9 9 13" xfId="17349"/>
    <cellStyle name="Normal 9 9 14" xfId="17350"/>
    <cellStyle name="Normal 9 9 15" xfId="17351"/>
    <cellStyle name="Normal 9 9 16" xfId="17352"/>
    <cellStyle name="Normal 9 9 17" xfId="17353"/>
    <cellStyle name="Normal 9 9 18" xfId="7609"/>
    <cellStyle name="Normal 9 9 2" xfId="3734"/>
    <cellStyle name="Normal 9 9 2 2" xfId="7611"/>
    <cellStyle name="Normal 9 9 3" xfId="3736"/>
    <cellStyle name="Normal 9 9 3 2" xfId="7613"/>
    <cellStyle name="Normal 9 9 4" xfId="3739"/>
    <cellStyle name="Normal 9 9 4 2" xfId="7615"/>
    <cellStyle name="Normal 9 9 5" xfId="3742"/>
    <cellStyle name="Normal 9 9 5 2" xfId="7618"/>
    <cellStyle name="Normal 9 9 6" xfId="3744"/>
    <cellStyle name="Normal 9 9 6 2" xfId="7621"/>
    <cellStyle name="Normal 9 9 7" xfId="2810"/>
    <cellStyle name="Normal 9 9 7 2" xfId="6702"/>
    <cellStyle name="Normal 9 9 8" xfId="2813"/>
    <cellStyle name="Normal 9 9 8 2" xfId="6705"/>
    <cellStyle name="Normal 9 9 9" xfId="17354"/>
    <cellStyle name="Normal 9_126  NAGANOOL TO GADDAMPALLY  - 82.50  LAKHS" xfId="17355"/>
    <cellStyle name="Normal 90" xfId="3964"/>
    <cellStyle name="Normal 90 2" xfId="17356"/>
    <cellStyle name="Normal 90 3" xfId="7825"/>
    <cellStyle name="Normal_Data" xfId="518"/>
    <cellStyle name="Normal_Gudipalli (Chennur-RIDF-13)" xfId="3745"/>
    <cellStyle name="Normal_Kallepally-Gunturpalli (Bejjenki)6m-2v" xfId="288"/>
    <cellStyle name="Normal_lead_Kondepi" xfId="3747"/>
    <cellStyle name="Normal_lead_Kondepi 2" xfId="3748"/>
    <cellStyle name="Normal_model note for PH-X works 2" xfId="598"/>
    <cellStyle name="Normal_model note for PH-X works 2 2" xfId="4534"/>
    <cellStyle name="Normal_MTC" xfId="2062"/>
    <cellStyle name="Normal_Nenneal to Kushnepalli (Chennur)" xfId="3749"/>
    <cellStyle name="Normal_NP3 pipe variation" xfId="3470"/>
    <cellStyle name="Normal_phaseVI_CC__Kullupadu-Tajangi to Locheli" xfId="879"/>
    <cellStyle name="Normal_PMGSY Model Est 06.09.10" xfId="1618"/>
    <cellStyle name="Normal_PMGSY_CGG_DATA_MODEL_2010_11" xfId="975"/>
    <cellStyle name="Normal_PMGSY_CGG_DATA_MODEL_2010_11-temp" xfId="2578"/>
    <cellStyle name="Normal_PMGSY_CGG_DATA_MODEL_2010_11-temp-2" xfId="2833"/>
    <cellStyle name="Normal_PMGSY_CGG_DATA_MODEL_2010_11-temp-2 2" xfId="3751"/>
    <cellStyle name="Normal_PMGSY_CGG_DATA_MODEL_2010_11-temp-2 3" xfId="3753"/>
    <cellStyle name="Normal_PMGSY_CGG_DATA_MODEL_2010_11-temp-2 3 2" xfId="3755"/>
    <cellStyle name="Normal_Reach-II(10.850 to 21.850)" xfId="3756"/>
    <cellStyle name="Normal_RIDF XVI PH -II Shedule of Papakkapalli" xfId="1925"/>
    <cellStyle name="Normal_Road Furniture Data(9-12)" xfId="3757"/>
    <cellStyle name="Normal_Sch-DS_Road_to_Thammadapalli_-PKSM" xfId="3758"/>
    <cellStyle name="Normal_Sch-Mentepally to Nachahalli via Raghavendranagar" xfId="41"/>
    <cellStyle name="Normal_Sheet1" xfId="1454"/>
    <cellStyle name="Normal_Srikakulam &amp; Vizianagaram-26.11.05" xfId="3759"/>
    <cellStyle name="Normal_Waghapur" xfId="3760"/>
    <cellStyle name="Normal_Waghapur 2" xfId="1617"/>
    <cellStyle name="Normal_xx" xfId="2357"/>
    <cellStyle name="Normal_xx 6" xfId="2349"/>
    <cellStyle name="Note 10" xfId="17357"/>
    <cellStyle name="Note 11" xfId="17358"/>
    <cellStyle name="Note 12" xfId="17359"/>
    <cellStyle name="Note 13" xfId="17360"/>
    <cellStyle name="Note 14" xfId="17361"/>
    <cellStyle name="Note 15" xfId="17362"/>
    <cellStyle name="Note 16" xfId="17363"/>
    <cellStyle name="Note 17" xfId="17364"/>
    <cellStyle name="Note 18" xfId="17365"/>
    <cellStyle name="Note 2" xfId="3761"/>
    <cellStyle name="Note 2 10" xfId="1124"/>
    <cellStyle name="Note 2 10 10" xfId="17366"/>
    <cellStyle name="Note 2 10 11" xfId="17367"/>
    <cellStyle name="Note 2 10 12" xfId="17368"/>
    <cellStyle name="Note 2 10 13" xfId="17369"/>
    <cellStyle name="Note 2 10 14" xfId="17370"/>
    <cellStyle name="Note 2 10 15" xfId="17371"/>
    <cellStyle name="Note 2 10 16" xfId="17372"/>
    <cellStyle name="Note 2 10 17" xfId="17373"/>
    <cellStyle name="Note 2 10 18" xfId="5046"/>
    <cellStyle name="Note 2 10 2" xfId="3763"/>
    <cellStyle name="Note 2 10 2 2" xfId="7627"/>
    <cellStyle name="Note 2 10 3" xfId="3765"/>
    <cellStyle name="Note 2 10 3 2" xfId="7629"/>
    <cellStyle name="Note 2 10 4" xfId="3767"/>
    <cellStyle name="Note 2 10 4 2" xfId="7631"/>
    <cellStyle name="Note 2 10 5" xfId="3092"/>
    <cellStyle name="Note 2 10 5 2" xfId="6977"/>
    <cellStyle name="Note 2 10 6" xfId="3094"/>
    <cellStyle name="Note 2 10 6 2" xfId="6979"/>
    <cellStyle name="Note 2 10 7" xfId="3097"/>
    <cellStyle name="Note 2 10 7 2" xfId="6982"/>
    <cellStyle name="Note 2 10 8" xfId="3102"/>
    <cellStyle name="Note 2 10 8 2" xfId="6987"/>
    <cellStyle name="Note 2 10 9" xfId="17374"/>
    <cellStyle name="Note 2 11" xfId="1128"/>
    <cellStyle name="Note 2 11 2" xfId="5050"/>
    <cellStyle name="Note 2 12" xfId="2257"/>
    <cellStyle name="Note 2 12 2" xfId="6158"/>
    <cellStyle name="Note 2 13" xfId="2260"/>
    <cellStyle name="Note 2 13 2" xfId="6161"/>
    <cellStyle name="Note 2 14" xfId="2265"/>
    <cellStyle name="Note 2 14 2" xfId="6166"/>
    <cellStyle name="Note 2 15" xfId="2433"/>
    <cellStyle name="Note 2 15 2" xfId="6328"/>
    <cellStyle name="Note 2 16" xfId="2436"/>
    <cellStyle name="Note 2 16 2" xfId="6331"/>
    <cellStyle name="Note 2 17" xfId="3768"/>
    <cellStyle name="Note 2 17 2" xfId="7633"/>
    <cellStyle name="Note 2 18" xfId="17375"/>
    <cellStyle name="Note 2 19" xfId="17376"/>
    <cellStyle name="Note 2 2" xfId="3769"/>
    <cellStyle name="Note 2 2 10" xfId="17377"/>
    <cellStyle name="Note 2 2 11" xfId="17378"/>
    <cellStyle name="Note 2 2 12" xfId="17379"/>
    <cellStyle name="Note 2 2 13" xfId="17380"/>
    <cellStyle name="Note 2 2 14" xfId="17381"/>
    <cellStyle name="Note 2 2 15" xfId="17382"/>
    <cellStyle name="Note 2 2 16" xfId="17383"/>
    <cellStyle name="Note 2 2 17" xfId="17384"/>
    <cellStyle name="Note 2 2 18" xfId="7634"/>
    <cellStyle name="Note 2 2 2" xfId="3770"/>
    <cellStyle name="Note 2 2 2 2" xfId="7635"/>
    <cellStyle name="Note 2 2 3" xfId="3772"/>
    <cellStyle name="Note 2 2 3 2" xfId="7636"/>
    <cellStyle name="Note 2 2 4" xfId="3773"/>
    <cellStyle name="Note 2 2 4 2" xfId="7637"/>
    <cellStyle name="Note 2 2 5" xfId="3774"/>
    <cellStyle name="Note 2 2 5 2" xfId="7638"/>
    <cellStyle name="Note 2 2 6" xfId="3775"/>
    <cellStyle name="Note 2 2 6 2" xfId="7639"/>
    <cellStyle name="Note 2 2 7" xfId="3776"/>
    <cellStyle name="Note 2 2 7 2" xfId="7640"/>
    <cellStyle name="Note 2 2 8" xfId="3777"/>
    <cellStyle name="Note 2 2 8 2" xfId="7641"/>
    <cellStyle name="Note 2 2 9" xfId="17385"/>
    <cellStyle name="Note 2 20" xfId="17386"/>
    <cellStyle name="Note 2 21" xfId="17387"/>
    <cellStyle name="Note 2 22" xfId="17388"/>
    <cellStyle name="Note 2 23" xfId="17389"/>
    <cellStyle name="Note 2 24" xfId="17390"/>
    <cellStyle name="Note 2 25" xfId="17391"/>
    <cellStyle name="Note 2 26" xfId="17392"/>
    <cellStyle name="Note 2 27" xfId="7626"/>
    <cellStyle name="Note 2 3" xfId="3778"/>
    <cellStyle name="Note 2 3 10" xfId="17393"/>
    <cellStyle name="Note 2 3 11" xfId="17394"/>
    <cellStyle name="Note 2 3 12" xfId="17395"/>
    <cellStyle name="Note 2 3 13" xfId="17396"/>
    <cellStyle name="Note 2 3 14" xfId="17397"/>
    <cellStyle name="Note 2 3 15" xfId="17398"/>
    <cellStyle name="Note 2 3 16" xfId="17399"/>
    <cellStyle name="Note 2 3 17" xfId="17400"/>
    <cellStyle name="Note 2 3 18" xfId="7642"/>
    <cellStyle name="Note 2 3 2" xfId="1941"/>
    <cellStyle name="Note 2 3 2 2" xfId="5848"/>
    <cellStyle name="Note 2 3 3" xfId="394"/>
    <cellStyle name="Note 2 3 3 2" xfId="4334"/>
    <cellStyle name="Note 2 3 4" xfId="405"/>
    <cellStyle name="Note 2 3 4 2" xfId="4344"/>
    <cellStyle name="Note 2 3 5" xfId="3187"/>
    <cellStyle name="Note 2 3 5 2" xfId="7072"/>
    <cellStyle name="Note 2 3 6" xfId="3779"/>
    <cellStyle name="Note 2 3 6 2" xfId="7643"/>
    <cellStyle name="Note 2 3 7" xfId="3780"/>
    <cellStyle name="Note 2 3 7 2" xfId="7644"/>
    <cellStyle name="Note 2 3 8" xfId="3781"/>
    <cellStyle name="Note 2 3 8 2" xfId="7645"/>
    <cellStyle name="Note 2 3 9" xfId="17401"/>
    <cellStyle name="Note 2 4" xfId="3782"/>
    <cellStyle name="Note 2 4 10" xfId="17402"/>
    <cellStyle name="Note 2 4 11" xfId="17403"/>
    <cellStyle name="Note 2 4 12" xfId="17404"/>
    <cellStyle name="Note 2 4 13" xfId="17405"/>
    <cellStyle name="Note 2 4 14" xfId="17406"/>
    <cellStyle name="Note 2 4 15" xfId="17407"/>
    <cellStyle name="Note 2 4 16" xfId="17408"/>
    <cellStyle name="Note 2 4 17" xfId="17409"/>
    <cellStyle name="Note 2 4 18" xfId="7646"/>
    <cellStyle name="Note 2 4 2" xfId="3196"/>
    <cellStyle name="Note 2 4 2 2" xfId="7080"/>
    <cellStyle name="Note 2 4 3" xfId="3199"/>
    <cellStyle name="Note 2 4 3 2" xfId="7083"/>
    <cellStyle name="Note 2 4 4" xfId="3201"/>
    <cellStyle name="Note 2 4 4 2" xfId="7086"/>
    <cellStyle name="Note 2 4 5" xfId="181"/>
    <cellStyle name="Note 2 4 5 2" xfId="4107"/>
    <cellStyle name="Note 2 4 6" xfId="3783"/>
    <cellStyle name="Note 2 4 6 2" xfId="7647"/>
    <cellStyle name="Note 2 4 7" xfId="3784"/>
    <cellStyle name="Note 2 4 7 2" xfId="7648"/>
    <cellStyle name="Note 2 4 8" xfId="3785"/>
    <cellStyle name="Note 2 4 8 2" xfId="7649"/>
    <cellStyle name="Note 2 4 9" xfId="17410"/>
    <cellStyle name="Note 2 5" xfId="3786"/>
    <cellStyle name="Note 2 5 10" xfId="17411"/>
    <cellStyle name="Note 2 5 11" xfId="17412"/>
    <cellStyle name="Note 2 5 12" xfId="17413"/>
    <cellStyle name="Note 2 5 13" xfId="17414"/>
    <cellStyle name="Note 2 5 14" xfId="17415"/>
    <cellStyle name="Note 2 5 15" xfId="17416"/>
    <cellStyle name="Note 2 5 16" xfId="17417"/>
    <cellStyle name="Note 2 5 17" xfId="17418"/>
    <cellStyle name="Note 2 5 18" xfId="7650"/>
    <cellStyle name="Note 2 5 2" xfId="3203"/>
    <cellStyle name="Note 2 5 2 2" xfId="7088"/>
    <cellStyle name="Note 2 5 3" xfId="1815"/>
    <cellStyle name="Note 2 5 3 2" xfId="5725"/>
    <cellStyle name="Note 2 5 4" xfId="1818"/>
    <cellStyle name="Note 2 5 4 2" xfId="5728"/>
    <cellStyle name="Note 2 5 5" xfId="1821"/>
    <cellStyle name="Note 2 5 5 2" xfId="5731"/>
    <cellStyle name="Note 2 5 6" xfId="1825"/>
    <cellStyle name="Note 2 5 6 2" xfId="5734"/>
    <cellStyle name="Note 2 5 7" xfId="795"/>
    <cellStyle name="Note 2 5 7 2" xfId="4723"/>
    <cellStyle name="Note 2 5 8" xfId="581"/>
    <cellStyle name="Note 2 5 8 2" xfId="4518"/>
    <cellStyle name="Note 2 5 9" xfId="17419"/>
    <cellStyle name="Note 2 6" xfId="865"/>
    <cellStyle name="Note 2 6 10" xfId="17420"/>
    <cellStyle name="Note 2 6 11" xfId="17421"/>
    <cellStyle name="Note 2 6 12" xfId="17422"/>
    <cellStyle name="Note 2 6 13" xfId="17423"/>
    <cellStyle name="Note 2 6 14" xfId="17424"/>
    <cellStyle name="Note 2 6 15" xfId="17425"/>
    <cellStyle name="Note 2 6 16" xfId="17426"/>
    <cellStyle name="Note 2 6 17" xfId="17427"/>
    <cellStyle name="Note 2 6 18" xfId="4792"/>
    <cellStyle name="Note 2 6 2" xfId="2877"/>
    <cellStyle name="Note 2 6 2 2" xfId="6767"/>
    <cellStyle name="Note 2 6 3" xfId="1762"/>
    <cellStyle name="Note 2 6 3 2" xfId="5671"/>
    <cellStyle name="Note 2 6 4" xfId="1828"/>
    <cellStyle name="Note 2 6 4 2" xfId="5737"/>
    <cellStyle name="Note 2 6 5" xfId="1831"/>
    <cellStyle name="Note 2 6 5 2" xfId="5740"/>
    <cellStyle name="Note 2 6 6" xfId="1834"/>
    <cellStyle name="Note 2 6 6 2" xfId="5743"/>
    <cellStyle name="Note 2 6 7" xfId="1836"/>
    <cellStyle name="Note 2 6 7 2" xfId="5745"/>
    <cellStyle name="Note 2 6 8" xfId="507"/>
    <cellStyle name="Note 2 6 8 2" xfId="4447"/>
    <cellStyle name="Note 2 6 9" xfId="17428"/>
    <cellStyle name="Note 2 7" xfId="3787"/>
    <cellStyle name="Note 2 7 10" xfId="17429"/>
    <cellStyle name="Note 2 7 11" xfId="17430"/>
    <cellStyle name="Note 2 7 12" xfId="17431"/>
    <cellStyle name="Note 2 7 13" xfId="17432"/>
    <cellStyle name="Note 2 7 14" xfId="17433"/>
    <cellStyle name="Note 2 7 15" xfId="17434"/>
    <cellStyle name="Note 2 7 16" xfId="17435"/>
    <cellStyle name="Note 2 7 17" xfId="17436"/>
    <cellStyle name="Note 2 7 18" xfId="7651"/>
    <cellStyle name="Note 2 7 2" xfId="3215"/>
    <cellStyle name="Note 2 7 2 2" xfId="7100"/>
    <cellStyle name="Note 2 7 3" xfId="737"/>
    <cellStyle name="Note 2 7 3 2" xfId="4666"/>
    <cellStyle name="Note 2 7 4" xfId="747"/>
    <cellStyle name="Note 2 7 4 2" xfId="4676"/>
    <cellStyle name="Note 2 7 5" xfId="1838"/>
    <cellStyle name="Note 2 7 5 2" xfId="5747"/>
    <cellStyle name="Note 2 7 6" xfId="1842"/>
    <cellStyle name="Note 2 7 6 2" xfId="5751"/>
    <cellStyle name="Note 2 7 7" xfId="1845"/>
    <cellStyle name="Note 2 7 7 2" xfId="5754"/>
    <cellStyle name="Note 2 7 8" xfId="607"/>
    <cellStyle name="Note 2 7 8 2" xfId="4539"/>
    <cellStyle name="Note 2 7 9" xfId="17437"/>
    <cellStyle name="Note 2 8" xfId="3788"/>
    <cellStyle name="Note 2 8 10" xfId="17438"/>
    <cellStyle name="Note 2 8 11" xfId="17439"/>
    <cellStyle name="Note 2 8 12" xfId="17440"/>
    <cellStyle name="Note 2 8 13" xfId="17441"/>
    <cellStyle name="Note 2 8 14" xfId="17442"/>
    <cellStyle name="Note 2 8 15" xfId="17443"/>
    <cellStyle name="Note 2 8 16" xfId="17444"/>
    <cellStyle name="Note 2 8 17" xfId="17445"/>
    <cellStyle name="Note 2 8 18" xfId="7652"/>
    <cellStyle name="Note 2 8 2" xfId="3223"/>
    <cellStyle name="Note 2 8 2 2" xfId="7108"/>
    <cellStyle name="Note 2 8 3" xfId="1850"/>
    <cellStyle name="Note 2 8 3 2" xfId="5759"/>
    <cellStyle name="Note 2 8 4" xfId="304"/>
    <cellStyle name="Note 2 8 4 2" xfId="4248"/>
    <cellStyle name="Note 2 8 5" xfId="312"/>
    <cellStyle name="Note 2 8 5 2" xfId="4254"/>
    <cellStyle name="Note 2 8 6" xfId="1853"/>
    <cellStyle name="Note 2 8 6 2" xfId="5762"/>
    <cellStyle name="Note 2 8 7" xfId="1855"/>
    <cellStyle name="Note 2 8 7 2" xfId="5764"/>
    <cellStyle name="Note 2 8 8" xfId="1857"/>
    <cellStyle name="Note 2 8 8 2" xfId="5766"/>
    <cellStyle name="Note 2 8 9" xfId="17446"/>
    <cellStyle name="Note 2 9" xfId="2662"/>
    <cellStyle name="Note 2 9 10" xfId="17447"/>
    <cellStyle name="Note 2 9 11" xfId="17448"/>
    <cellStyle name="Note 2 9 12" xfId="17449"/>
    <cellStyle name="Note 2 9 13" xfId="17450"/>
    <cellStyle name="Note 2 9 14" xfId="17451"/>
    <cellStyle name="Note 2 9 15" xfId="17452"/>
    <cellStyle name="Note 2 9 16" xfId="17453"/>
    <cellStyle name="Note 2 9 17" xfId="17454"/>
    <cellStyle name="Note 2 9 18" xfId="6555"/>
    <cellStyle name="Note 2 9 2" xfId="3226"/>
    <cellStyle name="Note 2 9 2 2" xfId="7111"/>
    <cellStyle name="Note 2 9 3" xfId="1860"/>
    <cellStyle name="Note 2 9 3 2" xfId="5769"/>
    <cellStyle name="Note 2 9 4" xfId="1863"/>
    <cellStyle name="Note 2 9 4 2" xfId="5772"/>
    <cellStyle name="Note 2 9 5" xfId="1866"/>
    <cellStyle name="Note 2 9 5 2" xfId="5775"/>
    <cellStyle name="Note 2 9 6" xfId="1869"/>
    <cellStyle name="Note 2 9 6 2" xfId="5778"/>
    <cellStyle name="Note 2 9 7" xfId="1873"/>
    <cellStyle name="Note 2 9 7 2" xfId="5781"/>
    <cellStyle name="Note 2 9 8" xfId="625"/>
    <cellStyle name="Note 2 9 8 2" xfId="4559"/>
    <cellStyle name="Note 2 9 9" xfId="17455"/>
    <cellStyle name="Note 2_Bandalingampally (Ypet-wd)" xfId="3346"/>
    <cellStyle name="Note 3" xfId="3789"/>
    <cellStyle name="Note 3 2" xfId="7653"/>
    <cellStyle name="Note 4" xfId="2832"/>
    <cellStyle name="Note 4 2" xfId="6725"/>
    <cellStyle name="Note 5" xfId="2835"/>
    <cellStyle name="Note 5 2" xfId="6728"/>
    <cellStyle name="Note 6" xfId="3191"/>
    <cellStyle name="Note 6 2" xfId="7076"/>
    <cellStyle name="Note 7" xfId="3193"/>
    <cellStyle name="Note 7 2" xfId="17456"/>
    <cellStyle name="Note 7 3" xfId="7078"/>
    <cellStyle name="Note 8" xfId="3195"/>
    <cellStyle name="Note 8 2" xfId="7081"/>
    <cellStyle name="Note 9" xfId="3198"/>
    <cellStyle name="Note 9 2" xfId="7084"/>
    <cellStyle name="Output 2" xfId="1440"/>
    <cellStyle name="Output 2 2" xfId="2903"/>
    <cellStyle name="Output 2 2 2" xfId="6791"/>
    <cellStyle name="Output 2 3" xfId="2905"/>
    <cellStyle name="Output 2 3 2" xfId="6793"/>
    <cellStyle name="Output 2 4" xfId="5358"/>
    <cellStyle name="Output 3" xfId="1292"/>
    <cellStyle name="Output 3 2" xfId="5212"/>
    <cellStyle name="Output 4" xfId="17457"/>
    <cellStyle name="Output 5" xfId="17458"/>
    <cellStyle name="Percent" xfId="20" builtinId="5"/>
    <cellStyle name="Percent [2]" xfId="3790"/>
    <cellStyle name="Percent [2] 10" xfId="17459"/>
    <cellStyle name="Percent [2] 11" xfId="17460"/>
    <cellStyle name="Percent [2] 12" xfId="17461"/>
    <cellStyle name="Percent [2] 13" xfId="17462"/>
    <cellStyle name="Percent [2] 14" xfId="17463"/>
    <cellStyle name="Percent [2] 15" xfId="17464"/>
    <cellStyle name="Percent [2] 16" xfId="17465"/>
    <cellStyle name="Percent [2] 17" xfId="17466"/>
    <cellStyle name="Percent [2] 18" xfId="7654"/>
    <cellStyle name="Percent [2] 2" xfId="1705"/>
    <cellStyle name="Percent [2] 2 2" xfId="5618"/>
    <cellStyle name="Percent [2] 3" xfId="1707"/>
    <cellStyle name="Percent [2] 3 2" xfId="5620"/>
    <cellStyle name="Percent [2] 4" xfId="1711"/>
    <cellStyle name="Percent [2] 4 2" xfId="17467"/>
    <cellStyle name="Percent [2] 4 3" xfId="5624"/>
    <cellStyle name="Percent [2] 5" xfId="3791"/>
    <cellStyle name="Percent [2] 5 2" xfId="7655"/>
    <cellStyle name="Percent [2] 6" xfId="3792"/>
    <cellStyle name="Percent [2] 6 2" xfId="7656"/>
    <cellStyle name="Percent [2] 7" xfId="3793"/>
    <cellStyle name="Percent [2] 7 2" xfId="7657"/>
    <cellStyle name="Percent [2] 8" xfId="3794"/>
    <cellStyle name="Percent [2] 8 2" xfId="7658"/>
    <cellStyle name="Percent [2] 9" xfId="17468"/>
    <cellStyle name="Percent 10" xfId="17469"/>
    <cellStyle name="Percent 10 2" xfId="2620"/>
    <cellStyle name="Percent 10 2 10" xfId="17470"/>
    <cellStyle name="Percent 10 2 11" xfId="17471"/>
    <cellStyle name="Percent 10 2 12" xfId="17472"/>
    <cellStyle name="Percent 10 2 13" xfId="17473"/>
    <cellStyle name="Percent 10 2 14" xfId="17474"/>
    <cellStyle name="Percent 10 2 15" xfId="17475"/>
    <cellStyle name="Percent 10 2 16" xfId="17476"/>
    <cellStyle name="Percent 10 2 17" xfId="17477"/>
    <cellStyle name="Percent 10 2 18" xfId="6515"/>
    <cellStyle name="Percent 10 2 2" xfId="3171"/>
    <cellStyle name="Percent 10 2 2 2" xfId="7056"/>
    <cellStyle name="Percent 10 2 3" xfId="3232"/>
    <cellStyle name="Percent 10 2 3 2" xfId="7117"/>
    <cellStyle name="Percent 10 2 4" xfId="3249"/>
    <cellStyle name="Percent 10 2 4 2" xfId="7134"/>
    <cellStyle name="Percent 10 2 5" xfId="3268"/>
    <cellStyle name="Percent 10 2 5 2" xfId="7152"/>
    <cellStyle name="Percent 10 2 6" xfId="3285"/>
    <cellStyle name="Percent 10 2 6 2" xfId="7169"/>
    <cellStyle name="Percent 10 2 7" xfId="3303"/>
    <cellStyle name="Percent 10 2 7 2" xfId="7186"/>
    <cellStyle name="Percent 10 2 8" xfId="3324"/>
    <cellStyle name="Percent 10 2 8 2" xfId="7207"/>
    <cellStyle name="Percent 10 2 9" xfId="17478"/>
    <cellStyle name="Percent 11" xfId="17479"/>
    <cellStyle name="Percent 11 2" xfId="17480"/>
    <cellStyle name="Percent 12" xfId="17481"/>
    <cellStyle name="Percent 12 2" xfId="17482"/>
    <cellStyle name="Percent 13" xfId="17483"/>
    <cellStyle name="Percent 13 2" xfId="17484"/>
    <cellStyle name="Percent 14" xfId="3795"/>
    <cellStyle name="Percent 14 10" xfId="17485"/>
    <cellStyle name="Percent 14 11" xfId="17486"/>
    <cellStyle name="Percent 14 12" xfId="17487"/>
    <cellStyle name="Percent 14 13" xfId="17488"/>
    <cellStyle name="Percent 14 14" xfId="17489"/>
    <cellStyle name="Percent 14 15" xfId="17490"/>
    <cellStyle name="Percent 14 16" xfId="17491"/>
    <cellStyle name="Percent 14 17" xfId="17492"/>
    <cellStyle name="Percent 14 18" xfId="7659"/>
    <cellStyle name="Percent 14 2" xfId="3665"/>
    <cellStyle name="Percent 14 2 2" xfId="7544"/>
    <cellStyle name="Percent 14 3" xfId="3667"/>
    <cellStyle name="Percent 14 3 2" xfId="7546"/>
    <cellStyle name="Percent 14 4" xfId="295"/>
    <cellStyle name="Percent 14 4 2" xfId="4237"/>
    <cellStyle name="Percent 14 5" xfId="126"/>
    <cellStyle name="Percent 14 5 2" xfId="4077"/>
    <cellStyle name="Percent 14 6" xfId="3669"/>
    <cellStyle name="Percent 14 6 2" xfId="7548"/>
    <cellStyle name="Percent 14 7" xfId="3671"/>
    <cellStyle name="Percent 14 7 2" xfId="7550"/>
    <cellStyle name="Percent 14 8" xfId="987"/>
    <cellStyle name="Percent 14 8 2" xfId="4908"/>
    <cellStyle name="Percent 14 9" xfId="17493"/>
    <cellStyle name="Percent 15" xfId="3796"/>
    <cellStyle name="Percent 15 2" xfId="7660"/>
    <cellStyle name="Percent 16" xfId="17494"/>
    <cellStyle name="Percent 16 2" xfId="17495"/>
    <cellStyle name="Percent 17" xfId="17496"/>
    <cellStyle name="Percent 17 2" xfId="17497"/>
    <cellStyle name="Percent 18" xfId="17498"/>
    <cellStyle name="Percent 18 2" xfId="17499"/>
    <cellStyle name="Percent 19" xfId="17500"/>
    <cellStyle name="Percent 19 2" xfId="17501"/>
    <cellStyle name="Percent 2" xfId="2926"/>
    <cellStyle name="Percent 2 10" xfId="3797"/>
    <cellStyle name="Percent 2 10 2" xfId="7661"/>
    <cellStyle name="Percent 2 11" xfId="3798"/>
    <cellStyle name="Percent 2 11 2" xfId="7662"/>
    <cellStyle name="Percent 2 12" xfId="17502"/>
    <cellStyle name="Percent 2 13" xfId="17503"/>
    <cellStyle name="Percent 2 14" xfId="17504"/>
    <cellStyle name="Percent 2 15" xfId="17505"/>
    <cellStyle name="Percent 2 16" xfId="17506"/>
    <cellStyle name="Percent 2 17" xfId="17507"/>
    <cellStyle name="Percent 2 18" xfId="17508"/>
    <cellStyle name="Percent 2 19" xfId="17509"/>
    <cellStyle name="Percent 2 2" xfId="2928"/>
    <cellStyle name="Percent 2 2 2" xfId="3551"/>
    <cellStyle name="Percent 2 2 2 2" xfId="7431"/>
    <cellStyle name="Percent 2 2 3" xfId="3553"/>
    <cellStyle name="Percent 2 2 3 2" xfId="7433"/>
    <cellStyle name="Percent 2 2 4" xfId="17510"/>
    <cellStyle name="Percent 2 2 5" xfId="6815"/>
    <cellStyle name="Percent 2 20" xfId="17511"/>
    <cellStyle name="Percent 2 21" xfId="6813"/>
    <cellStyle name="Percent 2 3" xfId="2930"/>
    <cellStyle name="Percent 2 3 2" xfId="3562"/>
    <cellStyle name="Percent 2 3 2 2" xfId="18959"/>
    <cellStyle name="Percent 2 3 2 3" xfId="7442"/>
    <cellStyle name="Percent 2 3 3" xfId="3565"/>
    <cellStyle name="Percent 2 3 3 2" xfId="7445"/>
    <cellStyle name="Percent 2 3 4" xfId="17512"/>
    <cellStyle name="Percent 2 3 5" xfId="6817"/>
    <cellStyle name="Percent 2 4" xfId="3799"/>
    <cellStyle name="Percent 2 4 2" xfId="7663"/>
    <cellStyle name="Percent 2 5" xfId="3800"/>
    <cellStyle name="Percent 2 5 2" xfId="7664"/>
    <cellStyle name="Percent 2 6" xfId="3801"/>
    <cellStyle name="Percent 2 6 2" xfId="7665"/>
    <cellStyle name="Percent 2 7" xfId="3802"/>
    <cellStyle name="Percent 2 7 2" xfId="7666"/>
    <cellStyle name="Percent 2 8" xfId="3803"/>
    <cellStyle name="Percent 2 8 2" xfId="7667"/>
    <cellStyle name="Percent 2 9" xfId="3804"/>
    <cellStyle name="Percent 2 9 2" xfId="7668"/>
    <cellStyle name="Percent 20" xfId="17513"/>
    <cellStyle name="Percent 20 2" xfId="17514"/>
    <cellStyle name="Percent 21" xfId="17515"/>
    <cellStyle name="Percent 22" xfId="17516"/>
    <cellStyle name="Percent 23" xfId="17517"/>
    <cellStyle name="Percent 24" xfId="17518"/>
    <cellStyle name="Percent 25" xfId="17519"/>
    <cellStyle name="Percent 26" xfId="17520"/>
    <cellStyle name="Percent 27" xfId="17521"/>
    <cellStyle name="Percent 28" xfId="3979"/>
    <cellStyle name="Percent 3" xfId="2932"/>
    <cellStyle name="Percent 3 10" xfId="3805"/>
    <cellStyle name="Percent 3 10 10" xfId="17522"/>
    <cellStyle name="Percent 3 10 11" xfId="17523"/>
    <cellStyle name="Percent 3 10 12" xfId="17524"/>
    <cellStyle name="Percent 3 10 13" xfId="17525"/>
    <cellStyle name="Percent 3 10 14" xfId="17526"/>
    <cellStyle name="Percent 3 10 15" xfId="17527"/>
    <cellStyle name="Percent 3 10 16" xfId="17528"/>
    <cellStyle name="Percent 3 10 17" xfId="17529"/>
    <cellStyle name="Percent 3 10 18" xfId="7669"/>
    <cellStyle name="Percent 3 10 2" xfId="3806"/>
    <cellStyle name="Percent 3 10 2 2" xfId="7670"/>
    <cellStyle name="Percent 3 10 3" xfId="3807"/>
    <cellStyle name="Percent 3 10 3 2" xfId="7671"/>
    <cellStyle name="Percent 3 10 4" xfId="3808"/>
    <cellStyle name="Percent 3 10 4 2" xfId="7672"/>
    <cellStyle name="Percent 3 10 5" xfId="3809"/>
    <cellStyle name="Percent 3 10 5 2" xfId="7673"/>
    <cellStyle name="Percent 3 10 6" xfId="3810"/>
    <cellStyle name="Percent 3 10 6 2" xfId="7674"/>
    <cellStyle name="Percent 3 10 7" xfId="3811"/>
    <cellStyle name="Percent 3 10 7 2" xfId="7675"/>
    <cellStyle name="Percent 3 10 8" xfId="3812"/>
    <cellStyle name="Percent 3 10 8 2" xfId="7676"/>
    <cellStyle name="Percent 3 10 9" xfId="17530"/>
    <cellStyle name="Percent 3 11" xfId="3813"/>
    <cellStyle name="Percent 3 11 2" xfId="7677"/>
    <cellStyle name="Percent 3 12" xfId="3814"/>
    <cellStyle name="Percent 3 12 2" xfId="7678"/>
    <cellStyle name="Percent 3 13" xfId="3686"/>
    <cellStyle name="Percent 3 13 2" xfId="7565"/>
    <cellStyle name="Percent 3 14" xfId="3688"/>
    <cellStyle name="Percent 3 14 2" xfId="7567"/>
    <cellStyle name="Percent 3 15" xfId="3690"/>
    <cellStyle name="Percent 3 15 2" xfId="7569"/>
    <cellStyle name="Percent 3 16" xfId="3692"/>
    <cellStyle name="Percent 3 16 2" xfId="7571"/>
    <cellStyle name="Percent 3 17" xfId="3694"/>
    <cellStyle name="Percent 3 17 2" xfId="7573"/>
    <cellStyle name="Percent 3 18" xfId="17531"/>
    <cellStyle name="Percent 3 19" xfId="17532"/>
    <cellStyle name="Percent 3 2" xfId="3492"/>
    <cellStyle name="Percent 3 2 10" xfId="17533"/>
    <cellStyle name="Percent 3 2 11" xfId="17534"/>
    <cellStyle name="Percent 3 2 12" xfId="17535"/>
    <cellStyle name="Percent 3 2 13" xfId="17536"/>
    <cellStyle name="Percent 3 2 14" xfId="17537"/>
    <cellStyle name="Percent 3 2 15" xfId="17538"/>
    <cellStyle name="Percent 3 2 16" xfId="17539"/>
    <cellStyle name="Percent 3 2 17" xfId="17540"/>
    <cellStyle name="Percent 3 2 18" xfId="7372"/>
    <cellStyle name="Percent 3 2 2" xfId="3494"/>
    <cellStyle name="Percent 3 2 2 2" xfId="7374"/>
    <cellStyle name="Percent 3 2 3" xfId="3496"/>
    <cellStyle name="Percent 3 2 3 2" xfId="7376"/>
    <cellStyle name="Percent 3 2 4" xfId="3815"/>
    <cellStyle name="Percent 3 2 4 2" xfId="7679"/>
    <cellStyle name="Percent 3 2 5" xfId="3816"/>
    <cellStyle name="Percent 3 2 5 2" xfId="7680"/>
    <cellStyle name="Percent 3 2 6" xfId="3817"/>
    <cellStyle name="Percent 3 2 6 2" xfId="7681"/>
    <cellStyle name="Percent 3 2 7" xfId="585"/>
    <cellStyle name="Percent 3 2 7 2" xfId="4515"/>
    <cellStyle name="Percent 3 2 8" xfId="724"/>
    <cellStyle name="Percent 3 2 8 2" xfId="4651"/>
    <cellStyle name="Percent 3 2 9" xfId="17541"/>
    <cellStyle name="Percent 3 20" xfId="17542"/>
    <cellStyle name="Percent 3 21" xfId="17543"/>
    <cellStyle name="Percent 3 22" xfId="17544"/>
    <cellStyle name="Percent 3 23" xfId="17545"/>
    <cellStyle name="Percent 3 24" xfId="17546"/>
    <cellStyle name="Percent 3 25" xfId="17547"/>
    <cellStyle name="Percent 3 26" xfId="17548"/>
    <cellStyle name="Percent 3 27" xfId="6819"/>
    <cellStyle name="Percent 3 3" xfId="3498"/>
    <cellStyle name="Percent 3 3 10" xfId="17549"/>
    <cellStyle name="Percent 3 3 11" xfId="17550"/>
    <cellStyle name="Percent 3 3 12" xfId="17551"/>
    <cellStyle name="Percent 3 3 13" xfId="17552"/>
    <cellStyle name="Percent 3 3 14" xfId="17553"/>
    <cellStyle name="Percent 3 3 15" xfId="17554"/>
    <cellStyle name="Percent 3 3 16" xfId="17555"/>
    <cellStyle name="Percent 3 3 17" xfId="17556"/>
    <cellStyle name="Percent 3 3 18" xfId="7378"/>
    <cellStyle name="Percent 3 3 2" xfId="3500"/>
    <cellStyle name="Percent 3 3 2 2" xfId="7380"/>
    <cellStyle name="Percent 3 3 3" xfId="3502"/>
    <cellStyle name="Percent 3 3 3 2" xfId="7382"/>
    <cellStyle name="Percent 3 3 4" xfId="3818"/>
    <cellStyle name="Percent 3 3 4 2" xfId="7682"/>
    <cellStyle name="Percent 3 3 5" xfId="3819"/>
    <cellStyle name="Percent 3 3 5 2" xfId="7683"/>
    <cellStyle name="Percent 3 3 6" xfId="3820"/>
    <cellStyle name="Percent 3 3 6 2" xfId="7684"/>
    <cellStyle name="Percent 3 3 7" xfId="510"/>
    <cellStyle name="Percent 3 3 7 2" xfId="4444"/>
    <cellStyle name="Percent 3 3 8" xfId="699"/>
    <cellStyle name="Percent 3 3 8 2" xfId="4626"/>
    <cellStyle name="Percent 3 3 9" xfId="17557"/>
    <cellStyle name="Percent 3 4" xfId="3504"/>
    <cellStyle name="Percent 3 4 10" xfId="17558"/>
    <cellStyle name="Percent 3 4 11" xfId="17559"/>
    <cellStyle name="Percent 3 4 12" xfId="17560"/>
    <cellStyle name="Percent 3 4 13" xfId="17561"/>
    <cellStyle name="Percent 3 4 14" xfId="17562"/>
    <cellStyle name="Percent 3 4 15" xfId="17563"/>
    <cellStyle name="Percent 3 4 16" xfId="17564"/>
    <cellStyle name="Percent 3 4 17" xfId="17565"/>
    <cellStyle name="Percent 3 4 18" xfId="7384"/>
    <cellStyle name="Percent 3 4 2" xfId="3821"/>
    <cellStyle name="Percent 3 4 2 2" xfId="7685"/>
    <cellStyle name="Percent 3 4 3" xfId="3822"/>
    <cellStyle name="Percent 3 4 3 2" xfId="7686"/>
    <cellStyle name="Percent 3 4 4" xfId="3823"/>
    <cellStyle name="Percent 3 4 4 2" xfId="7687"/>
    <cellStyle name="Percent 3 4 5" xfId="3824"/>
    <cellStyle name="Percent 3 4 5 2" xfId="7688"/>
    <cellStyle name="Percent 3 4 6" xfId="2743"/>
    <cellStyle name="Percent 3 4 6 2" xfId="6636"/>
    <cellStyle name="Percent 3 4 7" xfId="2747"/>
    <cellStyle name="Percent 3 4 7 2" xfId="6640"/>
    <cellStyle name="Percent 3 4 8" xfId="2750"/>
    <cellStyle name="Percent 3 4 8 2" xfId="6643"/>
    <cellStyle name="Percent 3 4 9" xfId="17566"/>
    <cellStyle name="Percent 3 5" xfId="3506"/>
    <cellStyle name="Percent 3 5 10" xfId="17567"/>
    <cellStyle name="Percent 3 5 11" xfId="17568"/>
    <cellStyle name="Percent 3 5 12" xfId="17569"/>
    <cellStyle name="Percent 3 5 13" xfId="17570"/>
    <cellStyle name="Percent 3 5 14" xfId="17571"/>
    <cellStyle name="Percent 3 5 15" xfId="17572"/>
    <cellStyle name="Percent 3 5 16" xfId="17573"/>
    <cellStyle name="Percent 3 5 17" xfId="17574"/>
    <cellStyle name="Percent 3 5 18" xfId="7386"/>
    <cellStyle name="Percent 3 5 2" xfId="3825"/>
    <cellStyle name="Percent 3 5 2 2" xfId="7689"/>
    <cellStyle name="Percent 3 5 3" xfId="3826"/>
    <cellStyle name="Percent 3 5 3 2" xfId="7690"/>
    <cellStyle name="Percent 3 5 4" xfId="3827"/>
    <cellStyle name="Percent 3 5 4 2" xfId="7691"/>
    <cellStyle name="Percent 3 5 5" xfId="3828"/>
    <cellStyle name="Percent 3 5 5 2" xfId="7692"/>
    <cellStyle name="Percent 3 5 6" xfId="3762"/>
    <cellStyle name="Percent 3 5 6 2" xfId="7628"/>
    <cellStyle name="Percent 3 5 7" xfId="3764"/>
    <cellStyle name="Percent 3 5 7 2" xfId="7630"/>
    <cellStyle name="Percent 3 5 8" xfId="3766"/>
    <cellStyle name="Percent 3 5 8 2" xfId="7632"/>
    <cellStyle name="Percent 3 5 9" xfId="17575"/>
    <cellStyle name="Percent 3 6" xfId="1755"/>
    <cellStyle name="Percent 3 6 10" xfId="17576"/>
    <cellStyle name="Percent 3 6 11" xfId="17577"/>
    <cellStyle name="Percent 3 6 12" xfId="17578"/>
    <cellStyle name="Percent 3 6 13" xfId="17579"/>
    <cellStyle name="Percent 3 6 14" xfId="17580"/>
    <cellStyle name="Percent 3 6 15" xfId="17581"/>
    <cellStyle name="Percent 3 6 16" xfId="17582"/>
    <cellStyle name="Percent 3 6 17" xfId="17583"/>
    <cellStyle name="Percent 3 6 18" xfId="5666"/>
    <cellStyle name="Percent 3 6 2" xfId="3829"/>
    <cellStyle name="Percent 3 6 2 2" xfId="7693"/>
    <cellStyle name="Percent 3 6 3" xfId="3830"/>
    <cellStyle name="Percent 3 6 3 2" xfId="7694"/>
    <cellStyle name="Percent 3 6 4" xfId="3831"/>
    <cellStyle name="Percent 3 6 4 2" xfId="7695"/>
    <cellStyle name="Percent 3 6 5" xfId="3832"/>
    <cellStyle name="Percent 3 6 5 2" xfId="7696"/>
    <cellStyle name="Percent 3 6 6" xfId="3833"/>
    <cellStyle name="Percent 3 6 6 2" xfId="7697"/>
    <cellStyle name="Percent 3 6 7" xfId="3834"/>
    <cellStyle name="Percent 3 6 7 2" xfId="7698"/>
    <cellStyle name="Percent 3 6 8" xfId="3835"/>
    <cellStyle name="Percent 3 6 8 2" xfId="7699"/>
    <cellStyle name="Percent 3 6 9" xfId="17584"/>
    <cellStyle name="Percent 3 7" xfId="1758"/>
    <cellStyle name="Percent 3 7 10" xfId="17585"/>
    <cellStyle name="Percent 3 7 11" xfId="17586"/>
    <cellStyle name="Percent 3 7 12" xfId="17587"/>
    <cellStyle name="Percent 3 7 13" xfId="17588"/>
    <cellStyle name="Percent 3 7 14" xfId="17589"/>
    <cellStyle name="Percent 3 7 15" xfId="17590"/>
    <cellStyle name="Percent 3 7 16" xfId="17591"/>
    <cellStyle name="Percent 3 7 17" xfId="17592"/>
    <cellStyle name="Percent 3 7 18" xfId="5669"/>
    <cellStyle name="Percent 3 7 2" xfId="3836"/>
    <cellStyle name="Percent 3 7 2 2" xfId="7700"/>
    <cellStyle name="Percent 3 7 3" xfId="3837"/>
    <cellStyle name="Percent 3 7 3 2" xfId="7701"/>
    <cellStyle name="Percent 3 7 4" xfId="3838"/>
    <cellStyle name="Percent 3 7 4 2" xfId="7702"/>
    <cellStyle name="Percent 3 7 5" xfId="2099"/>
    <cellStyle name="Percent 3 7 5 2" xfId="6001"/>
    <cellStyle name="Percent 3 7 6" xfId="2104"/>
    <cellStyle name="Percent 3 7 6 2" xfId="6006"/>
    <cellStyle name="Percent 3 7 7" xfId="1608"/>
    <cellStyle name="Percent 3 7 7 2" xfId="5521"/>
    <cellStyle name="Percent 3 7 8" xfId="1615"/>
    <cellStyle name="Percent 3 7 8 2" xfId="5528"/>
    <cellStyle name="Percent 3 7 9" xfId="17593"/>
    <cellStyle name="Percent 3 8" xfId="3750"/>
    <cellStyle name="Percent 3 8 10" xfId="17594"/>
    <cellStyle name="Percent 3 8 11" xfId="17595"/>
    <cellStyle name="Percent 3 8 12" xfId="17596"/>
    <cellStyle name="Percent 3 8 13" xfId="17597"/>
    <cellStyle name="Percent 3 8 14" xfId="17598"/>
    <cellStyle name="Percent 3 8 15" xfId="17599"/>
    <cellStyle name="Percent 3 8 16" xfId="17600"/>
    <cellStyle name="Percent 3 8 17" xfId="17601"/>
    <cellStyle name="Percent 3 8 18" xfId="7624"/>
    <cellStyle name="Percent 3 8 2" xfId="3839"/>
    <cellStyle name="Percent 3 8 2 2" xfId="7703"/>
    <cellStyle name="Percent 3 8 3" xfId="3840"/>
    <cellStyle name="Percent 3 8 3 2" xfId="7704"/>
    <cellStyle name="Percent 3 8 4" xfId="3841"/>
    <cellStyle name="Percent 3 8 4 2" xfId="7705"/>
    <cellStyle name="Percent 3 8 5" xfId="3842"/>
    <cellStyle name="Percent 3 8 5 2" xfId="7706"/>
    <cellStyle name="Percent 3 8 6" xfId="3843"/>
    <cellStyle name="Percent 3 8 6 2" xfId="7707"/>
    <cellStyle name="Percent 3 8 7" xfId="3844"/>
    <cellStyle name="Percent 3 8 7 2" xfId="7708"/>
    <cellStyle name="Percent 3 8 8" xfId="1626"/>
    <cellStyle name="Percent 3 8 8 2" xfId="5544"/>
    <cellStyle name="Percent 3 8 9" xfId="17602"/>
    <cellStyle name="Percent 3 9" xfId="3752"/>
    <cellStyle name="Percent 3 9 10" xfId="17603"/>
    <cellStyle name="Percent 3 9 11" xfId="17604"/>
    <cellStyle name="Percent 3 9 12" xfId="17605"/>
    <cellStyle name="Percent 3 9 13" xfId="17606"/>
    <cellStyle name="Percent 3 9 14" xfId="17607"/>
    <cellStyle name="Percent 3 9 15" xfId="17608"/>
    <cellStyle name="Percent 3 9 16" xfId="17609"/>
    <cellStyle name="Percent 3 9 17" xfId="17610"/>
    <cellStyle name="Percent 3 9 18" xfId="7625"/>
    <cellStyle name="Percent 3 9 2" xfId="3754"/>
    <cellStyle name="Percent 3 9 2 2" xfId="7709"/>
    <cellStyle name="Percent 3 9 3" xfId="3845"/>
    <cellStyle name="Percent 3 9 3 2" xfId="7710"/>
    <cellStyle name="Percent 3 9 4" xfId="3846"/>
    <cellStyle name="Percent 3 9 4 2" xfId="7711"/>
    <cellStyle name="Percent 3 9 5" xfId="3847"/>
    <cellStyle name="Percent 3 9 5 2" xfId="7712"/>
    <cellStyle name="Percent 3 9 6" xfId="3848"/>
    <cellStyle name="Percent 3 9 6 2" xfId="7713"/>
    <cellStyle name="Percent 3 9 7" xfId="3849"/>
    <cellStyle name="Percent 3 9 7 2" xfId="7714"/>
    <cellStyle name="Percent 3 9 8" xfId="3850"/>
    <cellStyle name="Percent 3 9 8 2" xfId="7715"/>
    <cellStyle name="Percent 3 9 9" xfId="17611"/>
    <cellStyle name="Percent 4" xfId="2934"/>
    <cellStyle name="Percent 4 10" xfId="3851"/>
    <cellStyle name="Percent 4 10 2" xfId="7716"/>
    <cellStyle name="Percent 4 11" xfId="3852"/>
    <cellStyle name="Percent 4 11 2" xfId="7717"/>
    <cellStyle name="Percent 4 12" xfId="3853"/>
    <cellStyle name="Percent 4 12 10" xfId="17612"/>
    <cellStyle name="Percent 4 12 11" xfId="17613"/>
    <cellStyle name="Percent 4 12 12" xfId="17614"/>
    <cellStyle name="Percent 4 12 13" xfId="7718"/>
    <cellStyle name="Percent 4 12 2" xfId="730"/>
    <cellStyle name="Percent 4 12 2 10" xfId="17615"/>
    <cellStyle name="Percent 4 12 2 11" xfId="4659"/>
    <cellStyle name="Percent 4 12 2 2" xfId="17616"/>
    <cellStyle name="Percent 4 12 2 3" xfId="17617"/>
    <cellStyle name="Percent 4 12 2 4" xfId="17618"/>
    <cellStyle name="Percent 4 12 2 5" xfId="17619"/>
    <cellStyle name="Percent 4 12 2 6" xfId="17620"/>
    <cellStyle name="Percent 4 12 2 7" xfId="17621"/>
    <cellStyle name="Percent 4 12 2 8" xfId="17622"/>
    <cellStyle name="Percent 4 12 2 9" xfId="17623"/>
    <cellStyle name="Percent 4 12 3" xfId="740"/>
    <cellStyle name="Percent 4 12 3 10" xfId="17624"/>
    <cellStyle name="Percent 4 12 3 11" xfId="4668"/>
    <cellStyle name="Percent 4 12 3 2" xfId="17625"/>
    <cellStyle name="Percent 4 12 3 3" xfId="17626"/>
    <cellStyle name="Percent 4 12 3 4" xfId="17627"/>
    <cellStyle name="Percent 4 12 3 5" xfId="17628"/>
    <cellStyle name="Percent 4 12 3 6" xfId="17629"/>
    <cellStyle name="Percent 4 12 3 7" xfId="17630"/>
    <cellStyle name="Percent 4 12 3 8" xfId="17631"/>
    <cellStyle name="Percent 4 12 3 9" xfId="17632"/>
    <cellStyle name="Percent 4 12 4" xfId="17633"/>
    <cellStyle name="Percent 4 12 5" xfId="17634"/>
    <cellStyle name="Percent 4 12 6" xfId="17635"/>
    <cellStyle name="Percent 4 12 7" xfId="17636"/>
    <cellStyle name="Percent 4 12 8" xfId="17637"/>
    <cellStyle name="Percent 4 12 9" xfId="17638"/>
    <cellStyle name="Percent 4 13" xfId="3733"/>
    <cellStyle name="Percent 4 13 10" xfId="17639"/>
    <cellStyle name="Percent 4 13 11" xfId="17640"/>
    <cellStyle name="Percent 4 13 12" xfId="17641"/>
    <cellStyle name="Percent 4 13 13" xfId="7612"/>
    <cellStyle name="Percent 4 13 2" xfId="3854"/>
    <cellStyle name="Percent 4 13 2 10" xfId="17642"/>
    <cellStyle name="Percent 4 13 2 11" xfId="7719"/>
    <cellStyle name="Percent 4 13 2 2" xfId="17643"/>
    <cellStyle name="Percent 4 13 2 3" xfId="17644"/>
    <cellStyle name="Percent 4 13 2 4" xfId="17645"/>
    <cellStyle name="Percent 4 13 2 5" xfId="17646"/>
    <cellStyle name="Percent 4 13 2 6" xfId="17647"/>
    <cellStyle name="Percent 4 13 2 7" xfId="17648"/>
    <cellStyle name="Percent 4 13 2 8" xfId="17649"/>
    <cellStyle name="Percent 4 13 2 9" xfId="17650"/>
    <cellStyle name="Percent 4 13 3" xfId="3855"/>
    <cellStyle name="Percent 4 13 3 10" xfId="17651"/>
    <cellStyle name="Percent 4 13 3 11" xfId="7720"/>
    <cellStyle name="Percent 4 13 3 2" xfId="17652"/>
    <cellStyle name="Percent 4 13 3 3" xfId="17653"/>
    <cellStyle name="Percent 4 13 3 4" xfId="17654"/>
    <cellStyle name="Percent 4 13 3 5" xfId="17655"/>
    <cellStyle name="Percent 4 13 3 6" xfId="17656"/>
    <cellStyle name="Percent 4 13 3 7" xfId="17657"/>
    <cellStyle name="Percent 4 13 3 8" xfId="17658"/>
    <cellStyle name="Percent 4 13 3 9" xfId="17659"/>
    <cellStyle name="Percent 4 13 4" xfId="17660"/>
    <cellStyle name="Percent 4 13 5" xfId="17661"/>
    <cellStyle name="Percent 4 13 6" xfId="17662"/>
    <cellStyle name="Percent 4 13 7" xfId="17663"/>
    <cellStyle name="Percent 4 13 8" xfId="17664"/>
    <cellStyle name="Percent 4 13 9" xfId="17665"/>
    <cellStyle name="Percent 4 14" xfId="3735"/>
    <cellStyle name="Percent 4 14 10" xfId="17666"/>
    <cellStyle name="Percent 4 14 11" xfId="17667"/>
    <cellStyle name="Percent 4 14 12" xfId="17668"/>
    <cellStyle name="Percent 4 14 13" xfId="7614"/>
    <cellStyle name="Percent 4 14 2" xfId="3856"/>
    <cellStyle name="Percent 4 14 2 10" xfId="17669"/>
    <cellStyle name="Percent 4 14 2 11" xfId="7721"/>
    <cellStyle name="Percent 4 14 2 2" xfId="17670"/>
    <cellStyle name="Percent 4 14 2 3" xfId="17671"/>
    <cellStyle name="Percent 4 14 2 4" xfId="17672"/>
    <cellStyle name="Percent 4 14 2 5" xfId="17673"/>
    <cellStyle name="Percent 4 14 2 6" xfId="17674"/>
    <cellStyle name="Percent 4 14 2 7" xfId="17675"/>
    <cellStyle name="Percent 4 14 2 8" xfId="17676"/>
    <cellStyle name="Percent 4 14 2 9" xfId="17677"/>
    <cellStyle name="Percent 4 14 3" xfId="3857"/>
    <cellStyle name="Percent 4 14 3 10" xfId="17678"/>
    <cellStyle name="Percent 4 14 3 11" xfId="7722"/>
    <cellStyle name="Percent 4 14 3 2" xfId="17679"/>
    <cellStyle name="Percent 4 14 3 3" xfId="17680"/>
    <cellStyle name="Percent 4 14 3 4" xfId="17681"/>
    <cellStyle name="Percent 4 14 3 5" xfId="17682"/>
    <cellStyle name="Percent 4 14 3 6" xfId="17683"/>
    <cellStyle name="Percent 4 14 3 7" xfId="17684"/>
    <cellStyle name="Percent 4 14 3 8" xfId="17685"/>
    <cellStyle name="Percent 4 14 3 9" xfId="17686"/>
    <cellStyle name="Percent 4 14 4" xfId="17687"/>
    <cellStyle name="Percent 4 14 5" xfId="17688"/>
    <cellStyle name="Percent 4 14 6" xfId="17689"/>
    <cellStyle name="Percent 4 14 7" xfId="17690"/>
    <cellStyle name="Percent 4 14 8" xfId="17691"/>
    <cellStyle name="Percent 4 14 9" xfId="17692"/>
    <cellStyle name="Percent 4 15" xfId="3738"/>
    <cellStyle name="Percent 4 15 10" xfId="17693"/>
    <cellStyle name="Percent 4 15 11" xfId="17694"/>
    <cellStyle name="Percent 4 15 12" xfId="17695"/>
    <cellStyle name="Percent 4 15 13" xfId="7616"/>
    <cellStyle name="Percent 4 15 2" xfId="3218"/>
    <cellStyle name="Percent 4 15 2 10" xfId="17696"/>
    <cellStyle name="Percent 4 15 2 11" xfId="7102"/>
    <cellStyle name="Percent 4 15 2 2" xfId="17697"/>
    <cellStyle name="Percent 4 15 2 3" xfId="17698"/>
    <cellStyle name="Percent 4 15 2 4" xfId="17699"/>
    <cellStyle name="Percent 4 15 2 5" xfId="17700"/>
    <cellStyle name="Percent 4 15 2 6" xfId="17701"/>
    <cellStyle name="Percent 4 15 2 7" xfId="17702"/>
    <cellStyle name="Percent 4 15 2 8" xfId="17703"/>
    <cellStyle name="Percent 4 15 2 9" xfId="17704"/>
    <cellStyle name="Percent 4 15 3" xfId="40"/>
    <cellStyle name="Percent 4 15 3 10" xfId="17705"/>
    <cellStyle name="Percent 4 15 3 11" xfId="3996"/>
    <cellStyle name="Percent 4 15 3 2" xfId="17706"/>
    <cellStyle name="Percent 4 15 3 3" xfId="17707"/>
    <cellStyle name="Percent 4 15 3 4" xfId="17708"/>
    <cellStyle name="Percent 4 15 3 5" xfId="17709"/>
    <cellStyle name="Percent 4 15 3 6" xfId="17710"/>
    <cellStyle name="Percent 4 15 3 7" xfId="17711"/>
    <cellStyle name="Percent 4 15 3 8" xfId="17712"/>
    <cellStyle name="Percent 4 15 3 9" xfId="17713"/>
    <cellStyle name="Percent 4 15 4" xfId="17714"/>
    <cellStyle name="Percent 4 15 5" xfId="17715"/>
    <cellStyle name="Percent 4 15 6" xfId="17716"/>
    <cellStyle name="Percent 4 15 7" xfId="17717"/>
    <cellStyle name="Percent 4 15 8" xfId="17718"/>
    <cellStyle name="Percent 4 15 9" xfId="17719"/>
    <cellStyle name="Percent 4 16" xfId="3741"/>
    <cellStyle name="Percent 4 16 10" xfId="17720"/>
    <cellStyle name="Percent 4 16 11" xfId="17721"/>
    <cellStyle name="Percent 4 16 12" xfId="17722"/>
    <cellStyle name="Percent 4 16 13" xfId="7619"/>
    <cellStyle name="Percent 4 16 2" xfId="3244"/>
    <cellStyle name="Percent 4 16 2 10" xfId="17723"/>
    <cellStyle name="Percent 4 16 2 11" xfId="7128"/>
    <cellStyle name="Percent 4 16 2 2" xfId="17724"/>
    <cellStyle name="Percent 4 16 2 3" xfId="17725"/>
    <cellStyle name="Percent 4 16 2 4" xfId="17726"/>
    <cellStyle name="Percent 4 16 2 5" xfId="17727"/>
    <cellStyle name="Percent 4 16 2 6" xfId="17728"/>
    <cellStyle name="Percent 4 16 2 7" xfId="17729"/>
    <cellStyle name="Percent 4 16 2 8" xfId="17730"/>
    <cellStyle name="Percent 4 16 2 9" xfId="17731"/>
    <cellStyle name="Percent 4 16 3" xfId="3247"/>
    <cellStyle name="Percent 4 16 3 10" xfId="17732"/>
    <cellStyle name="Percent 4 16 3 11" xfId="7131"/>
    <cellStyle name="Percent 4 16 3 2" xfId="17733"/>
    <cellStyle name="Percent 4 16 3 3" xfId="17734"/>
    <cellStyle name="Percent 4 16 3 4" xfId="17735"/>
    <cellStyle name="Percent 4 16 3 5" xfId="17736"/>
    <cellStyle name="Percent 4 16 3 6" xfId="17737"/>
    <cellStyle name="Percent 4 16 3 7" xfId="17738"/>
    <cellStyle name="Percent 4 16 3 8" xfId="17739"/>
    <cellStyle name="Percent 4 16 3 9" xfId="17740"/>
    <cellStyle name="Percent 4 16 4" xfId="17741"/>
    <cellStyle name="Percent 4 16 5" xfId="17742"/>
    <cellStyle name="Percent 4 16 6" xfId="17743"/>
    <cellStyle name="Percent 4 16 7" xfId="17744"/>
    <cellStyle name="Percent 4 16 8" xfId="17745"/>
    <cellStyle name="Percent 4 16 9" xfId="17746"/>
    <cellStyle name="Percent 4 17" xfId="3743"/>
    <cellStyle name="Percent 4 17 10" xfId="17747"/>
    <cellStyle name="Percent 4 17 11" xfId="17748"/>
    <cellStyle name="Percent 4 17 12" xfId="17749"/>
    <cellStyle name="Percent 4 17 13" xfId="7622"/>
    <cellStyle name="Percent 4 17 2" xfId="3263"/>
    <cellStyle name="Percent 4 17 2 10" xfId="17750"/>
    <cellStyle name="Percent 4 17 2 11" xfId="7145"/>
    <cellStyle name="Percent 4 17 2 2" xfId="17751"/>
    <cellStyle name="Percent 4 17 2 3" xfId="17752"/>
    <cellStyle name="Percent 4 17 2 4" xfId="17753"/>
    <cellStyle name="Percent 4 17 2 5" xfId="17754"/>
    <cellStyle name="Percent 4 17 2 6" xfId="17755"/>
    <cellStyle name="Percent 4 17 2 7" xfId="17756"/>
    <cellStyle name="Percent 4 17 2 8" xfId="17757"/>
    <cellStyle name="Percent 4 17 2 9" xfId="17758"/>
    <cellStyle name="Percent 4 17 3" xfId="3266"/>
    <cellStyle name="Percent 4 17 3 10" xfId="17759"/>
    <cellStyle name="Percent 4 17 3 11" xfId="7148"/>
    <cellStyle name="Percent 4 17 3 2" xfId="17760"/>
    <cellStyle name="Percent 4 17 3 3" xfId="17761"/>
    <cellStyle name="Percent 4 17 3 4" xfId="17762"/>
    <cellStyle name="Percent 4 17 3 5" xfId="17763"/>
    <cellStyle name="Percent 4 17 3 6" xfId="17764"/>
    <cellStyle name="Percent 4 17 3 7" xfId="17765"/>
    <cellStyle name="Percent 4 17 3 8" xfId="17766"/>
    <cellStyle name="Percent 4 17 3 9" xfId="17767"/>
    <cellStyle name="Percent 4 17 4" xfId="17768"/>
    <cellStyle name="Percent 4 17 5" xfId="17769"/>
    <cellStyle name="Percent 4 17 6" xfId="17770"/>
    <cellStyle name="Percent 4 17 7" xfId="17771"/>
    <cellStyle name="Percent 4 17 8" xfId="17772"/>
    <cellStyle name="Percent 4 17 9" xfId="17773"/>
    <cellStyle name="Percent 4 18" xfId="2809"/>
    <cellStyle name="Percent 4 18 2" xfId="17774"/>
    <cellStyle name="Percent 4 18 3" xfId="6703"/>
    <cellStyle name="Percent 4 19" xfId="2812"/>
    <cellStyle name="Percent 4 19 10" xfId="17775"/>
    <cellStyle name="Percent 4 19 11" xfId="17776"/>
    <cellStyle name="Percent 4 19 12" xfId="17777"/>
    <cellStyle name="Percent 4 19 13" xfId="6706"/>
    <cellStyle name="Percent 4 19 2" xfId="3298"/>
    <cellStyle name="Percent 4 19 2 10" xfId="17778"/>
    <cellStyle name="Percent 4 19 2 11" xfId="7180"/>
    <cellStyle name="Percent 4 19 2 2" xfId="17779"/>
    <cellStyle name="Percent 4 19 2 3" xfId="17780"/>
    <cellStyle name="Percent 4 19 2 4" xfId="17781"/>
    <cellStyle name="Percent 4 19 2 5" xfId="17782"/>
    <cellStyle name="Percent 4 19 2 6" xfId="17783"/>
    <cellStyle name="Percent 4 19 2 7" xfId="17784"/>
    <cellStyle name="Percent 4 19 2 8" xfId="17785"/>
    <cellStyle name="Percent 4 19 2 9" xfId="17786"/>
    <cellStyle name="Percent 4 19 3" xfId="3301"/>
    <cellStyle name="Percent 4 19 3 10" xfId="17787"/>
    <cellStyle name="Percent 4 19 3 11" xfId="7183"/>
    <cellStyle name="Percent 4 19 3 2" xfId="17788"/>
    <cellStyle name="Percent 4 19 3 3" xfId="17789"/>
    <cellStyle name="Percent 4 19 3 4" xfId="17790"/>
    <cellStyle name="Percent 4 19 3 5" xfId="17791"/>
    <cellStyle name="Percent 4 19 3 6" xfId="17792"/>
    <cellStyle name="Percent 4 19 3 7" xfId="17793"/>
    <cellStyle name="Percent 4 19 3 8" xfId="17794"/>
    <cellStyle name="Percent 4 19 3 9" xfId="17795"/>
    <cellStyle name="Percent 4 19 4" xfId="17796"/>
    <cellStyle name="Percent 4 19 5" xfId="17797"/>
    <cellStyle name="Percent 4 19 6" xfId="17798"/>
    <cellStyle name="Percent 4 19 7" xfId="17799"/>
    <cellStyle name="Percent 4 19 8" xfId="17800"/>
    <cellStyle name="Percent 4 19 9" xfId="17801"/>
    <cellStyle name="Percent 4 2" xfId="3858"/>
    <cellStyle name="Percent 4 2 10" xfId="666"/>
    <cellStyle name="Percent 4 2 10 2" xfId="4593"/>
    <cellStyle name="Percent 4 2 11" xfId="2191"/>
    <cellStyle name="Percent 4 2 11 2" xfId="6092"/>
    <cellStyle name="Percent 4 2 12" xfId="17802"/>
    <cellStyle name="Percent 4 2 13" xfId="17803"/>
    <cellStyle name="Percent 4 2 14" xfId="17804"/>
    <cellStyle name="Percent 4 2 15" xfId="17805"/>
    <cellStyle name="Percent 4 2 16" xfId="17806"/>
    <cellStyle name="Percent 4 2 17" xfId="17807"/>
    <cellStyle name="Percent 4 2 18" xfId="17808"/>
    <cellStyle name="Percent 4 2 19" xfId="17809"/>
    <cellStyle name="Percent 4 2 2" xfId="3859"/>
    <cellStyle name="Percent 4 2 2 10" xfId="17810"/>
    <cellStyle name="Percent 4 2 2 11" xfId="17811"/>
    <cellStyle name="Percent 4 2 2 12" xfId="17812"/>
    <cellStyle name="Percent 4 2 2 13" xfId="17813"/>
    <cellStyle name="Percent 4 2 2 14" xfId="17814"/>
    <cellStyle name="Percent 4 2 2 15" xfId="17815"/>
    <cellStyle name="Percent 4 2 2 16" xfId="17816"/>
    <cellStyle name="Percent 4 2 2 17" xfId="17817"/>
    <cellStyle name="Percent 4 2 2 18" xfId="7724"/>
    <cellStyle name="Percent 4 2 2 2" xfId="3860"/>
    <cellStyle name="Percent 4 2 2 2 10" xfId="17818"/>
    <cellStyle name="Percent 4 2 2 2 11" xfId="17819"/>
    <cellStyle name="Percent 4 2 2 2 12" xfId="17820"/>
    <cellStyle name="Percent 4 2 2 2 13" xfId="7725"/>
    <cellStyle name="Percent 4 2 2 2 2" xfId="1924"/>
    <cellStyle name="Percent 4 2 2 2 2 10" xfId="17821"/>
    <cellStyle name="Percent 4 2 2 2 2 11" xfId="5831"/>
    <cellStyle name="Percent 4 2 2 2 2 2" xfId="17822"/>
    <cellStyle name="Percent 4 2 2 2 2 2 2" xfId="17823"/>
    <cellStyle name="Percent 4 2 2 2 2 2 2 2" xfId="17824"/>
    <cellStyle name="Percent 4 2 2 2 2 2 3" xfId="17825"/>
    <cellStyle name="Percent 4 2 2 2 2 3" xfId="17826"/>
    <cellStyle name="Percent 4 2 2 2 2 3 2" xfId="17827"/>
    <cellStyle name="Percent 4 2 2 2 2 4" xfId="17828"/>
    <cellStyle name="Percent 4 2 2 2 2 4 2" xfId="17829"/>
    <cellStyle name="Percent 4 2 2 2 2 5" xfId="17830"/>
    <cellStyle name="Percent 4 2 2 2 2 6" xfId="17831"/>
    <cellStyle name="Percent 4 2 2 2 2 7" xfId="17832"/>
    <cellStyle name="Percent 4 2 2 2 2 8" xfId="17833"/>
    <cellStyle name="Percent 4 2 2 2 2 9" xfId="17834"/>
    <cellStyle name="Percent 4 2 2 2 3" xfId="1928"/>
    <cellStyle name="Percent 4 2 2 2 3 10" xfId="17835"/>
    <cellStyle name="Percent 4 2 2 2 3 11" xfId="5834"/>
    <cellStyle name="Percent 4 2 2 2 3 2" xfId="17836"/>
    <cellStyle name="Percent 4 2 2 2 3 2 2" xfId="17837"/>
    <cellStyle name="Percent 4 2 2 2 3 2 2 2" xfId="17838"/>
    <cellStyle name="Percent 4 2 2 2 3 2 3" xfId="17839"/>
    <cellStyle name="Percent 4 2 2 2 3 3" xfId="17840"/>
    <cellStyle name="Percent 4 2 2 2 3 3 2" xfId="17841"/>
    <cellStyle name="Percent 4 2 2 2 3 4" xfId="17842"/>
    <cellStyle name="Percent 4 2 2 2 3 4 2" xfId="17843"/>
    <cellStyle name="Percent 4 2 2 2 3 5" xfId="17844"/>
    <cellStyle name="Percent 4 2 2 2 3 6" xfId="17845"/>
    <cellStyle name="Percent 4 2 2 2 3 7" xfId="17846"/>
    <cellStyle name="Percent 4 2 2 2 3 8" xfId="17847"/>
    <cellStyle name="Percent 4 2 2 2 3 9" xfId="17848"/>
    <cellStyle name="Percent 4 2 2 2 4" xfId="17849"/>
    <cellStyle name="Percent 4 2 2 2 4 2" xfId="17850"/>
    <cellStyle name="Percent 4 2 2 2 4 2 2" xfId="17851"/>
    <cellStyle name="Percent 4 2 2 2 4 3" xfId="17852"/>
    <cellStyle name="Percent 4 2 2 2 5" xfId="17853"/>
    <cellStyle name="Percent 4 2 2 2 5 2" xfId="17854"/>
    <cellStyle name="Percent 4 2 2 2 6" xfId="17855"/>
    <cellStyle name="Percent 4 2 2 2 6 2" xfId="17856"/>
    <cellStyle name="Percent 4 2 2 2 7" xfId="17857"/>
    <cellStyle name="Percent 4 2 2 2 8" xfId="17858"/>
    <cellStyle name="Percent 4 2 2 2 9" xfId="17859"/>
    <cellStyle name="Percent 4 2 2 3" xfId="385"/>
    <cellStyle name="Percent 4 2 2 3 10" xfId="17860"/>
    <cellStyle name="Percent 4 2 2 3 11" xfId="17861"/>
    <cellStyle name="Percent 4 2 2 3 12" xfId="17862"/>
    <cellStyle name="Percent 4 2 2 3 13" xfId="4326"/>
    <cellStyle name="Percent 4 2 2 3 2" xfId="397"/>
    <cellStyle name="Percent 4 2 2 3 2 10" xfId="17863"/>
    <cellStyle name="Percent 4 2 2 3 2 11" xfId="4331"/>
    <cellStyle name="Percent 4 2 2 3 2 2" xfId="17864"/>
    <cellStyle name="Percent 4 2 2 3 2 2 2" xfId="17865"/>
    <cellStyle name="Percent 4 2 2 3 2 3" xfId="17866"/>
    <cellStyle name="Percent 4 2 2 3 2 4" xfId="17867"/>
    <cellStyle name="Percent 4 2 2 3 2 5" xfId="17868"/>
    <cellStyle name="Percent 4 2 2 3 2 6" xfId="17869"/>
    <cellStyle name="Percent 4 2 2 3 2 7" xfId="17870"/>
    <cellStyle name="Percent 4 2 2 3 2 8" xfId="17871"/>
    <cellStyle name="Percent 4 2 2 3 2 9" xfId="17872"/>
    <cellStyle name="Percent 4 2 2 3 3" xfId="408"/>
    <cellStyle name="Percent 4 2 2 3 3 10" xfId="17873"/>
    <cellStyle name="Percent 4 2 2 3 3 11" xfId="4341"/>
    <cellStyle name="Percent 4 2 2 3 3 2" xfId="17874"/>
    <cellStyle name="Percent 4 2 2 3 3 3" xfId="17875"/>
    <cellStyle name="Percent 4 2 2 3 3 4" xfId="17876"/>
    <cellStyle name="Percent 4 2 2 3 3 5" xfId="17877"/>
    <cellStyle name="Percent 4 2 2 3 3 6" xfId="17878"/>
    <cellStyle name="Percent 4 2 2 3 3 7" xfId="17879"/>
    <cellStyle name="Percent 4 2 2 3 3 8" xfId="17880"/>
    <cellStyle name="Percent 4 2 2 3 3 9" xfId="17881"/>
    <cellStyle name="Percent 4 2 2 3 4" xfId="17882"/>
    <cellStyle name="Percent 4 2 2 3 4 2" xfId="17883"/>
    <cellStyle name="Percent 4 2 2 3 5" xfId="17884"/>
    <cellStyle name="Percent 4 2 2 3 6" xfId="17885"/>
    <cellStyle name="Percent 4 2 2 3 7" xfId="17886"/>
    <cellStyle name="Percent 4 2 2 3 8" xfId="17887"/>
    <cellStyle name="Percent 4 2 2 3 9" xfId="17888"/>
    <cellStyle name="Percent 4 2 2 4" xfId="417"/>
    <cellStyle name="Percent 4 2 2 4 10" xfId="17889"/>
    <cellStyle name="Percent 4 2 2 4 11" xfId="17890"/>
    <cellStyle name="Percent 4 2 2 4 12" xfId="17891"/>
    <cellStyle name="Percent 4 2 2 4 13" xfId="4357"/>
    <cellStyle name="Percent 4 2 2 4 2" xfId="143"/>
    <cellStyle name="Percent 4 2 2 4 2 10" xfId="17892"/>
    <cellStyle name="Percent 4 2 2 4 2 11" xfId="4082"/>
    <cellStyle name="Percent 4 2 2 4 2 2" xfId="17893"/>
    <cellStyle name="Percent 4 2 2 4 2 2 2" xfId="17894"/>
    <cellStyle name="Percent 4 2 2 4 2 3" xfId="17895"/>
    <cellStyle name="Percent 4 2 2 4 2 4" xfId="17896"/>
    <cellStyle name="Percent 4 2 2 4 2 5" xfId="17897"/>
    <cellStyle name="Percent 4 2 2 4 2 6" xfId="17898"/>
    <cellStyle name="Percent 4 2 2 4 2 7" xfId="17899"/>
    <cellStyle name="Percent 4 2 2 4 2 8" xfId="17900"/>
    <cellStyle name="Percent 4 2 2 4 2 9" xfId="17901"/>
    <cellStyle name="Percent 4 2 2 4 3" xfId="166"/>
    <cellStyle name="Percent 4 2 2 4 3 10" xfId="17902"/>
    <cellStyle name="Percent 4 2 2 4 3 11" xfId="4093"/>
    <cellStyle name="Percent 4 2 2 4 3 2" xfId="17903"/>
    <cellStyle name="Percent 4 2 2 4 3 3" xfId="17904"/>
    <cellStyle name="Percent 4 2 2 4 3 4" xfId="17905"/>
    <cellStyle name="Percent 4 2 2 4 3 5" xfId="17906"/>
    <cellStyle name="Percent 4 2 2 4 3 6" xfId="17907"/>
    <cellStyle name="Percent 4 2 2 4 3 7" xfId="17908"/>
    <cellStyle name="Percent 4 2 2 4 3 8" xfId="17909"/>
    <cellStyle name="Percent 4 2 2 4 3 9" xfId="17910"/>
    <cellStyle name="Percent 4 2 2 4 4" xfId="17911"/>
    <cellStyle name="Percent 4 2 2 4 4 2" xfId="17912"/>
    <cellStyle name="Percent 4 2 2 4 5" xfId="17913"/>
    <cellStyle name="Percent 4 2 2 4 6" xfId="17914"/>
    <cellStyle name="Percent 4 2 2 4 7" xfId="17915"/>
    <cellStyle name="Percent 4 2 2 4 8" xfId="17916"/>
    <cellStyle name="Percent 4 2 2 4 9" xfId="17917"/>
    <cellStyle name="Percent 4 2 2 5" xfId="3861"/>
    <cellStyle name="Percent 4 2 2 5 10" xfId="17918"/>
    <cellStyle name="Percent 4 2 2 5 11" xfId="17919"/>
    <cellStyle name="Percent 4 2 2 5 12" xfId="17920"/>
    <cellStyle name="Percent 4 2 2 5 13" xfId="7726"/>
    <cellStyle name="Percent 4 2 2 5 2" xfId="3862"/>
    <cellStyle name="Percent 4 2 2 5 2 10" xfId="17921"/>
    <cellStyle name="Percent 4 2 2 5 2 11" xfId="7727"/>
    <cellStyle name="Percent 4 2 2 5 2 2" xfId="17922"/>
    <cellStyle name="Percent 4 2 2 5 2 2 2" xfId="17923"/>
    <cellStyle name="Percent 4 2 2 5 2 3" xfId="17924"/>
    <cellStyle name="Percent 4 2 2 5 2 4" xfId="17925"/>
    <cellStyle name="Percent 4 2 2 5 2 5" xfId="17926"/>
    <cellStyle name="Percent 4 2 2 5 2 6" xfId="17927"/>
    <cellStyle name="Percent 4 2 2 5 2 7" xfId="17928"/>
    <cellStyle name="Percent 4 2 2 5 2 8" xfId="17929"/>
    <cellStyle name="Percent 4 2 2 5 2 9" xfId="17930"/>
    <cellStyle name="Percent 4 2 2 5 3" xfId="3863"/>
    <cellStyle name="Percent 4 2 2 5 3 10" xfId="17931"/>
    <cellStyle name="Percent 4 2 2 5 3 11" xfId="7728"/>
    <cellStyle name="Percent 4 2 2 5 3 2" xfId="17932"/>
    <cellStyle name="Percent 4 2 2 5 3 3" xfId="17933"/>
    <cellStyle name="Percent 4 2 2 5 3 4" xfId="17934"/>
    <cellStyle name="Percent 4 2 2 5 3 5" xfId="17935"/>
    <cellStyle name="Percent 4 2 2 5 3 6" xfId="17936"/>
    <cellStyle name="Percent 4 2 2 5 3 7" xfId="17937"/>
    <cellStyle name="Percent 4 2 2 5 3 8" xfId="17938"/>
    <cellStyle name="Percent 4 2 2 5 3 9" xfId="17939"/>
    <cellStyle name="Percent 4 2 2 5 4" xfId="17940"/>
    <cellStyle name="Percent 4 2 2 5 4 2" xfId="17941"/>
    <cellStyle name="Percent 4 2 2 5 5" xfId="17942"/>
    <cellStyle name="Percent 4 2 2 5 6" xfId="17943"/>
    <cellStyle name="Percent 4 2 2 5 7" xfId="17944"/>
    <cellStyle name="Percent 4 2 2 5 8" xfId="17945"/>
    <cellStyle name="Percent 4 2 2 5 9" xfId="17946"/>
    <cellStyle name="Percent 4 2 2 6" xfId="3864"/>
    <cellStyle name="Percent 4 2 2 6 10" xfId="17947"/>
    <cellStyle name="Percent 4 2 2 6 11" xfId="17948"/>
    <cellStyle name="Percent 4 2 2 6 12" xfId="17949"/>
    <cellStyle name="Percent 4 2 2 6 13" xfId="7729"/>
    <cellStyle name="Percent 4 2 2 6 2" xfId="1760"/>
    <cellStyle name="Percent 4 2 2 6 2 10" xfId="17950"/>
    <cellStyle name="Percent 4 2 2 6 2 11" xfId="5674"/>
    <cellStyle name="Percent 4 2 2 6 2 2" xfId="17951"/>
    <cellStyle name="Percent 4 2 2 6 2 2 2" xfId="17952"/>
    <cellStyle name="Percent 4 2 2 6 2 3" xfId="17953"/>
    <cellStyle name="Percent 4 2 2 6 2 4" xfId="17954"/>
    <cellStyle name="Percent 4 2 2 6 2 5" xfId="17955"/>
    <cellStyle name="Percent 4 2 2 6 2 6" xfId="17956"/>
    <cellStyle name="Percent 4 2 2 6 2 7" xfId="17957"/>
    <cellStyle name="Percent 4 2 2 6 2 8" xfId="17958"/>
    <cellStyle name="Percent 4 2 2 6 2 9" xfId="17959"/>
    <cellStyle name="Percent 4 2 2 6 3" xfId="3865"/>
    <cellStyle name="Percent 4 2 2 6 3 10" xfId="17960"/>
    <cellStyle name="Percent 4 2 2 6 3 11" xfId="7730"/>
    <cellStyle name="Percent 4 2 2 6 3 2" xfId="17961"/>
    <cellStyle name="Percent 4 2 2 6 3 3" xfId="17962"/>
    <cellStyle name="Percent 4 2 2 6 3 4" xfId="17963"/>
    <cellStyle name="Percent 4 2 2 6 3 5" xfId="17964"/>
    <cellStyle name="Percent 4 2 2 6 3 6" xfId="17965"/>
    <cellStyle name="Percent 4 2 2 6 3 7" xfId="17966"/>
    <cellStyle name="Percent 4 2 2 6 3 8" xfId="17967"/>
    <cellStyle name="Percent 4 2 2 6 3 9" xfId="17968"/>
    <cellStyle name="Percent 4 2 2 6 4" xfId="17969"/>
    <cellStyle name="Percent 4 2 2 6 4 2" xfId="17970"/>
    <cellStyle name="Percent 4 2 2 6 5" xfId="17971"/>
    <cellStyle name="Percent 4 2 2 6 6" xfId="17972"/>
    <cellStyle name="Percent 4 2 2 6 7" xfId="17973"/>
    <cellStyle name="Percent 4 2 2 6 8" xfId="17974"/>
    <cellStyle name="Percent 4 2 2 6 9" xfId="17975"/>
    <cellStyle name="Percent 4 2 2 7" xfId="727"/>
    <cellStyle name="Percent 4 2 2 7 10" xfId="17976"/>
    <cellStyle name="Percent 4 2 2 7 11" xfId="4655"/>
    <cellStyle name="Percent 4 2 2 7 2" xfId="17977"/>
    <cellStyle name="Percent 4 2 2 7 2 2" xfId="17978"/>
    <cellStyle name="Percent 4 2 2 7 3" xfId="17979"/>
    <cellStyle name="Percent 4 2 2 7 4" xfId="17980"/>
    <cellStyle name="Percent 4 2 2 7 5" xfId="17981"/>
    <cellStyle name="Percent 4 2 2 7 6" xfId="17982"/>
    <cellStyle name="Percent 4 2 2 7 7" xfId="17983"/>
    <cellStyle name="Percent 4 2 2 7 8" xfId="17984"/>
    <cellStyle name="Percent 4 2 2 7 9" xfId="17985"/>
    <cellStyle name="Percent 4 2 2 8" xfId="3866"/>
    <cellStyle name="Percent 4 2 2 8 10" xfId="17986"/>
    <cellStyle name="Percent 4 2 2 8 11" xfId="7731"/>
    <cellStyle name="Percent 4 2 2 8 2" xfId="17987"/>
    <cellStyle name="Percent 4 2 2 8 3" xfId="17988"/>
    <cellStyle name="Percent 4 2 2 8 4" xfId="17989"/>
    <cellStyle name="Percent 4 2 2 8 5" xfId="17990"/>
    <cellStyle name="Percent 4 2 2 8 6" xfId="17991"/>
    <cellStyle name="Percent 4 2 2 8 7" xfId="17992"/>
    <cellStyle name="Percent 4 2 2 8 8" xfId="17993"/>
    <cellStyle name="Percent 4 2 2 8 9" xfId="17994"/>
    <cellStyle name="Percent 4 2 2 9" xfId="17995"/>
    <cellStyle name="Percent 4 2 2 9 2" xfId="17996"/>
    <cellStyle name="Percent 4 2 20" xfId="17997"/>
    <cellStyle name="Percent 4 2 21" xfId="7723"/>
    <cellStyle name="Percent 4 2 3" xfId="3868"/>
    <cellStyle name="Percent 4 2 3 10" xfId="17998"/>
    <cellStyle name="Percent 4 2 3 11" xfId="17999"/>
    <cellStyle name="Percent 4 2 3 12" xfId="18000"/>
    <cellStyle name="Percent 4 2 3 13" xfId="18001"/>
    <cellStyle name="Percent 4 2 3 14" xfId="18002"/>
    <cellStyle name="Percent 4 2 3 15" xfId="18003"/>
    <cellStyle name="Percent 4 2 3 16" xfId="18004"/>
    <cellStyle name="Percent 4 2 3 17" xfId="18005"/>
    <cellStyle name="Percent 4 2 3 18" xfId="7732"/>
    <cellStyle name="Percent 4 2 3 2" xfId="3870"/>
    <cellStyle name="Percent 4 2 3 2 10" xfId="18006"/>
    <cellStyle name="Percent 4 2 3 2 11" xfId="18007"/>
    <cellStyle name="Percent 4 2 3 2 12" xfId="18008"/>
    <cellStyle name="Percent 4 2 3 2 13" xfId="7733"/>
    <cellStyle name="Percent 4 2 3 2 2" xfId="2044"/>
    <cellStyle name="Percent 4 2 3 2 2 10" xfId="18009"/>
    <cellStyle name="Percent 4 2 3 2 2 11" xfId="5949"/>
    <cellStyle name="Percent 4 2 3 2 2 2" xfId="18010"/>
    <cellStyle name="Percent 4 2 3 2 2 3" xfId="18011"/>
    <cellStyle name="Percent 4 2 3 2 2 4" xfId="18012"/>
    <cellStyle name="Percent 4 2 3 2 2 5" xfId="18013"/>
    <cellStyle name="Percent 4 2 3 2 2 6" xfId="18014"/>
    <cellStyle name="Percent 4 2 3 2 2 7" xfId="18015"/>
    <cellStyle name="Percent 4 2 3 2 2 8" xfId="18016"/>
    <cellStyle name="Percent 4 2 3 2 2 9" xfId="18017"/>
    <cellStyle name="Percent 4 2 3 2 3" xfId="2046"/>
    <cellStyle name="Percent 4 2 3 2 3 10" xfId="18018"/>
    <cellStyle name="Percent 4 2 3 2 3 11" xfId="5953"/>
    <cellStyle name="Percent 4 2 3 2 3 2" xfId="18019"/>
    <cellStyle name="Percent 4 2 3 2 3 3" xfId="18020"/>
    <cellStyle name="Percent 4 2 3 2 3 4" xfId="18021"/>
    <cellStyle name="Percent 4 2 3 2 3 5" xfId="18022"/>
    <cellStyle name="Percent 4 2 3 2 3 6" xfId="18023"/>
    <cellStyle name="Percent 4 2 3 2 3 7" xfId="18024"/>
    <cellStyle name="Percent 4 2 3 2 3 8" xfId="18025"/>
    <cellStyle name="Percent 4 2 3 2 3 9" xfId="18026"/>
    <cellStyle name="Percent 4 2 3 2 4" xfId="18027"/>
    <cellStyle name="Percent 4 2 3 2 5" xfId="18028"/>
    <cellStyle name="Percent 4 2 3 2 6" xfId="18029"/>
    <cellStyle name="Percent 4 2 3 2 7" xfId="18030"/>
    <cellStyle name="Percent 4 2 3 2 8" xfId="18031"/>
    <cellStyle name="Percent 4 2 3 2 9" xfId="18032"/>
    <cellStyle name="Percent 4 2 3 3" xfId="3872"/>
    <cellStyle name="Percent 4 2 3 3 10" xfId="18033"/>
    <cellStyle name="Percent 4 2 3 3 11" xfId="18034"/>
    <cellStyle name="Percent 4 2 3 3 12" xfId="18035"/>
    <cellStyle name="Percent 4 2 3 3 13" xfId="7734"/>
    <cellStyle name="Percent 4 2 3 3 2" xfId="2066"/>
    <cellStyle name="Percent 4 2 3 3 2 10" xfId="18036"/>
    <cellStyle name="Percent 4 2 3 3 2 11" xfId="5970"/>
    <cellStyle name="Percent 4 2 3 3 2 2" xfId="18037"/>
    <cellStyle name="Percent 4 2 3 3 2 3" xfId="18038"/>
    <cellStyle name="Percent 4 2 3 3 2 4" xfId="18039"/>
    <cellStyle name="Percent 4 2 3 3 2 5" xfId="18040"/>
    <cellStyle name="Percent 4 2 3 3 2 6" xfId="18041"/>
    <cellStyle name="Percent 4 2 3 3 2 7" xfId="18042"/>
    <cellStyle name="Percent 4 2 3 3 2 8" xfId="18043"/>
    <cellStyle name="Percent 4 2 3 3 2 9" xfId="18044"/>
    <cellStyle name="Percent 4 2 3 3 3" xfId="2068"/>
    <cellStyle name="Percent 4 2 3 3 3 10" xfId="18045"/>
    <cellStyle name="Percent 4 2 3 3 3 11" xfId="5974"/>
    <cellStyle name="Percent 4 2 3 3 3 2" xfId="18046"/>
    <cellStyle name="Percent 4 2 3 3 3 3" xfId="18047"/>
    <cellStyle name="Percent 4 2 3 3 3 4" xfId="18048"/>
    <cellStyle name="Percent 4 2 3 3 3 5" xfId="18049"/>
    <cellStyle name="Percent 4 2 3 3 3 6" xfId="18050"/>
    <cellStyle name="Percent 4 2 3 3 3 7" xfId="18051"/>
    <cellStyle name="Percent 4 2 3 3 3 8" xfId="18052"/>
    <cellStyle name="Percent 4 2 3 3 3 9" xfId="18053"/>
    <cellStyle name="Percent 4 2 3 3 4" xfId="18054"/>
    <cellStyle name="Percent 4 2 3 3 5" xfId="18055"/>
    <cellStyle name="Percent 4 2 3 3 6" xfId="18056"/>
    <cellStyle name="Percent 4 2 3 3 7" xfId="18057"/>
    <cellStyle name="Percent 4 2 3 3 8" xfId="18058"/>
    <cellStyle name="Percent 4 2 3 3 9" xfId="18059"/>
    <cellStyle name="Percent 4 2 3 4" xfId="3873"/>
    <cellStyle name="Percent 4 2 3 4 10" xfId="18060"/>
    <cellStyle name="Percent 4 2 3 4 11" xfId="18061"/>
    <cellStyle name="Percent 4 2 3 4 12" xfId="18062"/>
    <cellStyle name="Percent 4 2 3 4 13" xfId="7735"/>
    <cellStyle name="Percent 4 2 3 4 2" xfId="3874"/>
    <cellStyle name="Percent 4 2 3 4 2 10" xfId="18063"/>
    <cellStyle name="Percent 4 2 3 4 2 11" xfId="7736"/>
    <cellStyle name="Percent 4 2 3 4 2 2" xfId="18064"/>
    <cellStyle name="Percent 4 2 3 4 2 3" xfId="18065"/>
    <cellStyle name="Percent 4 2 3 4 2 4" xfId="18066"/>
    <cellStyle name="Percent 4 2 3 4 2 5" xfId="18067"/>
    <cellStyle name="Percent 4 2 3 4 2 6" xfId="18068"/>
    <cellStyle name="Percent 4 2 3 4 2 7" xfId="18069"/>
    <cellStyle name="Percent 4 2 3 4 2 8" xfId="18070"/>
    <cellStyle name="Percent 4 2 3 4 2 9" xfId="18071"/>
    <cellStyle name="Percent 4 2 3 4 3" xfId="3421"/>
    <cellStyle name="Percent 4 2 3 4 3 10" xfId="18072"/>
    <cellStyle name="Percent 4 2 3 4 3 11" xfId="7303"/>
    <cellStyle name="Percent 4 2 3 4 3 2" xfId="18073"/>
    <cellStyle name="Percent 4 2 3 4 3 3" xfId="18074"/>
    <cellStyle name="Percent 4 2 3 4 3 4" xfId="18075"/>
    <cellStyle name="Percent 4 2 3 4 3 5" xfId="18076"/>
    <cellStyle name="Percent 4 2 3 4 3 6" xfId="18077"/>
    <cellStyle name="Percent 4 2 3 4 3 7" xfId="18078"/>
    <cellStyle name="Percent 4 2 3 4 3 8" xfId="18079"/>
    <cellStyle name="Percent 4 2 3 4 3 9" xfId="18080"/>
    <cellStyle name="Percent 4 2 3 4 4" xfId="18081"/>
    <cellStyle name="Percent 4 2 3 4 5" xfId="18082"/>
    <cellStyle name="Percent 4 2 3 4 6" xfId="18083"/>
    <cellStyle name="Percent 4 2 3 4 7" xfId="18084"/>
    <cellStyle name="Percent 4 2 3 4 8" xfId="18085"/>
    <cellStyle name="Percent 4 2 3 4 9" xfId="18086"/>
    <cellStyle name="Percent 4 2 3 5" xfId="3875"/>
    <cellStyle name="Percent 4 2 3 5 10" xfId="18087"/>
    <cellStyle name="Percent 4 2 3 5 11" xfId="18088"/>
    <cellStyle name="Percent 4 2 3 5 12" xfId="18089"/>
    <cellStyle name="Percent 4 2 3 5 13" xfId="7737"/>
    <cellStyle name="Percent 4 2 3 5 2" xfId="419"/>
    <cellStyle name="Percent 4 2 3 5 2 10" xfId="18090"/>
    <cellStyle name="Percent 4 2 3 5 2 11" xfId="4363"/>
    <cellStyle name="Percent 4 2 3 5 2 2" xfId="18091"/>
    <cellStyle name="Percent 4 2 3 5 2 3" xfId="18092"/>
    <cellStyle name="Percent 4 2 3 5 2 4" xfId="18093"/>
    <cellStyle name="Percent 4 2 3 5 2 5" xfId="18094"/>
    <cellStyle name="Percent 4 2 3 5 2 6" xfId="18095"/>
    <cellStyle name="Percent 4 2 3 5 2 7" xfId="18096"/>
    <cellStyle name="Percent 4 2 3 5 2 8" xfId="18097"/>
    <cellStyle name="Percent 4 2 3 5 2 9" xfId="18098"/>
    <cellStyle name="Percent 4 2 3 5 3" xfId="428"/>
    <cellStyle name="Percent 4 2 3 5 3 10" xfId="18099"/>
    <cellStyle name="Percent 4 2 3 5 3 11" xfId="4371"/>
    <cellStyle name="Percent 4 2 3 5 3 2" xfId="18100"/>
    <cellStyle name="Percent 4 2 3 5 3 3" xfId="18101"/>
    <cellStyle name="Percent 4 2 3 5 3 4" xfId="18102"/>
    <cellStyle name="Percent 4 2 3 5 3 5" xfId="18103"/>
    <cellStyle name="Percent 4 2 3 5 3 6" xfId="18104"/>
    <cellStyle name="Percent 4 2 3 5 3 7" xfId="18105"/>
    <cellStyle name="Percent 4 2 3 5 3 8" xfId="18106"/>
    <cellStyle name="Percent 4 2 3 5 3 9" xfId="18107"/>
    <cellStyle name="Percent 4 2 3 5 4" xfId="18108"/>
    <cellStyle name="Percent 4 2 3 5 5" xfId="18109"/>
    <cellStyle name="Percent 4 2 3 5 6" xfId="18110"/>
    <cellStyle name="Percent 4 2 3 5 7" xfId="18111"/>
    <cellStyle name="Percent 4 2 3 5 8" xfId="18112"/>
    <cellStyle name="Percent 4 2 3 5 9" xfId="18113"/>
    <cellStyle name="Percent 4 2 3 6" xfId="3876"/>
    <cellStyle name="Percent 4 2 3 6 10" xfId="18114"/>
    <cellStyle name="Percent 4 2 3 6 11" xfId="18115"/>
    <cellStyle name="Percent 4 2 3 6 12" xfId="18116"/>
    <cellStyle name="Percent 4 2 3 6 13" xfId="7738"/>
    <cellStyle name="Percent 4 2 3 6 2" xfId="3877"/>
    <cellStyle name="Percent 4 2 3 6 2 10" xfId="18117"/>
    <cellStyle name="Percent 4 2 3 6 2 11" xfId="7739"/>
    <cellStyle name="Percent 4 2 3 6 2 2" xfId="18118"/>
    <cellStyle name="Percent 4 2 3 6 2 3" xfId="18119"/>
    <cellStyle name="Percent 4 2 3 6 2 4" xfId="18120"/>
    <cellStyle name="Percent 4 2 3 6 2 5" xfId="18121"/>
    <cellStyle name="Percent 4 2 3 6 2 6" xfId="18122"/>
    <cellStyle name="Percent 4 2 3 6 2 7" xfId="18123"/>
    <cellStyle name="Percent 4 2 3 6 2 8" xfId="18124"/>
    <cellStyle name="Percent 4 2 3 6 2 9" xfId="18125"/>
    <cellStyle name="Percent 4 2 3 6 3" xfId="441"/>
    <cellStyle name="Percent 4 2 3 6 3 10" xfId="18126"/>
    <cellStyle name="Percent 4 2 3 6 3 11" xfId="4383"/>
    <cellStyle name="Percent 4 2 3 6 3 2" xfId="18127"/>
    <cellStyle name="Percent 4 2 3 6 3 3" xfId="18128"/>
    <cellStyle name="Percent 4 2 3 6 3 4" xfId="18129"/>
    <cellStyle name="Percent 4 2 3 6 3 5" xfId="18130"/>
    <cellStyle name="Percent 4 2 3 6 3 6" xfId="18131"/>
    <cellStyle name="Percent 4 2 3 6 3 7" xfId="18132"/>
    <cellStyle name="Percent 4 2 3 6 3 8" xfId="18133"/>
    <cellStyle name="Percent 4 2 3 6 3 9" xfId="18134"/>
    <cellStyle name="Percent 4 2 3 6 4" xfId="18135"/>
    <cellStyle name="Percent 4 2 3 6 5" xfId="18136"/>
    <cellStyle name="Percent 4 2 3 6 6" xfId="18137"/>
    <cellStyle name="Percent 4 2 3 6 7" xfId="18138"/>
    <cellStyle name="Percent 4 2 3 6 8" xfId="18139"/>
    <cellStyle name="Percent 4 2 3 6 9" xfId="18140"/>
    <cellStyle name="Percent 4 2 3 7" xfId="3878"/>
    <cellStyle name="Percent 4 2 3 7 10" xfId="18141"/>
    <cellStyle name="Percent 4 2 3 7 11" xfId="7740"/>
    <cellStyle name="Percent 4 2 3 7 2" xfId="18142"/>
    <cellStyle name="Percent 4 2 3 7 3" xfId="18143"/>
    <cellStyle name="Percent 4 2 3 7 4" xfId="18144"/>
    <cellStyle name="Percent 4 2 3 7 5" xfId="18145"/>
    <cellStyle name="Percent 4 2 3 7 6" xfId="18146"/>
    <cellStyle name="Percent 4 2 3 7 7" xfId="18147"/>
    <cellStyle name="Percent 4 2 3 7 8" xfId="18148"/>
    <cellStyle name="Percent 4 2 3 7 9" xfId="18149"/>
    <cellStyle name="Percent 4 2 3 8" xfId="33"/>
    <cellStyle name="Percent 4 2 3 8 10" xfId="18150"/>
    <cellStyle name="Percent 4 2 3 8 11" xfId="3988"/>
    <cellStyle name="Percent 4 2 3 8 2" xfId="18151"/>
    <cellStyle name="Percent 4 2 3 8 3" xfId="18152"/>
    <cellStyle name="Percent 4 2 3 8 4" xfId="18153"/>
    <cellStyle name="Percent 4 2 3 8 5" xfId="18154"/>
    <cellStyle name="Percent 4 2 3 8 6" xfId="18155"/>
    <cellStyle name="Percent 4 2 3 8 7" xfId="18156"/>
    <cellStyle name="Percent 4 2 3 8 8" xfId="18157"/>
    <cellStyle name="Percent 4 2 3 8 9" xfId="18158"/>
    <cellStyle name="Percent 4 2 3 9" xfId="18159"/>
    <cellStyle name="Percent 4 2 4" xfId="3879"/>
    <cellStyle name="Percent 4 2 4 2" xfId="7741"/>
    <cellStyle name="Percent 4 2 5" xfId="2077"/>
    <cellStyle name="Percent 4 2 5 2" xfId="5980"/>
    <cellStyle name="Percent 4 2 6" xfId="3880"/>
    <cellStyle name="Percent 4 2 6 2" xfId="7742"/>
    <cellStyle name="Percent 4 2 7" xfId="3063"/>
    <cellStyle name="Percent 4 2 7 2" xfId="6948"/>
    <cellStyle name="Percent 4 2 8" xfId="3881"/>
    <cellStyle name="Percent 4 2 8 2" xfId="7743"/>
    <cellStyle name="Percent 4 2 9" xfId="3185"/>
    <cellStyle name="Percent 4 2 9 10" xfId="18160"/>
    <cellStyle name="Percent 4 2 9 11" xfId="18161"/>
    <cellStyle name="Percent 4 2 9 12" xfId="18162"/>
    <cellStyle name="Percent 4 2 9 13" xfId="7070"/>
    <cellStyle name="Percent 4 2 9 2" xfId="2247"/>
    <cellStyle name="Percent 4 2 9 2 10" xfId="18163"/>
    <cellStyle name="Percent 4 2 9 2 11" xfId="6150"/>
    <cellStyle name="Percent 4 2 9 2 2" xfId="18164"/>
    <cellStyle name="Percent 4 2 9 2 3" xfId="18165"/>
    <cellStyle name="Percent 4 2 9 2 4" xfId="18166"/>
    <cellStyle name="Percent 4 2 9 2 5" xfId="18167"/>
    <cellStyle name="Percent 4 2 9 2 6" xfId="18168"/>
    <cellStyle name="Percent 4 2 9 2 7" xfId="18169"/>
    <cellStyle name="Percent 4 2 9 2 8" xfId="18170"/>
    <cellStyle name="Percent 4 2 9 2 9" xfId="18171"/>
    <cellStyle name="Percent 4 2 9 3" xfId="2251"/>
    <cellStyle name="Percent 4 2 9 3 10" xfId="18172"/>
    <cellStyle name="Percent 4 2 9 3 11" xfId="6153"/>
    <cellStyle name="Percent 4 2 9 3 2" xfId="18173"/>
    <cellStyle name="Percent 4 2 9 3 3" xfId="18174"/>
    <cellStyle name="Percent 4 2 9 3 4" xfId="18175"/>
    <cellStyle name="Percent 4 2 9 3 5" xfId="18176"/>
    <cellStyle name="Percent 4 2 9 3 6" xfId="18177"/>
    <cellStyle name="Percent 4 2 9 3 7" xfId="18178"/>
    <cellStyle name="Percent 4 2 9 3 8" xfId="18179"/>
    <cellStyle name="Percent 4 2 9 3 9" xfId="18180"/>
    <cellStyle name="Percent 4 2 9 4" xfId="18181"/>
    <cellStyle name="Percent 4 2 9 5" xfId="18182"/>
    <cellStyle name="Percent 4 2 9 6" xfId="18183"/>
    <cellStyle name="Percent 4 2 9 7" xfId="18184"/>
    <cellStyle name="Percent 4 2 9 8" xfId="18185"/>
    <cellStyle name="Percent 4 2 9 9" xfId="18186"/>
    <cellStyle name="Percent 4 20" xfId="3737"/>
    <cellStyle name="Percent 4 20 10" xfId="18187"/>
    <cellStyle name="Percent 4 20 11" xfId="7617"/>
    <cellStyle name="Percent 4 20 2" xfId="18188"/>
    <cellStyle name="Percent 4 20 3" xfId="18189"/>
    <cellStyle name="Percent 4 20 4" xfId="18190"/>
    <cellStyle name="Percent 4 20 5" xfId="18191"/>
    <cellStyle name="Percent 4 20 6" xfId="18192"/>
    <cellStyle name="Percent 4 20 7" xfId="18193"/>
    <cellStyle name="Percent 4 20 8" xfId="18194"/>
    <cellStyle name="Percent 4 20 9" xfId="18195"/>
    <cellStyle name="Percent 4 21" xfId="3740"/>
    <cellStyle name="Percent 4 21 10" xfId="18196"/>
    <cellStyle name="Percent 4 21 11" xfId="7620"/>
    <cellStyle name="Percent 4 21 2" xfId="18197"/>
    <cellStyle name="Percent 4 21 3" xfId="18198"/>
    <cellStyle name="Percent 4 21 4" xfId="18199"/>
    <cellStyle name="Percent 4 21 5" xfId="18200"/>
    <cellStyle name="Percent 4 21 6" xfId="18201"/>
    <cellStyle name="Percent 4 21 7" xfId="18202"/>
    <cellStyle name="Percent 4 21 8" xfId="18203"/>
    <cellStyle name="Percent 4 21 9" xfId="18204"/>
    <cellStyle name="Percent 4 22" xfId="18205"/>
    <cellStyle name="Percent 4 23" xfId="18206"/>
    <cellStyle name="Percent 4 24" xfId="18207"/>
    <cellStyle name="Percent 4 25" xfId="18208"/>
    <cellStyle name="Percent 4 26" xfId="18209"/>
    <cellStyle name="Percent 4 27" xfId="18210"/>
    <cellStyle name="Percent 4 28" xfId="18211"/>
    <cellStyle name="Percent 4 29" xfId="18212"/>
    <cellStyle name="Percent 4 3" xfId="3882"/>
    <cellStyle name="Percent 4 3 10" xfId="18213"/>
    <cellStyle name="Percent 4 3 11" xfId="18214"/>
    <cellStyle name="Percent 4 3 12" xfId="18215"/>
    <cellStyle name="Percent 4 3 13" xfId="18216"/>
    <cellStyle name="Percent 4 3 14" xfId="18217"/>
    <cellStyle name="Percent 4 3 15" xfId="18218"/>
    <cellStyle name="Percent 4 3 16" xfId="18219"/>
    <cellStyle name="Percent 4 3 17" xfId="18220"/>
    <cellStyle name="Percent 4 3 18" xfId="7744"/>
    <cellStyle name="Percent 4 3 2" xfId="3883"/>
    <cellStyle name="Percent 4 3 2 10" xfId="18221"/>
    <cellStyle name="Percent 4 3 2 11" xfId="18222"/>
    <cellStyle name="Percent 4 3 2 12" xfId="18223"/>
    <cellStyle name="Percent 4 3 2 13" xfId="7745"/>
    <cellStyle name="Percent 4 3 2 2" xfId="3884"/>
    <cellStyle name="Percent 4 3 2 2 10" xfId="18224"/>
    <cellStyle name="Percent 4 3 2 2 11" xfId="7746"/>
    <cellStyle name="Percent 4 3 2 2 2" xfId="18225"/>
    <cellStyle name="Percent 4 3 2 2 2 2" xfId="18226"/>
    <cellStyle name="Percent 4 3 2 2 2 2 2" xfId="18227"/>
    <cellStyle name="Percent 4 3 2 2 2 3" xfId="18228"/>
    <cellStyle name="Percent 4 3 2 2 3" xfId="18229"/>
    <cellStyle name="Percent 4 3 2 2 3 2" xfId="18230"/>
    <cellStyle name="Percent 4 3 2 2 4" xfId="18231"/>
    <cellStyle name="Percent 4 3 2 2 4 2" xfId="18232"/>
    <cellStyle name="Percent 4 3 2 2 5" xfId="18233"/>
    <cellStyle name="Percent 4 3 2 2 6" xfId="18234"/>
    <cellStyle name="Percent 4 3 2 2 7" xfId="18235"/>
    <cellStyle name="Percent 4 3 2 2 8" xfId="18236"/>
    <cellStyle name="Percent 4 3 2 2 9" xfId="18237"/>
    <cellStyle name="Percent 4 3 2 3" xfId="3544"/>
    <cellStyle name="Percent 4 3 2 3 10" xfId="18238"/>
    <cellStyle name="Percent 4 3 2 3 11" xfId="7424"/>
    <cellStyle name="Percent 4 3 2 3 2" xfId="18239"/>
    <cellStyle name="Percent 4 3 2 3 2 2" xfId="18240"/>
    <cellStyle name="Percent 4 3 2 3 2 2 2" xfId="18241"/>
    <cellStyle name="Percent 4 3 2 3 2 3" xfId="18242"/>
    <cellStyle name="Percent 4 3 2 3 3" xfId="18243"/>
    <cellStyle name="Percent 4 3 2 3 3 2" xfId="18244"/>
    <cellStyle name="Percent 4 3 2 3 4" xfId="18245"/>
    <cellStyle name="Percent 4 3 2 3 4 2" xfId="18246"/>
    <cellStyle name="Percent 4 3 2 3 5" xfId="18247"/>
    <cellStyle name="Percent 4 3 2 3 6" xfId="18248"/>
    <cellStyle name="Percent 4 3 2 3 7" xfId="18249"/>
    <cellStyle name="Percent 4 3 2 3 8" xfId="18250"/>
    <cellStyle name="Percent 4 3 2 3 9" xfId="18251"/>
    <cellStyle name="Percent 4 3 2 4" xfId="18252"/>
    <cellStyle name="Percent 4 3 2 4 2" xfId="18253"/>
    <cellStyle name="Percent 4 3 2 4 2 2" xfId="18254"/>
    <cellStyle name="Percent 4 3 2 4 3" xfId="18255"/>
    <cellStyle name="Percent 4 3 2 5" xfId="18256"/>
    <cellStyle name="Percent 4 3 2 5 2" xfId="18257"/>
    <cellStyle name="Percent 4 3 2 6" xfId="18258"/>
    <cellStyle name="Percent 4 3 2 6 2" xfId="18259"/>
    <cellStyle name="Percent 4 3 2 7" xfId="18260"/>
    <cellStyle name="Percent 4 3 2 8" xfId="18261"/>
    <cellStyle name="Percent 4 3 2 9" xfId="18262"/>
    <cellStyle name="Percent 4 3 3" xfId="3885"/>
    <cellStyle name="Percent 4 3 3 10" xfId="18263"/>
    <cellStyle name="Percent 4 3 3 11" xfId="18264"/>
    <cellStyle name="Percent 4 3 3 12" xfId="18265"/>
    <cellStyle name="Percent 4 3 3 13" xfId="7747"/>
    <cellStyle name="Percent 4 3 3 2" xfId="3886"/>
    <cellStyle name="Percent 4 3 3 2 10" xfId="18266"/>
    <cellStyle name="Percent 4 3 3 2 11" xfId="7748"/>
    <cellStyle name="Percent 4 3 3 2 2" xfId="18267"/>
    <cellStyle name="Percent 4 3 3 2 2 2" xfId="18268"/>
    <cellStyle name="Percent 4 3 3 2 3" xfId="18269"/>
    <cellStyle name="Percent 4 3 3 2 4" xfId="18270"/>
    <cellStyle name="Percent 4 3 3 2 5" xfId="18271"/>
    <cellStyle name="Percent 4 3 3 2 6" xfId="18272"/>
    <cellStyle name="Percent 4 3 3 2 7" xfId="18273"/>
    <cellStyle name="Percent 4 3 3 2 8" xfId="18274"/>
    <cellStyle name="Percent 4 3 3 2 9" xfId="18275"/>
    <cellStyle name="Percent 4 3 3 3" xfId="3558"/>
    <cellStyle name="Percent 4 3 3 3 10" xfId="18276"/>
    <cellStyle name="Percent 4 3 3 3 11" xfId="7438"/>
    <cellStyle name="Percent 4 3 3 3 2" xfId="18277"/>
    <cellStyle name="Percent 4 3 3 3 3" xfId="18278"/>
    <cellStyle name="Percent 4 3 3 3 4" xfId="18279"/>
    <cellStyle name="Percent 4 3 3 3 5" xfId="18280"/>
    <cellStyle name="Percent 4 3 3 3 6" xfId="18281"/>
    <cellStyle name="Percent 4 3 3 3 7" xfId="18282"/>
    <cellStyle name="Percent 4 3 3 3 8" xfId="18283"/>
    <cellStyle name="Percent 4 3 3 3 9" xfId="18284"/>
    <cellStyle name="Percent 4 3 3 4" xfId="18285"/>
    <cellStyle name="Percent 4 3 3 4 2" xfId="18286"/>
    <cellStyle name="Percent 4 3 3 5" xfId="18287"/>
    <cellStyle name="Percent 4 3 3 6" xfId="18288"/>
    <cellStyle name="Percent 4 3 3 7" xfId="18289"/>
    <cellStyle name="Percent 4 3 3 8" xfId="18290"/>
    <cellStyle name="Percent 4 3 3 9" xfId="18291"/>
    <cellStyle name="Percent 4 3 4" xfId="3887"/>
    <cellStyle name="Percent 4 3 4 10" xfId="18292"/>
    <cellStyle name="Percent 4 3 4 11" xfId="18293"/>
    <cellStyle name="Percent 4 3 4 12" xfId="18294"/>
    <cellStyle name="Percent 4 3 4 13" xfId="7749"/>
    <cellStyle name="Percent 4 3 4 2" xfId="2444"/>
    <cellStyle name="Percent 4 3 4 2 10" xfId="18295"/>
    <cellStyle name="Percent 4 3 4 2 11" xfId="6339"/>
    <cellStyle name="Percent 4 3 4 2 2" xfId="18296"/>
    <cellStyle name="Percent 4 3 4 2 2 2" xfId="18297"/>
    <cellStyle name="Percent 4 3 4 2 3" xfId="18298"/>
    <cellStyle name="Percent 4 3 4 2 4" xfId="18299"/>
    <cellStyle name="Percent 4 3 4 2 5" xfId="18300"/>
    <cellStyle name="Percent 4 3 4 2 6" xfId="18301"/>
    <cellStyle name="Percent 4 3 4 2 7" xfId="18302"/>
    <cellStyle name="Percent 4 3 4 2 8" xfId="18303"/>
    <cellStyle name="Percent 4 3 4 2 9" xfId="18304"/>
    <cellStyle name="Percent 4 3 4 3" xfId="2446"/>
    <cellStyle name="Percent 4 3 4 3 10" xfId="18305"/>
    <cellStyle name="Percent 4 3 4 3 11" xfId="6342"/>
    <cellStyle name="Percent 4 3 4 3 2" xfId="18306"/>
    <cellStyle name="Percent 4 3 4 3 3" xfId="18307"/>
    <cellStyle name="Percent 4 3 4 3 4" xfId="18308"/>
    <cellStyle name="Percent 4 3 4 3 5" xfId="18309"/>
    <cellStyle name="Percent 4 3 4 3 6" xfId="18310"/>
    <cellStyle name="Percent 4 3 4 3 7" xfId="18311"/>
    <cellStyle name="Percent 4 3 4 3 8" xfId="18312"/>
    <cellStyle name="Percent 4 3 4 3 9" xfId="18313"/>
    <cellStyle name="Percent 4 3 4 4" xfId="18314"/>
    <cellStyle name="Percent 4 3 4 4 2" xfId="18315"/>
    <cellStyle name="Percent 4 3 4 5" xfId="18316"/>
    <cellStyle name="Percent 4 3 4 6" xfId="18317"/>
    <cellStyle name="Percent 4 3 4 7" xfId="18318"/>
    <cellStyle name="Percent 4 3 4 8" xfId="18319"/>
    <cellStyle name="Percent 4 3 4 9" xfId="18320"/>
    <cellStyle name="Percent 4 3 5" xfId="3888"/>
    <cellStyle name="Percent 4 3 5 10" xfId="18321"/>
    <cellStyle name="Percent 4 3 5 11" xfId="18322"/>
    <cellStyle name="Percent 4 3 5 12" xfId="18323"/>
    <cellStyle name="Percent 4 3 5 13" xfId="7750"/>
    <cellStyle name="Percent 4 3 5 2" xfId="3889"/>
    <cellStyle name="Percent 4 3 5 2 10" xfId="18324"/>
    <cellStyle name="Percent 4 3 5 2 11" xfId="7751"/>
    <cellStyle name="Percent 4 3 5 2 2" xfId="18325"/>
    <cellStyle name="Percent 4 3 5 2 2 2" xfId="18326"/>
    <cellStyle name="Percent 4 3 5 2 3" xfId="18327"/>
    <cellStyle name="Percent 4 3 5 2 4" xfId="18328"/>
    <cellStyle name="Percent 4 3 5 2 5" xfId="18329"/>
    <cellStyle name="Percent 4 3 5 2 6" xfId="18330"/>
    <cellStyle name="Percent 4 3 5 2 7" xfId="18331"/>
    <cellStyle name="Percent 4 3 5 2 8" xfId="18332"/>
    <cellStyle name="Percent 4 3 5 2 9" xfId="18333"/>
    <cellStyle name="Percent 4 3 5 3" xfId="3890"/>
    <cellStyle name="Percent 4 3 5 3 10" xfId="18334"/>
    <cellStyle name="Percent 4 3 5 3 11" xfId="7752"/>
    <cellStyle name="Percent 4 3 5 3 2" xfId="18335"/>
    <cellStyle name="Percent 4 3 5 3 3" xfId="18336"/>
    <cellStyle name="Percent 4 3 5 3 4" xfId="18337"/>
    <cellStyle name="Percent 4 3 5 3 5" xfId="18338"/>
    <cellStyle name="Percent 4 3 5 3 6" xfId="18339"/>
    <cellStyle name="Percent 4 3 5 3 7" xfId="18340"/>
    <cellStyle name="Percent 4 3 5 3 8" xfId="18341"/>
    <cellStyle name="Percent 4 3 5 3 9" xfId="18342"/>
    <cellStyle name="Percent 4 3 5 4" xfId="18343"/>
    <cellStyle name="Percent 4 3 5 4 2" xfId="18344"/>
    <cellStyle name="Percent 4 3 5 5" xfId="18345"/>
    <cellStyle name="Percent 4 3 5 6" xfId="18346"/>
    <cellStyle name="Percent 4 3 5 7" xfId="18347"/>
    <cellStyle name="Percent 4 3 5 8" xfId="18348"/>
    <cellStyle name="Percent 4 3 5 9" xfId="18349"/>
    <cellStyle name="Percent 4 3 6" xfId="3891"/>
    <cellStyle name="Percent 4 3 6 10" xfId="18350"/>
    <cellStyle name="Percent 4 3 6 11" xfId="18351"/>
    <cellStyle name="Percent 4 3 6 12" xfId="18352"/>
    <cellStyle name="Percent 4 3 6 13" xfId="7753"/>
    <cellStyle name="Percent 4 3 6 2" xfId="1740"/>
    <cellStyle name="Percent 4 3 6 2 10" xfId="18353"/>
    <cellStyle name="Percent 4 3 6 2 11" xfId="5652"/>
    <cellStyle name="Percent 4 3 6 2 2" xfId="18354"/>
    <cellStyle name="Percent 4 3 6 2 2 2" xfId="18355"/>
    <cellStyle name="Percent 4 3 6 2 3" xfId="18356"/>
    <cellStyle name="Percent 4 3 6 2 4" xfId="18357"/>
    <cellStyle name="Percent 4 3 6 2 5" xfId="18358"/>
    <cellStyle name="Percent 4 3 6 2 6" xfId="18359"/>
    <cellStyle name="Percent 4 3 6 2 7" xfId="18360"/>
    <cellStyle name="Percent 4 3 6 2 8" xfId="18361"/>
    <cellStyle name="Percent 4 3 6 2 9" xfId="18362"/>
    <cellStyle name="Percent 4 3 6 3" xfId="3892"/>
    <cellStyle name="Percent 4 3 6 3 10" xfId="18363"/>
    <cellStyle name="Percent 4 3 6 3 11" xfId="7754"/>
    <cellStyle name="Percent 4 3 6 3 2" xfId="18364"/>
    <cellStyle name="Percent 4 3 6 3 3" xfId="18365"/>
    <cellStyle name="Percent 4 3 6 3 4" xfId="18366"/>
    <cellStyle name="Percent 4 3 6 3 5" xfId="18367"/>
    <cellStyle name="Percent 4 3 6 3 6" xfId="18368"/>
    <cellStyle name="Percent 4 3 6 3 7" xfId="18369"/>
    <cellStyle name="Percent 4 3 6 3 8" xfId="18370"/>
    <cellStyle name="Percent 4 3 6 3 9" xfId="18371"/>
    <cellStyle name="Percent 4 3 6 4" xfId="18372"/>
    <cellStyle name="Percent 4 3 6 4 2" xfId="18373"/>
    <cellStyle name="Percent 4 3 6 5" xfId="18374"/>
    <cellStyle name="Percent 4 3 6 6" xfId="18375"/>
    <cellStyle name="Percent 4 3 6 7" xfId="18376"/>
    <cellStyle name="Percent 4 3 6 8" xfId="18377"/>
    <cellStyle name="Percent 4 3 6 9" xfId="18378"/>
    <cellStyle name="Percent 4 3 7" xfId="590"/>
    <cellStyle name="Percent 4 3 7 10" xfId="18379"/>
    <cellStyle name="Percent 4 3 7 11" xfId="4524"/>
    <cellStyle name="Percent 4 3 7 2" xfId="18380"/>
    <cellStyle name="Percent 4 3 7 2 2" xfId="18381"/>
    <cellStyle name="Percent 4 3 7 3" xfId="18382"/>
    <cellStyle name="Percent 4 3 7 4" xfId="18383"/>
    <cellStyle name="Percent 4 3 7 5" xfId="18384"/>
    <cellStyle name="Percent 4 3 7 6" xfId="18385"/>
    <cellStyle name="Percent 4 3 7 7" xfId="18386"/>
    <cellStyle name="Percent 4 3 7 8" xfId="18387"/>
    <cellStyle name="Percent 4 3 7 9" xfId="18388"/>
    <cellStyle name="Percent 4 3 8" xfId="595"/>
    <cellStyle name="Percent 4 3 8 10" xfId="18389"/>
    <cellStyle name="Percent 4 3 8 11" xfId="4529"/>
    <cellStyle name="Percent 4 3 8 2" xfId="18390"/>
    <cellStyle name="Percent 4 3 8 3" xfId="18391"/>
    <cellStyle name="Percent 4 3 8 4" xfId="18392"/>
    <cellStyle name="Percent 4 3 8 5" xfId="18393"/>
    <cellStyle name="Percent 4 3 8 6" xfId="18394"/>
    <cellStyle name="Percent 4 3 8 7" xfId="18395"/>
    <cellStyle name="Percent 4 3 8 8" xfId="18396"/>
    <cellStyle name="Percent 4 3 8 9" xfId="18397"/>
    <cellStyle name="Percent 4 3 9" xfId="18398"/>
    <cellStyle name="Percent 4 3 9 2" xfId="18399"/>
    <cellStyle name="Percent 4 30" xfId="18400"/>
    <cellStyle name="Percent 4 31" xfId="6821"/>
    <cellStyle name="Percent 4 4" xfId="3893"/>
    <cellStyle name="Percent 4 4 10" xfId="18401"/>
    <cellStyle name="Percent 4 4 11" xfId="7755"/>
    <cellStyle name="Percent 4 4 2" xfId="18402"/>
    <cellStyle name="Percent 4 4 2 2" xfId="18403"/>
    <cellStyle name="Percent 4 4 2 2 2" xfId="18404"/>
    <cellStyle name="Percent 4 4 2 2 2 2" xfId="18405"/>
    <cellStyle name="Percent 4 4 2 2 2 2 2" xfId="18406"/>
    <cellStyle name="Percent 4 4 2 2 2 3" xfId="18407"/>
    <cellStyle name="Percent 4 4 2 2 3" xfId="18408"/>
    <cellStyle name="Percent 4 4 2 2 3 2" xfId="18409"/>
    <cellStyle name="Percent 4 4 2 2 4" xfId="18410"/>
    <cellStyle name="Percent 4 4 2 2 4 2" xfId="18411"/>
    <cellStyle name="Percent 4 4 2 2 5" xfId="18412"/>
    <cellStyle name="Percent 4 4 2 3" xfId="18413"/>
    <cellStyle name="Percent 4 4 2 3 2" xfId="18414"/>
    <cellStyle name="Percent 4 4 2 3 2 2" xfId="18415"/>
    <cellStyle name="Percent 4 4 2 3 2 2 2" xfId="18416"/>
    <cellStyle name="Percent 4 4 2 3 2 3" xfId="18417"/>
    <cellStyle name="Percent 4 4 2 3 3" xfId="18418"/>
    <cellStyle name="Percent 4 4 2 3 3 2" xfId="18419"/>
    <cellStyle name="Percent 4 4 2 3 4" xfId="18420"/>
    <cellStyle name="Percent 4 4 2 3 4 2" xfId="18421"/>
    <cellStyle name="Percent 4 4 2 3 5" xfId="18422"/>
    <cellStyle name="Percent 4 4 2 4" xfId="18423"/>
    <cellStyle name="Percent 4 4 2 4 2" xfId="18424"/>
    <cellStyle name="Percent 4 4 2 4 2 2" xfId="18425"/>
    <cellStyle name="Percent 4 4 2 4 3" xfId="18426"/>
    <cellStyle name="Percent 4 4 2 5" xfId="18427"/>
    <cellStyle name="Percent 4 4 2 5 2" xfId="18428"/>
    <cellStyle name="Percent 4 4 2 6" xfId="18429"/>
    <cellStyle name="Percent 4 4 2 6 2" xfId="18430"/>
    <cellStyle name="Percent 4 4 2 7" xfId="18431"/>
    <cellStyle name="Percent 4 4 3" xfId="18432"/>
    <cellStyle name="Percent 4 4 3 2" xfId="18433"/>
    <cellStyle name="Percent 4 4 3 2 2" xfId="18434"/>
    <cellStyle name="Percent 4 4 3 2 2 2" xfId="18435"/>
    <cellStyle name="Percent 4 4 3 2 3" xfId="18436"/>
    <cellStyle name="Percent 4 4 3 3" xfId="18437"/>
    <cellStyle name="Percent 4 4 3 3 2" xfId="18438"/>
    <cellStyle name="Percent 4 4 3 4" xfId="18439"/>
    <cellStyle name="Percent 4 4 3 4 2" xfId="18440"/>
    <cellStyle name="Percent 4 4 3 5" xfId="18441"/>
    <cellStyle name="Percent 4 4 4" xfId="18442"/>
    <cellStyle name="Percent 4 4 4 2" xfId="18443"/>
    <cellStyle name="Percent 4 4 4 2 2" xfId="18444"/>
    <cellStyle name="Percent 4 4 4 2 2 2" xfId="18445"/>
    <cellStyle name="Percent 4 4 4 2 3" xfId="18446"/>
    <cellStyle name="Percent 4 4 4 3" xfId="18447"/>
    <cellStyle name="Percent 4 4 4 3 2" xfId="18448"/>
    <cellStyle name="Percent 4 4 4 4" xfId="18449"/>
    <cellStyle name="Percent 4 4 4 4 2" xfId="18450"/>
    <cellStyle name="Percent 4 4 4 5" xfId="18451"/>
    <cellStyle name="Percent 4 4 5" xfId="18452"/>
    <cellStyle name="Percent 4 4 5 2" xfId="18453"/>
    <cellStyle name="Percent 4 4 5 2 2" xfId="18454"/>
    <cellStyle name="Percent 4 4 5 2 2 2" xfId="18455"/>
    <cellStyle name="Percent 4 4 5 2 3" xfId="18456"/>
    <cellStyle name="Percent 4 4 5 3" xfId="18457"/>
    <cellStyle name="Percent 4 4 5 3 2" xfId="18458"/>
    <cellStyle name="Percent 4 4 5 4" xfId="18459"/>
    <cellStyle name="Percent 4 4 5 4 2" xfId="18460"/>
    <cellStyle name="Percent 4 4 5 5" xfId="18461"/>
    <cellStyle name="Percent 4 4 6" xfId="18462"/>
    <cellStyle name="Percent 4 4 6 2" xfId="18463"/>
    <cellStyle name="Percent 4 4 6 2 2" xfId="18464"/>
    <cellStyle name="Percent 4 4 6 2 2 2" xfId="18465"/>
    <cellStyle name="Percent 4 4 6 2 3" xfId="18466"/>
    <cellStyle name="Percent 4 4 6 3" xfId="18467"/>
    <cellStyle name="Percent 4 4 6 3 2" xfId="18468"/>
    <cellStyle name="Percent 4 4 6 4" xfId="18469"/>
    <cellStyle name="Percent 4 4 6 4 2" xfId="18470"/>
    <cellStyle name="Percent 4 4 6 5" xfId="18471"/>
    <cellStyle name="Percent 4 4 7" xfId="18472"/>
    <cellStyle name="Percent 4 4 7 2" xfId="18473"/>
    <cellStyle name="Percent 4 4 7 2 2" xfId="18474"/>
    <cellStyle name="Percent 4 4 7 3" xfId="18475"/>
    <cellStyle name="Percent 4 4 8" xfId="18476"/>
    <cellStyle name="Percent 4 4 8 2" xfId="18477"/>
    <cellStyle name="Percent 4 4 9" xfId="18478"/>
    <cellStyle name="Percent 4 4 9 2" xfId="18479"/>
    <cellStyle name="Percent 4 5" xfId="3894"/>
    <cellStyle name="Percent 4 5 10" xfId="18480"/>
    <cellStyle name="Percent 4 5 11" xfId="7756"/>
    <cellStyle name="Percent 4 5 2" xfId="3166"/>
    <cellStyle name="Percent 4 5 2 2" xfId="18481"/>
    <cellStyle name="Percent 4 5 2 2 2" xfId="18482"/>
    <cellStyle name="Percent 4 5 2 2 2 2" xfId="18483"/>
    <cellStyle name="Percent 4 5 2 2 2 2 2" xfId="18484"/>
    <cellStyle name="Percent 4 5 2 2 2 3" xfId="18485"/>
    <cellStyle name="Percent 4 5 2 2 3" xfId="18486"/>
    <cellStyle name="Percent 4 5 2 2 3 2" xfId="18487"/>
    <cellStyle name="Percent 4 5 2 2 4" xfId="18488"/>
    <cellStyle name="Percent 4 5 2 2 4 2" xfId="18489"/>
    <cellStyle name="Percent 4 5 2 2 5" xfId="18490"/>
    <cellStyle name="Percent 4 5 2 3" xfId="18491"/>
    <cellStyle name="Percent 4 5 2 3 2" xfId="18492"/>
    <cellStyle name="Percent 4 5 2 3 2 2" xfId="18493"/>
    <cellStyle name="Percent 4 5 2 3 2 2 2" xfId="18494"/>
    <cellStyle name="Percent 4 5 2 3 2 3" xfId="18495"/>
    <cellStyle name="Percent 4 5 2 3 3" xfId="18496"/>
    <cellStyle name="Percent 4 5 2 3 3 2" xfId="18497"/>
    <cellStyle name="Percent 4 5 2 3 4" xfId="18498"/>
    <cellStyle name="Percent 4 5 2 3 4 2" xfId="18499"/>
    <cellStyle name="Percent 4 5 2 3 5" xfId="18500"/>
    <cellStyle name="Percent 4 5 2 4" xfId="18501"/>
    <cellStyle name="Percent 4 5 2 4 2" xfId="18502"/>
    <cellStyle name="Percent 4 5 2 4 2 2" xfId="18503"/>
    <cellStyle name="Percent 4 5 2 4 3" xfId="18504"/>
    <cellStyle name="Percent 4 5 2 5" xfId="18505"/>
    <cellStyle name="Percent 4 5 2 5 2" xfId="18506"/>
    <cellStyle name="Percent 4 5 2 6" xfId="18507"/>
    <cellStyle name="Percent 4 5 2 6 2" xfId="18508"/>
    <cellStyle name="Percent 4 5 2 7" xfId="18509"/>
    <cellStyle name="Percent 4 5 2 8" xfId="7051"/>
    <cellStyle name="Percent 4 5 3" xfId="414"/>
    <cellStyle name="Percent 4 5 3 2" xfId="18510"/>
    <cellStyle name="Percent 4 5 3 2 2" xfId="18511"/>
    <cellStyle name="Percent 4 5 3 2 2 2" xfId="18512"/>
    <cellStyle name="Percent 4 5 3 2 3" xfId="18513"/>
    <cellStyle name="Percent 4 5 3 3" xfId="18514"/>
    <cellStyle name="Percent 4 5 3 3 2" xfId="18515"/>
    <cellStyle name="Percent 4 5 3 4" xfId="18516"/>
    <cellStyle name="Percent 4 5 3 4 2" xfId="18517"/>
    <cellStyle name="Percent 4 5 3 5" xfId="18518"/>
    <cellStyle name="Percent 4 5 3 6" xfId="4355"/>
    <cellStyle name="Percent 4 5 4" xfId="18519"/>
    <cellStyle name="Percent 4 5 4 2" xfId="18520"/>
    <cellStyle name="Percent 4 5 4 2 2" xfId="18521"/>
    <cellStyle name="Percent 4 5 4 2 2 2" xfId="18522"/>
    <cellStyle name="Percent 4 5 4 2 3" xfId="18523"/>
    <cellStyle name="Percent 4 5 4 3" xfId="18524"/>
    <cellStyle name="Percent 4 5 4 3 2" xfId="18525"/>
    <cellStyle name="Percent 4 5 4 4" xfId="18526"/>
    <cellStyle name="Percent 4 5 4 4 2" xfId="18527"/>
    <cellStyle name="Percent 4 5 4 5" xfId="18528"/>
    <cellStyle name="Percent 4 5 5" xfId="18529"/>
    <cellStyle name="Percent 4 5 5 2" xfId="18530"/>
    <cellStyle name="Percent 4 5 5 2 2" xfId="18531"/>
    <cellStyle name="Percent 4 5 5 2 2 2" xfId="18532"/>
    <cellStyle name="Percent 4 5 5 2 3" xfId="18533"/>
    <cellStyle name="Percent 4 5 5 3" xfId="18534"/>
    <cellStyle name="Percent 4 5 5 3 2" xfId="18535"/>
    <cellStyle name="Percent 4 5 5 4" xfId="18536"/>
    <cellStyle name="Percent 4 5 5 4 2" xfId="18537"/>
    <cellStyle name="Percent 4 5 5 5" xfId="18538"/>
    <cellStyle name="Percent 4 5 6" xfId="18539"/>
    <cellStyle name="Percent 4 5 6 2" xfId="18540"/>
    <cellStyle name="Percent 4 5 6 2 2" xfId="18541"/>
    <cellStyle name="Percent 4 5 6 2 2 2" xfId="18542"/>
    <cellStyle name="Percent 4 5 6 2 3" xfId="18543"/>
    <cellStyle name="Percent 4 5 6 3" xfId="18544"/>
    <cellStyle name="Percent 4 5 6 3 2" xfId="18545"/>
    <cellStyle name="Percent 4 5 6 4" xfId="18546"/>
    <cellStyle name="Percent 4 5 6 4 2" xfId="18547"/>
    <cellStyle name="Percent 4 5 6 5" xfId="18548"/>
    <cellStyle name="Percent 4 5 7" xfId="18549"/>
    <cellStyle name="Percent 4 5 7 2" xfId="18550"/>
    <cellStyle name="Percent 4 5 7 2 2" xfId="18551"/>
    <cellStyle name="Percent 4 5 7 3" xfId="18552"/>
    <cellStyle name="Percent 4 5 8" xfId="18553"/>
    <cellStyle name="Percent 4 5 8 2" xfId="18554"/>
    <cellStyle name="Percent 4 5 9" xfId="18555"/>
    <cellStyle name="Percent 4 5 9 2" xfId="18556"/>
    <cellStyle name="Percent 4 6" xfId="3895"/>
    <cellStyle name="Percent 4 6 10" xfId="18557"/>
    <cellStyle name="Percent 4 6 11" xfId="7757"/>
    <cellStyle name="Percent 4 6 2" xfId="18558"/>
    <cellStyle name="Percent 4 6 2 2" xfId="18559"/>
    <cellStyle name="Percent 4 6 2 2 2" xfId="18560"/>
    <cellStyle name="Percent 4 6 2 2 2 2" xfId="18561"/>
    <cellStyle name="Percent 4 6 2 2 2 2 2" xfId="18562"/>
    <cellStyle name="Percent 4 6 2 2 2 3" xfId="18563"/>
    <cellStyle name="Percent 4 6 2 2 3" xfId="18564"/>
    <cellStyle name="Percent 4 6 2 2 3 2" xfId="18565"/>
    <cellStyle name="Percent 4 6 2 2 4" xfId="18566"/>
    <cellStyle name="Percent 4 6 2 2 4 2" xfId="18567"/>
    <cellStyle name="Percent 4 6 2 2 5" xfId="18568"/>
    <cellStyle name="Percent 4 6 2 3" xfId="18569"/>
    <cellStyle name="Percent 4 6 2 3 2" xfId="18570"/>
    <cellStyle name="Percent 4 6 2 3 2 2" xfId="18571"/>
    <cellStyle name="Percent 4 6 2 3 2 2 2" xfId="18572"/>
    <cellStyle name="Percent 4 6 2 3 2 3" xfId="18573"/>
    <cellStyle name="Percent 4 6 2 3 3" xfId="18574"/>
    <cellStyle name="Percent 4 6 2 3 3 2" xfId="18575"/>
    <cellStyle name="Percent 4 6 2 3 4" xfId="18576"/>
    <cellStyle name="Percent 4 6 2 3 4 2" xfId="18577"/>
    <cellStyle name="Percent 4 6 2 3 5" xfId="18578"/>
    <cellStyle name="Percent 4 6 2 4" xfId="18579"/>
    <cellStyle name="Percent 4 6 2 4 2" xfId="18580"/>
    <cellStyle name="Percent 4 6 2 4 2 2" xfId="18581"/>
    <cellStyle name="Percent 4 6 2 4 3" xfId="18582"/>
    <cellStyle name="Percent 4 6 2 5" xfId="18583"/>
    <cellStyle name="Percent 4 6 2 5 2" xfId="18584"/>
    <cellStyle name="Percent 4 6 2 6" xfId="18585"/>
    <cellStyle name="Percent 4 6 2 6 2" xfId="18586"/>
    <cellStyle name="Percent 4 6 2 7" xfId="18587"/>
    <cellStyle name="Percent 4 6 3" xfId="18588"/>
    <cellStyle name="Percent 4 6 3 2" xfId="18589"/>
    <cellStyle name="Percent 4 6 3 2 2" xfId="18590"/>
    <cellStyle name="Percent 4 6 3 2 2 2" xfId="18591"/>
    <cellStyle name="Percent 4 6 3 2 3" xfId="18592"/>
    <cellStyle name="Percent 4 6 3 3" xfId="18593"/>
    <cellStyle name="Percent 4 6 3 3 2" xfId="18594"/>
    <cellStyle name="Percent 4 6 3 4" xfId="18595"/>
    <cellStyle name="Percent 4 6 3 4 2" xfId="18596"/>
    <cellStyle name="Percent 4 6 3 5" xfId="18597"/>
    <cellStyle name="Percent 4 6 4" xfId="18598"/>
    <cellStyle name="Percent 4 6 4 2" xfId="18599"/>
    <cellStyle name="Percent 4 6 4 2 2" xfId="18600"/>
    <cellStyle name="Percent 4 6 4 2 2 2" xfId="18601"/>
    <cellStyle name="Percent 4 6 4 2 3" xfId="18602"/>
    <cellStyle name="Percent 4 6 4 3" xfId="18603"/>
    <cellStyle name="Percent 4 6 4 3 2" xfId="18604"/>
    <cellStyle name="Percent 4 6 4 4" xfId="18605"/>
    <cellStyle name="Percent 4 6 4 4 2" xfId="18606"/>
    <cellStyle name="Percent 4 6 4 5" xfId="18607"/>
    <cellStyle name="Percent 4 6 5" xfId="18608"/>
    <cellStyle name="Percent 4 6 5 2" xfId="18609"/>
    <cellStyle name="Percent 4 6 5 2 2" xfId="18610"/>
    <cellStyle name="Percent 4 6 5 2 2 2" xfId="18611"/>
    <cellStyle name="Percent 4 6 5 2 3" xfId="18612"/>
    <cellStyle name="Percent 4 6 5 3" xfId="18613"/>
    <cellStyle name="Percent 4 6 5 3 2" xfId="18614"/>
    <cellStyle name="Percent 4 6 5 4" xfId="18615"/>
    <cellStyle name="Percent 4 6 5 4 2" xfId="18616"/>
    <cellStyle name="Percent 4 6 5 5" xfId="18617"/>
    <cellStyle name="Percent 4 6 6" xfId="18618"/>
    <cellStyle name="Percent 4 6 6 2" xfId="18619"/>
    <cellStyle name="Percent 4 6 6 2 2" xfId="18620"/>
    <cellStyle name="Percent 4 6 6 2 2 2" xfId="18621"/>
    <cellStyle name="Percent 4 6 6 2 3" xfId="18622"/>
    <cellStyle name="Percent 4 6 6 3" xfId="18623"/>
    <cellStyle name="Percent 4 6 6 3 2" xfId="18624"/>
    <cellStyle name="Percent 4 6 6 4" xfId="18625"/>
    <cellStyle name="Percent 4 6 6 4 2" xfId="18626"/>
    <cellStyle name="Percent 4 6 6 5" xfId="18627"/>
    <cellStyle name="Percent 4 6 7" xfId="18628"/>
    <cellStyle name="Percent 4 6 7 2" xfId="18629"/>
    <cellStyle name="Percent 4 6 7 2 2" xfId="18630"/>
    <cellStyle name="Percent 4 6 7 3" xfId="18631"/>
    <cellStyle name="Percent 4 6 8" xfId="18632"/>
    <cellStyle name="Percent 4 6 8 2" xfId="18633"/>
    <cellStyle name="Percent 4 6 9" xfId="18634"/>
    <cellStyle name="Percent 4 6 9 2" xfId="18635"/>
    <cellStyle name="Percent 4 7" xfId="222"/>
    <cellStyle name="Percent 4 7 10" xfId="18636"/>
    <cellStyle name="Percent 4 7 11" xfId="4150"/>
    <cellStyle name="Percent 4 7 2" xfId="18637"/>
    <cellStyle name="Percent 4 7 2 2" xfId="18638"/>
    <cellStyle name="Percent 4 7 2 2 2" xfId="18639"/>
    <cellStyle name="Percent 4 7 2 2 2 2" xfId="18640"/>
    <cellStyle name="Percent 4 7 2 2 2 2 2" xfId="18641"/>
    <cellStyle name="Percent 4 7 2 2 2 3" xfId="18642"/>
    <cellStyle name="Percent 4 7 2 2 3" xfId="18643"/>
    <cellStyle name="Percent 4 7 2 2 3 2" xfId="18644"/>
    <cellStyle name="Percent 4 7 2 2 4" xfId="18645"/>
    <cellStyle name="Percent 4 7 2 2 4 2" xfId="18646"/>
    <cellStyle name="Percent 4 7 2 2 5" xfId="18647"/>
    <cellStyle name="Percent 4 7 2 3" xfId="18648"/>
    <cellStyle name="Percent 4 7 2 3 2" xfId="18649"/>
    <cellStyle name="Percent 4 7 2 3 2 2" xfId="18650"/>
    <cellStyle name="Percent 4 7 2 3 2 2 2" xfId="18651"/>
    <cellStyle name="Percent 4 7 2 3 2 3" xfId="18652"/>
    <cellStyle name="Percent 4 7 2 3 3" xfId="18653"/>
    <cellStyle name="Percent 4 7 2 3 3 2" xfId="18654"/>
    <cellStyle name="Percent 4 7 2 3 4" xfId="18655"/>
    <cellStyle name="Percent 4 7 2 3 4 2" xfId="18656"/>
    <cellStyle name="Percent 4 7 2 3 5" xfId="18657"/>
    <cellStyle name="Percent 4 7 2 4" xfId="18658"/>
    <cellStyle name="Percent 4 7 2 4 2" xfId="18659"/>
    <cellStyle name="Percent 4 7 2 4 2 2" xfId="18660"/>
    <cellStyle name="Percent 4 7 2 4 3" xfId="18661"/>
    <cellStyle name="Percent 4 7 2 5" xfId="18662"/>
    <cellStyle name="Percent 4 7 2 5 2" xfId="18663"/>
    <cellStyle name="Percent 4 7 2 6" xfId="18664"/>
    <cellStyle name="Percent 4 7 2 6 2" xfId="18665"/>
    <cellStyle name="Percent 4 7 2 7" xfId="18666"/>
    <cellStyle name="Percent 4 7 3" xfId="18667"/>
    <cellStyle name="Percent 4 7 3 2" xfId="18668"/>
    <cellStyle name="Percent 4 7 3 2 2" xfId="18669"/>
    <cellStyle name="Percent 4 7 3 2 2 2" xfId="18670"/>
    <cellStyle name="Percent 4 7 3 2 3" xfId="18671"/>
    <cellStyle name="Percent 4 7 3 3" xfId="18672"/>
    <cellStyle name="Percent 4 7 3 3 2" xfId="18673"/>
    <cellStyle name="Percent 4 7 3 4" xfId="18674"/>
    <cellStyle name="Percent 4 7 3 4 2" xfId="18675"/>
    <cellStyle name="Percent 4 7 3 5" xfId="18676"/>
    <cellStyle name="Percent 4 7 4" xfId="18677"/>
    <cellStyle name="Percent 4 7 4 2" xfId="18678"/>
    <cellStyle name="Percent 4 7 4 2 2" xfId="18679"/>
    <cellStyle name="Percent 4 7 4 2 2 2" xfId="18680"/>
    <cellStyle name="Percent 4 7 4 2 3" xfId="18681"/>
    <cellStyle name="Percent 4 7 4 3" xfId="18682"/>
    <cellStyle name="Percent 4 7 4 3 2" xfId="18683"/>
    <cellStyle name="Percent 4 7 4 4" xfId="18684"/>
    <cellStyle name="Percent 4 7 4 4 2" xfId="18685"/>
    <cellStyle name="Percent 4 7 4 5" xfId="18686"/>
    <cellStyle name="Percent 4 7 5" xfId="18687"/>
    <cellStyle name="Percent 4 7 5 2" xfId="18688"/>
    <cellStyle name="Percent 4 7 5 2 2" xfId="18689"/>
    <cellStyle name="Percent 4 7 5 2 2 2" xfId="18690"/>
    <cellStyle name="Percent 4 7 5 2 3" xfId="18691"/>
    <cellStyle name="Percent 4 7 5 3" xfId="18692"/>
    <cellStyle name="Percent 4 7 5 3 2" xfId="18693"/>
    <cellStyle name="Percent 4 7 5 4" xfId="18694"/>
    <cellStyle name="Percent 4 7 5 4 2" xfId="18695"/>
    <cellStyle name="Percent 4 7 5 5" xfId="18696"/>
    <cellStyle name="Percent 4 7 6" xfId="18697"/>
    <cellStyle name="Percent 4 7 6 2" xfId="18698"/>
    <cellStyle name="Percent 4 7 6 2 2" xfId="18699"/>
    <cellStyle name="Percent 4 7 6 2 2 2" xfId="18700"/>
    <cellStyle name="Percent 4 7 6 2 3" xfId="18701"/>
    <cellStyle name="Percent 4 7 6 3" xfId="18702"/>
    <cellStyle name="Percent 4 7 6 3 2" xfId="18703"/>
    <cellStyle name="Percent 4 7 6 4" xfId="18704"/>
    <cellStyle name="Percent 4 7 6 4 2" xfId="18705"/>
    <cellStyle name="Percent 4 7 6 5" xfId="18706"/>
    <cellStyle name="Percent 4 7 7" xfId="18707"/>
    <cellStyle name="Percent 4 7 7 2" xfId="18708"/>
    <cellStyle name="Percent 4 7 7 2 2" xfId="18709"/>
    <cellStyle name="Percent 4 7 7 3" xfId="18710"/>
    <cellStyle name="Percent 4 7 8" xfId="18711"/>
    <cellStyle name="Percent 4 7 8 2" xfId="18712"/>
    <cellStyle name="Percent 4 7 9" xfId="18713"/>
    <cellStyle name="Percent 4 7 9 2" xfId="18714"/>
    <cellStyle name="Percent 4 8" xfId="573"/>
    <cellStyle name="Percent 4 8 10" xfId="18715"/>
    <cellStyle name="Percent 4 8 11" xfId="4506"/>
    <cellStyle name="Percent 4 8 2" xfId="18716"/>
    <cellStyle name="Percent 4 8 2 2" xfId="18717"/>
    <cellStyle name="Percent 4 8 2 2 2" xfId="18718"/>
    <cellStyle name="Percent 4 8 2 2 2 2" xfId="18719"/>
    <cellStyle name="Percent 4 8 2 2 2 2 2" xfId="18720"/>
    <cellStyle name="Percent 4 8 2 2 2 3" xfId="18721"/>
    <cellStyle name="Percent 4 8 2 2 3" xfId="18722"/>
    <cellStyle name="Percent 4 8 2 2 3 2" xfId="18723"/>
    <cellStyle name="Percent 4 8 2 2 4" xfId="18724"/>
    <cellStyle name="Percent 4 8 2 2 4 2" xfId="18725"/>
    <cellStyle name="Percent 4 8 2 2 5" xfId="18726"/>
    <cellStyle name="Percent 4 8 2 3" xfId="18727"/>
    <cellStyle name="Percent 4 8 2 3 2" xfId="18728"/>
    <cellStyle name="Percent 4 8 2 3 2 2" xfId="18729"/>
    <cellStyle name="Percent 4 8 2 3 2 2 2" xfId="18730"/>
    <cellStyle name="Percent 4 8 2 3 2 3" xfId="18731"/>
    <cellStyle name="Percent 4 8 2 3 3" xfId="18732"/>
    <cellStyle name="Percent 4 8 2 3 3 2" xfId="18733"/>
    <cellStyle name="Percent 4 8 2 3 4" xfId="18734"/>
    <cellStyle name="Percent 4 8 2 3 4 2" xfId="18735"/>
    <cellStyle name="Percent 4 8 2 3 5" xfId="18736"/>
    <cellStyle name="Percent 4 8 2 4" xfId="18737"/>
    <cellStyle name="Percent 4 8 2 4 2" xfId="18738"/>
    <cellStyle name="Percent 4 8 2 4 2 2" xfId="18739"/>
    <cellStyle name="Percent 4 8 2 4 3" xfId="18740"/>
    <cellStyle name="Percent 4 8 2 5" xfId="18741"/>
    <cellStyle name="Percent 4 8 2 5 2" xfId="18742"/>
    <cellStyle name="Percent 4 8 2 6" xfId="18743"/>
    <cellStyle name="Percent 4 8 2 6 2" xfId="18744"/>
    <cellStyle name="Percent 4 8 2 7" xfId="18745"/>
    <cellStyle name="Percent 4 8 3" xfId="18746"/>
    <cellStyle name="Percent 4 8 3 2" xfId="18747"/>
    <cellStyle name="Percent 4 8 3 2 2" xfId="18748"/>
    <cellStyle name="Percent 4 8 3 2 2 2" xfId="18749"/>
    <cellStyle name="Percent 4 8 3 2 3" xfId="18750"/>
    <cellStyle name="Percent 4 8 3 3" xfId="18751"/>
    <cellStyle name="Percent 4 8 3 3 2" xfId="18752"/>
    <cellStyle name="Percent 4 8 3 4" xfId="18753"/>
    <cellStyle name="Percent 4 8 3 4 2" xfId="18754"/>
    <cellStyle name="Percent 4 8 3 5" xfId="18755"/>
    <cellStyle name="Percent 4 8 4" xfId="18756"/>
    <cellStyle name="Percent 4 8 4 2" xfId="18757"/>
    <cellStyle name="Percent 4 8 4 2 2" xfId="18758"/>
    <cellStyle name="Percent 4 8 4 2 2 2" xfId="18759"/>
    <cellStyle name="Percent 4 8 4 2 3" xfId="18760"/>
    <cellStyle name="Percent 4 8 4 3" xfId="18761"/>
    <cellStyle name="Percent 4 8 4 3 2" xfId="18762"/>
    <cellStyle name="Percent 4 8 4 4" xfId="18763"/>
    <cellStyle name="Percent 4 8 4 4 2" xfId="18764"/>
    <cellStyle name="Percent 4 8 4 5" xfId="18765"/>
    <cellStyle name="Percent 4 8 5" xfId="18766"/>
    <cellStyle name="Percent 4 8 5 2" xfId="18767"/>
    <cellStyle name="Percent 4 8 5 2 2" xfId="18768"/>
    <cellStyle name="Percent 4 8 5 2 2 2" xfId="18769"/>
    <cellStyle name="Percent 4 8 5 2 3" xfId="18770"/>
    <cellStyle name="Percent 4 8 5 3" xfId="18771"/>
    <cellStyle name="Percent 4 8 5 3 2" xfId="18772"/>
    <cellStyle name="Percent 4 8 5 4" xfId="18773"/>
    <cellStyle name="Percent 4 8 5 4 2" xfId="18774"/>
    <cellStyle name="Percent 4 8 5 5" xfId="18775"/>
    <cellStyle name="Percent 4 8 6" xfId="18776"/>
    <cellStyle name="Percent 4 8 6 2" xfId="18777"/>
    <cellStyle name="Percent 4 8 6 2 2" xfId="18778"/>
    <cellStyle name="Percent 4 8 6 2 2 2" xfId="18779"/>
    <cellStyle name="Percent 4 8 6 2 3" xfId="18780"/>
    <cellStyle name="Percent 4 8 6 3" xfId="18781"/>
    <cellStyle name="Percent 4 8 6 3 2" xfId="18782"/>
    <cellStyle name="Percent 4 8 6 4" xfId="18783"/>
    <cellStyle name="Percent 4 8 6 4 2" xfId="18784"/>
    <cellStyle name="Percent 4 8 6 5" xfId="18785"/>
    <cellStyle name="Percent 4 8 7" xfId="18786"/>
    <cellStyle name="Percent 4 8 7 2" xfId="18787"/>
    <cellStyle name="Percent 4 8 7 2 2" xfId="18788"/>
    <cellStyle name="Percent 4 8 7 3" xfId="18789"/>
    <cellStyle name="Percent 4 8 8" xfId="18790"/>
    <cellStyle name="Percent 4 8 8 2" xfId="18791"/>
    <cellStyle name="Percent 4 8 9" xfId="18792"/>
    <cellStyle name="Percent 4 8 9 2" xfId="18793"/>
    <cellStyle name="Percent 4 9" xfId="3896"/>
    <cellStyle name="Percent 4 9 2" xfId="7758"/>
    <cellStyle name="Percent 4_Design" xfId="2327"/>
    <cellStyle name="Percent 5" xfId="3897"/>
    <cellStyle name="Percent 5 10" xfId="18794"/>
    <cellStyle name="Percent 5 11" xfId="18795"/>
    <cellStyle name="Percent 5 12" xfId="18796"/>
    <cellStyle name="Percent 5 13" xfId="18797"/>
    <cellStyle name="Percent 5 14" xfId="18798"/>
    <cellStyle name="Percent 5 15" xfId="18799"/>
    <cellStyle name="Percent 5 16" xfId="18800"/>
    <cellStyle name="Percent 5 17" xfId="18801"/>
    <cellStyle name="Percent 5 18" xfId="7759"/>
    <cellStyle name="Percent 5 2" xfId="3898"/>
    <cellStyle name="Percent 5 2 2" xfId="18802"/>
    <cellStyle name="Percent 5 2 3" xfId="7760"/>
    <cellStyle name="Percent 5 3" xfId="3899"/>
    <cellStyle name="Percent 5 3 2" xfId="7761"/>
    <cellStyle name="Percent 5 4" xfId="3900"/>
    <cellStyle name="Percent 5 4 2" xfId="7762"/>
    <cellStyle name="Percent 5 5" xfId="3902"/>
    <cellStyle name="Percent 5 5 2" xfId="7763"/>
    <cellStyle name="Percent 5 6" xfId="3904"/>
    <cellStyle name="Percent 5 6 2" xfId="7765"/>
    <cellStyle name="Percent 5 7" xfId="3906"/>
    <cellStyle name="Percent 5 7 2" xfId="7767"/>
    <cellStyle name="Percent 5 8" xfId="3908"/>
    <cellStyle name="Percent 5 8 2" xfId="7769"/>
    <cellStyle name="Percent 5 9" xfId="18803"/>
    <cellStyle name="Percent 6" xfId="3909"/>
    <cellStyle name="Percent 6 10" xfId="18804"/>
    <cellStyle name="Percent 6 11" xfId="18805"/>
    <cellStyle name="Percent 6 12" xfId="18806"/>
    <cellStyle name="Percent 6 13" xfId="18807"/>
    <cellStyle name="Percent 6 14" xfId="18808"/>
    <cellStyle name="Percent 6 15" xfId="18809"/>
    <cellStyle name="Percent 6 16" xfId="18810"/>
    <cellStyle name="Percent 6 17" xfId="18811"/>
    <cellStyle name="Percent 6 18" xfId="18812"/>
    <cellStyle name="Percent 6 19" xfId="7771"/>
    <cellStyle name="Percent 6 2" xfId="3910"/>
    <cellStyle name="Percent 6 2 10" xfId="18813"/>
    <cellStyle name="Percent 6 2 11" xfId="18814"/>
    <cellStyle name="Percent 6 2 12" xfId="18815"/>
    <cellStyle name="Percent 6 2 13" xfId="18816"/>
    <cellStyle name="Percent 6 2 14" xfId="18817"/>
    <cellStyle name="Percent 6 2 15" xfId="18818"/>
    <cellStyle name="Percent 6 2 16" xfId="18819"/>
    <cellStyle name="Percent 6 2 17" xfId="18820"/>
    <cellStyle name="Percent 6 2 18" xfId="7772"/>
    <cellStyle name="Percent 6 2 2" xfId="3901"/>
    <cellStyle name="Percent 6 2 2 2" xfId="7764"/>
    <cellStyle name="Percent 6 2 3" xfId="3903"/>
    <cellStyle name="Percent 6 2 3 2" xfId="7766"/>
    <cellStyle name="Percent 6 2 4" xfId="3905"/>
    <cellStyle name="Percent 6 2 4 2" xfId="7768"/>
    <cellStyle name="Percent 6 2 5" xfId="3907"/>
    <cellStyle name="Percent 6 2 5 2" xfId="7770"/>
    <cellStyle name="Percent 6 2 6" xfId="3911"/>
    <cellStyle name="Percent 6 2 6 2" xfId="7773"/>
    <cellStyle name="Percent 6 2 7" xfId="3912"/>
    <cellStyle name="Percent 6 2 7 2" xfId="7774"/>
    <cellStyle name="Percent 6 2 8" xfId="3913"/>
    <cellStyle name="Percent 6 2 8 2" xfId="7775"/>
    <cellStyle name="Percent 6 2 9" xfId="18821"/>
    <cellStyle name="Percent 6 3" xfId="3914"/>
    <cellStyle name="Percent 6 3 2" xfId="7776"/>
    <cellStyle name="Percent 6 4" xfId="3915"/>
    <cellStyle name="Percent 6 4 2" xfId="7777"/>
    <cellStyle name="Percent 6 5" xfId="3916"/>
    <cellStyle name="Percent 6 5 2" xfId="7778"/>
    <cellStyle name="Percent 6 6" xfId="3917"/>
    <cellStyle name="Percent 6 6 2" xfId="7779"/>
    <cellStyle name="Percent 6 7" xfId="3918"/>
    <cellStyle name="Percent 6 7 2" xfId="7780"/>
    <cellStyle name="Percent 6 8" xfId="3919"/>
    <cellStyle name="Percent 6 8 2" xfId="7781"/>
    <cellStyle name="Percent 6 9" xfId="3920"/>
    <cellStyle name="Percent 6 9 2" xfId="7782"/>
    <cellStyle name="Percent 7" xfId="3921"/>
    <cellStyle name="Percent 7 2" xfId="3922"/>
    <cellStyle name="Percent 7 2 2" xfId="18822"/>
    <cellStyle name="Percent 7 2 3" xfId="7784"/>
    <cellStyle name="Percent 7 3" xfId="18823"/>
    <cellStyle name="Percent 7 4" xfId="7783"/>
    <cellStyle name="Percent 8" xfId="18824"/>
    <cellStyle name="Percent 8 2" xfId="3592"/>
    <cellStyle name="Percent 8 2 10" xfId="18825"/>
    <cellStyle name="Percent 8 2 11" xfId="18826"/>
    <cellStyle name="Percent 8 2 12" xfId="18827"/>
    <cellStyle name="Percent 8 2 13" xfId="18828"/>
    <cellStyle name="Percent 8 2 14" xfId="18829"/>
    <cellStyle name="Percent 8 2 15" xfId="18830"/>
    <cellStyle name="Percent 8 2 16" xfId="18831"/>
    <cellStyle name="Percent 8 2 17" xfId="18832"/>
    <cellStyle name="Percent 8 2 18" xfId="7472"/>
    <cellStyle name="Percent 8 2 2" xfId="1841"/>
    <cellStyle name="Percent 8 2 2 2" xfId="5750"/>
    <cellStyle name="Percent 8 2 3" xfId="1844"/>
    <cellStyle name="Percent 8 2 3 2" xfId="5753"/>
    <cellStyle name="Percent 8 2 4" xfId="606"/>
    <cellStyle name="Percent 8 2 4 2" xfId="4540"/>
    <cellStyle name="Percent 8 2 5" xfId="1847"/>
    <cellStyle name="Percent 8 2 5 2" xfId="5756"/>
    <cellStyle name="Percent 8 2 6" xfId="3923"/>
    <cellStyle name="Percent 8 2 6 2" xfId="7785"/>
    <cellStyle name="Percent 8 2 7" xfId="3924"/>
    <cellStyle name="Percent 8 2 7 2" xfId="7786"/>
    <cellStyle name="Percent 8 2 8" xfId="3925"/>
    <cellStyle name="Percent 8 2 8 2" xfId="7787"/>
    <cellStyle name="Percent 8 2 9" xfId="18833"/>
    <cellStyle name="Percent 9" xfId="18834"/>
    <cellStyle name="Percent 9 2" xfId="18835"/>
    <cellStyle name="RevList" xfId="2167"/>
    <cellStyle name="RevList 2" xfId="3926"/>
    <cellStyle name="RevList 3" xfId="3927"/>
    <cellStyle name="Sheet Title" xfId="2982"/>
    <cellStyle name="Sheet Title 2" xfId="3047"/>
    <cellStyle name="Sheet Title 2 2" xfId="6933"/>
    <cellStyle name="Sheet Title 3" xfId="2277"/>
    <cellStyle name="Sheet Title 3 2" xfId="6179"/>
    <cellStyle name="Sheet Title 4" xfId="6869"/>
    <cellStyle name="style" xfId="2909"/>
    <cellStyle name="Style 1" xfId="1642"/>
    <cellStyle name="Style 1 2" xfId="3255"/>
    <cellStyle name="Style 1 3" xfId="3258"/>
    <cellStyle name="Style 1_Hostel building est silparupa" xfId="18836"/>
    <cellStyle name="style 2" xfId="1645"/>
    <cellStyle name="style 2 2" xfId="3275"/>
    <cellStyle name="style 2 2 2" xfId="7157"/>
    <cellStyle name="style 2 3" xfId="5559"/>
    <cellStyle name="style 3" xfId="1648"/>
    <cellStyle name="style 3 2" xfId="5562"/>
    <cellStyle name="style 4" xfId="3928"/>
    <cellStyle name="style 4 2" xfId="7788"/>
    <cellStyle name="style 5" xfId="3929"/>
    <cellStyle name="style 5 2" xfId="7789"/>
    <cellStyle name="style 6" xfId="6797"/>
    <cellStyle name="style_1_Pattapupalem_road estt-NCRMP" xfId="3028"/>
    <cellStyle name="style1" xfId="3930"/>
    <cellStyle name="style1 2" xfId="2210"/>
    <cellStyle name="style1 2 2" xfId="2338"/>
    <cellStyle name="style1 2 2 2" xfId="6236"/>
    <cellStyle name="style1 2 3" xfId="6111"/>
    <cellStyle name="style1 3" xfId="2212"/>
    <cellStyle name="style1 3 2" xfId="6113"/>
    <cellStyle name="style1 4" xfId="2214"/>
    <cellStyle name="style1 4 2" xfId="6115"/>
    <cellStyle name="style1 5" xfId="2216"/>
    <cellStyle name="style1 5 2" xfId="6117"/>
    <cellStyle name="style1 6" xfId="7790"/>
    <cellStyle name="style1_Kallepally-Gunturpalli (Bejjenki)6m-2v" xfId="3657"/>
    <cellStyle name="style2" xfId="1784"/>
    <cellStyle name="style2 2" xfId="1198"/>
    <cellStyle name="style2 2 2" xfId="771"/>
    <cellStyle name="style2 2 2 2" xfId="4701"/>
    <cellStyle name="style2 2 3" xfId="5118"/>
    <cellStyle name="style2 3" xfId="2222"/>
    <cellStyle name="style2 3 2" xfId="6123"/>
    <cellStyle name="style2 4" xfId="2224"/>
    <cellStyle name="style2 4 2" xfId="6125"/>
    <cellStyle name="style2 5" xfId="2226"/>
    <cellStyle name="style2 5 2" xfId="6127"/>
    <cellStyle name="style2 6" xfId="5692"/>
    <cellStyle name="style2_Kallepally-Gunturpalli (Bejjenki)6m-2v" xfId="352"/>
    <cellStyle name="Sub Head" xfId="2304"/>
    <cellStyle name="Sub Head 2" xfId="3722"/>
    <cellStyle name="Sub Head 2 2" xfId="7601"/>
    <cellStyle name="Sub Head 3" xfId="3731"/>
    <cellStyle name="Sub Head 3 2" xfId="7610"/>
    <cellStyle name="Sub Head 4" xfId="6204"/>
    <cellStyle name="Subtotal" xfId="3867"/>
    <cellStyle name="Subtotal 2" xfId="3869"/>
    <cellStyle name="Subtotal 3" xfId="3871"/>
    <cellStyle name="text" xfId="3931"/>
    <cellStyle name="text 2" xfId="7791"/>
    <cellStyle name="þ_x001d_ð &amp;ý&amp;†ýG_x0008_ X&#10;_x0007__x0001__x0001_" xfId="129"/>
    <cellStyle name="þ_x001d_ð &amp;ý&amp;†ýG_x0008_ X&#10;_x0007__x0001__x0001_ 10" xfId="18837"/>
    <cellStyle name="þ_x001d_ð &amp;ý&amp;†ýG_x0008_ X&#10;_x0007__x0001__x0001_ 11" xfId="18838"/>
    <cellStyle name="þ_x001d_ð &amp;ý&amp;†ýG_x0008_ X&#10;_x0007__x0001__x0001_ 12" xfId="18839"/>
    <cellStyle name="þ_x001d_ð &amp;ý&amp;†ýG_x0008_ X&#10;_x0007__x0001__x0001_ 13" xfId="18840"/>
    <cellStyle name="þ_x001d_ð &amp;ý&amp;†ýG_x0008_ X&#10;_x0007__x0001__x0001_ 14" xfId="18841"/>
    <cellStyle name="þ_x001d_ð &amp;ý&amp;†ýG_x0008_ X&#10;_x0007__x0001__x0001_ 15" xfId="18842"/>
    <cellStyle name="þ_x001d_ð &amp;ý&amp;†ýG_x0008_ X&#10;_x0007__x0001__x0001_ 16" xfId="18843"/>
    <cellStyle name="þ_x001d_ð &amp;ý&amp;†ýG_x0008_ X&#10;_x0007__x0001__x0001_ 17" xfId="18844"/>
    <cellStyle name="þ_x001d_ð &amp;ý&amp;†ýG_x0008_ X&#10;_x0007__x0001__x0001_ 18" xfId="4074"/>
    <cellStyle name="þ_x001d_ð &amp;ý&amp;†ýG_x0008_ X&#10;_x0007__x0001__x0001_ 2" xfId="3932"/>
    <cellStyle name="þ_x001d_ð &amp;ý&amp;†ýG_x0008_ X&#10;_x0007__x0001__x0001_ 2 2" xfId="7792"/>
    <cellStyle name="þ_x001d_ð &amp;ý&amp;†ýG_x0008_ X&#10;_x0007__x0001__x0001_ 3" xfId="3535"/>
    <cellStyle name="þ_x001d_ð &amp;ý&amp;†ýG_x0008_ X&#10;_x0007__x0001__x0001_ 3 2" xfId="7415"/>
    <cellStyle name="þ_x001d_ð &amp;ý&amp;†ýG_x0008_ X&#10;_x0007__x0001__x0001_ 4" xfId="3537"/>
    <cellStyle name="þ_x001d_ð &amp;ý&amp;†ýG_x0008_ X&#10;_x0007__x0001__x0001_ 4 2" xfId="7417"/>
    <cellStyle name="þ_x001d_ð &amp;ý&amp;†ýG_x0008_ X&#10;_x0007__x0001__x0001_ 5" xfId="3933"/>
    <cellStyle name="þ_x001d_ð &amp;ý&amp;†ýG_x0008_ X&#10;_x0007__x0001__x0001_ 5 2" xfId="7793"/>
    <cellStyle name="þ_x001d_ð &amp;ý&amp;†ýG_x0008_ X&#10;_x0007__x0001__x0001_ 6" xfId="615"/>
    <cellStyle name="þ_x001d_ð &amp;ý&amp;†ýG_x0008_ X&#10;_x0007__x0001__x0001_ 6 2" xfId="4552"/>
    <cellStyle name="þ_x001d_ð &amp;ý&amp;†ýG_x0008_ X&#10;_x0007__x0001__x0001_ 7" xfId="917"/>
    <cellStyle name="þ_x001d_ð &amp;ý&amp;†ýG_x0008_ X&#10;_x0007__x0001__x0001_ 7 2" xfId="4841"/>
    <cellStyle name="þ_x001d_ð &amp;ý&amp;†ýG_x0008_ X&#10;_x0007__x0001__x0001_ 8" xfId="3934"/>
    <cellStyle name="þ_x001d_ð &amp;ý&amp;†ýG_x0008_ X&#10;_x0007__x0001__x0001_ 8 2" xfId="7794"/>
    <cellStyle name="þ_x001d_ð &amp;ý&amp;†ýG_x0008_ X&#10;_x0007__x0001__x0001_ 9" xfId="18845"/>
    <cellStyle name="þ_x001d_ð&quot;_x000c_Býò_x000c_5ýU_x0001_e_x0005_¹,_x0007__x0001__x0001_" xfId="3935"/>
    <cellStyle name="þ_x001d_ð&quot;_x000c_Býò_x000c_5ýU_x0001_e_x0005_¹,_x0007__x0001__x0001_ 10" xfId="18846"/>
    <cellStyle name="þ_x001d_ð&quot;_x000c_Býò_x000c_5ýU_x0001_e_x0005_¹,_x0007__x0001__x0001_ 11" xfId="18847"/>
    <cellStyle name="þ_x001d_ð&quot;_x000c_Býò_x000c_5ýU_x0001_e_x0005_¹,_x0007__x0001__x0001_ 12" xfId="18848"/>
    <cellStyle name="þ_x001d_ð&quot;_x000c_Býò_x000c_5ýU_x0001_e_x0005_¹,_x0007__x0001__x0001_ 13" xfId="18849"/>
    <cellStyle name="þ_x001d_ð&quot;_x000c_Býò_x000c_5ýU_x0001_e_x0005_¹,_x0007__x0001__x0001_ 14" xfId="18850"/>
    <cellStyle name="þ_x001d_ð&quot;_x000c_Býò_x000c_5ýU_x0001_e_x0005_¹,_x0007__x0001__x0001_ 15" xfId="18851"/>
    <cellStyle name="þ_x001d_ð&quot;_x000c_Býò_x000c_5ýU_x0001_e_x0005_¹,_x0007__x0001__x0001_ 16" xfId="18852"/>
    <cellStyle name="þ_x001d_ð&quot;_x000c_Býò_x000c_5ýU_x0001_e_x0005_¹,_x0007__x0001__x0001_ 17" xfId="18853"/>
    <cellStyle name="þ_x001d_ð&quot;_x000c_Býò_x000c_5ýU_x0001_e_x0005_¹,_x0007__x0001__x0001_ 18" xfId="7795"/>
    <cellStyle name="þ_x001d_ð&quot;_x000c_Býò_x000c_5ýU_x0001_e_x0005_¹,_x0007__x0001__x0001_ 2" xfId="3936"/>
    <cellStyle name="þ_x001d_ð&quot;_x000c_Býò_x000c_5ýU_x0001_e_x0005_¹,_x0007__x0001__x0001_ 2 2" xfId="7796"/>
    <cellStyle name="þ_x001d_ð&quot;_x000c_Býò_x000c_5ýU_x0001_e_x0005_¹,_x0007__x0001__x0001_ 3" xfId="3937"/>
    <cellStyle name="þ_x001d_ð&quot;_x000c_Býò_x000c_5ýU_x0001_e_x0005_¹,_x0007__x0001__x0001_ 3 2" xfId="7797"/>
    <cellStyle name="þ_x001d_ð&quot;_x000c_Býò_x000c_5ýU_x0001_e_x0005_¹,_x0007__x0001__x0001_ 4" xfId="3938"/>
    <cellStyle name="þ_x001d_ð&quot;_x000c_Býò_x000c_5ýU_x0001_e_x0005_¹,_x0007__x0001__x0001_ 4 2" xfId="7798"/>
    <cellStyle name="þ_x001d_ð&quot;_x000c_Býò_x000c_5ýU_x0001_e_x0005_¹,_x0007__x0001__x0001_ 5" xfId="3939"/>
    <cellStyle name="þ_x001d_ð&quot;_x000c_Býò_x000c_5ýU_x0001_e_x0005_¹,_x0007__x0001__x0001_ 5 2" xfId="7799"/>
    <cellStyle name="þ_x001d_ð&quot;_x000c_Býò_x000c_5ýU_x0001_e_x0005_¹,_x0007__x0001__x0001_ 6" xfId="3940"/>
    <cellStyle name="þ_x001d_ð&quot;_x000c_Býò_x000c_5ýU_x0001_e_x0005_¹,_x0007__x0001__x0001_ 6 2" xfId="7800"/>
    <cellStyle name="þ_x001d_ð&quot;_x000c_Býò_x000c_5ýU_x0001_e_x0005_¹,_x0007__x0001__x0001_ 7" xfId="3941"/>
    <cellStyle name="þ_x001d_ð&quot;_x000c_Býò_x000c_5ýU_x0001_e_x0005_¹,_x0007__x0001__x0001_ 7 2" xfId="7801"/>
    <cellStyle name="þ_x001d_ð&quot;_x000c_Býò_x000c_5ýU_x0001_e_x0005_¹,_x0007__x0001__x0001_ 8" xfId="3942"/>
    <cellStyle name="þ_x001d_ð&quot;_x000c_Býò_x000c_5ýU_x0001_e_x0005_¹,_x0007__x0001__x0001_ 8 2" xfId="7802"/>
    <cellStyle name="þ_x001d_ð&quot;_x000c_Býò_x000c_5ýU_x0001_e_x0005_¹,_x0007__x0001__x0001_ 9" xfId="18854"/>
    <cellStyle name="þ_x001d_ð&quot;_x000c_Býò_x000c_5ýU_x0001_e_x0005_¹,_x0007__x0001__x0001__2015-16 MASTER CC ROAD &amp; DRAIN" xfId="18855"/>
    <cellStyle name="Times New Roman" xfId="369"/>
    <cellStyle name="Times New Roman 2" xfId="1962"/>
    <cellStyle name="Times New Roman 2 2" xfId="5867"/>
    <cellStyle name="Times New Roman 3" xfId="1965"/>
    <cellStyle name="Times New Roman 3 2" xfId="5870"/>
    <cellStyle name="Times New Roman 4" xfId="4308"/>
    <cellStyle name="Title 2" xfId="2385"/>
    <cellStyle name="Title 2 2" xfId="3943"/>
    <cellStyle name="Title 2 2 2" xfId="7803"/>
    <cellStyle name="Title 2 3" xfId="3746"/>
    <cellStyle name="Title 2 3 2" xfId="7623"/>
    <cellStyle name="Title 2 4" xfId="6280"/>
    <cellStyle name="Title 3" xfId="2387"/>
    <cellStyle name="Title 3 2" xfId="6282"/>
    <cellStyle name="Title 4" xfId="18856"/>
    <cellStyle name="Title 5" xfId="18857"/>
    <cellStyle name="Total 2" xfId="3623"/>
    <cellStyle name="Total 2 2" xfId="1872"/>
    <cellStyle name="Total 2 2 2" xfId="5780"/>
    <cellStyle name="Total 2 3" xfId="624"/>
    <cellStyle name="Total 2 3 2" xfId="4560"/>
    <cellStyle name="Total 2 4" xfId="7503"/>
    <cellStyle name="Total 3" xfId="3625"/>
    <cellStyle name="Total 3 2" xfId="7505"/>
    <cellStyle name="Total 4" xfId="18858"/>
    <cellStyle name="Total 5" xfId="18859"/>
    <cellStyle name="TRS" xfId="18860"/>
    <cellStyle name="v" xfId="18861"/>
    <cellStyle name="v_25-8-2010  ABS &amp; Det" xfId="18862"/>
    <cellStyle name="v_Deverkadra 13.00" xfId="18863"/>
    <cellStyle name="v_Hajilapur 1.00 ( Bore well )" xfId="18864"/>
    <cellStyle name="v_Working Estimate 10.00" xfId="18865"/>
    <cellStyle name="Value" xfId="1034"/>
    <cellStyle name="Value 10" xfId="3944"/>
    <cellStyle name="Value 10 10" xfId="18866"/>
    <cellStyle name="Value 10 11" xfId="18867"/>
    <cellStyle name="Value 10 12" xfId="18868"/>
    <cellStyle name="Value 10 13" xfId="18869"/>
    <cellStyle name="Value 10 14" xfId="18870"/>
    <cellStyle name="Value 10 15" xfId="18871"/>
    <cellStyle name="Value 10 16" xfId="18872"/>
    <cellStyle name="Value 10 17" xfId="18873"/>
    <cellStyle name="Value 10 18" xfId="7804"/>
    <cellStyle name="Value 10 2" xfId="3160"/>
    <cellStyle name="Value 10 2 2" xfId="7045"/>
    <cellStyle name="Value 10 3" xfId="3162"/>
    <cellStyle name="Value 10 3 2" xfId="7047"/>
    <cellStyle name="Value 10 4" xfId="3945"/>
    <cellStyle name="Value 10 4 2" xfId="7805"/>
    <cellStyle name="Value 10 5" xfId="3946"/>
    <cellStyle name="Value 10 5 2" xfId="7806"/>
    <cellStyle name="Value 10 6" xfId="3947"/>
    <cellStyle name="Value 10 6 2" xfId="7807"/>
    <cellStyle name="Value 10 7" xfId="3948"/>
    <cellStyle name="Value 10 7 2" xfId="7808"/>
    <cellStyle name="Value 10 8" xfId="3949"/>
    <cellStyle name="Value 10 8 2" xfId="7809"/>
    <cellStyle name="Value 10 9" xfId="18874"/>
    <cellStyle name="Value 11" xfId="3950"/>
    <cellStyle name="Value 11 2" xfId="7810"/>
    <cellStyle name="Value 12" xfId="3951"/>
    <cellStyle name="Value 12 2" xfId="7811"/>
    <cellStyle name="Value 13" xfId="3952"/>
    <cellStyle name="Value 13 2" xfId="7812"/>
    <cellStyle name="Value 14" xfId="3953"/>
    <cellStyle name="Value 14 2" xfId="7813"/>
    <cellStyle name="Value 15" xfId="3954"/>
    <cellStyle name="Value 15 2" xfId="7814"/>
    <cellStyle name="Value 16" xfId="3955"/>
    <cellStyle name="Value 16 2" xfId="7815"/>
    <cellStyle name="Value 17" xfId="3956"/>
    <cellStyle name="Value 17 2" xfId="7816"/>
    <cellStyle name="Value 18" xfId="18875"/>
    <cellStyle name="Value 19" xfId="18876"/>
    <cellStyle name="Value 2" xfId="2093"/>
    <cellStyle name="Value 2 10" xfId="18877"/>
    <cellStyle name="Value 2 11" xfId="18878"/>
    <cellStyle name="Value 2 12" xfId="18879"/>
    <cellStyle name="Value 2 13" xfId="18880"/>
    <cellStyle name="Value 2 14" xfId="18881"/>
    <cellStyle name="Value 2 15" xfId="18882"/>
    <cellStyle name="Value 2 16" xfId="18883"/>
    <cellStyle name="Value 2 17" xfId="18884"/>
    <cellStyle name="Value 2 18" xfId="5996"/>
    <cellStyle name="Value 2 2" xfId="3189"/>
    <cellStyle name="Value 2 2 2" xfId="7074"/>
    <cellStyle name="Value 2 3" xfId="37"/>
    <cellStyle name="Value 2 3 2" xfId="3991"/>
    <cellStyle name="Value 2 4" xfId="3205"/>
    <cellStyle name="Value 2 4 2" xfId="7090"/>
    <cellStyle name="Value 2 5" xfId="3210"/>
    <cellStyle name="Value 2 5 2" xfId="7095"/>
    <cellStyle name="Value 2 6" xfId="3217"/>
    <cellStyle name="Value 2 6 2" xfId="7103"/>
    <cellStyle name="Value 2 7" xfId="39"/>
    <cellStyle name="Value 2 7 2" xfId="3995"/>
    <cellStyle name="Value 2 8" xfId="3228"/>
    <cellStyle name="Value 2 8 2" xfId="7113"/>
    <cellStyle name="Value 2 9" xfId="18885"/>
    <cellStyle name="Value 20" xfId="18886"/>
    <cellStyle name="Value 21" xfId="18887"/>
    <cellStyle name="Value 22" xfId="18888"/>
    <cellStyle name="Value 23" xfId="18889"/>
    <cellStyle name="Value 24" xfId="18890"/>
    <cellStyle name="Value 25" xfId="18891"/>
    <cellStyle name="Value 26" xfId="18892"/>
    <cellStyle name="Value 27" xfId="4955"/>
    <cellStyle name="Value 3" xfId="2096"/>
    <cellStyle name="Value 3 10" xfId="18893"/>
    <cellStyle name="Value 3 11" xfId="18894"/>
    <cellStyle name="Value 3 12" xfId="18895"/>
    <cellStyle name="Value 3 13" xfId="18896"/>
    <cellStyle name="Value 3 14" xfId="18897"/>
    <cellStyle name="Value 3 15" xfId="18898"/>
    <cellStyle name="Value 3 16" xfId="18899"/>
    <cellStyle name="Value 3 17" xfId="18900"/>
    <cellStyle name="Value 3 18" xfId="5999"/>
    <cellStyle name="Value 3 2" xfId="3235"/>
    <cellStyle name="Value 3 2 2" xfId="7120"/>
    <cellStyle name="Value 3 3" xfId="3237"/>
    <cellStyle name="Value 3 3 2" xfId="7122"/>
    <cellStyle name="Value 3 4" xfId="3239"/>
    <cellStyle name="Value 3 4 2" xfId="7124"/>
    <cellStyle name="Value 3 5" xfId="3241"/>
    <cellStyle name="Value 3 5 2" xfId="7126"/>
    <cellStyle name="Value 3 6" xfId="3243"/>
    <cellStyle name="Value 3 6 2" xfId="7129"/>
    <cellStyle name="Value 3 7" xfId="3246"/>
    <cellStyle name="Value 3 7 2" xfId="7132"/>
    <cellStyle name="Value 3 8" xfId="3957"/>
    <cellStyle name="Value 3 8 2" xfId="7817"/>
    <cellStyle name="Value 3 9" xfId="18901"/>
    <cellStyle name="Value 4" xfId="2101"/>
    <cellStyle name="Value 4 10" xfId="18902"/>
    <cellStyle name="Value 4 11" xfId="18903"/>
    <cellStyle name="Value 4 12" xfId="18904"/>
    <cellStyle name="Value 4 13" xfId="18905"/>
    <cellStyle name="Value 4 14" xfId="18906"/>
    <cellStyle name="Value 4 15" xfId="18907"/>
    <cellStyle name="Value 4 16" xfId="18908"/>
    <cellStyle name="Value 4 17" xfId="18909"/>
    <cellStyle name="Value 4 18" xfId="6004"/>
    <cellStyle name="Value 4 2" xfId="3252"/>
    <cellStyle name="Value 4 2 2" xfId="7137"/>
    <cellStyle name="Value 4 3" xfId="3254"/>
    <cellStyle name="Value 4 3 2" xfId="7139"/>
    <cellStyle name="Value 4 4" xfId="3257"/>
    <cellStyle name="Value 4 4 2" xfId="7141"/>
    <cellStyle name="Value 4 5" xfId="3260"/>
    <cellStyle name="Value 4 5 2" xfId="7143"/>
    <cellStyle name="Value 4 6" xfId="3262"/>
    <cellStyle name="Value 4 6 2" xfId="7146"/>
    <cellStyle name="Value 4 7" xfId="3265"/>
    <cellStyle name="Value 4 7 2" xfId="7149"/>
    <cellStyle name="Value 4 8" xfId="3958"/>
    <cellStyle name="Value 4 8 2" xfId="7818"/>
    <cellStyle name="Value 4 9" xfId="18910"/>
    <cellStyle name="Value 5" xfId="1604"/>
    <cellStyle name="Value 5 10" xfId="18911"/>
    <cellStyle name="Value 5 11" xfId="18912"/>
    <cellStyle name="Value 5 12" xfId="18913"/>
    <cellStyle name="Value 5 13" xfId="18914"/>
    <cellStyle name="Value 5 14" xfId="18915"/>
    <cellStyle name="Value 5 15" xfId="18916"/>
    <cellStyle name="Value 5 16" xfId="18917"/>
    <cellStyle name="Value 5 17" xfId="18918"/>
    <cellStyle name="Value 5 18" xfId="5523"/>
    <cellStyle name="Value 5 2" xfId="3272"/>
    <cellStyle name="Value 5 2 2" xfId="7155"/>
    <cellStyle name="Value 5 3" xfId="3274"/>
    <cellStyle name="Value 5 3 2" xfId="7158"/>
    <cellStyle name="Value 5 4" xfId="3277"/>
    <cellStyle name="Value 5 4 2" xfId="7160"/>
    <cellStyle name="Value 5 5" xfId="3279"/>
    <cellStyle name="Value 5 5 2" xfId="7162"/>
    <cellStyle name="Value 5 6" xfId="3281"/>
    <cellStyle name="Value 5 6 2" xfId="7164"/>
    <cellStyle name="Value 5 7" xfId="3283"/>
    <cellStyle name="Value 5 7 2" xfId="7166"/>
    <cellStyle name="Value 5 8" xfId="3959"/>
    <cellStyle name="Value 5 8 2" xfId="7819"/>
    <cellStyle name="Value 5 9" xfId="18919"/>
    <cellStyle name="Value 6" xfId="1611"/>
    <cellStyle name="Value 6 10" xfId="18920"/>
    <cellStyle name="Value 6 11" xfId="18921"/>
    <cellStyle name="Value 6 12" xfId="18922"/>
    <cellStyle name="Value 6 13" xfId="18923"/>
    <cellStyle name="Value 6 14" xfId="18924"/>
    <cellStyle name="Value 6 15" xfId="18925"/>
    <cellStyle name="Value 6 16" xfId="18926"/>
    <cellStyle name="Value 6 17" xfId="18927"/>
    <cellStyle name="Value 6 18" xfId="5530"/>
    <cellStyle name="Value 6 2" xfId="3289"/>
    <cellStyle name="Value 6 2 2" xfId="7172"/>
    <cellStyle name="Value 6 3" xfId="3291"/>
    <cellStyle name="Value 6 3 2" xfId="7174"/>
    <cellStyle name="Value 6 4" xfId="3293"/>
    <cellStyle name="Value 6 4 2" xfId="7176"/>
    <cellStyle name="Value 6 5" xfId="3295"/>
    <cellStyle name="Value 6 5 2" xfId="7178"/>
    <cellStyle name="Value 6 6" xfId="3297"/>
    <cellStyle name="Value 6 6 2" xfId="7181"/>
    <cellStyle name="Value 6 7" xfId="3300"/>
    <cellStyle name="Value 6 7 2" xfId="7184"/>
    <cellStyle name="Value 6 8" xfId="3960"/>
    <cellStyle name="Value 6 8 2" xfId="7820"/>
    <cellStyle name="Value 6 9" xfId="18928"/>
    <cellStyle name="Value 7" xfId="2106"/>
    <cellStyle name="Value 7 10" xfId="18929"/>
    <cellStyle name="Value 7 11" xfId="18930"/>
    <cellStyle name="Value 7 12" xfId="18931"/>
    <cellStyle name="Value 7 13" xfId="18932"/>
    <cellStyle name="Value 7 14" xfId="18933"/>
    <cellStyle name="Value 7 15" xfId="18934"/>
    <cellStyle name="Value 7 16" xfId="18935"/>
    <cellStyle name="Value 7 17" xfId="18936"/>
    <cellStyle name="Value 7 18" xfId="6009"/>
    <cellStyle name="Value 7 2" xfId="3307"/>
    <cellStyle name="Value 7 2 2" xfId="7191"/>
    <cellStyle name="Value 7 3" xfId="3310"/>
    <cellStyle name="Value 7 3 2" xfId="7194"/>
    <cellStyle name="Value 7 4" xfId="3313"/>
    <cellStyle name="Value 7 4 2" xfId="7197"/>
    <cellStyle name="Value 7 5" xfId="3316"/>
    <cellStyle name="Value 7 5 2" xfId="7200"/>
    <cellStyle name="Value 7 6" xfId="3319"/>
    <cellStyle name="Value 7 6 2" xfId="7203"/>
    <cellStyle name="Value 7 7" xfId="3322"/>
    <cellStyle name="Value 7 7 2" xfId="7205"/>
    <cellStyle name="Value 7 8" xfId="3961"/>
    <cellStyle name="Value 7 8 2" xfId="7821"/>
    <cellStyle name="Value 7 9" xfId="18937"/>
    <cellStyle name="Value 8" xfId="2512"/>
    <cellStyle name="Value 8 10" xfId="18938"/>
    <cellStyle name="Value 8 11" xfId="18939"/>
    <cellStyle name="Value 8 12" xfId="18940"/>
    <cellStyle name="Value 8 13" xfId="18941"/>
    <cellStyle name="Value 8 14" xfId="18942"/>
    <cellStyle name="Value 8 15" xfId="18943"/>
    <cellStyle name="Value 8 16" xfId="18944"/>
    <cellStyle name="Value 8 17" xfId="18945"/>
    <cellStyle name="Value 8 18" xfId="6408"/>
    <cellStyle name="Value 8 2" xfId="3327"/>
    <cellStyle name="Value 8 2 2" xfId="7210"/>
    <cellStyle name="Value 8 3" xfId="3329"/>
    <cellStyle name="Value 8 3 2" xfId="7212"/>
    <cellStyle name="Value 8 4" xfId="3331"/>
    <cellStyle name="Value 8 4 2" xfId="7214"/>
    <cellStyle name="Value 8 5" xfId="3333"/>
    <cellStyle name="Value 8 5 2" xfId="7216"/>
    <cellStyle name="Value 8 6" xfId="3335"/>
    <cellStyle name="Value 8 6 2" xfId="7218"/>
    <cellStyle name="Value 8 7" xfId="3337"/>
    <cellStyle name="Value 8 7 2" xfId="7220"/>
    <cellStyle name="Value 8 8" xfId="757"/>
    <cellStyle name="Value 8 8 2" xfId="4682"/>
    <cellStyle name="Value 8 9" xfId="18946"/>
    <cellStyle name="Value 9" xfId="3112"/>
    <cellStyle name="Value 9 10" xfId="18947"/>
    <cellStyle name="Value 9 11" xfId="18948"/>
    <cellStyle name="Value 9 12" xfId="18949"/>
    <cellStyle name="Value 9 13" xfId="18950"/>
    <cellStyle name="Value 9 14" xfId="18951"/>
    <cellStyle name="Value 9 15" xfId="18952"/>
    <cellStyle name="Value 9 16" xfId="18953"/>
    <cellStyle name="Value 9 17" xfId="18954"/>
    <cellStyle name="Value 9 18" xfId="6997"/>
    <cellStyle name="Value 9 2" xfId="3341"/>
    <cellStyle name="Value 9 2 2" xfId="7224"/>
    <cellStyle name="Value 9 3" xfId="3343"/>
    <cellStyle name="Value 9 3 2" xfId="7226"/>
    <cellStyle name="Value 9 4" xfId="3345"/>
    <cellStyle name="Value 9 4 2" xfId="7228"/>
    <cellStyle name="Value 9 5" xfId="3348"/>
    <cellStyle name="Value 9 5 2" xfId="7230"/>
    <cellStyle name="Value 9 6" xfId="3350"/>
    <cellStyle name="Value 9 6 2" xfId="7232"/>
    <cellStyle name="Value 9 7" xfId="3352"/>
    <cellStyle name="Value 9 7 2" xfId="7234"/>
    <cellStyle name="Value 9 8" xfId="3962"/>
    <cellStyle name="Value 9 8 2" xfId="7822"/>
    <cellStyle name="Value 9 9" xfId="18955"/>
    <cellStyle name="Value_Achampally-Gattubuthkur-Ganga-CRR" xfId="473"/>
    <cellStyle name="Warning Text 2" xfId="3613"/>
    <cellStyle name="Warning Text 2 2" xfId="778"/>
    <cellStyle name="Warning Text 2 2 2" xfId="4704"/>
    <cellStyle name="Warning Text 2 3" xfId="2941"/>
    <cellStyle name="Warning Text 2 3 2" xfId="6828"/>
    <cellStyle name="Warning Text 2 4" xfId="7493"/>
    <cellStyle name="Warning Text 3" xfId="3615"/>
    <cellStyle name="Warning Text 3 2" xfId="7495"/>
    <cellStyle name="Warning Text 4" xfId="18956"/>
    <cellStyle name="Warning Text 5" xfId="18957"/>
    <cellStyle name="సాధారణ_Copy of Model estimate-Basnapally--07-05-06-Final" xfId="3963"/>
  </cellStyles>
  <dxfs count="42">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
      <fill>
        <patternFill patternType="solid">
          <bgColor rgb="FFFFFF00"/>
        </patternFill>
      </fill>
    </dxf>
    <dxf>
      <font>
        <color theme="0"/>
      </font>
    </dxf>
    <dxf>
      <font>
        <color theme="0"/>
      </font>
    </dxf>
    <dxf>
      <font>
        <color rgb="FFFF0000"/>
      </font>
      <numFmt numFmtId="2" formatCode="0.00"/>
    </dxf>
    <dxf>
      <font>
        <color rgb="FF0000FF"/>
      </font>
    </dxf>
    <dxf>
      <font>
        <color rgb="FF0000FF"/>
      </font>
      <fill>
        <patternFill patternType="solid">
          <bgColor rgb="FFFF0000"/>
        </patternFill>
      </fill>
    </dxf>
    <dxf>
      <font>
        <color theme="0"/>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
      <font>
        <color indexed="9"/>
      </font>
    </dxf>
  </dxfs>
  <tableStyles count="0" defaultTableStyle="TableStyleMedium9" defaultPivotStyle="PivotStyleLight16"/>
  <colors>
    <mruColors>
      <color rgb="FFCCECFF"/>
      <color rgb="FF66FFFF"/>
      <color rgb="FF0000FF"/>
      <color rgb="FFFF00FF"/>
      <color rgb="FFFF0066"/>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externalLink" Target="externalLinks/externalLink2.xml"/><Relationship Id="rId55"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externalLink" Target="externalLinks/externalLink5.xml"/><Relationship Id="rId58"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externalLink" Target="externalLinks/externalLink1.xml"/><Relationship Id="rId57"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externalLink" Target="externalLinks/externalLink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externalLink" Target="externalLinks/externalLink3.xml"/><Relationship Id="rId3" Type="http://schemas.openxmlformats.org/officeDocument/2006/relationships/worksheet" Target="worksheets/sheet3.xml"/></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14</xdr:col>
      <xdr:colOff>289242</xdr:colOff>
      <xdr:row>0</xdr:row>
      <xdr:rowOff>323532</xdr:rowOff>
    </xdr:from>
    <xdr:to>
      <xdr:col>16</xdr:col>
      <xdr:colOff>64452</xdr:colOff>
      <xdr:row>2</xdr:row>
      <xdr:rowOff>266382</xdr:rowOff>
    </xdr:to>
    <xdr:sp macro="" textlink="">
      <xdr:nvSpPr>
        <xdr:cNvPr id="2" name="PubHalfFrame">
          <a:extLst>
            <a:ext uri="{FF2B5EF4-FFF2-40B4-BE49-F238E27FC236}">
              <a16:creationId xmlns:a16="http://schemas.microsoft.com/office/drawing/2014/main" xmlns="" id="{00000000-0008-0000-0500-000002000000}"/>
            </a:ext>
          </a:extLst>
        </xdr:cNvPr>
        <xdr:cNvSpPr>
          <a:spLocks noEditPoints="1" noChangeArrowheads="1"/>
        </xdr:cNvSpPr>
      </xdr:nvSpPr>
      <xdr:spPr>
        <a:xfrm rot="5400000">
          <a:off x="5238750" y="325755"/>
          <a:ext cx="590550" cy="584835"/>
        </a:xfrm>
        <a:custGeom>
          <a:avLst/>
          <a:gdLst>
            <a:gd name="T0" fmla="*/ 2147483647 w 21600"/>
            <a:gd name="T1" fmla="*/ 0 h 21600"/>
            <a:gd name="T2" fmla="*/ 0 w 21600"/>
            <a:gd name="T3" fmla="*/ 2147483647 h 21600"/>
            <a:gd name="T4" fmla="*/ 2147483647 w 21600"/>
            <a:gd name="T5" fmla="*/ 2147483647 h 21600"/>
            <a:gd name="T6" fmla="*/ 2147483647 w 21600"/>
            <a:gd name="T7" fmla="*/ 2147483647 h 21600"/>
            <a:gd name="T8" fmla="*/ 17694720 60000 65536"/>
            <a:gd name="T9" fmla="*/ 11796480 60000 65536"/>
            <a:gd name="T10" fmla="*/ 5898240 60000 65536"/>
            <a:gd name="T11" fmla="*/ 0 60000 65536"/>
            <a:gd name="T12" fmla="*/ 0 w 21600"/>
            <a:gd name="T13" fmla="*/ 0 h 21600"/>
            <a:gd name="T14" fmla="*/ 15330 w 21600"/>
            <a:gd name="T15" fmla="*/ 6270 h 21600"/>
          </a:gdLst>
          <a:ahLst/>
          <a:cxnLst>
            <a:cxn ang="T8">
              <a:pos x="T0" y="T1"/>
            </a:cxn>
            <a:cxn ang="T9">
              <a:pos x="T2" y="T3"/>
            </a:cxn>
            <a:cxn ang="T10">
              <a:pos x="T4" y="T5"/>
            </a:cxn>
            <a:cxn ang="T11">
              <a:pos x="T6" y="T7"/>
            </a:cxn>
          </a:cxnLst>
          <a:rect l="T12" t="T13" r="T14" b="T15"/>
          <a:pathLst>
            <a:path w="21600" h="21600">
              <a:moveTo>
                <a:pt x="0" y="0"/>
              </a:moveTo>
              <a:lnTo>
                <a:pt x="0" y="21600"/>
              </a:lnTo>
              <a:lnTo>
                <a:pt x="7200" y="14400"/>
              </a:lnTo>
              <a:lnTo>
                <a:pt x="7200" y="6270"/>
              </a:lnTo>
              <a:lnTo>
                <a:pt x="15330" y="6270"/>
              </a:lnTo>
              <a:lnTo>
                <a:pt x="21600" y="0"/>
              </a:lnTo>
              <a:lnTo>
                <a:pt x="0" y="0"/>
              </a:lnTo>
              <a:close/>
            </a:path>
          </a:pathLst>
        </a:custGeom>
        <a:solidFill>
          <a:srgbClr val="008000"/>
        </a:solidFill>
        <a:ln w="19050">
          <a:solidFill>
            <a:srgbClr val="FFFF00"/>
          </a:solidFill>
          <a:miter lim="800000"/>
        </a:ln>
        <a:effectLst>
          <a:outerShdw dist="107763" dir="2700000" algn="ctr" rotWithShape="0">
            <a:srgbClr val="808080"/>
          </a:outerShdw>
        </a:effectLst>
      </xdr:spPr>
    </xdr:sp>
    <xdr:clientData/>
  </xdr:twoCellAnchor>
  <xdr:twoCellAnchor>
    <xdr:from>
      <xdr:col>0</xdr:col>
      <xdr:colOff>323850</xdr:colOff>
      <xdr:row>1</xdr:row>
      <xdr:rowOff>0</xdr:rowOff>
    </xdr:from>
    <xdr:to>
      <xdr:col>2</xdr:col>
      <xdr:colOff>194404</xdr:colOff>
      <xdr:row>2</xdr:row>
      <xdr:rowOff>266700</xdr:rowOff>
    </xdr:to>
    <xdr:sp macro="" textlink="">
      <xdr:nvSpPr>
        <xdr:cNvPr id="3" name="PubHalfFrame">
          <a:extLst>
            <a:ext uri="{FF2B5EF4-FFF2-40B4-BE49-F238E27FC236}">
              <a16:creationId xmlns:a16="http://schemas.microsoft.com/office/drawing/2014/main" xmlns="" id="{00000000-0008-0000-0500-000003000000}"/>
            </a:ext>
          </a:extLst>
        </xdr:cNvPr>
        <xdr:cNvSpPr>
          <a:spLocks noEditPoints="1" noChangeArrowheads="1"/>
        </xdr:cNvSpPr>
      </xdr:nvSpPr>
      <xdr:spPr>
        <a:xfrm rot="5400000" flipV="1">
          <a:off x="316230" y="330835"/>
          <a:ext cx="590550" cy="575945"/>
        </a:xfrm>
        <a:custGeom>
          <a:avLst/>
          <a:gdLst>
            <a:gd name="T0" fmla="*/ 2147483647 w 21600"/>
            <a:gd name="T1" fmla="*/ 0 h 21600"/>
            <a:gd name="T2" fmla="*/ 0 w 21600"/>
            <a:gd name="T3" fmla="*/ 2147483647 h 21600"/>
            <a:gd name="T4" fmla="*/ 2147483647 w 21600"/>
            <a:gd name="T5" fmla="*/ 2147483647 h 21600"/>
            <a:gd name="T6" fmla="*/ 2147483647 w 21600"/>
            <a:gd name="T7" fmla="*/ 2147483647 h 21600"/>
            <a:gd name="T8" fmla="*/ 17694720 60000 65536"/>
            <a:gd name="T9" fmla="*/ 11796480 60000 65536"/>
            <a:gd name="T10" fmla="*/ 5898240 60000 65536"/>
            <a:gd name="T11" fmla="*/ 0 60000 65536"/>
            <a:gd name="T12" fmla="*/ 0 w 21600"/>
            <a:gd name="T13" fmla="*/ 0 h 21600"/>
            <a:gd name="T14" fmla="*/ 14400 w 21600"/>
            <a:gd name="T15" fmla="*/ 7200 h 21600"/>
          </a:gdLst>
          <a:ahLst/>
          <a:cxnLst>
            <a:cxn ang="T8">
              <a:pos x="T0" y="T1"/>
            </a:cxn>
            <a:cxn ang="T9">
              <a:pos x="T2" y="T3"/>
            </a:cxn>
            <a:cxn ang="T10">
              <a:pos x="T4" y="T5"/>
            </a:cxn>
            <a:cxn ang="T11">
              <a:pos x="T6" y="T7"/>
            </a:cxn>
          </a:cxnLst>
          <a:rect l="T12" t="T13" r="T14" b="T15"/>
          <a:pathLst>
            <a:path w="21600" h="21600">
              <a:moveTo>
                <a:pt x="0" y="0"/>
              </a:moveTo>
              <a:lnTo>
                <a:pt x="0" y="21600"/>
              </a:lnTo>
              <a:lnTo>
                <a:pt x="7200" y="14400"/>
              </a:lnTo>
              <a:lnTo>
                <a:pt x="7200" y="7200"/>
              </a:lnTo>
              <a:lnTo>
                <a:pt x="14400" y="7200"/>
              </a:lnTo>
              <a:lnTo>
                <a:pt x="21600" y="0"/>
              </a:lnTo>
              <a:lnTo>
                <a:pt x="0" y="0"/>
              </a:lnTo>
              <a:close/>
            </a:path>
          </a:pathLst>
        </a:custGeom>
        <a:solidFill>
          <a:srgbClr val="008000"/>
        </a:solidFill>
        <a:ln w="19050">
          <a:solidFill>
            <a:srgbClr val="FFFF00"/>
          </a:solidFill>
          <a:miter lim="800000"/>
        </a:ln>
        <a:effectLst>
          <a:outerShdw dist="107763" dir="2700000" algn="ctr" rotWithShape="0">
            <a:srgbClr val="808080"/>
          </a:outerShdw>
        </a:effectLst>
      </xdr:spPr>
    </xdr:sp>
    <xdr:clientData/>
  </xdr:twoCellAnchor>
  <xdr:twoCellAnchor>
    <xdr:from>
      <xdr:col>14</xdr:col>
      <xdr:colOff>227647</xdr:colOff>
      <xdr:row>28</xdr:row>
      <xdr:rowOff>6667</xdr:rowOff>
    </xdr:from>
    <xdr:to>
      <xdr:col>16</xdr:col>
      <xdr:colOff>18097</xdr:colOff>
      <xdr:row>30</xdr:row>
      <xdr:rowOff>10477</xdr:rowOff>
    </xdr:to>
    <xdr:sp macro="" textlink="">
      <xdr:nvSpPr>
        <xdr:cNvPr id="4" name="PubHalfFrame">
          <a:extLst>
            <a:ext uri="{FF2B5EF4-FFF2-40B4-BE49-F238E27FC236}">
              <a16:creationId xmlns:a16="http://schemas.microsoft.com/office/drawing/2014/main" xmlns="" id="{00000000-0008-0000-0500-000004000000}"/>
            </a:ext>
          </a:extLst>
        </xdr:cNvPr>
        <xdr:cNvSpPr>
          <a:spLocks noEditPoints="1" noChangeArrowheads="1"/>
        </xdr:cNvSpPr>
      </xdr:nvSpPr>
      <xdr:spPr>
        <a:xfrm rot="5400000" flipH="1">
          <a:off x="5125720" y="7870825"/>
          <a:ext cx="708660" cy="600075"/>
        </a:xfrm>
        <a:custGeom>
          <a:avLst/>
          <a:gdLst>
            <a:gd name="T0" fmla="*/ 2147483647 w 21600"/>
            <a:gd name="T1" fmla="*/ 0 h 21600"/>
            <a:gd name="T2" fmla="*/ 0 w 21600"/>
            <a:gd name="T3" fmla="*/ 2147483647 h 21600"/>
            <a:gd name="T4" fmla="*/ 2147483647 w 21600"/>
            <a:gd name="T5" fmla="*/ 2147483647 h 21600"/>
            <a:gd name="T6" fmla="*/ 2147483647 w 21600"/>
            <a:gd name="T7" fmla="*/ 2147483647 h 21600"/>
            <a:gd name="T8" fmla="*/ 17694720 60000 65536"/>
            <a:gd name="T9" fmla="*/ 11796480 60000 65536"/>
            <a:gd name="T10" fmla="*/ 5898240 60000 65536"/>
            <a:gd name="T11" fmla="*/ 0 60000 65536"/>
            <a:gd name="T12" fmla="*/ 0 w 21600"/>
            <a:gd name="T13" fmla="*/ 0 h 21600"/>
            <a:gd name="T14" fmla="*/ 14400 w 21600"/>
            <a:gd name="T15" fmla="*/ 7200 h 21600"/>
          </a:gdLst>
          <a:ahLst/>
          <a:cxnLst>
            <a:cxn ang="T8">
              <a:pos x="T0" y="T1"/>
            </a:cxn>
            <a:cxn ang="T9">
              <a:pos x="T2" y="T3"/>
            </a:cxn>
            <a:cxn ang="T10">
              <a:pos x="T4" y="T5"/>
            </a:cxn>
            <a:cxn ang="T11">
              <a:pos x="T6" y="T7"/>
            </a:cxn>
          </a:cxnLst>
          <a:rect l="T12" t="T13" r="T14" b="T15"/>
          <a:pathLst>
            <a:path w="21600" h="21600">
              <a:moveTo>
                <a:pt x="0" y="0"/>
              </a:moveTo>
              <a:lnTo>
                <a:pt x="0" y="21600"/>
              </a:lnTo>
              <a:lnTo>
                <a:pt x="7200" y="14400"/>
              </a:lnTo>
              <a:lnTo>
                <a:pt x="7200" y="7200"/>
              </a:lnTo>
              <a:lnTo>
                <a:pt x="14400" y="7200"/>
              </a:lnTo>
              <a:lnTo>
                <a:pt x="21600" y="0"/>
              </a:lnTo>
              <a:lnTo>
                <a:pt x="0" y="0"/>
              </a:lnTo>
              <a:close/>
            </a:path>
          </a:pathLst>
        </a:custGeom>
        <a:solidFill>
          <a:srgbClr val="008000"/>
        </a:solidFill>
        <a:ln w="19050">
          <a:solidFill>
            <a:srgbClr val="FFFF00"/>
          </a:solidFill>
          <a:miter lim="800000"/>
        </a:ln>
        <a:effectLst>
          <a:outerShdw dist="107763" dir="2700000" algn="ctr" rotWithShape="0">
            <a:srgbClr val="808080"/>
          </a:outerShdw>
        </a:effectLst>
      </xdr:spPr>
    </xdr:sp>
    <xdr:clientData/>
  </xdr:twoCellAnchor>
  <xdr:twoCellAnchor>
    <xdr:from>
      <xdr:col>0</xdr:col>
      <xdr:colOff>322897</xdr:colOff>
      <xdr:row>27</xdr:row>
      <xdr:rowOff>380047</xdr:rowOff>
    </xdr:from>
    <xdr:to>
      <xdr:col>2</xdr:col>
      <xdr:colOff>193992</xdr:colOff>
      <xdr:row>29</xdr:row>
      <xdr:rowOff>265747</xdr:rowOff>
    </xdr:to>
    <xdr:sp macro="" textlink="">
      <xdr:nvSpPr>
        <xdr:cNvPr id="5" name="PubHalfFrame">
          <a:extLst>
            <a:ext uri="{FF2B5EF4-FFF2-40B4-BE49-F238E27FC236}">
              <a16:creationId xmlns:a16="http://schemas.microsoft.com/office/drawing/2014/main" xmlns="" id="{00000000-0008-0000-0500-000005000000}"/>
            </a:ext>
          </a:extLst>
        </xdr:cNvPr>
        <xdr:cNvSpPr>
          <a:spLocks noEditPoints="1" noChangeArrowheads="1"/>
        </xdr:cNvSpPr>
      </xdr:nvSpPr>
      <xdr:spPr>
        <a:xfrm rot="-5400000">
          <a:off x="286385" y="7844790"/>
          <a:ext cx="647700" cy="575945"/>
        </a:xfrm>
        <a:custGeom>
          <a:avLst/>
          <a:gdLst>
            <a:gd name="T0" fmla="*/ 2147483647 w 21600"/>
            <a:gd name="T1" fmla="*/ 0 h 21600"/>
            <a:gd name="T2" fmla="*/ 0 w 21600"/>
            <a:gd name="T3" fmla="*/ 2147483647 h 21600"/>
            <a:gd name="T4" fmla="*/ 2147483647 w 21600"/>
            <a:gd name="T5" fmla="*/ 2147483647 h 21600"/>
            <a:gd name="T6" fmla="*/ 2147483647 w 21600"/>
            <a:gd name="T7" fmla="*/ 2147483647 h 21600"/>
            <a:gd name="T8" fmla="*/ 17694720 60000 65536"/>
            <a:gd name="T9" fmla="*/ 11796480 60000 65536"/>
            <a:gd name="T10" fmla="*/ 5898240 60000 65536"/>
            <a:gd name="T11" fmla="*/ 0 60000 65536"/>
            <a:gd name="T12" fmla="*/ 0 w 21600"/>
            <a:gd name="T13" fmla="*/ 0 h 21600"/>
            <a:gd name="T14" fmla="*/ 14400 w 21600"/>
            <a:gd name="T15" fmla="*/ 7200 h 21600"/>
          </a:gdLst>
          <a:ahLst/>
          <a:cxnLst>
            <a:cxn ang="T8">
              <a:pos x="T0" y="T1"/>
            </a:cxn>
            <a:cxn ang="T9">
              <a:pos x="T2" y="T3"/>
            </a:cxn>
            <a:cxn ang="T10">
              <a:pos x="T4" y="T5"/>
            </a:cxn>
            <a:cxn ang="T11">
              <a:pos x="T6" y="T7"/>
            </a:cxn>
          </a:cxnLst>
          <a:rect l="T12" t="T13" r="T14" b="T15"/>
          <a:pathLst>
            <a:path w="21600" h="21600">
              <a:moveTo>
                <a:pt x="0" y="0"/>
              </a:moveTo>
              <a:lnTo>
                <a:pt x="0" y="21600"/>
              </a:lnTo>
              <a:lnTo>
                <a:pt x="7200" y="14400"/>
              </a:lnTo>
              <a:lnTo>
                <a:pt x="7200" y="7200"/>
              </a:lnTo>
              <a:lnTo>
                <a:pt x="14400" y="7200"/>
              </a:lnTo>
              <a:lnTo>
                <a:pt x="21600" y="0"/>
              </a:lnTo>
              <a:lnTo>
                <a:pt x="0" y="0"/>
              </a:lnTo>
              <a:close/>
            </a:path>
          </a:pathLst>
        </a:custGeom>
        <a:solidFill>
          <a:srgbClr val="008000"/>
        </a:solidFill>
        <a:ln w="19050">
          <a:solidFill>
            <a:srgbClr val="FFFF00"/>
          </a:solidFill>
          <a:miter lim="800000"/>
        </a:ln>
        <a:effectLst>
          <a:outerShdw dist="107763" dir="2700000" algn="ctr" rotWithShape="0">
            <a:srgbClr val="808080"/>
          </a:outerShdw>
        </a:effectLst>
      </xdr:spPr>
    </xdr:sp>
    <xdr:clientData/>
  </xdr:twoCellAnchor>
  <xdr:twoCellAnchor>
    <xdr:from>
      <xdr:col>0</xdr:col>
      <xdr:colOff>200025</xdr:colOff>
      <xdr:row>0</xdr:row>
      <xdr:rowOff>190500</xdr:rowOff>
    </xdr:from>
    <xdr:to>
      <xdr:col>16</xdr:col>
      <xdr:colOff>152400</xdr:colOff>
      <xdr:row>30</xdr:row>
      <xdr:rowOff>142875</xdr:rowOff>
    </xdr:to>
    <xdr:sp macro="" textlink="">
      <xdr:nvSpPr>
        <xdr:cNvPr id="6" name="AutoShape 5">
          <a:extLst>
            <a:ext uri="{FF2B5EF4-FFF2-40B4-BE49-F238E27FC236}">
              <a16:creationId xmlns:a16="http://schemas.microsoft.com/office/drawing/2014/main" xmlns="" id="{00000000-0008-0000-0500-000006000000}"/>
            </a:ext>
          </a:extLst>
        </xdr:cNvPr>
        <xdr:cNvSpPr>
          <a:spLocks noChangeArrowheads="1"/>
        </xdr:cNvSpPr>
      </xdr:nvSpPr>
      <xdr:spPr>
        <a:xfrm>
          <a:off x="200025" y="190500"/>
          <a:ext cx="5715000" cy="8467725"/>
        </a:xfrm>
        <a:prstGeom prst="roundRect">
          <a:avLst>
            <a:gd name="adj" fmla="val 0"/>
          </a:avLst>
        </a:prstGeom>
        <a:noFill/>
        <a:ln w="44450">
          <a:solidFill>
            <a:srgbClr val="FF0000"/>
          </a:solidFill>
          <a:round/>
        </a:ln>
      </xdr:spPr>
    </xdr:sp>
    <xdr:clientData/>
  </xdr:twoCellAnchor>
  <xdr:twoCellAnchor>
    <xdr:from>
      <xdr:col>0</xdr:col>
      <xdr:colOff>285750</xdr:colOff>
      <xdr:row>0</xdr:row>
      <xdr:rowOff>266700</xdr:rowOff>
    </xdr:from>
    <xdr:to>
      <xdr:col>16</xdr:col>
      <xdr:colOff>95250</xdr:colOff>
      <xdr:row>30</xdr:row>
      <xdr:rowOff>66675</xdr:rowOff>
    </xdr:to>
    <xdr:sp macro="" textlink="">
      <xdr:nvSpPr>
        <xdr:cNvPr id="7" name="AutoShape 6">
          <a:extLst>
            <a:ext uri="{FF2B5EF4-FFF2-40B4-BE49-F238E27FC236}">
              <a16:creationId xmlns:a16="http://schemas.microsoft.com/office/drawing/2014/main" xmlns="" id="{00000000-0008-0000-0500-000007000000}"/>
            </a:ext>
          </a:extLst>
        </xdr:cNvPr>
        <xdr:cNvSpPr>
          <a:spLocks noChangeArrowheads="1"/>
        </xdr:cNvSpPr>
      </xdr:nvSpPr>
      <xdr:spPr>
        <a:xfrm>
          <a:off x="285750" y="266700"/>
          <a:ext cx="5572125" cy="8315325"/>
        </a:xfrm>
        <a:prstGeom prst="roundRect">
          <a:avLst>
            <a:gd name="adj" fmla="val 0"/>
          </a:avLst>
        </a:prstGeom>
        <a:noFill/>
        <a:ln w="28575">
          <a:solidFill>
            <a:srgbClr val="0000FF"/>
          </a:solidFill>
          <a:rou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66675</xdr:colOff>
      <xdr:row>15</xdr:row>
      <xdr:rowOff>76200</xdr:rowOff>
    </xdr:from>
    <xdr:to>
      <xdr:col>1</xdr:col>
      <xdr:colOff>138675</xdr:colOff>
      <xdr:row>15</xdr:row>
      <xdr:rowOff>148200</xdr:rowOff>
    </xdr:to>
    <xdr:sp macro="" textlink="">
      <xdr:nvSpPr>
        <xdr:cNvPr id="2" name="Chevron 1">
          <a:extLst>
            <a:ext uri="{FF2B5EF4-FFF2-40B4-BE49-F238E27FC236}">
              <a16:creationId xmlns:a16="http://schemas.microsoft.com/office/drawing/2014/main" xmlns="" id="{00000000-0008-0000-0700-000002000000}"/>
            </a:ext>
          </a:extLst>
        </xdr:cNvPr>
        <xdr:cNvSpPr/>
      </xdr:nvSpPr>
      <xdr:spPr>
        <a:xfrm>
          <a:off x="371475" y="4258945"/>
          <a:ext cx="71755" cy="71755"/>
        </a:xfrm>
        <a:prstGeom prst="chevron">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defPPr>
            <a:defRPr lang="en-US">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endParaRPr lang="en-IN" sz="1100">
            <a:solidFill>
              <a:schemeClr val="tx1"/>
            </a:solidFill>
          </a:endParaRPr>
        </a:p>
      </xdr:txBody>
    </xdr:sp>
    <xdr:clientData/>
  </xdr:twoCellAnchor>
  <xdr:twoCellAnchor>
    <xdr:from>
      <xdr:col>1</xdr:col>
      <xdr:colOff>57150</xdr:colOff>
      <xdr:row>16</xdr:row>
      <xdr:rowOff>57150</xdr:rowOff>
    </xdr:from>
    <xdr:to>
      <xdr:col>1</xdr:col>
      <xdr:colOff>129150</xdr:colOff>
      <xdr:row>16</xdr:row>
      <xdr:rowOff>129150</xdr:rowOff>
    </xdr:to>
    <xdr:sp macro="" textlink="">
      <xdr:nvSpPr>
        <xdr:cNvPr id="3" name="Chevron 2">
          <a:extLst>
            <a:ext uri="{FF2B5EF4-FFF2-40B4-BE49-F238E27FC236}">
              <a16:creationId xmlns:a16="http://schemas.microsoft.com/office/drawing/2014/main" xmlns="" id="{00000000-0008-0000-0700-000003000000}"/>
            </a:ext>
          </a:extLst>
        </xdr:cNvPr>
        <xdr:cNvSpPr/>
      </xdr:nvSpPr>
      <xdr:spPr>
        <a:xfrm>
          <a:off x="361950" y="4639945"/>
          <a:ext cx="71755" cy="71755"/>
        </a:xfrm>
        <a:prstGeom prst="chevron">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defPPr>
            <a:defRPr lang="en-US">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endParaRPr lang="en-IN" sz="1100">
            <a:solidFill>
              <a:schemeClr val="tx1"/>
            </a:solidFill>
          </a:endParaRPr>
        </a:p>
      </xdr:txBody>
    </xdr:sp>
    <xdr:clientData/>
  </xdr:twoCellAnchor>
  <xdr:twoCellAnchor>
    <xdr:from>
      <xdr:col>1</xdr:col>
      <xdr:colOff>66675</xdr:colOff>
      <xdr:row>17</xdr:row>
      <xdr:rowOff>66675</xdr:rowOff>
    </xdr:from>
    <xdr:to>
      <xdr:col>1</xdr:col>
      <xdr:colOff>138675</xdr:colOff>
      <xdr:row>17</xdr:row>
      <xdr:rowOff>138675</xdr:rowOff>
    </xdr:to>
    <xdr:sp macro="" textlink="">
      <xdr:nvSpPr>
        <xdr:cNvPr id="4" name="Chevron 3">
          <a:extLst>
            <a:ext uri="{FF2B5EF4-FFF2-40B4-BE49-F238E27FC236}">
              <a16:creationId xmlns:a16="http://schemas.microsoft.com/office/drawing/2014/main" xmlns="" id="{00000000-0008-0000-0700-000004000000}"/>
            </a:ext>
          </a:extLst>
        </xdr:cNvPr>
        <xdr:cNvSpPr/>
      </xdr:nvSpPr>
      <xdr:spPr>
        <a:xfrm>
          <a:off x="371475" y="4992370"/>
          <a:ext cx="71755" cy="71755"/>
        </a:xfrm>
        <a:prstGeom prst="chevron">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defPPr>
            <a:defRPr lang="en-US">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endParaRPr lang="en-IN" sz="1100">
            <a:solidFill>
              <a:schemeClr val="tx1"/>
            </a:solidFill>
          </a:endParaRPr>
        </a:p>
      </xdr:txBody>
    </xdr:sp>
    <xdr:clientData/>
  </xdr:twoCellAnchor>
  <xdr:twoCellAnchor>
    <xdr:from>
      <xdr:col>1</xdr:col>
      <xdr:colOff>76200</xdr:colOff>
      <xdr:row>18</xdr:row>
      <xdr:rowOff>57150</xdr:rowOff>
    </xdr:from>
    <xdr:to>
      <xdr:col>1</xdr:col>
      <xdr:colOff>148200</xdr:colOff>
      <xdr:row>18</xdr:row>
      <xdr:rowOff>129150</xdr:rowOff>
    </xdr:to>
    <xdr:sp macro="" textlink="">
      <xdr:nvSpPr>
        <xdr:cNvPr id="5" name="Chevron 4">
          <a:extLst>
            <a:ext uri="{FF2B5EF4-FFF2-40B4-BE49-F238E27FC236}">
              <a16:creationId xmlns:a16="http://schemas.microsoft.com/office/drawing/2014/main" xmlns="" id="{00000000-0008-0000-0700-000005000000}"/>
            </a:ext>
          </a:extLst>
        </xdr:cNvPr>
        <xdr:cNvSpPr/>
      </xdr:nvSpPr>
      <xdr:spPr>
        <a:xfrm>
          <a:off x="381000" y="5390515"/>
          <a:ext cx="71755" cy="71755"/>
        </a:xfrm>
        <a:prstGeom prst="chevron">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defPPr>
            <a:defRPr lang="en-US">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endParaRPr lang="en-IN" sz="1100">
            <a:solidFill>
              <a:schemeClr val="tx1"/>
            </a:solidFill>
          </a:endParaRPr>
        </a:p>
      </xdr:txBody>
    </xdr:sp>
    <xdr:clientData/>
  </xdr:twoCellAnchor>
  <xdr:twoCellAnchor>
    <xdr:from>
      <xdr:col>1</xdr:col>
      <xdr:colOff>76200</xdr:colOff>
      <xdr:row>19</xdr:row>
      <xdr:rowOff>66675</xdr:rowOff>
    </xdr:from>
    <xdr:to>
      <xdr:col>1</xdr:col>
      <xdr:colOff>138675</xdr:colOff>
      <xdr:row>19</xdr:row>
      <xdr:rowOff>138675</xdr:rowOff>
    </xdr:to>
    <xdr:sp macro="" textlink="">
      <xdr:nvSpPr>
        <xdr:cNvPr id="6" name="Chevron 5">
          <a:extLst>
            <a:ext uri="{FF2B5EF4-FFF2-40B4-BE49-F238E27FC236}">
              <a16:creationId xmlns:a16="http://schemas.microsoft.com/office/drawing/2014/main" xmlns="" id="{00000000-0008-0000-0700-000006000000}"/>
            </a:ext>
          </a:extLst>
        </xdr:cNvPr>
        <xdr:cNvSpPr/>
      </xdr:nvSpPr>
      <xdr:spPr>
        <a:xfrm>
          <a:off x="381000" y="6798310"/>
          <a:ext cx="62230" cy="71755"/>
        </a:xfrm>
        <a:prstGeom prst="chevron">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defPPr>
            <a:defRPr lang="en-US">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endParaRPr lang="en-IN" sz="1100">
            <a:solidFill>
              <a:schemeClr val="tx1"/>
            </a:solidFill>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8</xdr:col>
      <xdr:colOff>466725</xdr:colOff>
      <xdr:row>7</xdr:row>
      <xdr:rowOff>142875</xdr:rowOff>
    </xdr:from>
    <xdr:to>
      <xdr:col>10</xdr:col>
      <xdr:colOff>133350</xdr:colOff>
      <xdr:row>7</xdr:row>
      <xdr:rowOff>152400</xdr:rowOff>
    </xdr:to>
    <xdr:cxnSp macro="">
      <xdr:nvCxnSpPr>
        <xdr:cNvPr id="2" name="Straight Connector 1">
          <a:extLst>
            <a:ext uri="{FF2B5EF4-FFF2-40B4-BE49-F238E27FC236}">
              <a16:creationId xmlns:a16="http://schemas.microsoft.com/office/drawing/2014/main" xmlns="" id="{00000000-0008-0000-0900-000002000000}"/>
            </a:ext>
          </a:extLst>
        </xdr:cNvPr>
        <xdr:cNvCxnSpPr/>
      </xdr:nvCxnSpPr>
      <xdr:spPr>
        <a:xfrm>
          <a:off x="4800600" y="1609725"/>
          <a:ext cx="742950"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409575</xdr:colOff>
      <xdr:row>28</xdr:row>
      <xdr:rowOff>9525</xdr:rowOff>
    </xdr:from>
    <xdr:to>
      <xdr:col>10</xdr:col>
      <xdr:colOff>152400</xdr:colOff>
      <xdr:row>28</xdr:row>
      <xdr:rowOff>19050</xdr:rowOff>
    </xdr:to>
    <xdr:cxnSp macro="">
      <xdr:nvCxnSpPr>
        <xdr:cNvPr id="3" name="Straight Connector 2">
          <a:extLst>
            <a:ext uri="{FF2B5EF4-FFF2-40B4-BE49-F238E27FC236}">
              <a16:creationId xmlns:a16="http://schemas.microsoft.com/office/drawing/2014/main" xmlns="" id="{00000000-0008-0000-0900-000003000000}"/>
            </a:ext>
          </a:extLst>
        </xdr:cNvPr>
        <xdr:cNvCxnSpPr/>
      </xdr:nvCxnSpPr>
      <xdr:spPr>
        <a:xfrm flipV="1">
          <a:off x="4743450" y="5836920"/>
          <a:ext cx="819150"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247650</xdr:colOff>
      <xdr:row>8</xdr:row>
      <xdr:rowOff>123825</xdr:rowOff>
    </xdr:from>
    <xdr:to>
      <xdr:col>9</xdr:col>
      <xdr:colOff>247650</xdr:colOff>
      <xdr:row>10</xdr:row>
      <xdr:rowOff>114300</xdr:rowOff>
    </xdr:to>
    <xdr:cxnSp macro="">
      <xdr:nvCxnSpPr>
        <xdr:cNvPr id="4" name="Straight Arrow Connector 3">
          <a:extLst>
            <a:ext uri="{FF2B5EF4-FFF2-40B4-BE49-F238E27FC236}">
              <a16:creationId xmlns:a16="http://schemas.microsoft.com/office/drawing/2014/main" xmlns="" id="{00000000-0008-0000-0900-000004000000}"/>
            </a:ext>
          </a:extLst>
        </xdr:cNvPr>
        <xdr:cNvCxnSpPr/>
      </xdr:nvCxnSpPr>
      <xdr:spPr>
        <a:xfrm flipV="1">
          <a:off x="5191125" y="1752600"/>
          <a:ext cx="0" cy="314325"/>
        </a:xfrm>
        <a:prstGeom prst="straightConnector1">
          <a:avLst/>
        </a:prstGeom>
        <a:ln>
          <a:tailEnd type="arrow"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266700</xdr:colOff>
      <xdr:row>24</xdr:row>
      <xdr:rowOff>133350</xdr:rowOff>
    </xdr:from>
    <xdr:to>
      <xdr:col>9</xdr:col>
      <xdr:colOff>276225</xdr:colOff>
      <xdr:row>27</xdr:row>
      <xdr:rowOff>95250</xdr:rowOff>
    </xdr:to>
    <xdr:cxnSp macro="">
      <xdr:nvCxnSpPr>
        <xdr:cNvPr id="5" name="Straight Arrow Connector 4">
          <a:extLst>
            <a:ext uri="{FF2B5EF4-FFF2-40B4-BE49-F238E27FC236}">
              <a16:creationId xmlns:a16="http://schemas.microsoft.com/office/drawing/2014/main" xmlns="" id="{00000000-0008-0000-0900-000005000000}"/>
            </a:ext>
          </a:extLst>
        </xdr:cNvPr>
        <xdr:cNvCxnSpPr/>
      </xdr:nvCxnSpPr>
      <xdr:spPr>
        <a:xfrm>
          <a:off x="5210175" y="5313045"/>
          <a:ext cx="9525" cy="447675"/>
        </a:xfrm>
        <a:prstGeom prst="straightConnector1">
          <a:avLst/>
        </a:prstGeom>
        <a:ln>
          <a:tailEnd type="arrow"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247015</xdr:colOff>
      <xdr:row>16</xdr:row>
      <xdr:rowOff>104775</xdr:rowOff>
    </xdr:from>
    <xdr:to>
      <xdr:col>2</xdr:col>
      <xdr:colOff>323215</xdr:colOff>
      <xdr:row>17</xdr:row>
      <xdr:rowOff>19050</xdr:rowOff>
    </xdr:to>
    <xdr:sp macro="" textlink="">
      <xdr:nvSpPr>
        <xdr:cNvPr id="6" name="Up Arrow 5">
          <a:extLst>
            <a:ext uri="{FF2B5EF4-FFF2-40B4-BE49-F238E27FC236}">
              <a16:creationId xmlns:a16="http://schemas.microsoft.com/office/drawing/2014/main" xmlns="" id="{00000000-0008-0000-0900-000006000000}"/>
            </a:ext>
          </a:extLst>
        </xdr:cNvPr>
        <xdr:cNvSpPr/>
      </xdr:nvSpPr>
      <xdr:spPr>
        <a:xfrm>
          <a:off x="1285240" y="3028950"/>
          <a:ext cx="76200" cy="76200"/>
        </a:xfrm>
        <a:prstGeom prst="up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wrap="square" rtlCol="0" anchor="t"/>
        <a:lstStyle>
          <a:defPPr>
            <a:defRPr lang="en-US">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en-US" sz="1100"/>
        </a:p>
      </xdr:txBody>
    </xdr:sp>
    <xdr:clientData/>
  </xdr:twoCellAnchor>
  <xdr:twoCellAnchor>
    <xdr:from>
      <xdr:col>2</xdr:col>
      <xdr:colOff>352425</xdr:colOff>
      <xdr:row>19</xdr:row>
      <xdr:rowOff>152400</xdr:rowOff>
    </xdr:from>
    <xdr:to>
      <xdr:col>2</xdr:col>
      <xdr:colOff>448945</xdr:colOff>
      <xdr:row>19</xdr:row>
      <xdr:rowOff>228600</xdr:rowOff>
    </xdr:to>
    <xdr:sp macro="" textlink="">
      <xdr:nvSpPr>
        <xdr:cNvPr id="7" name="Up Arrow 6">
          <a:extLst>
            <a:ext uri="{FF2B5EF4-FFF2-40B4-BE49-F238E27FC236}">
              <a16:creationId xmlns:a16="http://schemas.microsoft.com/office/drawing/2014/main" xmlns="" id="{00000000-0008-0000-0900-000007000000}"/>
            </a:ext>
          </a:extLst>
        </xdr:cNvPr>
        <xdr:cNvSpPr/>
      </xdr:nvSpPr>
      <xdr:spPr>
        <a:xfrm>
          <a:off x="1390650" y="3895725"/>
          <a:ext cx="96520" cy="76200"/>
        </a:xfrm>
        <a:prstGeom prst="up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wrap="square" rtlCol="0" anchor="t"/>
        <a:lstStyle>
          <a:defPPr>
            <a:defRPr lang="en-US">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en-US" sz="1100"/>
        </a:p>
      </xdr:txBody>
    </xdr:sp>
    <xdr:clientData/>
  </xdr:twoCellAnchor>
  <xdr:twoCellAnchor>
    <xdr:from>
      <xdr:col>2</xdr:col>
      <xdr:colOff>104775</xdr:colOff>
      <xdr:row>16</xdr:row>
      <xdr:rowOff>0</xdr:rowOff>
    </xdr:from>
    <xdr:to>
      <xdr:col>2</xdr:col>
      <xdr:colOff>201295</xdr:colOff>
      <xdr:row>16</xdr:row>
      <xdr:rowOff>76200</xdr:rowOff>
    </xdr:to>
    <xdr:sp macro="" textlink="">
      <xdr:nvSpPr>
        <xdr:cNvPr id="8" name="Up Arrow 7">
          <a:extLst>
            <a:ext uri="{FF2B5EF4-FFF2-40B4-BE49-F238E27FC236}">
              <a16:creationId xmlns:a16="http://schemas.microsoft.com/office/drawing/2014/main" xmlns="" id="{00000000-0008-0000-0900-000008000000}"/>
            </a:ext>
          </a:extLst>
        </xdr:cNvPr>
        <xdr:cNvSpPr/>
      </xdr:nvSpPr>
      <xdr:spPr>
        <a:xfrm>
          <a:off x="1143000" y="2924175"/>
          <a:ext cx="96520" cy="76200"/>
        </a:xfrm>
        <a:prstGeom prst="up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wrap="square" rtlCol="0" anchor="t"/>
        <a:lstStyle>
          <a:defPPr>
            <a:defRPr lang="en-US">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en-US" sz="1100"/>
        </a:p>
      </xdr:txBody>
    </xdr:sp>
    <xdr:clientData/>
  </xdr:twoCellAnchor>
  <xdr:twoCellAnchor>
    <xdr:from>
      <xdr:col>8</xdr:col>
      <xdr:colOff>304800</xdr:colOff>
      <xdr:row>16</xdr:row>
      <xdr:rowOff>114300</xdr:rowOff>
    </xdr:from>
    <xdr:to>
      <xdr:col>8</xdr:col>
      <xdr:colOff>401320</xdr:colOff>
      <xdr:row>17</xdr:row>
      <xdr:rowOff>28575</xdr:rowOff>
    </xdr:to>
    <xdr:sp macro="" textlink="">
      <xdr:nvSpPr>
        <xdr:cNvPr id="9" name="Up Arrow 8">
          <a:extLst>
            <a:ext uri="{FF2B5EF4-FFF2-40B4-BE49-F238E27FC236}">
              <a16:creationId xmlns:a16="http://schemas.microsoft.com/office/drawing/2014/main" xmlns="" id="{00000000-0008-0000-0900-000009000000}"/>
            </a:ext>
          </a:extLst>
        </xdr:cNvPr>
        <xdr:cNvSpPr/>
      </xdr:nvSpPr>
      <xdr:spPr>
        <a:xfrm>
          <a:off x="4638675" y="3038475"/>
          <a:ext cx="96520" cy="76200"/>
        </a:xfrm>
        <a:prstGeom prst="up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wrap="square" rtlCol="0" anchor="t"/>
        <a:lstStyle>
          <a:defPPr>
            <a:defRPr lang="en-US">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en-US" sz="1100"/>
        </a:p>
      </xdr:txBody>
    </xdr:sp>
    <xdr:clientData/>
  </xdr:twoCellAnchor>
  <xdr:twoCellAnchor>
    <xdr:from>
      <xdr:col>10</xdr:col>
      <xdr:colOff>152400</xdr:colOff>
      <xdr:row>17</xdr:row>
      <xdr:rowOff>66675</xdr:rowOff>
    </xdr:from>
    <xdr:to>
      <xdr:col>10</xdr:col>
      <xdr:colOff>248920</xdr:colOff>
      <xdr:row>17</xdr:row>
      <xdr:rowOff>142875</xdr:rowOff>
    </xdr:to>
    <xdr:sp macro="" textlink="">
      <xdr:nvSpPr>
        <xdr:cNvPr id="10" name="Up Arrow 9">
          <a:extLst>
            <a:ext uri="{FF2B5EF4-FFF2-40B4-BE49-F238E27FC236}">
              <a16:creationId xmlns:a16="http://schemas.microsoft.com/office/drawing/2014/main" xmlns="" id="{00000000-0008-0000-0900-00000A000000}"/>
            </a:ext>
          </a:extLst>
        </xdr:cNvPr>
        <xdr:cNvSpPr/>
      </xdr:nvSpPr>
      <xdr:spPr>
        <a:xfrm>
          <a:off x="5562600" y="3152775"/>
          <a:ext cx="96520" cy="76200"/>
        </a:xfrm>
        <a:prstGeom prst="up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wrap="square" rtlCol="0" anchor="t"/>
        <a:lstStyle>
          <a:defPPr>
            <a:defRPr lang="en-US">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en-US" sz="1100"/>
        </a:p>
      </xdr:txBody>
    </xdr:sp>
    <xdr:clientData/>
  </xdr:twoCellAnchor>
  <xdr:twoCellAnchor>
    <xdr:from>
      <xdr:col>10</xdr:col>
      <xdr:colOff>228600</xdr:colOff>
      <xdr:row>19</xdr:row>
      <xdr:rowOff>161925</xdr:rowOff>
    </xdr:from>
    <xdr:to>
      <xdr:col>10</xdr:col>
      <xdr:colOff>325120</xdr:colOff>
      <xdr:row>19</xdr:row>
      <xdr:rowOff>238125</xdr:rowOff>
    </xdr:to>
    <xdr:sp macro="" textlink="">
      <xdr:nvSpPr>
        <xdr:cNvPr id="11" name="Up Arrow 10">
          <a:extLst>
            <a:ext uri="{FF2B5EF4-FFF2-40B4-BE49-F238E27FC236}">
              <a16:creationId xmlns:a16="http://schemas.microsoft.com/office/drawing/2014/main" xmlns="" id="{00000000-0008-0000-0900-00000B000000}"/>
            </a:ext>
          </a:extLst>
        </xdr:cNvPr>
        <xdr:cNvSpPr/>
      </xdr:nvSpPr>
      <xdr:spPr>
        <a:xfrm>
          <a:off x="5638800" y="3905250"/>
          <a:ext cx="96520" cy="76200"/>
        </a:xfrm>
        <a:prstGeom prst="up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wrap="square" rtlCol="0" anchor="t"/>
        <a:lstStyle>
          <a:defPPr>
            <a:defRPr lang="en-US">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en-US" sz="1100"/>
        </a:p>
      </xdr:txBody>
    </xdr:sp>
    <xdr:clientData/>
  </xdr:twoCellAnchor>
  <xdr:twoCellAnchor>
    <xdr:from>
      <xdr:col>10</xdr:col>
      <xdr:colOff>123825</xdr:colOff>
      <xdr:row>19</xdr:row>
      <xdr:rowOff>352425</xdr:rowOff>
    </xdr:from>
    <xdr:to>
      <xdr:col>10</xdr:col>
      <xdr:colOff>220345</xdr:colOff>
      <xdr:row>19</xdr:row>
      <xdr:rowOff>428625</xdr:rowOff>
    </xdr:to>
    <xdr:sp macro="" textlink="">
      <xdr:nvSpPr>
        <xdr:cNvPr id="12" name="Up Arrow 11">
          <a:extLst>
            <a:ext uri="{FF2B5EF4-FFF2-40B4-BE49-F238E27FC236}">
              <a16:creationId xmlns:a16="http://schemas.microsoft.com/office/drawing/2014/main" xmlns="" id="{00000000-0008-0000-0900-00000C000000}"/>
            </a:ext>
          </a:extLst>
        </xdr:cNvPr>
        <xdr:cNvSpPr/>
      </xdr:nvSpPr>
      <xdr:spPr>
        <a:xfrm>
          <a:off x="5534025" y="4095750"/>
          <a:ext cx="96520" cy="76200"/>
        </a:xfrm>
        <a:prstGeom prst="up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wrap="square" rtlCol="0" anchor="t"/>
        <a:lstStyle>
          <a:defPPr>
            <a:defRPr lang="en-US">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en-US" sz="1100"/>
        </a:p>
      </xdr:txBody>
    </xdr:sp>
    <xdr:clientData/>
  </xdr:twoCellAnchor>
  <xdr:twoCellAnchor>
    <xdr:from>
      <xdr:col>8</xdr:col>
      <xdr:colOff>361950</xdr:colOff>
      <xdr:row>19</xdr:row>
      <xdr:rowOff>123825</xdr:rowOff>
    </xdr:from>
    <xdr:to>
      <xdr:col>8</xdr:col>
      <xdr:colOff>458470</xdr:colOff>
      <xdr:row>19</xdr:row>
      <xdr:rowOff>200025</xdr:rowOff>
    </xdr:to>
    <xdr:sp macro="" textlink="">
      <xdr:nvSpPr>
        <xdr:cNvPr id="13" name="Up Arrow 12">
          <a:extLst>
            <a:ext uri="{FF2B5EF4-FFF2-40B4-BE49-F238E27FC236}">
              <a16:creationId xmlns:a16="http://schemas.microsoft.com/office/drawing/2014/main" xmlns="" id="{00000000-0008-0000-0900-00000D000000}"/>
            </a:ext>
          </a:extLst>
        </xdr:cNvPr>
        <xdr:cNvSpPr/>
      </xdr:nvSpPr>
      <xdr:spPr>
        <a:xfrm>
          <a:off x="4695825" y="3867150"/>
          <a:ext cx="96520" cy="76200"/>
        </a:xfrm>
        <a:prstGeom prst="up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wrap="square" rtlCol="0" anchor="t"/>
        <a:lstStyle>
          <a:defPPr>
            <a:defRPr lang="en-US">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en-US" sz="1100"/>
        </a:p>
      </xdr:txBody>
    </xdr:sp>
    <xdr:clientData/>
  </xdr:twoCellAnchor>
  <xdr:twoCellAnchor>
    <xdr:from>
      <xdr:col>10</xdr:col>
      <xdr:colOff>409575</xdr:colOff>
      <xdr:row>18</xdr:row>
      <xdr:rowOff>0</xdr:rowOff>
    </xdr:from>
    <xdr:to>
      <xdr:col>10</xdr:col>
      <xdr:colOff>506095</xdr:colOff>
      <xdr:row>18</xdr:row>
      <xdr:rowOff>76200</xdr:rowOff>
    </xdr:to>
    <xdr:sp macro="" textlink="">
      <xdr:nvSpPr>
        <xdr:cNvPr id="14" name="Up Arrow 13">
          <a:extLst>
            <a:ext uri="{FF2B5EF4-FFF2-40B4-BE49-F238E27FC236}">
              <a16:creationId xmlns:a16="http://schemas.microsoft.com/office/drawing/2014/main" xmlns="" id="{00000000-0008-0000-0900-00000E000000}"/>
            </a:ext>
          </a:extLst>
        </xdr:cNvPr>
        <xdr:cNvSpPr/>
      </xdr:nvSpPr>
      <xdr:spPr>
        <a:xfrm>
          <a:off x="5819775" y="3248025"/>
          <a:ext cx="96520" cy="76200"/>
        </a:xfrm>
        <a:prstGeom prst="up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wrap="square" rtlCol="0" anchor="t"/>
        <a:lstStyle>
          <a:defPPr>
            <a:defRPr lang="en-US">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en-US" sz="1100"/>
        </a:p>
      </xdr:txBody>
    </xdr:sp>
    <xdr:clientData/>
  </xdr:twoCellAnchor>
  <xdr:twoCellAnchor>
    <xdr:from>
      <xdr:col>10</xdr:col>
      <xdr:colOff>409575</xdr:colOff>
      <xdr:row>17</xdr:row>
      <xdr:rowOff>19050</xdr:rowOff>
    </xdr:from>
    <xdr:to>
      <xdr:col>10</xdr:col>
      <xdr:colOff>506095</xdr:colOff>
      <xdr:row>17</xdr:row>
      <xdr:rowOff>95250</xdr:rowOff>
    </xdr:to>
    <xdr:sp macro="" textlink="">
      <xdr:nvSpPr>
        <xdr:cNvPr id="15" name="Up Arrow 14">
          <a:extLst>
            <a:ext uri="{FF2B5EF4-FFF2-40B4-BE49-F238E27FC236}">
              <a16:creationId xmlns:a16="http://schemas.microsoft.com/office/drawing/2014/main" xmlns="" id="{00000000-0008-0000-0900-00000F000000}"/>
            </a:ext>
          </a:extLst>
        </xdr:cNvPr>
        <xdr:cNvSpPr/>
      </xdr:nvSpPr>
      <xdr:spPr>
        <a:xfrm>
          <a:off x="5819775" y="3105150"/>
          <a:ext cx="96520" cy="76200"/>
        </a:xfrm>
        <a:prstGeom prst="up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wrap="square" rtlCol="0" anchor="t"/>
        <a:lstStyle>
          <a:defPPr>
            <a:defRPr lang="en-US">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en-US" sz="1100"/>
        </a:p>
      </xdr:txBody>
    </xdr:sp>
    <xdr:clientData/>
  </xdr:twoCellAnchor>
  <xdr:twoCellAnchor>
    <xdr:from>
      <xdr:col>10</xdr:col>
      <xdr:colOff>171450</xdr:colOff>
      <xdr:row>19</xdr:row>
      <xdr:rowOff>57150</xdr:rowOff>
    </xdr:from>
    <xdr:to>
      <xdr:col>10</xdr:col>
      <xdr:colOff>267970</xdr:colOff>
      <xdr:row>19</xdr:row>
      <xdr:rowOff>133350</xdr:rowOff>
    </xdr:to>
    <xdr:sp macro="" textlink="">
      <xdr:nvSpPr>
        <xdr:cNvPr id="16" name="Up Arrow 15">
          <a:extLst>
            <a:ext uri="{FF2B5EF4-FFF2-40B4-BE49-F238E27FC236}">
              <a16:creationId xmlns:a16="http://schemas.microsoft.com/office/drawing/2014/main" xmlns="" id="{00000000-0008-0000-0900-000010000000}"/>
            </a:ext>
          </a:extLst>
        </xdr:cNvPr>
        <xdr:cNvSpPr/>
      </xdr:nvSpPr>
      <xdr:spPr>
        <a:xfrm>
          <a:off x="5581650" y="3800475"/>
          <a:ext cx="96520" cy="76200"/>
        </a:xfrm>
        <a:prstGeom prst="up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wrap="square" rtlCol="0" anchor="t"/>
        <a:lstStyle>
          <a:defPPr>
            <a:defRPr lang="en-US">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en-US" sz="1100"/>
        </a:p>
      </xdr:txBody>
    </xdr:sp>
    <xdr:clientData/>
  </xdr:twoCellAnchor>
  <xdr:twoCellAnchor>
    <xdr:from>
      <xdr:col>2</xdr:col>
      <xdr:colOff>190500</xdr:colOff>
      <xdr:row>19</xdr:row>
      <xdr:rowOff>190500</xdr:rowOff>
    </xdr:from>
    <xdr:to>
      <xdr:col>2</xdr:col>
      <xdr:colOff>266700</xdr:colOff>
      <xdr:row>19</xdr:row>
      <xdr:rowOff>266700</xdr:rowOff>
    </xdr:to>
    <xdr:sp macro="" textlink="">
      <xdr:nvSpPr>
        <xdr:cNvPr id="19" name="Up Arrow 18">
          <a:extLst>
            <a:ext uri="{FF2B5EF4-FFF2-40B4-BE49-F238E27FC236}">
              <a16:creationId xmlns:a16="http://schemas.microsoft.com/office/drawing/2014/main" xmlns="" id="{00000000-0008-0000-0900-000013000000}"/>
            </a:ext>
          </a:extLst>
        </xdr:cNvPr>
        <xdr:cNvSpPr/>
      </xdr:nvSpPr>
      <xdr:spPr>
        <a:xfrm>
          <a:off x="1228725" y="3933825"/>
          <a:ext cx="76200" cy="76200"/>
        </a:xfrm>
        <a:prstGeom prst="up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wrap="square" rtlCol="0" anchor="t"/>
        <a:lstStyle>
          <a:defPPr>
            <a:defRPr lang="en-US">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en-US" sz="1100"/>
        </a:p>
      </xdr:txBody>
    </xdr:sp>
    <xdr:clientData/>
  </xdr:twoCellAnchor>
  <xdr:twoCellAnchor>
    <xdr:from>
      <xdr:col>2</xdr:col>
      <xdr:colOff>0</xdr:colOff>
      <xdr:row>17</xdr:row>
      <xdr:rowOff>66675</xdr:rowOff>
    </xdr:from>
    <xdr:to>
      <xdr:col>2</xdr:col>
      <xdr:colOff>9525</xdr:colOff>
      <xdr:row>19</xdr:row>
      <xdr:rowOff>85725</xdr:rowOff>
    </xdr:to>
    <xdr:cxnSp macro="">
      <xdr:nvCxnSpPr>
        <xdr:cNvPr id="21" name="Straight Connector 20">
          <a:extLst>
            <a:ext uri="{FF2B5EF4-FFF2-40B4-BE49-F238E27FC236}">
              <a16:creationId xmlns:a16="http://schemas.microsoft.com/office/drawing/2014/main" xmlns="" id="{00000000-0008-0000-0900-000015000000}"/>
            </a:ext>
          </a:extLst>
        </xdr:cNvPr>
        <xdr:cNvCxnSpPr/>
      </xdr:nvCxnSpPr>
      <xdr:spPr>
        <a:xfrm flipH="1">
          <a:off x="1038225" y="3152775"/>
          <a:ext cx="9525" cy="67627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drawings/drawing4.xml><?xml version="1.0" encoding="utf-8"?>
<xdr:wsDr xmlns:xdr="http://schemas.openxmlformats.org/drawingml/2006/spreadsheetDrawing" xmlns:a="http://schemas.openxmlformats.org/drawingml/2006/main">
  <xdr:twoCellAnchor>
    <xdr:from>
      <xdr:col>25</xdr:col>
      <xdr:colOff>0</xdr:colOff>
      <xdr:row>88</xdr:row>
      <xdr:rowOff>190500</xdr:rowOff>
    </xdr:from>
    <xdr:to>
      <xdr:col>25</xdr:col>
      <xdr:colOff>200025</xdr:colOff>
      <xdr:row>88</xdr:row>
      <xdr:rowOff>190500</xdr:rowOff>
    </xdr:to>
    <xdr:sp macro="" textlink="">
      <xdr:nvSpPr>
        <xdr:cNvPr id="23" name="Line 1">
          <a:extLst>
            <a:ext uri="{FF2B5EF4-FFF2-40B4-BE49-F238E27FC236}">
              <a16:creationId xmlns:a16="http://schemas.microsoft.com/office/drawing/2014/main" xmlns="" id="{00000000-0008-0000-0A00-000017000000}"/>
            </a:ext>
          </a:extLst>
        </xdr:cNvPr>
        <xdr:cNvSpPr>
          <a:spLocks noChangeShapeType="1"/>
        </xdr:cNvSpPr>
      </xdr:nvSpPr>
      <xdr:spPr>
        <a:xfrm flipH="1">
          <a:off x="6600825" y="14592935"/>
          <a:ext cx="200025" cy="0"/>
        </a:xfrm>
        <a:prstGeom prst="line">
          <a:avLst/>
        </a:prstGeom>
        <a:noFill/>
        <a:ln w="9525">
          <a:solidFill>
            <a:srgbClr val="000000"/>
          </a:solidFill>
          <a:round/>
          <a:tailEnd type="triangle" w="med" len="med"/>
        </a:ln>
      </xdr:spPr>
    </xdr:sp>
    <xdr:clientData/>
  </xdr:twoCellAnchor>
  <xdr:twoCellAnchor>
    <xdr:from>
      <xdr:col>25</xdr:col>
      <xdr:colOff>28575</xdr:colOff>
      <xdr:row>88</xdr:row>
      <xdr:rowOff>0</xdr:rowOff>
    </xdr:from>
    <xdr:to>
      <xdr:col>26</xdr:col>
      <xdr:colOff>47625</xdr:colOff>
      <xdr:row>88</xdr:row>
      <xdr:rowOff>0</xdr:rowOff>
    </xdr:to>
    <xdr:sp macro="" textlink="">
      <xdr:nvSpPr>
        <xdr:cNvPr id="24" name="Line 5">
          <a:extLst>
            <a:ext uri="{FF2B5EF4-FFF2-40B4-BE49-F238E27FC236}">
              <a16:creationId xmlns:a16="http://schemas.microsoft.com/office/drawing/2014/main" xmlns="" id="{00000000-0008-0000-0A00-000018000000}"/>
            </a:ext>
          </a:extLst>
        </xdr:cNvPr>
        <xdr:cNvSpPr>
          <a:spLocks noChangeShapeType="1"/>
        </xdr:cNvSpPr>
      </xdr:nvSpPr>
      <xdr:spPr>
        <a:xfrm flipH="1">
          <a:off x="6629400" y="14431010"/>
          <a:ext cx="247650" cy="0"/>
        </a:xfrm>
        <a:prstGeom prst="line">
          <a:avLst/>
        </a:prstGeom>
        <a:noFill/>
        <a:ln w="9525">
          <a:solidFill>
            <a:srgbClr val="000000"/>
          </a:solidFill>
          <a:round/>
          <a:tailEnd type="triangle" w="med" len="med"/>
        </a:ln>
      </xdr:spPr>
    </xdr:sp>
    <xdr:clientData/>
  </xdr:twoCellAnchor>
  <xdr:twoCellAnchor>
    <xdr:from>
      <xdr:col>12</xdr:col>
      <xdr:colOff>1028700</xdr:colOff>
      <xdr:row>86</xdr:row>
      <xdr:rowOff>523875</xdr:rowOff>
    </xdr:from>
    <xdr:to>
      <xdr:col>12</xdr:col>
      <xdr:colOff>1028700</xdr:colOff>
      <xdr:row>86</xdr:row>
      <xdr:rowOff>523875</xdr:rowOff>
    </xdr:to>
    <xdr:cxnSp macro="">
      <xdr:nvCxnSpPr>
        <xdr:cNvPr id="25" name="Straight Connector 35">
          <a:extLst>
            <a:ext uri="{FF2B5EF4-FFF2-40B4-BE49-F238E27FC236}">
              <a16:creationId xmlns:a16="http://schemas.microsoft.com/office/drawing/2014/main" xmlns="" id="{00000000-0008-0000-0A00-000019000000}"/>
            </a:ext>
          </a:extLst>
        </xdr:cNvPr>
        <xdr:cNvCxnSpPr>
          <a:cxnSpLocks noChangeShapeType="1"/>
        </xdr:cNvCxnSpPr>
      </xdr:nvCxnSpPr>
      <xdr:spPr>
        <a:xfrm>
          <a:off x="4200525" y="14269085"/>
          <a:ext cx="0" cy="0"/>
        </a:xfrm>
        <a:prstGeom prst="line">
          <a:avLst/>
        </a:prstGeom>
        <a:noFill/>
        <a:ln w="9525" algn="ctr">
          <a:solidFill>
            <a:srgbClr val="000000"/>
          </a:solidFill>
          <a:round/>
        </a:ln>
      </xdr:spPr>
    </xdr:cxnSp>
    <xdr:clientData/>
  </xdr:twoCellAnchor>
</xdr:wsDr>
</file>

<file path=xl/drawings/drawing5.xml><?xml version="1.0" encoding="utf-8"?>
<xdr:wsDr xmlns:xdr="http://schemas.openxmlformats.org/drawingml/2006/spreadsheetDrawing" xmlns:a="http://schemas.openxmlformats.org/drawingml/2006/main">
  <xdr:twoCellAnchor>
    <xdr:from>
      <xdr:col>14</xdr:col>
      <xdr:colOff>99060</xdr:colOff>
      <xdr:row>1</xdr:row>
      <xdr:rowOff>0</xdr:rowOff>
    </xdr:from>
    <xdr:to>
      <xdr:col>15</xdr:col>
      <xdr:colOff>331597</xdr:colOff>
      <xdr:row>2</xdr:row>
      <xdr:rowOff>266700</xdr:rowOff>
    </xdr:to>
    <xdr:sp macro="" textlink="">
      <xdr:nvSpPr>
        <xdr:cNvPr id="47574" name="PubHalfFrame">
          <a:extLst>
            <a:ext uri="{FF2B5EF4-FFF2-40B4-BE49-F238E27FC236}">
              <a16:creationId xmlns:a16="http://schemas.microsoft.com/office/drawing/2014/main" xmlns="" id="{00000000-0008-0000-0F00-0000D6B90000}"/>
            </a:ext>
          </a:extLst>
        </xdr:cNvPr>
        <xdr:cNvSpPr>
          <a:spLocks noEditPoints="1" noChangeArrowheads="1"/>
        </xdr:cNvSpPr>
      </xdr:nvSpPr>
      <xdr:spPr>
        <a:xfrm rot="5400000">
          <a:off x="5029835" y="326390"/>
          <a:ext cx="590550" cy="584835"/>
        </a:xfrm>
        <a:custGeom>
          <a:avLst/>
          <a:gdLst>
            <a:gd name="T0" fmla="*/ 2147483647 w 21600"/>
            <a:gd name="T1" fmla="*/ 0 h 21600"/>
            <a:gd name="T2" fmla="*/ 0 w 21600"/>
            <a:gd name="T3" fmla="*/ 2147483647 h 21600"/>
            <a:gd name="T4" fmla="*/ 2147483647 w 21600"/>
            <a:gd name="T5" fmla="*/ 2147483647 h 21600"/>
            <a:gd name="T6" fmla="*/ 2147483647 w 21600"/>
            <a:gd name="T7" fmla="*/ 2147483647 h 21600"/>
            <a:gd name="T8" fmla="*/ 17694720 60000 65536"/>
            <a:gd name="T9" fmla="*/ 11796480 60000 65536"/>
            <a:gd name="T10" fmla="*/ 5898240 60000 65536"/>
            <a:gd name="T11" fmla="*/ 0 60000 65536"/>
            <a:gd name="T12" fmla="*/ 0 w 21600"/>
            <a:gd name="T13" fmla="*/ 0 h 21600"/>
            <a:gd name="T14" fmla="*/ 15330 w 21600"/>
            <a:gd name="T15" fmla="*/ 6270 h 21600"/>
          </a:gdLst>
          <a:ahLst/>
          <a:cxnLst>
            <a:cxn ang="T8">
              <a:pos x="T0" y="T1"/>
            </a:cxn>
            <a:cxn ang="T9">
              <a:pos x="T2" y="T3"/>
            </a:cxn>
            <a:cxn ang="T10">
              <a:pos x="T4" y="T5"/>
            </a:cxn>
            <a:cxn ang="T11">
              <a:pos x="T6" y="T7"/>
            </a:cxn>
          </a:cxnLst>
          <a:rect l="T12" t="T13" r="T14" b="T15"/>
          <a:pathLst>
            <a:path w="21600" h="21600">
              <a:moveTo>
                <a:pt x="0" y="0"/>
              </a:moveTo>
              <a:lnTo>
                <a:pt x="0" y="21600"/>
              </a:lnTo>
              <a:lnTo>
                <a:pt x="7200" y="14400"/>
              </a:lnTo>
              <a:lnTo>
                <a:pt x="7200" y="6270"/>
              </a:lnTo>
              <a:lnTo>
                <a:pt x="15330" y="6270"/>
              </a:lnTo>
              <a:lnTo>
                <a:pt x="21600" y="0"/>
              </a:lnTo>
              <a:lnTo>
                <a:pt x="0" y="0"/>
              </a:lnTo>
              <a:close/>
            </a:path>
          </a:pathLst>
        </a:custGeom>
        <a:solidFill>
          <a:srgbClr val="008000"/>
        </a:solidFill>
        <a:ln w="19050">
          <a:solidFill>
            <a:srgbClr val="FFFF00"/>
          </a:solidFill>
          <a:miter lim="800000"/>
        </a:ln>
        <a:effectLst>
          <a:outerShdw dist="107763" dir="2700000" algn="ctr" rotWithShape="0">
            <a:srgbClr val="808080"/>
          </a:outerShdw>
        </a:effectLst>
      </xdr:spPr>
    </xdr:sp>
    <xdr:clientData/>
  </xdr:twoCellAnchor>
  <xdr:twoCellAnchor>
    <xdr:from>
      <xdr:col>0</xdr:col>
      <xdr:colOff>323850</xdr:colOff>
      <xdr:row>1</xdr:row>
      <xdr:rowOff>0</xdr:rowOff>
    </xdr:from>
    <xdr:to>
      <xdr:col>2</xdr:col>
      <xdr:colOff>194404</xdr:colOff>
      <xdr:row>2</xdr:row>
      <xdr:rowOff>266700</xdr:rowOff>
    </xdr:to>
    <xdr:sp macro="" textlink="">
      <xdr:nvSpPr>
        <xdr:cNvPr id="47575" name="PubHalfFrame">
          <a:extLst>
            <a:ext uri="{FF2B5EF4-FFF2-40B4-BE49-F238E27FC236}">
              <a16:creationId xmlns:a16="http://schemas.microsoft.com/office/drawing/2014/main" xmlns="" id="{00000000-0008-0000-0F00-0000D7B90000}"/>
            </a:ext>
          </a:extLst>
        </xdr:cNvPr>
        <xdr:cNvSpPr>
          <a:spLocks noEditPoints="1" noChangeArrowheads="1"/>
        </xdr:cNvSpPr>
      </xdr:nvSpPr>
      <xdr:spPr>
        <a:xfrm rot="5400000" flipV="1">
          <a:off x="316230" y="330835"/>
          <a:ext cx="590550" cy="575945"/>
        </a:xfrm>
        <a:custGeom>
          <a:avLst/>
          <a:gdLst>
            <a:gd name="T0" fmla="*/ 2147483647 w 21600"/>
            <a:gd name="T1" fmla="*/ 0 h 21600"/>
            <a:gd name="T2" fmla="*/ 0 w 21600"/>
            <a:gd name="T3" fmla="*/ 2147483647 h 21600"/>
            <a:gd name="T4" fmla="*/ 2147483647 w 21600"/>
            <a:gd name="T5" fmla="*/ 2147483647 h 21600"/>
            <a:gd name="T6" fmla="*/ 2147483647 w 21600"/>
            <a:gd name="T7" fmla="*/ 2147483647 h 21600"/>
            <a:gd name="T8" fmla="*/ 17694720 60000 65536"/>
            <a:gd name="T9" fmla="*/ 11796480 60000 65536"/>
            <a:gd name="T10" fmla="*/ 5898240 60000 65536"/>
            <a:gd name="T11" fmla="*/ 0 60000 65536"/>
            <a:gd name="T12" fmla="*/ 0 w 21600"/>
            <a:gd name="T13" fmla="*/ 0 h 21600"/>
            <a:gd name="T14" fmla="*/ 14400 w 21600"/>
            <a:gd name="T15" fmla="*/ 7200 h 21600"/>
          </a:gdLst>
          <a:ahLst/>
          <a:cxnLst>
            <a:cxn ang="T8">
              <a:pos x="T0" y="T1"/>
            </a:cxn>
            <a:cxn ang="T9">
              <a:pos x="T2" y="T3"/>
            </a:cxn>
            <a:cxn ang="T10">
              <a:pos x="T4" y="T5"/>
            </a:cxn>
            <a:cxn ang="T11">
              <a:pos x="T6" y="T7"/>
            </a:cxn>
          </a:cxnLst>
          <a:rect l="T12" t="T13" r="T14" b="T15"/>
          <a:pathLst>
            <a:path w="21600" h="21600">
              <a:moveTo>
                <a:pt x="0" y="0"/>
              </a:moveTo>
              <a:lnTo>
                <a:pt x="0" y="21600"/>
              </a:lnTo>
              <a:lnTo>
                <a:pt x="7200" y="14400"/>
              </a:lnTo>
              <a:lnTo>
                <a:pt x="7200" y="7200"/>
              </a:lnTo>
              <a:lnTo>
                <a:pt x="14400" y="7200"/>
              </a:lnTo>
              <a:lnTo>
                <a:pt x="21600" y="0"/>
              </a:lnTo>
              <a:lnTo>
                <a:pt x="0" y="0"/>
              </a:lnTo>
              <a:close/>
            </a:path>
          </a:pathLst>
        </a:custGeom>
        <a:solidFill>
          <a:srgbClr val="008000"/>
        </a:solidFill>
        <a:ln w="19050">
          <a:solidFill>
            <a:srgbClr val="FFFF00"/>
          </a:solidFill>
          <a:miter lim="800000"/>
        </a:ln>
        <a:effectLst>
          <a:outerShdw dist="107763" dir="2700000" algn="ctr" rotWithShape="0">
            <a:srgbClr val="808080"/>
          </a:outerShdw>
        </a:effectLst>
      </xdr:spPr>
    </xdr:sp>
    <xdr:clientData/>
  </xdr:twoCellAnchor>
  <xdr:twoCellAnchor>
    <xdr:from>
      <xdr:col>14</xdr:col>
      <xdr:colOff>38100</xdr:colOff>
      <xdr:row>28</xdr:row>
      <xdr:rowOff>198120</xdr:rowOff>
    </xdr:from>
    <xdr:to>
      <xdr:col>15</xdr:col>
      <xdr:colOff>285832</xdr:colOff>
      <xdr:row>30</xdr:row>
      <xdr:rowOff>144780</xdr:rowOff>
    </xdr:to>
    <xdr:sp macro="" textlink="">
      <xdr:nvSpPr>
        <xdr:cNvPr id="47576" name="PubHalfFrame">
          <a:extLst>
            <a:ext uri="{FF2B5EF4-FFF2-40B4-BE49-F238E27FC236}">
              <a16:creationId xmlns:a16="http://schemas.microsoft.com/office/drawing/2014/main" xmlns="" id="{00000000-0008-0000-0F00-0000D8B90000}"/>
            </a:ext>
          </a:extLst>
        </xdr:cNvPr>
        <xdr:cNvSpPr>
          <a:spLocks noEditPoints="1" noChangeArrowheads="1"/>
        </xdr:cNvSpPr>
      </xdr:nvSpPr>
      <xdr:spPr>
        <a:xfrm rot="5400000" flipH="1">
          <a:off x="4974590" y="8395970"/>
          <a:ext cx="594360" cy="600075"/>
        </a:xfrm>
        <a:custGeom>
          <a:avLst/>
          <a:gdLst>
            <a:gd name="T0" fmla="*/ 2147483647 w 21600"/>
            <a:gd name="T1" fmla="*/ 0 h 21600"/>
            <a:gd name="T2" fmla="*/ 0 w 21600"/>
            <a:gd name="T3" fmla="*/ 2147483647 h 21600"/>
            <a:gd name="T4" fmla="*/ 2147483647 w 21600"/>
            <a:gd name="T5" fmla="*/ 2147483647 h 21600"/>
            <a:gd name="T6" fmla="*/ 2147483647 w 21600"/>
            <a:gd name="T7" fmla="*/ 2147483647 h 21600"/>
            <a:gd name="T8" fmla="*/ 17694720 60000 65536"/>
            <a:gd name="T9" fmla="*/ 11796480 60000 65536"/>
            <a:gd name="T10" fmla="*/ 5898240 60000 65536"/>
            <a:gd name="T11" fmla="*/ 0 60000 65536"/>
            <a:gd name="T12" fmla="*/ 0 w 21600"/>
            <a:gd name="T13" fmla="*/ 0 h 21600"/>
            <a:gd name="T14" fmla="*/ 14400 w 21600"/>
            <a:gd name="T15" fmla="*/ 7200 h 21600"/>
          </a:gdLst>
          <a:ahLst/>
          <a:cxnLst>
            <a:cxn ang="T8">
              <a:pos x="T0" y="T1"/>
            </a:cxn>
            <a:cxn ang="T9">
              <a:pos x="T2" y="T3"/>
            </a:cxn>
            <a:cxn ang="T10">
              <a:pos x="T4" y="T5"/>
            </a:cxn>
            <a:cxn ang="T11">
              <a:pos x="T6" y="T7"/>
            </a:cxn>
          </a:cxnLst>
          <a:rect l="T12" t="T13" r="T14" b="T15"/>
          <a:pathLst>
            <a:path w="21600" h="21600">
              <a:moveTo>
                <a:pt x="0" y="0"/>
              </a:moveTo>
              <a:lnTo>
                <a:pt x="0" y="21600"/>
              </a:lnTo>
              <a:lnTo>
                <a:pt x="7200" y="14400"/>
              </a:lnTo>
              <a:lnTo>
                <a:pt x="7200" y="7200"/>
              </a:lnTo>
              <a:lnTo>
                <a:pt x="14400" y="7200"/>
              </a:lnTo>
              <a:lnTo>
                <a:pt x="21600" y="0"/>
              </a:lnTo>
              <a:lnTo>
                <a:pt x="0" y="0"/>
              </a:lnTo>
              <a:close/>
            </a:path>
          </a:pathLst>
        </a:custGeom>
        <a:solidFill>
          <a:srgbClr val="008000"/>
        </a:solidFill>
        <a:ln w="19050">
          <a:solidFill>
            <a:srgbClr val="FFFF00"/>
          </a:solidFill>
          <a:miter lim="800000"/>
        </a:ln>
        <a:effectLst>
          <a:outerShdw dist="107763" dir="2700000" algn="ctr" rotWithShape="0">
            <a:srgbClr val="808080"/>
          </a:outerShdw>
        </a:effectLst>
      </xdr:spPr>
    </xdr:sp>
    <xdr:clientData/>
  </xdr:twoCellAnchor>
  <xdr:twoCellAnchor>
    <xdr:from>
      <xdr:col>0</xdr:col>
      <xdr:colOff>323850</xdr:colOff>
      <xdr:row>29</xdr:row>
      <xdr:rowOff>0</xdr:rowOff>
    </xdr:from>
    <xdr:to>
      <xdr:col>2</xdr:col>
      <xdr:colOff>194404</xdr:colOff>
      <xdr:row>30</xdr:row>
      <xdr:rowOff>266700</xdr:rowOff>
    </xdr:to>
    <xdr:sp macro="" textlink="">
      <xdr:nvSpPr>
        <xdr:cNvPr id="47577" name="PubHalfFrame">
          <a:extLst>
            <a:ext uri="{FF2B5EF4-FFF2-40B4-BE49-F238E27FC236}">
              <a16:creationId xmlns:a16="http://schemas.microsoft.com/office/drawing/2014/main" xmlns="" id="{00000000-0008-0000-0F00-0000D9B90000}"/>
            </a:ext>
          </a:extLst>
        </xdr:cNvPr>
        <xdr:cNvSpPr>
          <a:spLocks noEditPoints="1" noChangeArrowheads="1"/>
        </xdr:cNvSpPr>
      </xdr:nvSpPr>
      <xdr:spPr>
        <a:xfrm rot="-5400000">
          <a:off x="316230" y="8531860"/>
          <a:ext cx="590550" cy="575945"/>
        </a:xfrm>
        <a:custGeom>
          <a:avLst/>
          <a:gdLst>
            <a:gd name="T0" fmla="*/ 2147483647 w 21600"/>
            <a:gd name="T1" fmla="*/ 0 h 21600"/>
            <a:gd name="T2" fmla="*/ 0 w 21600"/>
            <a:gd name="T3" fmla="*/ 2147483647 h 21600"/>
            <a:gd name="T4" fmla="*/ 2147483647 w 21600"/>
            <a:gd name="T5" fmla="*/ 2147483647 h 21600"/>
            <a:gd name="T6" fmla="*/ 2147483647 w 21600"/>
            <a:gd name="T7" fmla="*/ 2147483647 h 21600"/>
            <a:gd name="T8" fmla="*/ 17694720 60000 65536"/>
            <a:gd name="T9" fmla="*/ 11796480 60000 65536"/>
            <a:gd name="T10" fmla="*/ 5898240 60000 65536"/>
            <a:gd name="T11" fmla="*/ 0 60000 65536"/>
            <a:gd name="T12" fmla="*/ 0 w 21600"/>
            <a:gd name="T13" fmla="*/ 0 h 21600"/>
            <a:gd name="T14" fmla="*/ 14400 w 21600"/>
            <a:gd name="T15" fmla="*/ 7200 h 21600"/>
          </a:gdLst>
          <a:ahLst/>
          <a:cxnLst>
            <a:cxn ang="T8">
              <a:pos x="T0" y="T1"/>
            </a:cxn>
            <a:cxn ang="T9">
              <a:pos x="T2" y="T3"/>
            </a:cxn>
            <a:cxn ang="T10">
              <a:pos x="T4" y="T5"/>
            </a:cxn>
            <a:cxn ang="T11">
              <a:pos x="T6" y="T7"/>
            </a:cxn>
          </a:cxnLst>
          <a:rect l="T12" t="T13" r="T14" b="T15"/>
          <a:pathLst>
            <a:path w="21600" h="21600">
              <a:moveTo>
                <a:pt x="0" y="0"/>
              </a:moveTo>
              <a:lnTo>
                <a:pt x="0" y="21600"/>
              </a:lnTo>
              <a:lnTo>
                <a:pt x="7200" y="14400"/>
              </a:lnTo>
              <a:lnTo>
                <a:pt x="7200" y="7200"/>
              </a:lnTo>
              <a:lnTo>
                <a:pt x="14400" y="7200"/>
              </a:lnTo>
              <a:lnTo>
                <a:pt x="21600" y="0"/>
              </a:lnTo>
              <a:lnTo>
                <a:pt x="0" y="0"/>
              </a:lnTo>
              <a:close/>
            </a:path>
          </a:pathLst>
        </a:custGeom>
        <a:solidFill>
          <a:srgbClr val="008000"/>
        </a:solidFill>
        <a:ln w="19050">
          <a:solidFill>
            <a:srgbClr val="FFFF00"/>
          </a:solidFill>
          <a:miter lim="800000"/>
        </a:ln>
        <a:effectLst>
          <a:outerShdw dist="107763" dir="2700000" algn="ctr" rotWithShape="0">
            <a:srgbClr val="808080"/>
          </a:outerShdw>
        </a:effectLst>
      </xdr:spPr>
    </xdr:sp>
    <xdr:clientData/>
  </xdr:twoCellAnchor>
  <xdr:twoCellAnchor>
    <xdr:from>
      <xdr:col>0</xdr:col>
      <xdr:colOff>200025</xdr:colOff>
      <xdr:row>0</xdr:row>
      <xdr:rowOff>190500</xdr:rowOff>
    </xdr:from>
    <xdr:to>
      <xdr:col>16</xdr:col>
      <xdr:colOff>152400</xdr:colOff>
      <xdr:row>31</xdr:row>
      <xdr:rowOff>142875</xdr:rowOff>
    </xdr:to>
    <xdr:sp macro="" textlink="">
      <xdr:nvSpPr>
        <xdr:cNvPr id="48408" name="AutoShape 5">
          <a:extLst>
            <a:ext uri="{FF2B5EF4-FFF2-40B4-BE49-F238E27FC236}">
              <a16:creationId xmlns:a16="http://schemas.microsoft.com/office/drawing/2014/main" xmlns="" id="{00000000-0008-0000-0F00-000018BD0000}"/>
            </a:ext>
          </a:extLst>
        </xdr:cNvPr>
        <xdr:cNvSpPr>
          <a:spLocks noChangeArrowheads="1"/>
        </xdr:cNvSpPr>
      </xdr:nvSpPr>
      <xdr:spPr>
        <a:xfrm>
          <a:off x="200025" y="190500"/>
          <a:ext cx="5591175" cy="9124950"/>
        </a:xfrm>
        <a:prstGeom prst="roundRect">
          <a:avLst>
            <a:gd name="adj" fmla="val 0"/>
          </a:avLst>
        </a:prstGeom>
        <a:noFill/>
        <a:ln w="44450">
          <a:solidFill>
            <a:srgbClr val="FF0000"/>
          </a:solidFill>
          <a:round/>
        </a:ln>
      </xdr:spPr>
    </xdr:sp>
    <xdr:clientData/>
  </xdr:twoCellAnchor>
  <xdr:twoCellAnchor>
    <xdr:from>
      <xdr:col>0</xdr:col>
      <xdr:colOff>342900</xdr:colOff>
      <xdr:row>0</xdr:row>
      <xdr:rowOff>266700</xdr:rowOff>
    </xdr:from>
    <xdr:to>
      <xdr:col>16</xdr:col>
      <xdr:colOff>152400</xdr:colOff>
      <xdr:row>31</xdr:row>
      <xdr:rowOff>66675</xdr:rowOff>
    </xdr:to>
    <xdr:sp macro="" textlink="">
      <xdr:nvSpPr>
        <xdr:cNvPr id="48409" name="AutoShape 6">
          <a:extLst>
            <a:ext uri="{FF2B5EF4-FFF2-40B4-BE49-F238E27FC236}">
              <a16:creationId xmlns:a16="http://schemas.microsoft.com/office/drawing/2014/main" xmlns="" id="{00000000-0008-0000-0F00-000019BD0000}"/>
            </a:ext>
          </a:extLst>
        </xdr:cNvPr>
        <xdr:cNvSpPr>
          <a:spLocks noChangeArrowheads="1"/>
        </xdr:cNvSpPr>
      </xdr:nvSpPr>
      <xdr:spPr>
        <a:xfrm>
          <a:off x="342900" y="266700"/>
          <a:ext cx="5448300" cy="8972550"/>
        </a:xfrm>
        <a:prstGeom prst="roundRect">
          <a:avLst>
            <a:gd name="adj" fmla="val 0"/>
          </a:avLst>
        </a:prstGeom>
        <a:noFill/>
        <a:ln w="28575">
          <a:solidFill>
            <a:srgbClr val="0000FF"/>
          </a:solidFill>
          <a:round/>
        </a:ln>
      </xdr:spPr>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13</xdr:col>
      <xdr:colOff>504825</xdr:colOff>
      <xdr:row>29</xdr:row>
      <xdr:rowOff>43525</xdr:rowOff>
    </xdr:to>
    <xdr:pic>
      <xdr:nvPicPr>
        <xdr:cNvPr id="17410" name="Picture 2">
          <a:extLst>
            <a:ext uri="{FF2B5EF4-FFF2-40B4-BE49-F238E27FC236}">
              <a16:creationId xmlns:a16="http://schemas.microsoft.com/office/drawing/2014/main" xmlns="" id="{00000000-0008-0000-1000-000002440000}"/>
            </a:ext>
          </a:extLst>
        </xdr:cNvPr>
        <xdr:cNvPicPr>
          <a:picLocks noChangeAspect="1" noChangeArrowheads="1"/>
        </xdr:cNvPicPr>
      </xdr:nvPicPr>
      <xdr:blipFill>
        <a:blip xmlns:r="http://schemas.openxmlformats.org/officeDocument/2006/relationships" r:embed="rId1" cstate="print"/>
        <a:srcRect/>
        <a:stretch>
          <a:fillRect/>
        </a:stretch>
      </xdr:blipFill>
      <xdr:spPr>
        <a:xfrm>
          <a:off x="0" y="0"/>
          <a:ext cx="8305800" cy="4739005"/>
        </a:xfrm>
        <a:prstGeom prst="rect">
          <a:avLst/>
        </a:prstGeom>
        <a:noFill/>
        <a:ln w="1">
          <a:noFill/>
          <a:miter lim="800000"/>
          <a:headEnd/>
          <a:tailEnd type="none" w="med" len="med"/>
        </a:ln>
        <a:effec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RangaReddy/Technical%20sanction%20estimates/Maheshwaram%20Cosntituency%20STSDF%202022-23/Chinna%20Thupra%20to%20Peddamma%20Thanda%20New.xlsx"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coveredExternalLink1"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RangaReddy\Technical%20sanction%20estimates\Estimates%202024-25\Kalwakurthy%20const\02%20Yadava%20Colony%2001-12-24.xlsx" TargetMode="External"/></Relationships>
</file>

<file path=xl/externalLinks/_rels/externalLink4.xml.rels><?xml version="1.0" encoding="UTF-8" standalone="yes"?>
<Relationships xmlns="http://schemas.openxmlformats.org/package/2006/relationships"><Relationship Id="rId1" Type="http://schemas.microsoft.com/office/2006/relationships/xlExternalLinkPath/xlPathMissing" Target="RecoveredExternalLink2" TargetMode="External"/></Relationships>
</file>

<file path=xl/externalLinks/_rels/externalLink5.xml.rels><?xml version="1.0" encoding="UTF-8" standalone="yes"?>
<Relationships xmlns="http://schemas.openxmlformats.org/package/2006/relationships"><Relationship Id="rId1" Type="http://schemas.microsoft.com/office/2006/relationships/xlExternalLinkPath/xlPathMissing" Target="RecoveredExternalLink3"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0000000000000"/>
      <sheetName val="1000000000000"/>
      <sheetName val="VUP Data"/>
      <sheetName val="temp-calculations"/>
      <sheetName val="Input Data"/>
      <sheetName val="Cover (2)"/>
      <sheetName val="SPR"/>
      <sheetName val="NOTE File1"/>
      <sheetName val="Inspection Report"/>
      <sheetName val="Cover"/>
      <sheetName val="google-map"/>
      <sheetName val="COM ABS "/>
      <sheetName val="GA"/>
      <sheetName val="Schedule-A"/>
      <sheetName val="Schedule-A (Part-B)"/>
      <sheetName val="Road Estimate"/>
      <sheetName val="Key Map"/>
      <sheetName val="Lead"/>
      <sheetName val="Road data"/>
      <sheetName val="Rumble strip data"/>
      <sheetName val="Road-furniture "/>
      <sheetName val="Road Furniture-Data"/>
      <sheetName val="Seigneorage"/>
      <sheetName val="CD Abs"/>
      <sheetName val="Mtc-Abs"/>
      <sheetName val="MTS Esti"/>
      <sheetName val="1V 1m dia Pipe Culverts"/>
      <sheetName val="2V 1m dia Pipe Culverts"/>
      <sheetName val="Slab Culvert 1V 6m x 2m spa"/>
      <sheetName val="MTC DAtas"/>
      <sheetName val="Mtc-data"/>
      <sheetName val="Slab Culvert 2V 6m x 2m spa"/>
      <sheetName val="Ret wall"/>
      <sheetName val="Slab Culvert 1V 5m x 2m span"/>
      <sheetName val="Drain "/>
      <sheetName val="Road dam 30m"/>
      <sheetName val="Pipe data"/>
      <sheetName val="Slab-Culverts Data"/>
      <sheetName val="Road-Marks"/>
      <sheetName val="TENDER-NF"/>
      <sheetName val="Maitainenance data (2)"/>
      <sheetName val="NP4 pipes"/>
      <sheetName val="TRAFF-Count-ESAL-Cal"/>
      <sheetName val="ESAL-result"/>
      <sheetName val="ESAL-calculation "/>
      <sheetName val="ESAL-Data"/>
      <sheetName val="LS_2LS"/>
      <sheetName val="SSR-rates"/>
      <sheetName val="NP4 collars"/>
      <sheetName val="TEMP-CA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ow r="41">
          <cell r="J41">
            <v>50720.430224882301</v>
          </cell>
        </row>
        <row r="42">
          <cell r="J42">
            <v>78167.430224882293</v>
          </cell>
        </row>
        <row r="43">
          <cell r="J43">
            <v>44936.430224882301</v>
          </cell>
        </row>
      </sheetData>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0000000000000"/>
      <sheetName val="1000000000000"/>
      <sheetName val="VUP Data"/>
      <sheetName val="temp-calculations"/>
      <sheetName val="Cover (2)"/>
      <sheetName val="Input Data"/>
      <sheetName val="NOTE File1"/>
      <sheetName val="SPR"/>
      <sheetName val="Inspection Report"/>
      <sheetName val="Key Map"/>
      <sheetName val="LS_2LS (2)"/>
      <sheetName val="LS_2LS"/>
      <sheetName val="TRAFF-Count-ESAL-Cal"/>
      <sheetName val="ESAL-result"/>
      <sheetName val="ESAL-calculation "/>
      <sheetName val="ESAL-Data"/>
      <sheetName val="Cover"/>
      <sheetName val="google-map"/>
      <sheetName val="GA"/>
      <sheetName val="Road Estimate"/>
      <sheetName val="Road-furniture "/>
      <sheetName val="CD Abs"/>
      <sheetName val="Mtc-Abs"/>
      <sheetName val="MTS Esti"/>
      <sheetName val="Schedule-A"/>
      <sheetName val="Schedule-A (Part-B)"/>
      <sheetName val="MTC DAtas"/>
      <sheetName val="Mtc-data"/>
      <sheetName val="1V 1m dia Pipe Culverts"/>
      <sheetName val="2V 1m dia Pipe Culverts"/>
      <sheetName val="Slab Culvert 1V 5m x 2m span"/>
      <sheetName val="Slab Culvert 1V 6m x 2m spa"/>
      <sheetName val="Slab Culvert 2V 6m x 2m spa"/>
      <sheetName val="Road dam 30m"/>
      <sheetName val="Ret wall"/>
      <sheetName val="Drain "/>
      <sheetName val="Seigneorage"/>
      <sheetName val="Lead"/>
      <sheetName val="Road data"/>
      <sheetName val="Pipe data"/>
      <sheetName val="Slab-Culverts Data"/>
      <sheetName val="Road-Marks"/>
      <sheetName val="TENDER-NF"/>
      <sheetName val="Road Furniture-Data"/>
      <sheetName val="SSR-rates"/>
      <sheetName val="NP4 pipes"/>
      <sheetName val="NP4 collars"/>
      <sheetName val="TEMP-CAL"/>
      <sheetName val="Sheet1"/>
      <sheetName val="One vent Pipe"/>
      <sheetName val="Four vents"/>
      <sheetName val="two vents"/>
      <sheetName val="data"/>
      <sheetName val="Designs"/>
      <sheetName val="3Vents"/>
      <sheetName val="Abut"/>
      <sheetName val="Pier"/>
      <sheetName val="Speci"/>
      <sheetName val="One vent "/>
      <sheetName val="Material"/>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6.5% (2)"/>
      <sheetName val="est (2)"/>
      <sheetName val="XXXXXXXXXXXX0"/>
      <sheetName val="Abstract (2)"/>
      <sheetName val="Detailed"/>
      <sheetName val="key (2)"/>
      <sheetName val="pro-B (2)"/>
      <sheetName val="est  (mord)"/>
      <sheetName val="est(old) "/>
      <sheetName val="6.5%"/>
      <sheetName val="10%"/>
      <sheetName val="Work_Detiles"/>
      <sheetName val="ABS"/>
      <sheetName val="date_wise_qty"/>
      <sheetName val="date_of_payment"/>
      <sheetName val="bill_wise_qty_amt_Seig"/>
      <sheetName val="Bill_wise_amt_cc_"/>
      <sheetName val="Items_elgible"/>
      <sheetName val="Price_adjustment_Prg"/>
      <sheetName val="Seig_cal"/>
      <sheetName val="MB_wise_qty"/>
      <sheetName val="connect status"/>
      <sheetName val="Census"/>
      <sheetName val="3 day"/>
      <sheetName val="Hydraulic(3.00) 1vent (2)"/>
      <sheetName val="ave lead (calculation))"/>
      <sheetName val="3m-S1"/>
      <sheetName val="2m-S1"/>
      <sheetName val="Spec Report "/>
      <sheetName val="CBR Cert"/>
      <sheetName val="Inspect Report EE"/>
      <sheetName val="traffic"/>
      <sheetName val="design1"/>
      <sheetName val="design1 (2)"/>
      <sheetName val="Ls 250"/>
      <sheetName val="Ls 200"/>
      <sheetName val="LS"/>
      <sheetName val="CS"/>
      <sheetName val="CS -color"/>
      <sheetName val="Pro-C"/>
      <sheetName val="CS-color les"/>
      <sheetName val="Quarry"/>
      <sheetName val="CD-PC-Data"/>
      <sheetName val="PC1000"/>
      <sheetName val="CC pave"/>
      <sheetName val="Ave lead"/>
      <sheetName val="Gen-abs"/>
      <sheetName val="Prof -C "/>
      <sheetName val="prof-B"/>
      <sheetName val="Hydraulic"/>
      <sheetName val="data(MORD)"/>
      <sheetName val="Esti"/>
      <sheetName val="Esti -part -b"/>
      <sheetName val="Data CD"/>
      <sheetName val="Hydraulic(2.00) 1vent"/>
      <sheetName val="硸硸硸⵸汯呤传⁆䅊䵍䱁䵁䑁"/>
      <sheetName val="SSR 2006-07"/>
      <sheetName val="Steel&amp;Cement"/>
      <sheetName val="Plan(Columns)"/>
      <sheetName val="Plan (Plinth Beams)"/>
      <sheetName val="Plan (Roof Beams) "/>
      <sheetName val="Steel -Roof beams "/>
      <sheetName val="impRoaddam"/>
      <sheetName val="rdamdata"/>
      <sheetName val="CDdata (2)"/>
      <sheetName val="1v600stone"/>
      <sheetName val="2v900stone"/>
      <sheetName val="3v900stone"/>
      <sheetName val="CDdata"/>
      <sheetName val="F7hp600"/>
      <sheetName val="1v900"/>
      <sheetName val="cwaydata (2)"/>
      <sheetName val="LLCWay"/>
      <sheetName val="1v900stone"/>
      <sheetName val="lead-st"/>
      <sheetName val="CDdata (3)"/>
      <sheetName val="F7hp1v900"/>
      <sheetName val="F7hp2v900"/>
      <sheetName val="F7hp3v900"/>
      <sheetName val="Hydra"/>
      <sheetName val="XXXXX"/>
      <sheetName val="Note file"/>
      <sheetName val="corr G.ABST27122010"/>
      <sheetName val="21-01-2011 GUJJA Abstract"/>
      <sheetName val="gujja road est-21-01-2011"/>
      <sheetName val="gujja det bridge-21-01.2011"/>
      <sheetName val="21-01.2011gujja bridge estt"/>
      <sheetName val="EWE"/>
      <sheetName val="21-01.2011 gujja Seign charges"/>
      <sheetName val="DATA-CD "/>
      <sheetName val="Data-Road "/>
      <sheetName val="water_cost_certificate"/>
      <sheetName val="Model sh"/>
      <sheetName val="Seig_Calculations"/>
      <sheetName val="transport"/>
      <sheetName val="Cover-MEstt."/>
      <sheetName val="ABST(PART B) "/>
      <sheetName val="F6-Gnrl Abstrt"/>
      <sheetName val="Data.F8.BTR"/>
      <sheetName val="F6-Estt"/>
      <sheetName val="sub-data -no full"/>
      <sheetName val="Machinery"/>
      <sheetName val="Diff stmnt (2)"/>
      <sheetName val="Cvr Pg"/>
      <sheetName val="Rd Map India"/>
      <sheetName val="Rd Map AP"/>
      <sheetName val="Dist Map"/>
      <sheetName val="Bar Chart"/>
      <sheetName val="Pre-Dev.Photos"/>
      <sheetName val="SE Curve Plan"/>
      <sheetName val="KM HM "/>
      <sheetName val="Quary Map"/>
      <sheetName val="Pipe Drawg "/>
      <sheetName val="CS1"/>
      <sheetName val="CS2"/>
      <sheetName val="CS3"/>
      <sheetName val="Rd Fntr Dwg"/>
      <sheetName val="Chapters"/>
      <sheetName val="M.Map"/>
      <sheetName val="Strip Map Plan"/>
      <sheetName val="Cap 2.1"/>
      <sheetName val="Sheet5"/>
      <sheetName val="Lab Rprt Org"/>
      <sheetName val="Lab Rprt"/>
      <sheetName val="Gen.Abs"/>
      <sheetName val="Rd desin brief"/>
      <sheetName val="Daily Trf"/>
      <sheetName val="Weekly Trf"/>
      <sheetName val="Pav Desgn"/>
      <sheetName val="Desn Chart"/>
      <sheetName val="SE Curve"/>
      <sheetName val="CC Pav"/>
      <sheetName val="Crust"/>
      <sheetName val="Drain Draw"/>
      <sheetName val="Road Plan"/>
      <sheetName val="Insp.Rept SE"/>
      <sheetName val="Draft Format"/>
      <sheetName val="Curve Desn"/>
      <sheetName val="Road Estt"/>
      <sheetName val="Side Drn Est"/>
      <sheetName val="Hyd.Part"/>
      <sheetName val="CD Est 1.0M Slab"/>
      <sheetName val="CD Est 6.0M Slab"/>
      <sheetName val="CD Est 1V1000PC"/>
      <sheetName val="CD Est 3V1000PC"/>
      <sheetName val="Seign chrgs"/>
      <sheetName val="CD Est 4V1000PC"/>
      <sheetName val="CD Est 6V1000PC"/>
      <sheetName val="Rd Furn Est"/>
      <sheetName val="Lead "/>
      <sheetName val="Quary chart"/>
      <sheetName val="Data Rd.Furn"/>
      <sheetName val="Ret Wal Desn"/>
      <sheetName val="CD Data"/>
      <sheetName val="Drg Slab Culvt"/>
      <sheetName val="Mtc Cert"/>
      <sheetName val="CD's Extng Prpsd"/>
      <sheetName val="Cert.Wtr Cost"/>
      <sheetName val="Land Cert"/>
      <sheetName val="CE Cert"/>
      <sheetName val="EWE Abst"/>
      <sheetName val="CN1"/>
      <sheetName val="inputs"/>
      <sheetName val="F1"/>
      <sheetName val="F 2A"/>
      <sheetName val="F 2B"/>
      <sheetName val="F-4A"/>
      <sheetName val="F 4"/>
      <sheetName val="F-9A"/>
      <sheetName val="F-9B"/>
      <sheetName val="com cons"/>
      <sheetName val="Annex7.3 STA"/>
      <sheetName val="Prof B"/>
      <sheetName val="Prof C"/>
      <sheetName val="STA Lr"/>
      <sheetName val="PRINTING"/>
      <sheetName val="Conveyance"/>
      <sheetName val="Labr &amp; Mac Rates"/>
      <sheetName val="EW-2"/>
      <sheetName val="L-sec-2"/>
      <sheetName val="Circle Segment"/>
      <sheetName val="EW Bathupuram"/>
      <sheetName val="RLs"/>
      <sheetName val="Levels"/>
      <sheetName val="abstract"/>
      <sheetName val="Levels (2)"/>
      <sheetName val="mother"/>
      <sheetName val="3060"/>
      <sheetName val="3090"/>
      <sheetName val="3120"/>
      <sheetName val="3150"/>
      <sheetName val="3180"/>
      <sheetName val="3210"/>
      <sheetName val="3240"/>
      <sheetName val="3270"/>
      <sheetName val="3300"/>
      <sheetName val="3330"/>
      <sheetName val="3360"/>
      <sheetName val="3390"/>
      <sheetName val="3420"/>
      <sheetName val="3450"/>
      <sheetName val="3480"/>
      <sheetName val="3510"/>
      <sheetName val="3540"/>
      <sheetName val="3570"/>
      <sheetName val="3600"/>
      <sheetName val="3630"/>
      <sheetName val="3660"/>
      <sheetName val="3690"/>
      <sheetName val="3720"/>
      <sheetName val="3750"/>
      <sheetName val="3780"/>
      <sheetName val="3810"/>
      <sheetName val="3840"/>
      <sheetName val="3870"/>
      <sheetName val="3900"/>
      <sheetName val="3930"/>
      <sheetName val="3960"/>
      <sheetName val="3990"/>
      <sheetName val="4020"/>
      <sheetName val="4050"/>
      <sheetName val="4080"/>
      <sheetName val="4110"/>
      <sheetName val="4140"/>
      <sheetName val="4170"/>
      <sheetName val="4200"/>
      <sheetName val="4230"/>
      <sheetName val="4260"/>
      <sheetName val="4290"/>
      <sheetName val="4320"/>
      <sheetName val="4350"/>
      <sheetName val="4380"/>
      <sheetName val="4400"/>
      <sheetName val="4410"/>
      <sheetName val="4440"/>
      <sheetName val="4470"/>
      <sheetName val="4500"/>
      <sheetName val="4530"/>
      <sheetName val="4560"/>
      <sheetName val="4590"/>
      <sheetName val="4620"/>
      <sheetName val="4650"/>
      <sheetName val="4680"/>
      <sheetName val="4710"/>
      <sheetName val="4740"/>
      <sheetName val="4770"/>
      <sheetName val="4800"/>
      <sheetName val="4830"/>
      <sheetName val="4860"/>
      <sheetName val="4890"/>
      <sheetName val="4920"/>
      <sheetName val="4930"/>
      <sheetName val="4940"/>
      <sheetName val="CN Map"/>
      <sheetName val="Site Photoes"/>
      <sheetName val="Quarry Map"/>
      <sheetName val="Rd C Plan"/>
      <sheetName val="Envi Check-List"/>
      <sheetName val="Not to Print"/>
      <sheetName val="Planning"/>
      <sheetName val="Title"/>
      <sheetName val="specific"/>
      <sheetName val="Door"/>
      <sheetName val="coverpage"/>
      <sheetName val="TS memo"/>
      <sheetName val="Spn report"/>
      <sheetName val="BTR"/>
      <sheetName val="RMR"/>
      <sheetName val="road est"/>
      <sheetName val="abs road"/>
      <sheetName val="4V800"/>
      <sheetName val="3V800"/>
      <sheetName val="1vof Obul800"/>
      <sheetName val="1V800"/>
      <sheetName val="1V600"/>
      <sheetName val="2V600"/>
      <sheetName val="2V1000"/>
      <sheetName val="HP abs"/>
      <sheetName val="Det. CC"/>
      <sheetName val="Drt Slab"/>
      <sheetName val="Abs_CD_2"/>
      <sheetName val="certificate"/>
      <sheetName val="CBR"/>
      <sheetName val="Gen abs"/>
      <sheetName val="mlead"/>
      <sheetName val="ECV"/>
      <sheetName val="1rX1000"/>
      <sheetName val="btrates"/>
      <sheetName val="cost"/>
      <sheetName val="thick"/>
      <sheetName val="Leadcost"/>
      <sheetName val="leads"/>
      <sheetName val="hp900"/>
      <sheetName val="2v900"/>
      <sheetName val="3v900"/>
      <sheetName val="impRdam"/>
      <sheetName val="lchart"/>
      <sheetName val="lchart1"/>
      <sheetName val="data "/>
      <sheetName val="Annex-C"/>
      <sheetName val="Annexure"/>
      <sheetName val="Road"/>
      <sheetName val="bridge est"/>
      <sheetName val="Specification (2)"/>
      <sheetName val="Cover est"/>
      <sheetName val="Trafic Valume (SP 72)"/>
      <sheetName val="Pavement design SP 72"/>
      <sheetName val="Culvert Diag (2)"/>
      <sheetName val="Pavement Desgn"/>
      <sheetName val="Form 5"/>
      <sheetName val="Spe."/>
      <sheetName val="Slab Culvert 2 mts"/>
      <sheetName val="CC Road -2"/>
      <sheetName val="Precast Slab Culvert"/>
      <sheetName val="High level Bridge"/>
      <sheetName val="CS -1 (2)"/>
      <sheetName val="600 Pipe culvert "/>
      <sheetName val="Slab Culvert"/>
      <sheetName val="Retaining walls"/>
      <sheetName val="900,1000mm Pipe culvert"/>
      <sheetName val="700  Pipe culvert "/>
      <sheetName val="Con"/>
      <sheetName val="600 Pipe Two rows"/>
      <sheetName val="600 Pipe culvert"/>
      <sheetName val="Symbals"/>
      <sheetName val="CS -1"/>
      <sheetName val="Quarry "/>
      <sheetName val="Key Map "/>
      <sheetName val="Rt.Wall Design"/>
      <sheetName val="curve design"/>
      <sheetName val="CS-2 "/>
      <sheetName val="Trafic Valume"/>
      <sheetName val="Infrmn. Sheet"/>
      <sheetName val="Stamp"/>
      <sheetName val="Specification"/>
      <sheetName val="General"/>
      <sheetName val="CS-1"/>
      <sheetName val="L . S. "/>
      <sheetName val="F2A"/>
      <sheetName val="F4"/>
      <sheetName val="F 4 A"/>
      <sheetName val="B &amp; C"/>
      <sheetName val=" Road Abstract"/>
      <sheetName val="CD works"/>
      <sheetName val="1000 Pipe culvert "/>
      <sheetName val="Side Drains"/>
      <sheetName val="Retaining walls "/>
      <sheetName val="2mts Slab Culvert "/>
      <sheetName val="CC road Ramp"/>
      <sheetName val="Revetment&amp; Toe wall"/>
      <sheetName val="High levl Bridge II@21+50"/>
      <sheetName val="High level Bridge I@19+50"/>
      <sheetName val="road furniture sub estimate"/>
      <sheetName val="Materials Statement (CD Works)"/>
      <sheetName val="Materials Statement"/>
      <sheetName val="Data road"/>
      <sheetName val="Lead road"/>
      <sheetName val="Lead statement road work"/>
      <sheetName val="Lead statement for CD works"/>
      <sheetName val="9A"/>
      <sheetName val="9 B"/>
      <sheetName val="New C"/>
      <sheetName val="STA"/>
      <sheetName val="chapter - 16 "/>
      <sheetName val="Ch- 16 tab. - 17.4"/>
      <sheetName val="Pavement Design"/>
      <sheetName val="Geomatric desgn"/>
      <sheetName val="Bearings"/>
      <sheetName val="Horiz"/>
      <sheetName val="Vert."/>
      <sheetName val="Retain_Design"/>
      <sheetName val="CC Desgin"/>
      <sheetName val="PC Degin"/>
      <sheetName val="Quarry chart"/>
      <sheetName val="BC Map"/>
      <sheetName val="land availability"/>
      <sheetName val="Strip  Plan"/>
      <sheetName val="C.B.R. Chart"/>
      <sheetName val="C.S.(1)"/>
      <sheetName val="Long. Sec.(1)"/>
      <sheetName val="Detail-B"/>
      <sheetName val="Compa.-B   "/>
      <sheetName val="Gen. Abt."/>
      <sheetName val="Gen.Abt. Comp."/>
      <sheetName val="data -B"/>
      <sheetName val="Appron-fig"/>
      <sheetName val="Rt. Wall"/>
      <sheetName val="inputs1"/>
      <sheetName val="inputs2"/>
      <sheetName val="Cv.Lr"/>
      <sheetName val="Main"/>
      <sheetName val="Basic info &amp; Obs"/>
      <sheetName val="Physical Observation_Ann I "/>
      <sheetName val="CC Rec_Ann I(A)"/>
      <sheetName val="CC-II"/>
      <sheetName val="Photo"/>
      <sheetName val="Sieve Analyasis"/>
      <sheetName val="Core Cutting Density "/>
      <sheetName val="M-15_Ann-II"/>
      <sheetName val="M-10_Ann-III"/>
      <sheetName val="Work Sheet"/>
      <sheetName val="Num"/>
      <sheetName val="index"/>
      <sheetName val="gen_abst"/>
      <sheetName val="water"/>
      <sheetName val="data_new"/>
      <sheetName val="v"/>
      <sheetName val="r"/>
      <sheetName val="l"/>
      <sheetName val="electrical"/>
      <sheetName val="marking"/>
      <sheetName val="beams"/>
      <sheetName val="features"/>
      <sheetName val="c_wall"/>
      <sheetName val="ATM List"/>
      <sheetName val="Calendar"/>
      <sheetName val="MOBILE_CODES"/>
      <sheetName val="Unit Conversion"/>
      <sheetName val="Checkbook Balance"/>
      <sheetName val="Loan Payment"/>
      <sheetName val="BMI &amp; Calorie"/>
      <sheetName val="Blood Pressure"/>
      <sheetName val="Conversion"/>
      <sheetName val="Convert"/>
      <sheetName val="Right Triangle"/>
      <sheetName val="Tap Drill"/>
      <sheetName val="Drill Bit Equivalence"/>
      <sheetName val="Chart 1"/>
      <sheetName val="Chart 2"/>
      <sheetName val="Bolt Circle"/>
      <sheetName val="Spiral"/>
      <sheetName val="Rotate"/>
      <sheetName val="Cone Fab"/>
      <sheetName val="Polygon"/>
      <sheetName val="Trig Function"/>
      <sheetName val="Day1"/>
      <sheetName val="Day2"/>
      <sheetName val="Day3"/>
      <sheetName val="Sheet1 (2)"/>
      <sheetName val="pav-des"/>
      <sheetName val="ccdes"/>
      <sheetName val="key"/>
      <sheetName val="Sheet11"/>
      <sheetName val="Spe"/>
      <sheetName val="cert"/>
      <sheetName val="curve"/>
      <sheetName val="Sheet10"/>
      <sheetName val="Sheet16"/>
      <sheetName val="Sheet15"/>
      <sheetName val="Sheet6"/>
      <sheetName val="m"/>
      <sheetName val="m1"/>
      <sheetName val="est"/>
      <sheetName val="she"/>
      <sheetName val="m4"/>
      <sheetName val="cdAbst"/>
      <sheetName val="keymap"/>
      <sheetName val="F2B"/>
      <sheetName val="F6pave"/>
      <sheetName val="F7hp900"/>
      <sheetName val="F7slb3m"/>
      <sheetName val="F7slb4m"/>
      <sheetName val="F8rate"/>
      <sheetName val="mro_bldg"/>
      <sheetName val="mpp_bldg"/>
      <sheetName val="sanitory"/>
      <sheetName val="septic_tank"/>
      <sheetName val="electri"/>
      <sheetName val="data_sein"/>
      <sheetName val="win"/>
      <sheetName val="3v600"/>
      <sheetName val="30mRdam"/>
      <sheetName val="Gen_Abs"/>
      <sheetName val="rainfall"/>
      <sheetName val="Form-4"/>
      <sheetName val="Form-2b"/>
      <sheetName val="Form-2a"/>
      <sheetName val="Form-F1"/>
      <sheetName val="Prof_C"/>
      <sheetName val="Prof_B"/>
      <sheetName val="det without launching appron"/>
      <sheetName val="det thama"/>
      <sheetName val="det sam"/>
      <sheetName val="road furniture "/>
      <sheetName val="CD ABST"/>
      <sheetName val="CULVERTS"/>
      <sheetName val="MAIN EST"/>
      <sheetName val="conyanc"/>
      <sheetName val="EX.SUM"/>
      <sheetName val="CHECK LIST"/>
      <sheetName val="TRAFFIC DATA"/>
      <sheetName val="MAIN ABST"/>
      <sheetName val="CROSS SECTION"/>
      <sheetName val="DESIGN LIFE"/>
      <sheetName val="SPEC REPORT"/>
      <sheetName val="F-B"/>
      <sheetName val="F-1"/>
      <sheetName val="F-2A"/>
      <sheetName val="Packag Summary"/>
      <sheetName val="F-1A"/>
      <sheetName val="F-2"/>
      <sheetName val="F-2B"/>
      <sheetName val="format F4"/>
      <sheetName val="pav desn"/>
      <sheetName val="Format F-4A"/>
      <sheetName val="LHS RHS"/>
      <sheetName val="Est Rd Funt"/>
      <sheetName val="desin HPC"/>
      <sheetName val="grd veri"/>
      <sheetName val="com consultn"/>
      <sheetName val="Ann I "/>
      <sheetName val="Ann-II."/>
      <sheetName val="Ann-IV."/>
      <sheetName val="M.20_Ann-II.."/>
      <sheetName val="Annex-I"/>
      <sheetName val="Annex-II"/>
      <sheetName val="Photo (2)"/>
      <sheetName val="Brea filling"/>
      <sheetName val="Bf  Data sheet"/>
      <sheetName val="kast"/>
      <sheetName val="sird"/>
      <sheetName val="est1"/>
      <sheetName val="spec"/>
      <sheetName val="est.4"/>
      <sheetName val="18.10.06"/>
      <sheetName val="donp"/>
      <sheetName val="3V 1000PC "/>
      <sheetName val="Road dam"/>
      <sheetName val="1V 3mt"/>
      <sheetName val="3V 6mt "/>
      <sheetName val="Lead  RATES"/>
      <sheetName val="int-Dia"/>
      <sheetName val="habs-list"/>
      <sheetName val="nodes"/>
      <sheetName val="Scedule A"/>
      <sheetName val="Scedule B"/>
      <sheetName val="Input"/>
      <sheetName val="Civil SSR"/>
      <sheetName val="SUM-MC"/>
      <sheetName val="CIVL-ABS P SHED 4"/>
      <sheetName val="Parking Shed -tRUSS (4W)"/>
      <sheetName val="CIVL-ABS(Parking Shed- 2 W)  "/>
      <sheetName val="Parking Shed -2 Wheeler"/>
      <sheetName val="General abstract final"/>
      <sheetName val="1) GEN ABS"/>
      <sheetName val="CIVIL WORKS -EST."/>
      <sheetName val="2) Main Bldg EST"/>
      <sheetName val="QTY WORK OUT -CIVIL"/>
      <sheetName val="Det-Hosp-Terrace"/>
      <sheetName val="3) WS-Data"/>
      <sheetName val="5) Civil-data"/>
      <sheetName val="6) Joinery Data"/>
      <sheetName val="SUM-Hospital"/>
      <sheetName val="7) SANITATION EST"/>
      <sheetName val="9) LEAD"/>
      <sheetName val="10) Seigniorage"/>
      <sheetName val="Det-Hosp-FF"/>
      <sheetName val="Hospital-ABS-WS  "/>
      <sheetName val="Hosp-WS Det"/>
      <sheetName val="WS SSR"/>
      <sheetName val="Abs- 50000 lit sump"/>
      <sheetName val="Detail-RCC 50000lit sump"/>
      <sheetName val="Abs-Septic tank 100 users"/>
      <sheetName val="Det septic tank 100 users"/>
      <sheetName val="CC Road-ABS "/>
      <sheetName val="CC Road (det)"/>
      <sheetName val="comp rep gen (2)"/>
      <sheetName val="comp rep road (2)"/>
      <sheetName val="comp rep CD works (2)"/>
      <sheetName val="comp rep- CD works detailed (2)"/>
      <sheetName val="comp rep road furn (2)"/>
      <sheetName val="Comp stat gen"/>
      <sheetName val="Comp stat  road"/>
      <sheetName val="Comp stat  road furn"/>
      <sheetName val="comp sta CD works"/>
      <sheetName val="comp stat- works detailed"/>
      <sheetName val="User-Instructions"/>
      <sheetName val="INPUT-SHEET"/>
      <sheetName val="Insp.Rept EE"/>
      <sheetName val="IR EE"/>
      <sheetName val="IR SE"/>
      <sheetName val="SP-72 DESIGN"/>
      <sheetName val="SP-72-CHART"/>
      <sheetName val="Gen Abs (2)"/>
      <sheetName val="Det esti"/>
      <sheetName val="cd abs new"/>
      <sheetName val="1 v 600 -0-0-0-2"/>
      <sheetName val="1 v 1000 -0-4-0-6"/>
      <sheetName val="1 v 1000 -0-6-08- KM"/>
      <sheetName val="1 v 1000 -0-8-1-0- KM "/>
      <sheetName val="1 v 1000 -1-8-2-0 km"/>
      <sheetName val="1 v 600 -1-0-1-2)"/>
      <sheetName val="1 v 600 -1-2-1-4"/>
      <sheetName val="1 v 600 -1-8-2-0 "/>
      <sheetName val="1 v 600 -2-0-1-2  "/>
      <sheetName val="1 v 600 -pipes"/>
      <sheetName val="Retaining-wall"/>
      <sheetName val="Road-furniture"/>
      <sheetName val="Drains"/>
      <sheetName val="2 v 1000 -1-4-1-6-"/>
      <sheetName val="1 v 600 -3-2-3-4"/>
      <sheetName val="1 v 1000 -3-4-3-6-1"/>
      <sheetName val="1 v 1000 -3-4-3-6-1 (2)"/>
      <sheetName val="1 v 1000 -3-4-3-6 -(3)"/>
      <sheetName val="1 v 600 -3-6-3-8"/>
      <sheetName val="DATA-CD"/>
      <sheetName val="1 v 1000 - as per mea-1"/>
      <sheetName val="1 v 1000 - as per mea-II "/>
      <sheetName val="1 v 1000 - as per mea-III"/>
      <sheetName val="2v_1000_PC-as per san"/>
      <sheetName val="2v_1000_PC- as per m-1"/>
      <sheetName val="2v_1000_PC- as per m-2-"/>
      <sheetName val="2v_1000_PC- as per m3"/>
      <sheetName val="Extension"/>
      <sheetName val="MTC-estimate"/>
      <sheetName val="Comparative Statement- Road Dam"/>
      <sheetName val="1v_900_PC"/>
      <sheetName val="1v_600_PC widening"/>
      <sheetName val="1v_1000_PC"/>
      <sheetName val="2v_600_ widening PC"/>
      <sheetName val="1v_1000_PC widening"/>
      <sheetName val="3 v_900_PC"/>
      <sheetName val="3 v_1000_PC "/>
      <sheetName val="2v_1000_ widening PC "/>
      <sheetName val="3v_1000_ widening PC "/>
      <sheetName val="4v_1000_ widening PC "/>
      <sheetName val="sc_1v_2m"/>
      <sheetName val="sc_1v_3m"/>
      <sheetName val="sc_2v_3m"/>
      <sheetName val="sc_2v_5m"/>
      <sheetName val="RD"/>
      <sheetName val="3v_600_RDVENTS"/>
      <sheetName val="CC_WC"/>
      <sheetName val="temp-ws"/>
      <sheetName val="other rates"/>
      <sheetName val="Hire"/>
      <sheetName val="Conv"/>
      <sheetName val="NP3 pipes"/>
      <sheetName val="NP3 collars"/>
      <sheetName val="MTC-Table"/>
      <sheetName val="Cd-qty-ws-temp"/>
      <sheetName val="Encl."/>
      <sheetName val="Tender Gist"/>
      <sheetName val="EMD Req form"/>
      <sheetName val="BP"/>
      <sheetName val="P+M "/>
      <sheetName val="Split Up"/>
      <sheetName val="Boq"/>
      <sheetName val="RA"/>
      <sheetName val="Annexure - 1"/>
      <sheetName val="Std"/>
      <sheetName val="OH"/>
      <sheetName val="TS"/>
      <sheetName val="Cem. Consmption"/>
      <sheetName val="Scaffolding"/>
      <sheetName val="labour coeff"/>
      <sheetName val="C-data"/>
      <sheetName val="Joinery"/>
      <sheetName val="WS-data"/>
      <sheetName val="PQ-Sum"/>
      <sheetName val="PQ-Civil"/>
      <sheetName val="PQ-GF-1st"/>
      <sheetName val="PQ-FF-2nd"/>
      <sheetName val="TS-Sum"/>
      <sheetName val="TS-Civil"/>
      <sheetName val="TS-Stilt-1st"/>
      <sheetName val="TS-FF-2nd"/>
      <sheetName val="TS-SF-3rd"/>
      <sheetName val="TS-TF-4th"/>
      <sheetName val="TS-Fourth-5th"/>
      <sheetName val="TS-Fifth-6th"/>
      <sheetName val="TS-Sixth-7th"/>
      <sheetName val="Shed-Sum"/>
      <sheetName val="Shed-Civil"/>
      <sheetName val="Shed-GF-1st"/>
      <sheetName val="DATA_ENTRY"/>
      <sheetName val="Letter"/>
      <sheetName val="Report"/>
      <sheetName val="GenAbs"/>
      <sheetName val="Seignarages"/>
      <sheetName val="DetEst"/>
      <sheetName val="WorkSlip"/>
      <sheetName val="BTLeads"/>
      <sheetName val="MRoad data"/>
      <sheetName val="Certificates"/>
      <sheetName val="MRATES"/>
      <sheetName val="Sheet4"/>
      <sheetName val="C.page (2)"/>
      <sheetName val="C.page (3)"/>
      <sheetName val="Truss Data (2)"/>
      <sheetName val="Conversion  sheds"/>
      <sheetName val="Cover  sheds (2)"/>
      <sheetName val="Shops 25 Nos"/>
      <sheetName val="Shops 5 Nos"/>
      <sheetName val="Compound wall"/>
      <sheetName val="Water Harvest"/>
      <sheetName val="C.C"/>
      <sheetName val="Levelling"/>
      <sheetName val="Drain"/>
      <sheetName val="Pro Rolling"/>
      <sheetName val="Removal CGI"/>
      <sheetName val="Canteen"/>
      <sheetName val="Shops  (2)"/>
      <sheetName val="RRH"/>
      <sheetName val="Ele"/>
      <sheetName val="Shed No 1"/>
      <sheetName val="Shed No 2"/>
      <sheetName val="Shed No 3"/>
      <sheetName val="Shed"/>
      <sheetName val="Toilet"/>
      <sheetName val="Roads"/>
      <sheetName val="Conveyance ch"/>
      <sheetName val="SSR 2014-15 Rates"/>
      <sheetName val="C wall"/>
      <sheetName val="Sales"/>
      <sheetName val="CW With Gate"/>
      <sheetName val="ABS-Compound wall"/>
      <sheetName val="Hire charges"/>
      <sheetName val="centering"/>
      <sheetName val="40KL-250KL Estimate &amp; data"/>
      <sheetName val="CI specials for OHSR"/>
      <sheetName val="C wall (2)"/>
      <sheetName val="Data-ST"/>
      <sheetName val="Rates"/>
      <sheetName val="Commu  Room GA"/>
      <sheetName val="Basic Input"/>
      <sheetName val="F type PSB WITH MST"/>
      <sheetName val="library"/>
      <sheetName val="DIRECTOR QTR"/>
      <sheetName val="PAREDE GROUND "/>
      <sheetName val="WS&amp;E"/>
      <sheetName val="MST "/>
      <sheetName val="w. s &amp; drainage"/>
      <sheetName val="Abs-Civil"/>
      <sheetName val="Chart"/>
      <sheetName val="1st&amp;2nd sotc"/>
      <sheetName val="2nd fl. IOM"/>
      <sheetName val="Electrical data 12-13"/>
      <sheetName val="W.Supply"/>
      <sheetName val="Door Datas"/>
      <sheetName val="Road datas"/>
      <sheetName val="Footing, Col steel above plinth"/>
      <sheetName val="EW"/>
      <sheetName val="Staircase,Ramp,GF Slab,1F Col"/>
      <sheetName val="SocialKTDM-MESURE-MB-1"/>
      <sheetName val="Cutting"/>
      <sheetName val="Narsapur Hospital MB 1 (2)"/>
      <sheetName val="10TH CIVIL"/>
      <sheetName val="10TH STEEL"/>
      <sheetName val="Sheet8"/>
      <sheetName val="Sheet9"/>
      <sheetName val="6th&amp;part civil"/>
      <sheetName val="6th&amp;pat abstract"/>
      <sheetName val="6th&amp;part steel"/>
      <sheetName val="7th&amp;Part CIVIL"/>
      <sheetName val="Sheet13"/>
      <sheetName val="7thbill "/>
      <sheetName val="Sheet14"/>
      <sheetName val="7TH BILL-STEEL"/>
      <sheetName val="8th Bill-Steel"/>
      <sheetName val="Sheet12"/>
      <sheetName val="Sheet17"/>
      <sheetName val="Sheet18"/>
      <sheetName val="Sheet19"/>
      <sheetName val="Sheet20"/>
      <sheetName val="Sheet21"/>
      <sheetName val="Sheet7"/>
      <sheetName val="11th bill"/>
      <sheetName val="Sec-Civil"/>
      <sheetName val="V-CS"/>
      <sheetName val="maya"/>
      <sheetName val="ValveChamber"/>
      <sheetName val="V-CR"/>
      <sheetName val="2.40 mts slab"/>
      <sheetName val="Seig"/>
      <sheetName val="Piped culvert"/>
      <sheetName val="6x4"/>
      <sheetName val="12x6"/>
      <sheetName val="cover page"/>
      <sheetName val="general abstract"/>
      <sheetName val="door window calculations"/>
      <sheetName val="door window datas"/>
      <sheetName val="electrification data"/>
      <sheetName val="data existing_do not delete"/>
      <sheetName val="pipe line sub estimate"/>
      <sheetName val="pipe line data"/>
      <sheetName val="hydraulic designs projects"/>
      <sheetName val="hydraulic designs pws schemes"/>
      <sheetName val="hydraulic statement"/>
      <sheetName val="economical pm calculations"/>
      <sheetName val="fp estimate"/>
      <sheetName val="rotary bore well estimate"/>
      <sheetName val="ohsr 40k sub estimate"/>
      <sheetName val="ohsr 40k verticals"/>
      <sheetName val="ohsr 60k sub estimate"/>
      <sheetName val="ohsr 60k verticals"/>
      <sheetName val="ohsr 90k sub estimate"/>
      <sheetName val="ohsr 90k verticals"/>
      <sheetName val="ohsr 120k sub estimate"/>
      <sheetName val="ohsr 120k verticals"/>
      <sheetName val="ohsr 150 sub estimate"/>
      <sheetName val="ohsr 150k verticals"/>
      <sheetName val="ohsr 200k sub estimate"/>
      <sheetName val="ohsr 200k verticals"/>
      <sheetName val="ohsr 250k sub estimate"/>
      <sheetName val="ohsr 250k verticals"/>
      <sheetName val="WS Data"/>
      <sheetName val="Civil"/>
      <sheetName val="WS"/>
      <sheetName val="ele.Abstract"/>
      <sheetName val="L-CIVIL-1"/>
      <sheetName val="L-STEEL-2"/>
      <sheetName val="LEVEL SHEET FOR RR MASONRY"/>
      <sheetName val="ABCD-CIVIL"/>
      <sheetName val="ABCD-WS &amp;&amp; SA"/>
      <sheetName val="ABCD-ELE"/>
      <sheetName val="CIVL-ABS"/>
      <sheetName val="HOSP-WS-AbS"/>
      <sheetName val="ABS-ELE"/>
      <sheetName val=" Hospital-GF (FF) "/>
      <sheetName val="Hospital-FF (SF)"/>
      <sheetName val="Hospital- SF"/>
      <sheetName val="Hospital-Terrace"/>
      <sheetName val="HOSP-WS-Det "/>
      <sheetName val="Mort-Civil-abs"/>
      <sheetName val="MorT-WS-Abs"/>
      <sheetName val="Mortuary-GF(Dd)"/>
      <sheetName val="Mortury-WS-Det"/>
      <sheetName val="Patient-Civil"/>
      <sheetName val="WS-Abs-P.shed"/>
      <sheetName val="Patient-GF-1st "/>
      <sheetName val="WS-Det-P.shed"/>
      <sheetName val="Garrage-Civil-ABS"/>
      <sheetName val="Garrage-Det"/>
      <sheetName val="Abs-sump 2lit"/>
      <sheetName val="Abs-ST (300)"/>
      <sheetName val="Sump(2 Lack Litr)"/>
      <sheetName val="Det-ST (300users)"/>
      <sheetName val="BOQ-CIVIL"/>
      <sheetName val="BOQ-WS &amp;&amp; SA"/>
      <sheetName val="BOQ-ELE"/>
      <sheetName val="CP (2)"/>
      <sheetName val="Deviation Stmnt"/>
      <sheetName val="Updated GA"/>
      <sheetName val="SUPL-CIVIL"/>
      <sheetName val="SUPL-WS"/>
      <sheetName val="SUPL-EL"/>
      <sheetName val="Working Estimate"/>
      <sheetName val="RENOVATION BUILDING"/>
      <sheetName val="10TH Abstract"/>
      <sheetName val="Fee Rate Summary"/>
      <sheetName val="LEAD STATEMENT-2014-15"/>
      <sheetName val="EARTH WORK"/>
      <sheetName val="Data-2014-15"/>
      <sheetName val="buiding"/>
      <sheetName val="sumps and glsrs"/>
      <sheetName val="Doors,windows"/>
      <sheetName val="concrete data (2010-11)"/>
      <sheetName val="C.C.ROAD"/>
      <sheetName val="M.S pipe"/>
      <sheetName val="PH items"/>
      <sheetName val="DI-K7 &amp; K9 (2014-15)"/>
      <sheetName val="HDPE"/>
      <sheetName val="DI VALVES "/>
      <sheetName val="Rubber gaskets(2014-15)"/>
      <sheetName val="DI Specials (2014-15"/>
      <sheetName val="PH"/>
      <sheetName val="not req"/>
      <sheetName val="M 20 (2010-11)"/>
      <sheetName val="Domesetic con (2)"/>
      <sheetName val="Domesetic con"/>
      <sheetName val="New HSCs"/>
      <sheetName val="HSC"/>
      <sheetName val="7.COM AB"/>
      <sheetName val="7.COM DETAIL"/>
      <sheetName val="Door,Win Data"/>
      <sheetName val="6.staff AB"/>
      <sheetName val="6.staff qt det"/>
      <sheetName val="5.watch ABS"/>
      <sheetName val="5.watch DET"/>
      <sheetName val="pcc 1510"/>
      <sheetName val="LEAD STATEMENT-2016-17"/>
      <sheetName val="EARTH WORK-2016-17"/>
      <sheetName val="M.S-2016-17 "/>
      <sheetName val="Data-2016-17"/>
      <sheetName val="PH items-2016-17"/>
      <sheetName val="DI-K7 &amp; K9 (2016-17)"/>
      <sheetName val="HDPE&amp;RCC valves"/>
      <sheetName val="psc"/>
      <sheetName val="HDPE PIPE"/>
      <sheetName val="DI VALVES PN1.6"/>
      <sheetName val="Rubber gaskets(2016-17)"/>
      <sheetName val="CI &amp; DI Specials (2016-17)"/>
      <sheetName val="Doors "/>
      <sheetName val="EMBANKMENT"/>
      <sheetName val="CI WEIGHTS"/>
      <sheetName val="su"/>
      <sheetName val="1"/>
      <sheetName val="2A"/>
      <sheetName val="2B"/>
      <sheetName val="2C"/>
      <sheetName val="2D"/>
      <sheetName val="2E"/>
      <sheetName val="2F"/>
      <sheetName val="2G"/>
      <sheetName val="2H"/>
      <sheetName val="3A"/>
      <sheetName val="3B"/>
      <sheetName val="4"/>
      <sheetName val="5"/>
      <sheetName val="6A"/>
      <sheetName val="6B"/>
      <sheetName val="7A"/>
      <sheetName val="7B"/>
      <sheetName val="8A"/>
      <sheetName val="8B"/>
      <sheetName val="9B"/>
      <sheetName val="9C"/>
      <sheetName val="9D"/>
      <sheetName val="9E"/>
      <sheetName val="9F"/>
      <sheetName val="9G"/>
      <sheetName val="9H"/>
      <sheetName val="9I"/>
      <sheetName val="9J"/>
      <sheetName val="9K"/>
      <sheetName val="10"/>
      <sheetName val="11"/>
      <sheetName val="12"/>
      <sheetName val="13"/>
      <sheetName val="14"/>
      <sheetName val="Seigniorages"/>
      <sheetName val="Lead cal"/>
      <sheetName val="TO BE UPDATE"/>
      <sheetName val="DETAILED ESTIMATE "/>
      <sheetName val="data input "/>
      <sheetName val="site clearance "/>
      <sheetName val="traffic "/>
      <sheetName val="PC ABS"/>
      <sheetName val="bc abs"/>
      <sheetName val="INV "/>
      <sheetName val="road safety datas"/>
      <sheetName val="C-Mat"/>
      <sheetName val="Mortars,"/>
      <sheetName val="hire-08-09"/>
      <sheetName val="CC Road"/>
      <sheetName val="SW drain"/>
      <sheetName val="Sewer"/>
      <sheetName val="mh"/>
      <sheetName val="MH-0.90"/>
      <sheetName val="MH-1.20"/>
      <sheetName val="Borewells"/>
      <sheetName val="Pump sets-RC"/>
      <sheetName val="Septic tank"/>
      <sheetName val="HDPE-16"/>
      <sheetName val="RCC SS"/>
      <sheetName val="PVC-6Kg"/>
      <sheetName val="Lowering"/>
      <sheetName val="Elec"/>
      <sheetName val="PH data"/>
      <sheetName val="bom"/>
      <sheetName val="DETAILED ESTIMATE  (2)"/>
      <sheetName val="DATA_PRG"/>
      <sheetName val="not req1"/>
      <sheetName val="not req 2"/>
      <sheetName val="not req 3"/>
      <sheetName val="not req 4"/>
      <sheetName val="DI-K7 &amp; K9 (2010-11)"/>
      <sheetName val="DI SPECIALS"/>
      <sheetName val="DI-C-L-J (2010-11)O.D-450MM dia"/>
      <sheetName val="DI Specials (2010-11)"/>
      <sheetName val="CI Specials (2010-11) (2)"/>
      <sheetName val="DI SPECIALS (2)"/>
      <sheetName val="Rubber gaskets(2010-11)"/>
      <sheetName val="OUT to Mettuguda abs"/>
      <sheetName val="OUT to Mettuguda det"/>
      <sheetName val="OUT to sainikpuri abs"/>
      <sheetName val="OUT to sainikpuri det"/>
      <sheetName val="Ghanapur to OUT abs"/>
      <sheetName val="Ghanapur to OUT det"/>
      <sheetName val="Suraram to weigh bridge Abs"/>
      <sheetName val="Suraram to weigh bridge det"/>
      <sheetName val="Huda park to Lingampally abs "/>
      <sheetName val="Huda park to Lingampally det  "/>
      <sheetName val="Suraram to Huda park abs"/>
      <sheetName val="Suraram to Huda park det"/>
      <sheetName val="Ghanapur to Suraram jn. Abs"/>
      <sheetName val="Ghanapur to Suraram jn. det"/>
      <sheetName val="MS pipe Data"/>
      <sheetName val="MS pipe rates"/>
      <sheetName val="lowering and jointing of flange"/>
      <sheetName val="MS Flanges &amp; TPs"/>
      <sheetName val="Ms Bends &amp; tee's"/>
      <sheetName val="sluice valves"/>
      <sheetName val="Air valves over"/>
      <sheetName val="general data"/>
      <sheetName val="RCC valve chamber"/>
      <sheetName val="PM"/>
      <sheetName val="com st PM"/>
      <sheetName val="GM"/>
      <sheetName val="comst GM"/>
      <sheetName val="eweljlt"/>
      <sheetName val="pvc_basic"/>
      <sheetName val="pvc"/>
      <sheetName val="hdpe_basic"/>
      <sheetName val="DI"/>
      <sheetName val="CI"/>
      <sheetName val="G.R.P"/>
      <sheetName val="Joint"/>
      <sheetName val="Read me"/>
      <sheetName val="CI_Culvert"/>
      <sheetName val="Main_calcn1(culvert)"/>
      <sheetName val="GI_culvert"/>
      <sheetName val="CI_Sump"/>
      <sheetName val="Sump_cal"/>
      <sheetName val="Main_calcn1 (sump)"/>
      <sheetName val="Jt_table"/>
      <sheetName val="Jt_rate"/>
      <sheetName val="spare"/>
      <sheetName val="Main_Calcn2"/>
      <sheetName val="SPECIAL"/>
      <sheetName val="A S TEE"/>
      <sheetName val="A F TEE"/>
      <sheetName val="D F TAPER"/>
      <sheetName val="GI_Sump"/>
      <sheetName val="Rates_CI"/>
      <sheetName val="Rate_GI"/>
      <sheetName val="Rate_Labour"/>
      <sheetName val="special_copy"/>
      <sheetName val="00000"/>
      <sheetName val="AAAAAAAAAAAAA"/>
      <sheetName val="ew OG"/>
      <sheetName val="ew-DiMs"/>
      <sheetName val="BWSCP"/>
      <sheetName val="GRP"/>
      <sheetName val="AC"/>
      <sheetName val="MS8mm-revised"/>
      <sheetName val="MSdata"/>
      <sheetName val="msinlining"/>
      <sheetName val="wiremesh"/>
      <sheetName val="RCC"/>
      <sheetName val="DI Weights"/>
      <sheetName val="Wt of HDPE"/>
      <sheetName val="lazwts"/>
      <sheetName val="hdpe-rates"/>
      <sheetName val="hdpe_invoice"/>
      <sheetName val="pvc_invoice"/>
      <sheetName val="hdpe weights"/>
      <sheetName val="pvc-rates"/>
      <sheetName val="PVC weights"/>
      <sheetName val="DESIGEN_RCC_CULVERT"/>
      <sheetName val="DESIGENS_HP_CULVERT"/>
      <sheetName val="ANGANWADI_BULDG"/>
      <sheetName val="DATA_COPY"/>
      <sheetName val="DATA_PRG _NO_SEIG"/>
      <sheetName val="Gravity 10"/>
      <sheetName val=" rates_Dec 2013"/>
      <sheetName val="AV-HDPE"/>
      <sheetName val="AV-DI"/>
      <sheetName val="DI_gate_di"/>
      <sheetName val="Di_gate-HDPE"/>
      <sheetName val="scour-DI-CI"/>
      <sheetName val="scour-pvc-hdpe-psc-bwsc"/>
      <sheetName val="MS data"/>
      <sheetName val="MS "/>
      <sheetName val="VC rate"/>
      <sheetName val="DFjoints"/>
      <sheetName val="AV-PVC"/>
      <sheetName val="AV-BWSC&amp;MS"/>
      <sheetName val="AV_AC"/>
      <sheetName val="DIgate_PVC"/>
      <sheetName val="sluice-PVC"/>
      <sheetName val="sluice-HDPE"/>
      <sheetName val="sluice-DI"/>
      <sheetName val="di_Gate_AC"/>
      <sheetName val="sluice-AC"/>
      <sheetName val="Digate-BWSCP-MS"/>
      <sheetName val="sluice-BWSCP-MS"/>
      <sheetName val="NRV(Swing check valve)-DI"/>
      <sheetName val="vc80"/>
      <sheetName val="vc200"/>
      <sheetName val="vc450"/>
      <sheetName val="vc600"/>
      <sheetName val="vc700"/>
      <sheetName val="vc1000"/>
      <sheetName val="MS"/>
      <sheetName val="pipeleads"/>
      <sheetName val="PSC -pv"/>
      <sheetName val="GRP-pv"/>
      <sheetName val="COVER_SHEET"/>
      <sheetName val="M2"/>
      <sheetName val="ESTT_FINAL"/>
      <sheetName val="LEAD_CHART"/>
      <sheetName val="SCHEDULE_A"/>
      <sheetName val="GENABST"/>
      <sheetName val="PEA "/>
      <sheetName val="Indirect Cost"/>
      <sheetName val="RATE LIST CUM BOM"/>
      <sheetName val="Direct Cost A1 "/>
      <sheetName val="Direct cost shed A-2 "/>
      <sheetName val="Direct cost shed A-3 Reservoirs"/>
      <sheetName val="shed A-4 Ancillary civil works"/>
      <sheetName val="she A-5 tools"/>
      <sheetName val="she A-6 sPARES"/>
      <sheetName val="price B(O&amp;M)"/>
      <sheetName val="Bill of Resources"/>
      <sheetName val="Assets "/>
      <sheetName val="Electrical items-FROM SERVI.."/>
      <sheetName val="Sluice valve chambers"/>
      <sheetName val=" pump houses"/>
      <sheetName val="OHSR-cost analysis"/>
      <sheetName val="OHSR-analysis"/>
      <sheetName val="Air valve chambers"/>
      <sheetName val="Scour valve chambers"/>
      <sheetName val="Drainage-workings"/>
      <sheetName val="Transfer chamber-type B "/>
      <sheetName val="Transfer chamber-type A"/>
      <sheetName val="Electrical items"/>
      <sheetName val="Staff quarters"/>
      <sheetName val="internal roads"/>
      <sheetName val="Cost analysis for roads"/>
      <sheetName val=" Esti. of compound"/>
      <sheetName val="Cost analysis of compound"/>
      <sheetName val="Pipe Rates"/>
      <sheetName val="Rate list"/>
      <sheetName val="Consolidated"/>
      <sheetName val="Top Line - WWW"/>
      <sheetName val="Top Line - BUILDINGS"/>
      <sheetName val="Top Line - ROADS"/>
      <sheetName val="Top Line - POWER"/>
      <sheetName val="Top Line - INDUSTRIAL"/>
      <sheetName val="Top Line - IRRIGATION"/>
      <sheetName val="Cash Flow - WWW"/>
      <sheetName val="Cash Flow - BUILDINGS"/>
      <sheetName val="Cash Flow - ROADS"/>
      <sheetName val="Cash Flow - POWER"/>
      <sheetName val="Cash Flow - INDUSTRIAL"/>
      <sheetName val="Cash Flow - IRRIGATION"/>
      <sheetName val="Fund Requirement"/>
      <sheetName val="Business Development &amp; Orders"/>
      <sheetName val="Capital Expenses"/>
      <sheetName val="Overheads"/>
      <sheetName val="Organisation Chart"/>
      <sheetName val="Manpower Requirement"/>
      <sheetName val="Conversions"/>
      <sheetName val="C.L"/>
      <sheetName val="Part II Complnce.Reass Tech"/>
      <sheetName val="Part I Assessmnt rept Tech"/>
      <sheetName val="Systemic (Annex 2.01)"/>
      <sheetName val="Steel reconci (Annex 2.02)"/>
      <sheetName val="material rec Annex 2.03"/>
      <sheetName val="RMC rec Annex 2.04"/>
      <sheetName val="material rate comp annex 2.05"/>
      <sheetName val="WO Annex 2.06"/>
      <sheetName val="C L"/>
      <sheetName val="AMC Tech"/>
      <sheetName val="Finance Annex"/>
      <sheetName val="Reassess Techn"/>
      <sheetName val="Tech "/>
      <sheetName val="VO"/>
      <sheetName val="CASH CONTRACTS"/>
      <sheetName val="B2B &amp; OWN"/>
      <sheetName val="est(mord)"/>
      <sheetName val="Lead statement ss5"/>
      <sheetName val="Lead statement -IRC"/>
      <sheetName val="Informtion Anne. (2)"/>
      <sheetName val="Format Road Proj. (2)"/>
      <sheetName val="ANNEXURE I"/>
      <sheetName val="ANNEXURE II"/>
      <sheetName val="ANNEXURE III "/>
      <sheetName val="ANNEXURE IV"/>
      <sheetName val="ANNEXURE V"/>
      <sheetName val="ANNEXURE VI"/>
      <sheetName val="ANNEXURE Vii"/>
      <sheetName val="ANNEXURE VIii"/>
      <sheetName val="ANNEXURE IX"/>
      <sheetName val="ANNEXURE IX (2)"/>
      <sheetName val="Key Map1"/>
      <sheetName val="stripmap"/>
      <sheetName val="Hydraulic(600)"/>
      <sheetName val="Hydraulic(2v600)"/>
      <sheetName val="Hydraulic(900)"/>
      <sheetName val="Abst   (2)"/>
      <sheetName val="CD abstract"/>
      <sheetName val="Executive"/>
      <sheetName val="road_est"/>
      <sheetName val="bridge _mord data"/>
      <sheetName val="Bridge data"/>
      <sheetName val="conveyances"/>
      <sheetName val="Format Road Proj."/>
      <sheetName val="Informtion Anne."/>
      <sheetName val="Annexure-B"/>
      <sheetName val="Photos"/>
      <sheetName val="lead chart"/>
      <sheetName val="2V_3M_SLAB (2)"/>
      <sheetName val="RD_X"/>
      <sheetName val="ROAD_DAM_100M"/>
      <sheetName val="RD_100M"/>
      <sheetName val="RD_VENTES"/>
      <sheetName val="Estimate (2)"/>
      <sheetName val="Check_Slip"/>
      <sheetName val="Misc"/>
      <sheetName val="Data_Base"/>
      <sheetName val="Templates"/>
      <sheetName val="Sp_Report"/>
      <sheetName val="Conveyance_Rates"/>
      <sheetName val="Conveyance_Table"/>
      <sheetName val="Est_amt_text"/>
      <sheetName val="Labour_Charges"/>
      <sheetName val="OHSRCAP"/>
      <sheetName val="PIPES-FINAL"/>
      <sheetName val="covered-habs"/>
      <sheetName val="covered-habs-nss"/>
      <sheetName val="NEW-ohsr list"/>
      <sheetName val="abstract ohsr&amp;bpt"/>
      <sheetName val="list"/>
      <sheetName val="JAWAHAR-hyd-original"/>
      <sheetName val="3200"/>
      <sheetName val="2750"/>
      <sheetName val="2500"/>
      <sheetName val="2200"/>
      <sheetName val="1800"/>
      <sheetName val="1500"/>
      <sheetName val="GL1"/>
      <sheetName val="GL2"/>
      <sheetName val="200"/>
      <sheetName val="100"/>
      <sheetName val="50"/>
      <sheetName val="water-pros-ultimate-rate"/>
      <sheetName val="water-ultimater"/>
      <sheetName val="A'rangapur-Out Flow"/>
      <sheetName val="chart-A'rangapur-OUT-flow"/>
      <sheetName val="Chart2-habs"/>
      <sheetName val="Chart2-total"/>
      <sheetName val="Programme "/>
      <sheetName val="LEAD  CHART 2013-14"/>
      <sheetName val="ABSRACT "/>
      <sheetName val="SPECIFICATION REPORT"/>
      <sheetName val="SEIGNROAGE CHARGES  "/>
      <sheetName val="ESTIMATE "/>
      <sheetName val="LEAD CHART ( 2013 - 14 )"/>
      <sheetName val="DATA SHEET FOR 2012 - 13"/>
      <sheetName val=" DOOR DATA SHEET  2012-13"/>
      <sheetName val="WORK EXECUTIVE MEMBER"/>
      <sheetName val="Nomination Covering Letter "/>
      <sheetName val="Nomination Proposals"/>
      <sheetName val="MEMORANDAM"/>
      <sheetName val="AGREEMENT"/>
      <sheetName val=" SCHEDULE"/>
      <sheetName val="Tender Schedule "/>
      <sheetName val="SUPPLEMENTARY AGREEMENT "/>
      <sheetName val="DD Covering Letter "/>
      <sheetName val="Estimate Covering Letter "/>
      <sheetName val="Workdone Specification Report "/>
      <sheetName val="WORKDONE ESTIMATE"/>
      <sheetName val="COMPARATIVE STATEMENT "/>
      <sheetName val="COMPLITION REPORT "/>
      <sheetName val="CC BILLS"/>
      <sheetName val="CC BILLS COVERING LETTER"/>
      <sheetName val="MP MEMORANDAM"/>
      <sheetName val="MP Agreement "/>
      <sheetName val="MOVEMENT SLIP "/>
      <sheetName val="LUMP SUM CONTRACTOR "/>
      <sheetName val="PART- LUMP SUM CONTRACTOR"/>
      <sheetName val="LINE SPECIFICATION REPORT"/>
      <sheetName val="LINE ESTIMATE"/>
      <sheetName val="Generic "/>
      <sheetName val="Name Sheet"/>
      <sheetName val="Spicification Report "/>
      <sheetName val="GP Building 10.00 lAKS (2)"/>
      <sheetName val="Datas"/>
      <sheetName val=" Doors windows Coutry wood "/>
      <sheetName val="GP Building 10.00 lAKS"/>
      <sheetName val="GP Building "/>
      <sheetName val="Ele data"/>
      <sheetName val="San data"/>
      <sheetName val="CR"/>
      <sheetName val="CS "/>
      <sheetName val="Estt"/>
      <sheetName val="#REF"/>
      <sheetName val="#REF!"/>
      <sheetName val="CDdata_(2)"/>
      <sheetName val="cwaydata_(2)"/>
      <sheetName val="CDdata_(3)"/>
      <sheetName val="Lead_statement_ss5"/>
      <sheetName val="lead_st"/>
      <sheetName val="CDdata_(2)1"/>
      <sheetName val="cwaydata_(2)1"/>
      <sheetName val="CDdata_(3)1"/>
      <sheetName val="data-WC"/>
      <sheetName val="CDdata_(2)5"/>
      <sheetName val="cwaydata_(2)5"/>
      <sheetName val="CDdata_(3)5"/>
      <sheetName val="Lead_statement_ss53"/>
      <sheetName val="CDdata_(2)3"/>
      <sheetName val="cwaydata_(2)3"/>
      <sheetName val="CDdata_(3)3"/>
      <sheetName val="CDdata_(2)2"/>
      <sheetName val="cwaydata_(2)2"/>
      <sheetName val="CDdata_(3)2"/>
      <sheetName val="Lead_statement_ss51"/>
      <sheetName val="CDdata_(2)4"/>
      <sheetName val="cwaydata_(2)4"/>
      <sheetName val="CDdata_(3)4"/>
      <sheetName val="Lead_statement_ss52"/>
      <sheetName val="Common "/>
      <sheetName val="Data-ELSR"/>
      <sheetName val="Mortars"/>
      <sheetName val="Usage"/>
      <sheetName val="SUMP1420KL@HW"/>
      <sheetName val="DATA-BASE"/>
      <sheetName val="DATA-ABSTRACT"/>
      <sheetName val="0000"/>
      <sheetName val="Start"/>
      <sheetName val="1. Add"/>
      <sheetName val="2. Fill"/>
      <sheetName val="3. Split"/>
      <sheetName val="4. Transpose"/>
      <sheetName val="5. Sort &amp; filter"/>
      <sheetName val="6. Tables"/>
      <sheetName val="7. Drop-downs"/>
      <sheetName val="8. Analyze"/>
      <sheetName val="9. Charts"/>
      <sheetName val="10. PivotTables"/>
      <sheetName val="Learn more"/>
      <sheetName val="Sp. Rep."/>
      <sheetName val="Sp.Rep.2"/>
      <sheetName val="CC est 3.00 lakhs"/>
      <sheetName val="Drain est"/>
      <sheetName val="Input Sheet 3.00 L"/>
      <sheetName val="Sp. Rep. (wrk dne)"/>
      <sheetName val="CC est 80+20 (work done)"/>
      <sheetName val="CC est 80+20"/>
      <sheetName val="Input Sheet 80+20"/>
      <sheetName val="comp report"/>
      <sheetName val="CC Road data"/>
      <sheetName val="Drain DATA"/>
      <sheetName val="Sp. Rep. (2)"/>
      <sheetName val="Work done"/>
      <sheetName val="Completion"/>
      <sheetName val="New lead2"/>
      <sheetName val="CD-DAta"/>
      <sheetName val="Base Course "/>
      <sheetName val="final abstract"/>
      <sheetName val="Main sheet"/>
      <sheetName val="Quotes"/>
      <sheetName val="work_sheet"/>
      <sheetName val="t_prsr"/>
      <sheetName val="id"/>
      <sheetName val="BALAN1"/>
      <sheetName val="sand"/>
      <sheetName val="stone"/>
      <sheetName val="BS8007"/>
      <sheetName val="Deck Slab"/>
      <sheetName val="CDdata_(2)6"/>
      <sheetName val="cwaydata_(2)6"/>
      <sheetName val="CDdata_(3)6"/>
      <sheetName val="Lead_statement_ss54"/>
      <sheetName val="Common_"/>
      <sheetName val="Lead_statement"/>
      <sheetName val="CD_works"/>
      <sheetName val="Road_data"/>
      <sheetName val="Detailed Estimate"/>
      <sheetName val="clvrt_data"/>
      <sheetName val="wh"/>
      <sheetName val="PVC_dia"/>
      <sheetName val="Rate"/>
      <sheetName val="ONLINE DUMP"/>
      <sheetName val="sancdump"/>
      <sheetName val="wh_data"/>
      <sheetName val="CPHEEO"/>
      <sheetName val="wh_data_R"/>
      <sheetName val="C.D.Abs.Est."/>
      <sheetName val="Doors Data (2)"/>
      <sheetName val="C-data (2)"/>
      <sheetName val="lead 2"/>
      <sheetName val="stall"/>
      <sheetName val="compound"/>
      <sheetName val="auction"/>
      <sheetName val="platform"/>
      <sheetName val="etp"/>
      <sheetName val="CI soft PN1"/>
      <sheetName val="SSTank"/>
      <sheetName val="BWSC (2)"/>
      <sheetName val="Data-2011-12"/>
      <sheetName val="DI-K7 &amp; K9 (2011-12)"/>
      <sheetName val="MS pipes"/>
      <sheetName val="DI VALVES PN1.6 (2)"/>
      <sheetName val="HDPE&amp;RCC"/>
      <sheetName val="PH-pipe lines"/>
      <sheetName val="LEAD STATEMENT-2011-12"/>
      <sheetName val="DI Specials (2011-12)"/>
      <sheetName val="CI Specials (2011-12) "/>
      <sheetName val="buiding "/>
      <sheetName val="elsr "/>
      <sheetName val="PSC (Cyl)"/>
      <sheetName val="Carting"/>
      <sheetName val="HDPE Specials"/>
      <sheetName val="Zone-1"/>
      <sheetName val="Zone-2"/>
      <sheetName val="Zone-3"/>
      <sheetName val="Zone-3 (alt)"/>
      <sheetName val="PS1"/>
      <sheetName val="DATA-2005-06"/>
      <sheetName val="Sheet"/>
      <sheetName val="Amendments"/>
      <sheetName val="Bld.SSR"/>
      <sheetName val="SSR -Sani "/>
      <sheetName val="Elec.SSR"/>
      <sheetName val="Irri-SSR"/>
      <sheetName val="PH- SSR"/>
      <sheetName val="R &amp; B.SSR"/>
      <sheetName val="RCC Pipes"/>
      <sheetName val="PH-HDPE"/>
      <sheetName val="PH-PVC"/>
      <sheetName val="DI-Pipes &amp; Spe"/>
      <sheetName val="CI.Spe"/>
      <sheetName val="DI-Valves"/>
      <sheetName val="CI-Valves"/>
      <sheetName val="Bolts&amp; rings"/>
      <sheetName val="MH-Covers"/>
      <sheetName val="Notes"/>
      <sheetName val="Dist.Lines-150-old"/>
      <sheetName val="NW-GA"/>
      <sheetName val="GA-GVMC -NW(Com) "/>
      <sheetName val="GA-GVMC -NW "/>
      <sheetName val="Dist.Lines-100"/>
      <sheetName val="Dist-Lines -500"/>
      <sheetName val="Dist-Lines"/>
      <sheetName val="Dist.Lines-150"/>
      <sheetName val="GA-GVMC -NW  (2)"/>
      <sheetName val="GA-GVMC -NW. "/>
      <sheetName val="Dist-Lines B-1 "/>
      <sheetName val="Dist-Lines-Final checked"/>
      <sheetName val="Pumping mains-"/>
      <sheetName val="Feeder main-old"/>
      <sheetName val="Dist-Lines -B-2"/>
      <sheetName val="Dist-Lines -B-3"/>
      <sheetName val="Dist-Lines B-4"/>
      <sheetName val="Dist-Lines B-5"/>
      <sheetName val="Dist-Lines -B-6"/>
      <sheetName val="Dist-Lines -B-7"/>
      <sheetName val="Dist-Lines -B-8"/>
      <sheetName val="Dist-Lines -B-9"/>
      <sheetName val="Dist-Lines -B-10"/>
      <sheetName val="Dist-Lines -B-11"/>
      <sheetName val="Dist-Lines -B-12"/>
      <sheetName val="Dist-Lines -B-13"/>
      <sheetName val="Dist-Lines -B-14"/>
      <sheetName val="Dist-Lines -B-15"/>
      <sheetName val="Dist-Lines -B-16"/>
      <sheetName val="Feeder mains- 1"/>
      <sheetName val="Feeder mains- 2"/>
      <sheetName val="Feeder mains- (1)"/>
      <sheetName val="Feeder mains-up to 800"/>
      <sheetName val="Pumping Main-800mm"/>
      <sheetName val="ELSR-600 KL-Z-2"/>
      <sheetName val="750 KL GLSR-Z-3"/>
      <sheetName val="ELSR-750 KL-Z-3"/>
      <sheetName val="ELSR-500 KL-Z-4"/>
      <sheetName val="500 KL GLSR-Z-4"/>
      <sheetName val="ELSR-200KL-Z-7"/>
      <sheetName val="ELSR-1850 KL-Z-8"/>
      <sheetName val="1850 KL GLSR-Z-8"/>
      <sheetName val="ELSR-200KL-Z-9"/>
      <sheetName val="800 KL GLSR-Z-11"/>
      <sheetName val="900 KL GLSR-Z-12"/>
      <sheetName val="ELSR-2500 KL-Z-13"/>
      <sheetName val="ELSR-2400 KL-Z-14"/>
      <sheetName val="ELSR-1200 KL-Z-15"/>
      <sheetName val="ELSR-2000 KL-Z-16"/>
      <sheetName val="Pumping Main-500mm-(2)"/>
      <sheetName val="Pumping Main-450mm-(3)"/>
      <sheetName val="Pumping Main-(4)"/>
      <sheetName val="350 KL GLSR"/>
      <sheetName val="1000 KL Sump-"/>
      <sheetName val="1000 KL MBR"/>
      <sheetName val="MBR-1000 KL"/>
      <sheetName val="Pump room-12x8"/>
      <sheetName val="B.F.Meters"/>
      <sheetName val="Pump sets"/>
      <sheetName val="Pump sets (2)"/>
      <sheetName val="Gen sets"/>
      <sheetName val="PR Valves"/>
      <sheetName val="W.man.Qrt-"/>
      <sheetName val="O &amp;M"/>
      <sheetName val="Generator Room-1"/>
      <sheetName val="200 KL GLSR-6 (2)"/>
      <sheetName val="500 KL Sump-(1)"/>
      <sheetName val="250 KL Sump-(3)"/>
      <sheetName val="Office - MBR"/>
      <sheetName val="HSC (2)"/>
      <sheetName val="O&amp;M"/>
      <sheetName val="Gen sets (2)"/>
      <sheetName val="Transfarmer"/>
      <sheetName val="C-Mat-Gen"/>
      <sheetName val="Convey"/>
      <sheetName val="Cent'g-1"/>
      <sheetName val="Cent'g-2"/>
      <sheetName val="Loading"/>
      <sheetName val="Dismantling"/>
      <sheetName val="DI pipes"/>
      <sheetName val="DI-Spe-1"/>
      <sheetName val="Wt.of DI Spe."/>
      <sheetName val="HDPE pipes"/>
      <sheetName val="HDPE-Spe"/>
      <sheetName val="RCC-PE"/>
      <sheetName val="CI Spe."/>
      <sheetName val="PVC-WS"/>
      <sheetName val="ELSR-2"/>
      <sheetName val="data-ELSR "/>
      <sheetName val="data-Water Supply"/>
      <sheetName val="Sump &amp; ST"/>
      <sheetName val="Chamber-1"/>
      <sheetName val="Bld.Stnd,Data"/>
      <sheetName val="Bld up to 3F"/>
      <sheetName val="EWE-Roads"/>
      <sheetName val="Dist Lines"/>
      <sheetName val="Feeder mains-2"/>
      <sheetName val="Gravity Main-900mm"/>
      <sheetName val="550 KL Sump-1"/>
      <sheetName val="550 KL Sump-2"/>
      <sheetName val="ELSR-1200 KL"/>
      <sheetName val="650 KL GLSR (2)"/>
      <sheetName val="850 KL GLSR "/>
      <sheetName val="500 KL sump"/>
      <sheetName val="200 KL- ELSR Yelluru"/>
      <sheetName val="Dist-Zone-below 50000"/>
      <sheetName val="Data -O&amp;M"/>
      <sheetName val="Lengths-Tandur"/>
      <sheetName val="Bld-Total"/>
      <sheetName val="Pumping main-350mm"/>
      <sheetName val="Details"/>
      <sheetName val="Dist-est"/>
      <sheetName val="info-1"/>
      <sheetName val="Inf.Well"/>
      <sheetName val="Approah road to MBR"/>
      <sheetName val="Approach Roads-Source"/>
      <sheetName val="Dist-Zone-1"/>
      <sheetName val="400mm-P.Main"/>
      <sheetName val="Rates-ELSR,Filters"/>
      <sheetName val="13 Mld-WTP"/>
      <sheetName val="data-Intake well"/>
      <sheetName val="data-ELSR-"/>
      <sheetName val="Valves"/>
      <sheetName val="Model GLSR-"/>
      <sheetName val="Feeder main-1 (2)"/>
      <sheetName val="Dist &amp; Feeder mains  (2)"/>
      <sheetName val="BFlow meters"/>
      <sheetName val="DI-100-900"/>
      <sheetName val="O Nd M"/>
      <sheetName val="Pump room-6.59x6.00m"/>
      <sheetName val="data-MS-pipe"/>
      <sheetName val="GA-GVMC -Raiwada-BWSC"/>
      <sheetName val="BWSC-Pumping Main-1200mm"/>
      <sheetName val="GA-GVMC -Raiwada"/>
      <sheetName val="MS-Pumping Main-1300mm"/>
      <sheetName val="Thurst-F.mains"/>
      <sheetName val="Thrust-P.mains"/>
      <sheetName val="PH-BWSC"/>
      <sheetName val="BWSC-Rate"/>
      <sheetName val="BWSC-Cal"/>
      <sheetName val="IMP-Notes"/>
      <sheetName val="GA-Miryalaguda-I"/>
      <sheetName val="Sewer-Mlguda -1"/>
      <sheetName val="5.75 Mld-STP- Est"/>
      <sheetName val="5.75 Mld-STP- Est -II"/>
      <sheetName val="5.75 -STP-Details (2)"/>
      <sheetName val="UPVC-HSC"/>
      <sheetName val="Inspection-Chambers"/>
      <sheetName val="CC Roads-3.00m."/>
      <sheetName val="CC Roads-4.00m "/>
      <sheetName val="5.75 -STP-Details"/>
      <sheetName val="Intake well-M.Guda"/>
      <sheetName val="Design-Intake well"/>
      <sheetName val="Grit Chambers"/>
      <sheetName val="11.50 Mld-STP- Est"/>
      <sheetName val="11.50 -STP-Details"/>
      <sheetName val="W.man.Qrts-1"/>
      <sheetName val="Office cum Lab-1"/>
      <sheetName val="Store room-1."/>
      <sheetName val="C.Wall to STP-1"/>
      <sheetName val="Machinary"/>
      <sheetName val="Manhole"/>
      <sheetName val="Ref"/>
      <sheetName val="Wind Pressure-ELSR"/>
      <sheetName val="BT rates"/>
      <sheetName val="Abstract of Rates"/>
      <sheetName val="W.man.Qrts-2"/>
      <sheetName val="Office cum Lab-2"/>
      <sheetName val="Store room-2"/>
      <sheetName val="C.Wall to STP-2"/>
      <sheetName val="PVC-WS&amp;Sani"/>
      <sheetName val="data-Lowering"/>
      <sheetName val="data-WTP"/>
      <sheetName val="data-Sump &amp; ST"/>
      <sheetName val="Data-Gallery"/>
      <sheetName val="data-Borewells"/>
      <sheetName val="data-Chamber-1"/>
      <sheetName val="drains-data"/>
      <sheetName val="R1-Loading"/>
      <sheetName val="R2-Site clearence"/>
      <sheetName val="R3-EWE-Roads"/>
      <sheetName val="R4-Sub base"/>
      <sheetName val="R5-BT Roads"/>
      <sheetName val="data-CC road"/>
      <sheetName val="C.Wall to Ambedkar park"/>
      <sheetName val="RC-Bore wells-1"/>
      <sheetName val="RC-Bore wells-3"/>
      <sheetName val="Borewells-Est"/>
      <sheetName val="Borewell-Details"/>
      <sheetName val="RC-Bore wells-2"/>
      <sheetName val="WS &amp; Sani"/>
      <sheetName val="GA-Nzb-Ph-I"/>
      <sheetName val="SWG-100- with Road Restoration"/>
      <sheetName val="SWG-100-without Road restoratio"/>
      <sheetName val="Inspection-Chamber Brick"/>
      <sheetName val="CC Roads-3.00m"/>
      <sheetName val="CC Roads-4.00m"/>
      <sheetName val="CC-App,Road-1"/>
      <sheetName val="BT Road over WBM-5.5m"/>
      <sheetName val="BT Road over BT-5.5m"/>
      <sheetName val="BT Road over WBM-7.0m"/>
      <sheetName val="BT Road over BT-7.0m"/>
      <sheetName val="Inspection-Chamber.RCC"/>
      <sheetName val="HDPE-110-with Road Restoration"/>
      <sheetName val="SP for O&amp;M-CPHEO"/>
      <sheetName val="C.Wall to Zo-III-ELSR"/>
      <sheetName val="ELSR-below-500 KL"/>
      <sheetName val="ELSR - above 500 KL"/>
      <sheetName val="Intake well-with Foot Bridge"/>
      <sheetName val="Collection well- Est-2"/>
      <sheetName val="Inf.Well -Estl"/>
      <sheetName val="Inf.Gallary-Est"/>
      <sheetName val="4.60 Mld-WTP"/>
      <sheetName val=" GLSR-Columns"/>
      <sheetName val="Sump-Dome"/>
      <sheetName val="Intake well-Max"/>
      <sheetName val="Intake well-Gajwel"/>
      <sheetName val="350mm G.Main-canal crossing"/>
      <sheetName val="Generator Rooms"/>
      <sheetName val="Elc.Stnd.Data"/>
      <sheetName val="SW Drains"/>
      <sheetName val="data-Sewer"/>
      <sheetName val="data-MH"/>
      <sheetName val="MH-est"/>
      <sheetName val="data-SS Tanks &amp; WTPs"/>
      <sheetName val="Sewer-final"/>
      <sheetName val="Sewer-Mlguda"/>
      <sheetName val="Sewer-200"/>
      <sheetName val="GF"/>
      <sheetName val="F-I"/>
      <sheetName val="F-II"/>
      <sheetName val="Data-Bld Elec (2)"/>
      <sheetName val="Elc.Stnd.Data (2)"/>
      <sheetName val=" Elec.Data-PH"/>
      <sheetName val="Data-Sanitary-PH"/>
      <sheetName val="Data-Gen sets-14-15"/>
      <sheetName val="Abstract W.S &amp; Sanitation"/>
      <sheetName val="QTY"/>
      <sheetName val="EPABX"/>
      <sheetName val="LAN"/>
      <sheetName val="UPS"/>
      <sheetName val="AC-Data"/>
      <sheetName val="DG set"/>
      <sheetName val="DATA FINAL"/>
      <sheetName val="Abstract-1"/>
      <sheetName val="ST-5 x 1.60-(51users)"/>
      <sheetName val="ST-7.5 x 2.65-(100 users)"/>
      <sheetName val="Bore wll-Est-1"/>
      <sheetName val="Borewells-Est."/>
      <sheetName val="RCC-Sump"/>
      <sheetName val="AC-Est."/>
      <sheetName val="Lift-Est"/>
      <sheetName val="Esti-Sump"/>
      <sheetName val="Gen sets-Est"/>
      <sheetName val="CC Road-Est. "/>
      <sheetName val="Total SSRs"/>
      <sheetName val="data-Bld-14-15"/>
      <sheetName val="Main door-1"/>
      <sheetName val="Elec -Est."/>
      <sheetName val="Sanitary -Est."/>
      <sheetName val="Plinth protection-Est"/>
      <sheetName val="Lightning Arrestor"/>
      <sheetName val="data-Borewells (2)"/>
      <sheetName val="Compound-Ornamental"/>
      <sheetName val="data-WS &amp; Sewer-14-15"/>
      <sheetName val="GA-Tandur"/>
      <sheetName val="Municipal Office-G+2"/>
      <sheetName val="Municipal Office-G+3 (2)"/>
      <sheetName val="Elc.Estimate-Office."/>
      <sheetName val="Railing"/>
      <sheetName val="WS &amp; Sanitary-14-15"/>
      <sheetName val="Solar Lighting-Rythu Bazar"/>
      <sheetName val="data-Parks"/>
      <sheetName val="ST-20 users"/>
      <sheetName val="Municipal Office-G+1"/>
      <sheetName val="Municipal Office-G+1 (2)"/>
      <sheetName val="Est-RWHS (2)"/>
      <sheetName val="data-RWHS "/>
      <sheetName val="Main door"/>
      <sheetName val="C-Mat-Gen-Miryalaguda"/>
      <sheetName val="C-Mat-R&amp;B"/>
      <sheetName val="Convey -14-15"/>
      <sheetName val="Cent'g--14-15"/>
      <sheetName val="Greenary"/>
      <sheetName val="Elc.Stnd.Data-House"/>
      <sheetName val="Esti- Sani"/>
      <sheetName val="Truss"/>
      <sheetName val="Borewells-Hand pump"/>
      <sheetName val="Est-RWHS"/>
      <sheetName val="ST-10 x 3-(150 users)"/>
      <sheetName val="ST-12x3.3-(200 Users)"/>
      <sheetName val="Steel pipe"/>
      <sheetName val="Truss (2)"/>
      <sheetName val="Sanitary (2)"/>
      <sheetName val="Sanitary-Est"/>
      <sheetName val="ST-20 users (2)"/>
      <sheetName val="ST-7.5x2.65"/>
      <sheetName val="kitch&amp;dinin (Sanitary)"/>
      <sheetName val="Bath (Sanitary)"/>
      <sheetName val="bath room(elec.) "/>
      <sheetName val="kitch&amp;din(elec.) "/>
      <sheetName val="Sanitary"/>
      <sheetName val="Elec. Sch cum Dor (2)"/>
      <sheetName val="Elc.Estimate"/>
      <sheetName val="data-ele"/>
      <sheetName val="Elec-Det"/>
      <sheetName val="Data-Bld Elec"/>
      <sheetName val="labour&amp; Hire-14-15"/>
      <sheetName val="JOINERY DATA 12"/>
      <sheetName val="Revised rates(SSR 2014-15)"/>
      <sheetName val="Comp- abs "/>
      <sheetName val="Pipe lines"/>
      <sheetName val="Comp- PL "/>
      <sheetName val="SSR "/>
      <sheetName val="Dismantling-data"/>
      <sheetName val="data-Filters"/>
      <sheetName val="ELSR-Ses"/>
      <sheetName val="Data- Street light"/>
      <sheetName val="data-EWE-Roads"/>
      <sheetName val="GA-Gajwel"/>
      <sheetName val="Intake well-Est-1"/>
      <sheetName val="Intake well- Est-2"/>
      <sheetName val="Pumping main-400"/>
      <sheetName val="Pumping Main-600mm"/>
      <sheetName val="Feeder mains -DI-up to 450"/>
      <sheetName val="Feeder mains up to 500"/>
      <sheetName val="Feeder mains -450"/>
      <sheetName val="Dist-Mini-150"/>
      <sheetName val="Dist-est-HDPE-DI"/>
      <sheetName val="Dist-HDPE &amp; DI-mini=100"/>
      <sheetName val="Dist-HDPE-Mini-100 to 225"/>
      <sheetName val="Dist-HDPE-min-110 to 160"/>
      <sheetName val="ELSR-1500KL"/>
      <sheetName val="650 KL GLSR"/>
      <sheetName val="600 KL sump"/>
      <sheetName val="C.Wall to FW"/>
      <sheetName val="Generator Room-8x4"/>
      <sheetName val="Office room"/>
      <sheetName val="Pump room"/>
      <sheetName val="App,Road-1"/>
      <sheetName val="App road-2"/>
      <sheetName val="Pump set-RC"/>
      <sheetName val="data-Check Dam"/>
      <sheetName val="C.Lighting"/>
      <sheetName val="Two Tire Reservoir"/>
      <sheetName val="Kollapur"/>
      <sheetName val="Toilet block"/>
      <sheetName val="ELSR-below-500"/>
      <sheetName val="Bld - 3F"/>
      <sheetName val="Rq-Spe"/>
      <sheetName val="R-2"/>
      <sheetName val="R-3"/>
      <sheetName val="Pump design"/>
      <sheetName val="CI-Weights"/>
      <sheetName val="GA-Dalmill area"/>
      <sheetName val="G+3-Dalmil"/>
      <sheetName val="CC Roads-Dalmil"/>
      <sheetName val="Water Supply"/>
      <sheetName val="Sewers"/>
      <sheetName val="Retaining wall"/>
      <sheetName val="Street Light"/>
      <sheetName val="Solid waste"/>
      <sheetName val="Water Sump"/>
      <sheetName val="Approach Road"/>
      <sheetName val="Street Lights - off site"/>
      <sheetName val="Amenity Centre"/>
      <sheetName val="Transit"/>
      <sheetName val="Municipal Office-FF"/>
      <sheetName val="Municipal Office-SF"/>
      <sheetName val="IMP"/>
      <sheetName val="Total SSR"/>
      <sheetName val="Pump sets -old RC"/>
      <sheetName val="Intake well-Gajwel "/>
      <sheetName val="16.5 Mld-WTP"/>
      <sheetName val="DI -Feeder mains 150 to 450mm "/>
      <sheetName val="Dist-HDPE-DI-110 to 400mm"/>
      <sheetName val="Dist-HDPE-110 to 160mm"/>
      <sheetName val="Dist-HDPE-DI-110 to 200"/>
      <sheetName val="Pumping Main-700mm"/>
      <sheetName val="Pumping Main-500mm"/>
      <sheetName val="P. main-300mm WO road cutting"/>
      <sheetName val="C.Walls"/>
      <sheetName val="C.Wall to WTP"/>
      <sheetName val="Office cum Lab"/>
      <sheetName val="Pump room 6 x 4m"/>
      <sheetName val="CC Drains &amp; Culverts"/>
      <sheetName val="RCC Drains &amp; Culverts-"/>
      <sheetName val="RCC &amp; CC Drains &amp; Culverts"/>
      <sheetName val="RCC  Culverts"/>
      <sheetName val="Dist-HDPE-90 "/>
      <sheetName val="Sewer-150"/>
      <sheetName val="Dist-GI-50mm"/>
      <sheetName val="GA-Siddipet (2)"/>
      <sheetName val="CC Drains &amp; Culverts (2)"/>
      <sheetName val="RCC Drains &amp; Culverts- (3)"/>
      <sheetName val="Classiv(sanitary)"/>
      <sheetName val="Electricals Class IV"/>
      <sheetName val="Elect. Din&amp;Kitc"/>
      <sheetName val="Staff Qtrs (Sanitary)"/>
      <sheetName val="Staff Qtrs.(Elec)"/>
      <sheetName val="principle(sanitary)"/>
      <sheetName val="principle(elec.)"/>
      <sheetName val="sch cum dor (sanitary) "/>
      <sheetName val="Elec. Sch cum Dor"/>
      <sheetName val="WS (2)"/>
      <sheetName val="Ele."/>
      <sheetName val="WS-ABS"/>
      <sheetName val="Relig-place"/>
      <sheetName val="WS &amp; Sanitary"/>
      <sheetName val="datas-ele"/>
      <sheetName val="Works"/>
      <sheetName val="El Data"/>
      <sheetName val="Basic Data"/>
      <sheetName val="SP Report "/>
      <sheetName val="FF"/>
      <sheetName val="INT ELEC"/>
      <sheetName val="EXT Elec"/>
      <sheetName val="-WS-Det"/>
      <sheetName val="ABS-WS"/>
      <sheetName val=" Terrace"/>
      <sheetName val="det-cmpd"/>
      <sheetName val="Compound wall-ABS"/>
      <sheetName val="Detail ST (300 user)"/>
      <sheetName val="Septic tank (300 Nos)"/>
      <sheetName val="Detail Sump50000lit"/>
      <sheetName val="Sump 50000 lit(ABS)"/>
      <sheetName val="Borewell"/>
      <sheetName val="Road-ABS"/>
      <sheetName val="HVAC BOQ"/>
      <sheetName val="Ele-Data"/>
      <sheetName val="D&amp;W DATA"/>
      <sheetName val="doors data final"/>
      <sheetName val="WINDOWS DATA final"/>
      <sheetName val="doors data"/>
      <sheetName val="Elec DATAS-17-18"/>
      <sheetName val="Panel Data "/>
      <sheetName val="Scheme Area Details_Block__ C2"/>
      <sheetName val="detls"/>
      <sheetName val="3 Nos Fuses Data"/>
      <sheetName val="NON ISI Cons PVC Pipes"/>
      <sheetName val="NON ISI Sur PVC Pipes"/>
      <sheetName val="PANEL BOARD DATAS"/>
      <sheetName val="PROFORMA DATAS"/>
      <sheetName val="31. DURA GUARD"/>
      <sheetName val="30. FLAT CABLES "/>
      <sheetName val="29. ALLUMINIUM"/>
      <sheetName val="28. COPPER"/>
      <sheetName val="27. G I "/>
      <sheetName val="26. STABILIZERS"/>
      <sheetName val="25. EARTHINGS"/>
      <sheetName val="24. UG CABLES LAYING "/>
      <sheetName val="23. CEILING FANS"/>
      <sheetName val="SOR 14-15 FOR DATAS"/>
      <sheetName val="22. EXTERNAL LUMINAIRES"/>
      <sheetName val="21. INTERNAL LUMINAIRS "/>
      <sheetName val="20. WPSC AND WPTC "/>
      <sheetName val="19. METALPLUG SURFACE AND FLUSH"/>
      <sheetName val="18. VTPN DB SURFACE AND FLUSH"/>
      <sheetName val="17. TPN DB SURFACE AND FLUSH"/>
      <sheetName val="16. SPN DB SURFACE AND FLUSH"/>
      <sheetName val=" 15. CALLING BELLS "/>
      <sheetName val="14. BH"/>
      <sheetName val="13. RUN OF MAINS WIRING"/>
      <sheetName val="12. COMMON ITEMS IN MODULAR "/>
      <sheetName val="11.L.P. IN MODULAR IN NRB &amp; RB"/>
      <sheetName val="10.CONS COMMON ITEMS F.T. &amp; M.M"/>
      <sheetName val="9.CONS L.P. IN NRB&amp;RB F.T.&amp;M.M."/>
      <sheetName val="8. SUR COMMON ITEMS F.T. &amp; M.M."/>
      <sheetName val="7.SURF L.P. IN NRB&amp;RB F.T.&amp;M.M."/>
      <sheetName val="6. PIPE IN ROOF SLAB"/>
      <sheetName val="5. ISI PIPE-CON-RUN MAINS"/>
      <sheetName val="4. ISI PIPE-CONSEALED"/>
      <sheetName val="3. ISI CASING &amp; CAPING"/>
      <sheetName val="2. ISI PIPE-SUR-RUN MAINS"/>
      <sheetName val="1. ISI PIPE-SURFACE"/>
      <sheetName val="ZONE WISE"/>
      <sheetName val="S - Cash"/>
      <sheetName val="Gr Co Works"/>
      <sheetName val="Subsidiary Works"/>
      <sheetName val="Top Line"/>
      <sheetName val="Business Development"/>
      <sheetName val="Status of Works Quoted"/>
      <sheetName val="New Order Booking"/>
      <sheetName val="Order Book Status"/>
      <sheetName val="POWERPOINT BACKUP"/>
      <sheetName val="Cash Flows"/>
      <sheetName val="Fund"/>
      <sheetName val="Fund Support"/>
      <sheetName val="Lookahead"/>
      <sheetName val="Bottom Lines"/>
      <sheetName val="EVM"/>
      <sheetName val="Charts"/>
      <sheetName val="Monthly MIS - B2B Contracts"/>
      <sheetName val="Job Exp Qtd Next month"/>
      <sheetName val="Job exp qtd rest of yr."/>
      <sheetName val="Fund Supports"/>
      <sheetName val="EVM x"/>
      <sheetName val="CS (3)"/>
      <sheetName val="CS (2)"/>
      <sheetName val="DAR"/>
      <sheetName val="Assessment Report SCM"/>
      <sheetName val="Report "/>
      <sheetName val="IAFR Tech REASSESS Q1 "/>
      <sheetName val="IAFR Tech ASSESS REG Q2"/>
      <sheetName val="RMC rec Annex 2.02"/>
      <sheetName val="Labour  rate comp annex 2.03"/>
      <sheetName val="material rate comp annex 2.04"/>
      <sheetName val="Steel recon Annex2.05"/>
      <sheetName val="List of Non repair(2.06)"/>
      <sheetName val="List of Repair(Annex 2.07) "/>
      <sheetName val="P &amp; M Utilize(2.08)"/>
      <sheetName val="client corres(Annex2.09)"/>
      <sheetName val="WO1(Annex2.10a)"/>
      <sheetName val="WO2(Annex2.10 b)"/>
      <sheetName val="DAR  Vs ERP (Annex 2.11)"/>
      <sheetName val="Mat Reco (2.12)"/>
      <sheetName val="qty recon(Annex2.13a)"/>
      <sheetName val="qty recon(Annex2.13b) STEEL"/>
      <sheetName val="qty reco(Annex2.13c) BLOCK WORK"/>
      <sheetName val="St"/>
      <sheetName val="total"/>
      <sheetName val="Abs JR"/>
      <sheetName val="PCC "/>
      <sheetName val="Earthwork Excavation"/>
      <sheetName val="Abs  Pravin"/>
      <sheetName val="Abs JR cum"/>
      <sheetName val="Abs Subbaiah"/>
      <sheetName val="Abs gupta"/>
      <sheetName val="Abs Madhu"/>
      <sheetName val="Abs par"/>
      <sheetName val="Abs bhas"/>
      <sheetName val="Abs Elumalai"/>
      <sheetName val="Abs  Bed"/>
      <sheetName val="Abs Hari"/>
      <sheetName val="Abs ram"/>
      <sheetName val="Break up-labour bill"/>
      <sheetName val="Abs Han "/>
      <sheetName val="Abs Balu"/>
      <sheetName val="Abs peri"/>
      <sheetName val="Abs ck"/>
      <sheetName val="Abs Murugan"/>
      <sheetName val="Abs Rainbow"/>
      <sheetName val="Abs Tammana"/>
      <sheetName val="Abs Vavi"/>
      <sheetName val="Blank"/>
      <sheetName val="Abs Srinivasu"/>
      <sheetName val="Abs SP"/>
      <sheetName val="Abs RR"/>
      <sheetName val="Ab Ga"/>
      <sheetName val="Final"/>
      <sheetName val="bill period wise"/>
      <sheetName val="Rectified Report HR"/>
      <sheetName val="Dummy"/>
      <sheetName val="Dummy (2)"/>
      <sheetName val="Project Details.."/>
      <sheetName val="C. L"/>
      <sheetName val="Part I  Assessment FINANCE"/>
      <sheetName val="Annexure 1.01"/>
      <sheetName val="Part-II Reassessment Technical"/>
      <sheetName val="Part-I Assessment Technical "/>
      <sheetName val="Systemic Annex 2.01"/>
      <sheetName val="Drws Details.lAnnexure 2.02"/>
      <sheetName val="Steel reconci (Annex 2.03)"/>
      <sheetName val="RMC10(Annex2.04)"/>
      <sheetName val="RMC20(Annex2.05)"/>
      <sheetName val="RMC35(Annex2.06)"/>
      <sheetName val="MATERIAL RATE COM(Annex 2.07"/>
      <sheetName val="WO1(Annex2.08a) (2)"/>
      <sheetName val="WO2(Annex2.08b) (2)"/>
      <sheetName val="client corres(Annex2.08)1"/>
      <sheetName val="WO1(Annex2.08a)"/>
      <sheetName val="WO2(Annex2.08b)"/>
      <sheetName val="client corres(Annex2.08)"/>
      <sheetName val="Part I - Assessment Material"/>
      <sheetName val="Annex. 3.01"/>
      <sheetName val="Part-I Assessment Rept  HR"/>
      <sheetName val="Annex 4.01"/>
      <sheetName val="Annexure 4.02"/>
      <sheetName val="Annex. 4.03"/>
      <sheetName val="WO1(Annex2.08a)POR"/>
      <sheetName val="WO2(Annex2.08b) POR"/>
      <sheetName val="WIP"/>
      <sheetName val="Indirect Expenses"/>
      <sheetName val="Budget"/>
      <sheetName val="SP"/>
      <sheetName val="RP"/>
      <sheetName val="DCP"/>
      <sheetName val="ICP"/>
      <sheetName val="CF"/>
      <sheetName val="FP"/>
      <sheetName val="RESP"/>
      <sheetName val="EP"/>
      <sheetName val="ORG"/>
      <sheetName val="STFP"/>
      <sheetName val="EQPP"/>
      <sheetName val="MP"/>
      <sheetName val="BCWP"/>
      <sheetName val="Subcontracting"/>
      <sheetName val="Client Bill "/>
      <sheetName val="Scope Variations"/>
      <sheetName val="WORK ORDERS"/>
      <sheetName val="Quantity Reconciliation (2)"/>
      <sheetName val="Material reconcilliation"/>
      <sheetName val="Material Consumption"/>
      <sheetName val="Status of work quoted"/>
      <sheetName val="ORDER BOOKING"/>
      <sheetName val="Expenditure plan"/>
      <sheetName val="PRECAST lightconc-II"/>
      <sheetName val="ASSESS TECH Q1"/>
      <sheetName val="Systemic (2.01)"/>
      <sheetName val="Measurement sampling (2.02)"/>
      <sheetName val="REPAIRABLE P&amp;M(2.03)"/>
      <sheetName val="IDLE P&amp;M(2.04)"/>
      <sheetName val="Reg Q2 Tech"/>
      <sheetName val="LAND AQUI (Annex-2.02)"/>
      <sheetName val="client corres(Annex2.03)"/>
      <sheetName val="WO1(Annex2.04a)"/>
      <sheetName val="WO2(Annex2.04b)"/>
      <sheetName val="Annex 4.01(site)"/>
      <sheetName val="R.O &amp; BD"/>
      <sheetName val="CL"/>
      <sheetName val="ASSESSMENT FINANCEPORBANDAR"/>
      <sheetName val="TQS-4_plants"/>
      <sheetName val="discount_small_plants"/>
      <sheetName val="0.42 MLD"/>
      <sheetName val="0.71 MLD"/>
      <sheetName val="1.00 MLD"/>
      <sheetName val="5 MLD"/>
      <sheetName val="O&amp;M_5 MLD"/>
      <sheetName val="O&amp;M_1MLD"/>
      <sheetName val="O&amp;M_0.71 MLD"/>
      <sheetName val="O&amp;M_0.42 MLD"/>
      <sheetName val="BillofQty"/>
      <sheetName val="GENABST "/>
      <sheetName val="PEA"/>
      <sheetName val="Ten vs Budget"/>
      <sheetName val="Budget Summary-new"/>
      <sheetName val="TQS"/>
      <sheetName val="Budget-Summary -old"/>
      <sheetName val="BOR"/>
      <sheetName val="A1 OW"/>
      <sheetName val="A2 IG"/>
      <sheetName val="A2 annex"/>
      <sheetName val="A3 conn"/>
      <sheetName val="A4 sump"/>
      <sheetName val="A5 feeder"/>
      <sheetName val="A6 pumproom"/>
      <sheetName val="A7 PSET"/>
      <sheetName val="A8 TPSET"/>
      <sheetName val="A9 sr"/>
      <sheetName val="A9 annex"/>
      <sheetName val="A10dsy"/>
      <sheetName val="A11 comp"/>
      <sheetName val="A12 weir"/>
      <sheetName val="A 13 maint"/>
      <sheetName val="valvesannex"/>
      <sheetName val="Cover letter"/>
      <sheetName val="REASSESS TECH Q1"/>
      <sheetName val="REGULAR TECH Q2"/>
      <sheetName val="Planning 2.01 A"/>
      <sheetName val="Planning 2.01 B"/>
      <sheetName val="Planning 2.01 C"/>
      <sheetName val="BD &amp; OB  WWW (Annex 2.02)"/>
      <sheetName val="MUMBAI RO - EMDs Annex 2.03 "/>
      <sheetName val="WIP (Annex 2.04)"/>
      <sheetName val="Annexure-2.05"/>
      <sheetName val="PRIORITY"/>
      <sheetName val="Project cost"/>
      <sheetName val="comparision statement"/>
      <sheetName val="Rate analysis 1"/>
      <sheetName val=" Rates 1"/>
      <sheetName val="Rate Analysis 2"/>
      <sheetName val="Rate 2"/>
      <sheetName val="Comparison"/>
      <sheetName val="Quantity"/>
      <sheetName val="BOQ1"/>
      <sheetName val="Consolidate"/>
      <sheetName val="Indirect Expenditure"/>
      <sheetName val="P&amp;L CUM"/>
      <sheetName val="Consolidate1"/>
      <sheetName val="Direct Expenses (2)"/>
      <sheetName val="Bill- 1"/>
      <sheetName val="Bill- 2"/>
      <sheetName val="Bill- 3"/>
      <sheetName val="Bill- 4"/>
      <sheetName val="Bill- 5"/>
      <sheetName val="Bill- 6"/>
      <sheetName val="Bill- 7"/>
      <sheetName val="Bill-8"/>
      <sheetName val="Bill- 9"/>
      <sheetName val="Bill- 10"/>
      <sheetName val="Bill-11"/>
      <sheetName val="Bill-12"/>
      <sheetName val="Bill- 14"/>
      <sheetName val="Bill-14"/>
      <sheetName val="Estimate Toll Plaza"/>
      <sheetName val="LOT 8"/>
      <sheetName val="1A"/>
      <sheetName val="4A"/>
      <sheetName val="5A"/>
      <sheetName val="10A"/>
      <sheetName val="11A"/>
      <sheetName val="12A"/>
      <sheetName val="13A"/>
      <sheetName val="14A"/>
      <sheetName val="15A"/>
      <sheetName val="16A"/>
      <sheetName val="17A"/>
      <sheetName val="18A"/>
      <sheetName val="19A"/>
      <sheetName val="20A"/>
      <sheetName val="21A"/>
      <sheetName val="22A"/>
      <sheetName val="23A"/>
      <sheetName val="24A"/>
      <sheetName val="sUB cONTRACTOR rATES"/>
      <sheetName val="ANAL"/>
      <sheetName val="Dewater Anal"/>
      <sheetName val="Service Tax"/>
      <sheetName val="ED_Benefit"/>
      <sheetName val="Pipe_Abstract"/>
      <sheetName val="VAT"/>
      <sheetName val="QT_ST"/>
      <sheetName val="MAT"/>
      <sheetName val="Pipe work"/>
      <sheetName val="MD"/>
      <sheetName val="EPU"/>
      <sheetName val="EO"/>
      <sheetName val="MAT (2)"/>
      <sheetName val="EA"/>
      <sheetName val="Material Reqd"/>
      <sheetName val="Manholes_Abstract"/>
      <sheetName val="Road_Abs"/>
      <sheetName val="Misc_Abs"/>
      <sheetName val="Calcutta Comp"/>
      <sheetName val="GRAIN SIZE "/>
      <sheetName val="Sp.Gr."/>
      <sheetName val="LLPL"/>
      <sheetName val="PROCTOR"/>
      <sheetName val="C.B.R"/>
      <sheetName val="sp.CBR"/>
      <sheetName val="Module2"/>
      <sheetName val="LS Provisions "/>
      <sheetName val="LOADINGS"/>
      <sheetName val="ANAL-PIPE LINE"/>
      <sheetName val="Qty Est"/>
      <sheetName val="MS Pipe Working"/>
      <sheetName val="Rates Basic"/>
      <sheetName val="Rate Analysis "/>
      <sheetName val="22-MD"/>
      <sheetName val="Top sheet-WTP"/>
      <sheetName val="Top sheet-WO O&amp;M"/>
      <sheetName val="Top sheet-Overall"/>
      <sheetName val="21-Rate Analysis-1"/>
      <sheetName val="Top sheet-Overall-Final (2)"/>
      <sheetName val="Check"/>
      <sheetName val="Material-Overal"/>
      <sheetName val="Material-LITL"/>
      <sheetName val="Equipment"/>
      <sheetName val="Subcontractor"/>
      <sheetName val="Material-SC"/>
      <sheetName val="Cash Flow-LMP"/>
      <sheetName val="Escalation"/>
      <sheetName val="W PLAN-OUT"/>
      <sheetName val="Top sheet-Overall-Final"/>
      <sheetName val="Top sheet-O&amp;M"/>
      <sheetName val="Final Rate"/>
      <sheetName val="Cash Flow"/>
      <sheetName val="W PLAN-IN"/>
      <sheetName val="Instrumentation"/>
      <sheetName val="Aeration Fountain"/>
      <sheetName val="Raw Water Channel"/>
      <sheetName val="Ventury Flume"/>
      <sheetName val="Flash Mixer"/>
      <sheetName val="Clari-flocculator-1"/>
      <sheetName val="Clari-flocculator-2"/>
      <sheetName val="Filter House"/>
      <sheetName val="Pure water Sump"/>
      <sheetName val="Chemical House"/>
      <sheetName val="Store House"/>
      <sheetName val="Wash Water"/>
      <sheetName val="Sludge Disposal"/>
      <sheetName val="Water closet"/>
      <sheetName val="Chlorinator"/>
      <sheetName val="Chemical Store "/>
      <sheetName val="water-hammar-strenght"/>
      <sheetName val="Laboratory room"/>
      <sheetName val="Panel board"/>
      <sheetName val="Blow room"/>
      <sheetName val="Synop"/>
      <sheetName val="Ref Ab"/>
      <sheetName val="Proj. View "/>
      <sheetName val="civil cost"/>
      <sheetName val="Toll Plaza"/>
      <sheetName val="C.P"/>
      <sheetName val="ANALYSIS"/>
      <sheetName val="st.analysis"/>
      <sheetName val="Traffic signs"/>
      <sheetName val="Qty Cal"/>
      <sheetName val="bus_bay"/>
      <sheetName val="Materials"/>
      <sheetName val="LOCAL RATES"/>
      <sheetName val="MAJ Qtys "/>
      <sheetName val="DATA SHEET"/>
      <sheetName val="MECH-PROG"/>
      <sheetName val="MECH-ANLYS"/>
      <sheetName val="Crusher"/>
      <sheetName val="Crushing n screening"/>
      <sheetName val="SHUTTERING "/>
      <sheetName val="HQ-TO"/>
      <sheetName val="smp_lakhs"/>
      <sheetName val="Add Admin Bldg"/>
      <sheetName val="Staff Quartres"/>
      <sheetName val="LEVELING"/>
      <sheetName val="cover-page"/>
      <sheetName val="Elec Sub Est_0.75"/>
      <sheetName val="Data_Bit_I"/>
      <sheetName val="Data- Electrical "/>
      <sheetName val="SSR_2006-07"/>
      <sheetName val="Elec_Sub_Est_0_75"/>
      <sheetName val="Data-_Electrical_"/>
      <sheetName val="Global factors"/>
      <sheetName val="Global_factors"/>
      <sheetName val="Nspt-smp-final-ORIGINAL"/>
      <sheetName val="Dormitory"/>
      <sheetName val="atr"/>
      <sheetName val="ew-cal"/>
      <sheetName val="ann-b"/>
      <sheetName val="Abstrct "/>
      <sheetName val="Part A"/>
      <sheetName val="BKDNS-11KV"/>
      <sheetName val="BKDNS-33KV"/>
      <sheetName val="BKDNS-EHT"/>
      <sheetName val="Newabstract"/>
      <sheetName val="SHORTFALL"/>
      <sheetName val="ehtbds"/>
      <sheetName val="EHT"/>
      <sheetName val="BKDNS"/>
      <sheetName val="ehtbd"/>
      <sheetName val="PTR-FAILURES"/>
      <sheetName val="DTR-FAILURES"/>
      <sheetName val="disomwiseDTRs"/>
      <sheetName val="EHT-ABSTRACT"/>
      <sheetName val="BKDNS (2)"/>
      <sheetName val="24-07-04 "/>
      <sheetName val="ABST(SOUTH)"/>
      <sheetName val="Profit &amp; Loss"/>
      <sheetName val="Profit &amp; Loss july"/>
      <sheetName val="27-08-04  (2)"/>
      <sheetName val="ABST(SOUTH) rev 08-04"/>
      <sheetName val="2000000000000"/>
      <sheetName val="3000000000000"/>
      <sheetName val="4000000000000"/>
      <sheetName val="5000000000000"/>
      <sheetName val="Achivements"/>
      <sheetName val="Ser rel"/>
      <sheetName val="Services released"/>
      <sheetName val="Ser-2006-07"/>
      <sheetName val="Ser-existing"/>
      <sheetName val="Divn month progress"/>
      <sheetName val="Divn abst."/>
      <sheetName val="Month wise prog."/>
      <sheetName val="SSs"/>
      <sheetName val="Achvt "/>
      <sheetName val="Agl (white paper)"/>
      <sheetName val="Dried up wells"/>
      <sheetName val="SS( 2006-07) "/>
      <sheetName val="SS-existing"/>
      <sheetName val="DW2004-05 "/>
      <sheetName val="a"/>
      <sheetName val="b"/>
      <sheetName val="c"/>
      <sheetName val="d"/>
      <sheetName val="HT"/>
      <sheetName val="HT abstrct"/>
      <sheetName val="HT Add (2)"/>
      <sheetName val="HT details"/>
      <sheetName val="HT Add"/>
      <sheetName val="HT Rel"/>
      <sheetName val="LI Sch"/>
      <sheetName val="LI Schemes dedi Charged"/>
      <sheetName val="LI 1"/>
      <sheetName val="LT Abstract"/>
      <sheetName val="LT Town"/>
      <sheetName val="LT Rural"/>
      <sheetName val="LT MTM"/>
      <sheetName val="LT GDV"/>
      <sheetName val="LT Pending"/>
      <sheetName val="New Agl"/>
      <sheetName val="aquaculture"/>
      <sheetName val="Tathkal"/>
      <sheetName val="agriculture"/>
      <sheetName val="house holds"/>
      <sheetName val="3"/>
      <sheetName val="2"/>
      <sheetName val="Fire Wall-NEW"/>
      <sheetName val="Recator"/>
      <sheetName val="Cab Tre dc yard"/>
      <sheetName val="Cab Tre-ac yard"/>
      <sheetName val="AC FILTER YARD"/>
      <sheetName val="Ac Yard Equipments"/>
      <sheetName val="DC YARD TOWERS"/>
      <sheetName val="DC Yard Equipments"/>
      <sheetName val="AC YARD TOWERS"/>
      <sheetName val="changes"/>
      <sheetName val="BOQ total"/>
      <sheetName val="BOQ - AC Switchyard"/>
      <sheetName val="BOQ DC YARD"/>
      <sheetName val="BOQ Buildings -final-BALLIA"/>
      <sheetName val="Control Bldg"/>
      <sheetName val="Adani Haryana_VH"/>
      <sheetName val="Valve Hall including AHU"/>
      <sheetName val="Civil BOQ"/>
      <sheetName val="4 Plumbing"/>
      <sheetName val="Changed Analysis"/>
      <sheetName val="Area Statement"/>
      <sheetName val="OH Calculation sheet"/>
      <sheetName val="Program"/>
      <sheetName val="Road BOQ)"/>
      <sheetName val="Machinary  Analysis- DSIDC"/>
      <sheetName val="hmp"/>
      <sheetName val="wmm"/>
      <sheetName val="Over Head Total"/>
      <sheetName val="Calculations"/>
      <sheetName val="Analysis( Civil )."/>
      <sheetName val="Road-Analysis"/>
      <sheetName val="Road-Boq"/>
      <sheetName val="Analy"/>
      <sheetName val="AppeE"/>
      <sheetName val="Boq-with fire"/>
      <sheetName val="Boq-wo fire"/>
      <sheetName val="Compare"/>
      <sheetName val="Shutter"/>
      <sheetName val="Appendix-E"/>
      <sheetName val="ANALYS"/>
      <sheetName val="Summary - Page 1"/>
      <sheetName val="Interest"/>
      <sheetName val="Facility"/>
      <sheetName val="P&amp;M"/>
      <sheetName val="Salary"/>
      <sheetName val="Grand Summary"/>
      <sheetName val="Common Plant"/>
      <sheetName val="Shut"/>
      <sheetName val="pLUMBING"/>
      <sheetName val="List of Items"/>
      <sheetName val="Major Quantities"/>
      <sheetName val="s"/>
      <sheetName val="Boiler&amp;TG"/>
      <sheetName val="Tg_foundn"/>
      <sheetName val="Stru_steel"/>
      <sheetName val="Digester building"/>
      <sheetName val="Conc-Site"/>
      <sheetName val="T Crane"/>
      <sheetName val="SDF I"/>
      <sheetName val="Synopsis "/>
      <sheetName val="OH- Summery"/>
      <sheetName val="OH Calculations"/>
      <sheetName val="Fin. Charges"/>
      <sheetName val="Backup CC"/>
      <sheetName val="Abst"/>
      <sheetName val="PBQ"/>
      <sheetName val="Materials Reqd"/>
      <sheetName val="Rate anly as per site sink data"/>
      <sheetName val="KL Bridge BoQ"/>
      <sheetName val="Mech Details"/>
      <sheetName val="Electrical BoQ"/>
      <sheetName val="Analysis (2)"/>
      <sheetName val="earth work RA"/>
      <sheetName val="BoQ Bld"/>
      <sheetName val="Top Sheet"/>
      <sheetName val="SHUTTERING (NS-40)"/>
      <sheetName val="Elect- Naidu designs"/>
      <sheetName val="Pile-1000mm dia"/>
      <sheetName val="Pile-1200mm dia "/>
      <sheetName val="Synopsis C-10"/>
      <sheetName val="Loading "/>
      <sheetName val="MAJ Qtys"/>
      <sheetName val="BoQ C- 10"/>
      <sheetName val="TSP-CRUSHER"/>
      <sheetName val="END"/>
      <sheetName val="Brief"/>
      <sheetName val="Shuttering Cost NS 40"/>
      <sheetName val=" summary"/>
      <sheetName val="01"/>
      <sheetName val="02"/>
      <sheetName val="03"/>
      <sheetName val="04"/>
      <sheetName val="05"/>
      <sheetName val="06"/>
      <sheetName val="07"/>
      <sheetName val="08"/>
      <sheetName val="09"/>
      <sheetName val="Abs 4 L"/>
      <sheetName val="Abs 6 L"/>
      <sheetName val="Syn"/>
      <sheetName val="OHs"/>
      <sheetName val="T-2 material"/>
      <sheetName val="T Plaza boq"/>
      <sheetName val="T plaza"/>
      <sheetName val="civil cost (Sun)"/>
      <sheetName val="HOSPET-EMIPRICE"/>
      <sheetName val="Civil Analysis "/>
      <sheetName val="D.I pipe"/>
      <sheetName val="D.IComp"/>
      <sheetName val="Site Visit Report"/>
      <sheetName val="Abstruct"/>
      <sheetName val="Major material list"/>
      <sheetName val="Coke Drum Str - BOQ"/>
      <sheetName val="Analysis-Civil"/>
      <sheetName val="CD errection cost"/>
      <sheetName val="shuttering"/>
      <sheetName val="BP-PMC"/>
      <sheetName val="SoA"/>
      <sheetName val="SoA Breakup"/>
      <sheetName val="CoA"/>
      <sheetName val="Out Flow PMC"/>
      <sheetName val="Crude tank  "/>
      <sheetName val="Rate analysis-civil"/>
      <sheetName val="Concrete ana"/>
      <sheetName val="masonry"/>
      <sheetName val="reinf"/>
      <sheetName val="SoA Abstr."/>
      <sheetName val="SoA Bre"/>
      <sheetName val="CoA- Abst."/>
      <sheetName val="CoA Bre"/>
      <sheetName val="WATER DRAIN TANKS"/>
      <sheetName val="HDT HSD"/>
      <sheetName val="REFRIGERATED LPG"/>
      <sheetName val="NAPHTHA ST"/>
      <sheetName val="MS PREMIUM"/>
      <sheetName val="DPK AND SKO"/>
      <sheetName val="HSD DIESEL EXPORT ST"/>
      <sheetName val="HSD DIESEL STORAGE TANK"/>
      <sheetName val="MS REGULAR"/>
      <sheetName val="SULPHUR STORAGE TANKS"/>
      <sheetName val="LPG"/>
      <sheetName val="PROPYLENE"/>
      <sheetName val="ANALSIS"/>
      <sheetName val="rev.boq"/>
      <sheetName val="Summary "/>
      <sheetName val="Ana=Civ"/>
      <sheetName val="ANa=Str"/>
      <sheetName val="Ana=SW"/>
      <sheetName val="Civil Work-building"/>
      <sheetName val="Analysis."/>
      <sheetName val="Elect."/>
      <sheetName val="ANALYSIS (PMC)"/>
      <sheetName val="Hire -based on depr"/>
      <sheetName val="machinery charges road"/>
      <sheetName val="BP (2)"/>
      <sheetName val="earth work Railway"/>
      <sheetName val="DC - HMP Plant"/>
      <sheetName val="P&amp;M Dep"/>
      <sheetName val="cash flow-tn06"/>
      <sheetName val="BOQ (F)"/>
      <sheetName val="SUMMARY_"/>
      <sheetName val="Sal1"/>
      <sheetName val="DIR USED ITEMS"/>
      <sheetName val="HRA Mess"/>
      <sheetName val="Off-Veh"/>
      <sheetName val="T.KM"/>
      <sheetName val="DC - WMM Plant"/>
      <sheetName val="RA - WMM"/>
      <sheetName val="BP from 74"/>
      <sheetName val="BP @ 58.00km"/>
      <sheetName val="Concrete works"/>
      <sheetName val="8"/>
      <sheetName val="9"/>
      <sheetName val="15"/>
      <sheetName val="Exc items"/>
      <sheetName val="Top Sheet working"/>
      <sheetName val="Major qty "/>
      <sheetName val="SUMMARY_ (2)"/>
      <sheetName val="Escalation-not used"/>
      <sheetName val="Conc Qty"/>
      <sheetName val="WO Rates"/>
      <sheetName val="site rates"/>
      <sheetName val=" BoQ"/>
      <sheetName val="33 kV-Eqpt.fdn."/>
      <sheetName val="220 kV-Eqpt.-fdn."/>
      <sheetName val="400 kV-Eqpt.fdn."/>
      <sheetName val="Tower &amp; LM Foundation"/>
      <sheetName val="Transformer FDN"/>
      <sheetName val="Transformer FDN.Drawing"/>
      <sheetName val="Transformer FDN 1"/>
      <sheetName val="Working Rates"/>
      <sheetName val="Detailed Expenditure Breakup"/>
      <sheetName val="Expenditure det"/>
      <sheetName val="Batching plant"/>
      <sheetName val="CONCRETE MIXER"/>
      <sheetName val="Concrete Pump"/>
      <sheetName val="Compressor"/>
      <sheetName val="Dozer"/>
      <sheetName val="Excavator"/>
      <sheetName val="FE Loader"/>
      <sheetName val="Grader"/>
      <sheetName val="HMP Plant"/>
      <sheetName val="PTR"/>
      <sheetName val="Tipper"/>
      <sheetName val="Tractor with Ripper "/>
      <sheetName val="Tandem Roller"/>
      <sheetName val="Vibratory Roller "/>
      <sheetName val="Water tanker"/>
      <sheetName val="WMM Paver"/>
      <sheetName val="WMM Plant"/>
      <sheetName val="Synopsis"/>
      <sheetName val="TUGSS3-549"/>
      <sheetName val="Trial Balance"/>
      <sheetName val="MRate"/>
      <sheetName val="A17"/>
      <sheetName val="ANNX A 17"/>
      <sheetName val="A18"/>
      <sheetName val="ANNX A 18"/>
      <sheetName val="A19"/>
      <sheetName val="ANNX A 19"/>
      <sheetName val="A20"/>
      <sheetName val="ANNX A 20"/>
      <sheetName val="A21"/>
      <sheetName val="ANNX A 21"/>
      <sheetName val="A 22"/>
      <sheetName val="A 23"/>
      <sheetName val="Mar-2017"/>
      <sheetName val="ELE "/>
      <sheetName val="Man Power cost"/>
      <sheetName val="Site Infrastructure"/>
      <sheetName val="O&amp;M Cost"/>
      <sheetName val="Site Infra-Unit"/>
      <sheetName val=" CIVIL (Quoted)"/>
      <sheetName val="Mech (Quoted)"/>
      <sheetName val=" ELECTRICAL (Quoted)"/>
      <sheetName val=" instrumentation (Quoted)"/>
      <sheetName val=" CIVIL"/>
      <sheetName val="Mech"/>
      <sheetName val=" ELECTRICAL"/>
      <sheetName val=" instrumentation"/>
      <sheetName val="MS Pipe"/>
      <sheetName val="CIF Civil"/>
      <sheetName val="Work Plan-Grouped"/>
      <sheetName val="Work Plan-Finan"/>
      <sheetName val="Yard"/>
      <sheetName val="PH Stage-I"/>
      <sheetName val="RWS-1500 Cum"/>
      <sheetName val="TWS-250 Cum"/>
      <sheetName val="PH Stage-III A"/>
      <sheetName val="PH Stage-III B"/>
      <sheetName val="Elec Control room"/>
      <sheetName val="Pipe Supports-Concrete"/>
      <sheetName val="Pipe Supports-Str Steel"/>
      <sheetName val="RA Civil"/>
      <sheetName val="RA MS-Pipe"/>
      <sheetName val="RA Elec"/>
      <sheetName val="Valves &amp; EMI"/>
      <sheetName val="Preamble"/>
      <sheetName val="Prilim"/>
      <sheetName val="Quoted"/>
      <sheetName val="Pipe line-1500"/>
      <sheetName val="Pipe line-1400"/>
      <sheetName val="Pipe line-1200"/>
      <sheetName val="Pipe line-1400-6.5"/>
      <sheetName val="Analy_7-10"/>
      <sheetName val="Basic-Rates"/>
      <sheetName val="Culvert"/>
      <sheetName val="Bridges"/>
      <sheetName val="Mtl"/>
      <sheetName val="Mcry"/>
      <sheetName val="Cashflow"/>
      <sheetName val="C-Flow"/>
      <sheetName val="Tech."/>
      <sheetName val="Lab-Survey-Furn."/>
      <sheetName val="Top sheet-New"/>
      <sheetName val="Work Plan"/>
      <sheetName val="Work Plan-Financial"/>
      <sheetName val="contingency"/>
      <sheetName val="Bridge"/>
      <sheetName val="2-Group Code"/>
      <sheetName val="3-Work Plan"/>
      <sheetName val="4-Work Plan Grouped"/>
      <sheetName val="5-Fin Plan WOL (Grouped)"/>
      <sheetName val="6-Escalation"/>
      <sheetName val="7-Contingency"/>
      <sheetName val="7-Mat-Calc"/>
      <sheetName val="8-Material"/>
      <sheetName val="9-Labour"/>
      <sheetName val="10-P&amp;M"/>
      <sheetName val="Priliminary Exp"/>
      <sheetName val="11-OH"/>
      <sheetName val="12-DI &amp; GI Pipes"/>
      <sheetName val="13-Pipe-Civil"/>
      <sheetName val="Qty Estimates"/>
      <sheetName val="1-BOQ"/>
      <sheetName val="Top sheet (3)"/>
      <sheetName val="Top Sheet (2)"/>
      <sheetName val="Cash Flow-Abstract"/>
      <sheetName val="Cash Flow-IN"/>
      <sheetName val="Cash Flow-Out"/>
      <sheetName val="TOP SHEET-1"/>
      <sheetName val="Final-Quote"/>
      <sheetName val="Final-Quote -1"/>
      <sheetName val="Obstruction &amp; Utilities"/>
      <sheetName val="Final-Quote -1 (2)"/>
      <sheetName val="Elec&amp;Ins"/>
      <sheetName val="CIVIL BoQ Abstract"/>
      <sheetName val="BoQ Calc"/>
      <sheetName val="Pipe line"/>
      <sheetName val="WTP Sizing"/>
      <sheetName val="Line Diag"/>
      <sheetName val="RA Valves &amp; EMI"/>
      <sheetName val="TD Notes"/>
      <sheetName val="RW RESERVOIR"/>
      <sheetName val="Top sheet-improvement works"/>
      <sheetName val="Margin incl EScalation"/>
      <sheetName val="L+M+P"/>
      <sheetName val="Inflow Abs"/>
      <sheetName val="Out flow Abs"/>
      <sheetName val="OH-1-Rev"/>
      <sheetName val="OH-2-Rev"/>
      <sheetName val="BG "/>
      <sheetName val="Material Rates"/>
      <sheetName val="Rate Analysis"/>
      <sheetName val="GSB &amp; WMM"/>
      <sheetName val="Prime coat"/>
      <sheetName val="Tack Coat @ 0.3"/>
      <sheetName val="Tack coat @ 0.25"/>
      <sheetName val="B M"/>
      <sheetName val="DBM"/>
      <sheetName val="BC"/>
      <sheetName val="M 15"/>
      <sheetName val="M 20"/>
      <sheetName val="M 30"/>
      <sheetName val="M 30 WEARING COAT"/>
      <sheetName val="Hysd"/>
      <sheetName val="Diesel- ESC- not to Print"/>
      <sheetName val="Quot-Rate - not to Print"/>
      <sheetName val="Prog - not to Print"/>
      <sheetName val="Out flow- not to Print"/>
      <sheetName val="Cashflow-site -not to Print"/>
      <sheetName val="Inflow - not to Print"/>
      <sheetName val="ITEMS TO BE CHECK"/>
      <sheetName val="PROJ VIEW"/>
      <sheetName val="PAGE COLLECTION"/>
      <sheetName val="RESOUR_MACH"/>
      <sheetName val="MECH-COST ANALYSIS"/>
      <sheetName val="MAJOR QTYS"/>
      <sheetName val="RESOUR_MANPOWER"/>
      <sheetName val="TRANS"/>
      <sheetName val="Eqpt_Manpoer Schedule"/>
      <sheetName val="NH-25(MP-UP) synopsys"/>
      <sheetName val="catch pit"/>
      <sheetName val="Shuttering&amp;Concrete"/>
      <sheetName val="Rate Ana"/>
      <sheetName val="Top sheet-LITL"/>
      <sheetName val="Cash Flow-LITL"/>
      <sheetName val="Top sheet-Actual"/>
      <sheetName val="Cash Flow-Actual"/>
      <sheetName val="S-Curve"/>
      <sheetName val="Labour-LITL"/>
      <sheetName val="Labour-Sc"/>
      <sheetName val="Equipment-LITL"/>
      <sheetName val="LMP-Check"/>
      <sheetName val="S-Curve-data"/>
      <sheetName val="Proposed"/>
      <sheetName val="june 2014"/>
      <sheetName val="Aug-14"/>
      <sheetName val="Sep 14"/>
      <sheetName val="Oct 14"/>
      <sheetName val="dec 14 (2)"/>
      <sheetName val="DPR - UGT &amp; OHT "/>
      <sheetName val="Client Bill - UGT &amp; OHT RA 09"/>
      <sheetName val="Almech UGT &amp; OHT - 57"/>
      <sheetName val="Tapan Bepari UGT &amp; OHT- 9 &amp; 166"/>
      <sheetName val="D.Sebastian UGT &amp; OHT"/>
      <sheetName val="Client Bill Pipeline RA 09"/>
      <sheetName val="DPR Pipeline"/>
      <sheetName val="MSS Pipeline"/>
      <sheetName val="Backup Data Alandur - P2"/>
      <sheetName val="GI"/>
      <sheetName val="Rates_PVC"/>
      <sheetName val="Rates_GI"/>
      <sheetName val="SWD-03M-MDU-Corp"/>
      <sheetName val="RecoveredExternalLink1"/>
      <sheetName val="Fill this out first..."/>
      <sheetName val="Checklist"/>
      <sheetName val="Front"/>
      <sheetName val="PDF Front"/>
      <sheetName val="Simple Letter"/>
      <sheetName val="Inside"/>
      <sheetName val="Basis"/>
      <sheetName val="Inclusions"/>
      <sheetName val="Exclusions"/>
      <sheetName val="Overall Summary"/>
      <sheetName val="CSI Summary"/>
      <sheetName val="Section 1 Areas"/>
      <sheetName val="Section 1 Summary"/>
      <sheetName val="Section 1"/>
      <sheetName val="Section 2 Areas"/>
      <sheetName val="Section 2 Summary"/>
      <sheetName val="Section 2"/>
      <sheetName val="Section 3 Areas"/>
      <sheetName val="Section 3 Summary"/>
      <sheetName val="Section 3"/>
      <sheetName val="Section 4 Areas"/>
      <sheetName val="Section 4 Summary"/>
      <sheetName val="Section 4"/>
      <sheetName val="Section 5 Areas"/>
      <sheetName val="Section 5 Summary"/>
      <sheetName val="Section 5"/>
      <sheetName val="Sitework Areas"/>
      <sheetName val="Section 6 Areas"/>
      <sheetName val="Section 6 Summary"/>
      <sheetName val="Section 6"/>
      <sheetName val="Sitework Summary"/>
      <sheetName val="Sitework"/>
      <sheetName val="Alternates"/>
      <sheetName val="Comparison Summary"/>
      <sheetName val="Fill this out first___"/>
      <sheetName val="Salient Features"/>
      <sheetName val="LOI"/>
      <sheetName val="construction_schedule"/>
      <sheetName val="top_sheet"/>
      <sheetName val="Offtop-Tender"/>
      <sheetName val="Offtop-Prestart"/>
      <sheetName val="SummaryIDC"/>
      <sheetName val="Basic"/>
      <sheetName val="Items"/>
      <sheetName val="IDC.AHK "/>
      <sheetName val="BOQ_Direct_selling cost"/>
      <sheetName val="Monthwise breakup"/>
      <sheetName val="Labourrate"/>
      <sheetName val="conanalysis"/>
      <sheetName val="ShuttAna"/>
      <sheetName val="Reinf Analy"/>
      <sheetName val="Power anal"/>
      <sheetName val="quality_obj"/>
      <sheetName val="Assumptions"/>
      <sheetName val="Power"/>
      <sheetName val="master"/>
      <sheetName val="pro-1"/>
      <sheetName val="Poforma-1"/>
      <sheetName val="Proforma-1A"/>
      <sheetName val="SEA"/>
      <sheetName val="Status of Seasonal bores (2)"/>
      <sheetName val="Status of Seasonal bores"/>
      <sheetName val="Airvalve-DI"/>
      <sheetName val="sluice-DI upto 1000"/>
      <sheetName val="OE - Trunk"/>
      <sheetName val="WE-1 Trunk"/>
      <sheetName val="Comparative"/>
      <sheetName val="DI Above GL"/>
      <sheetName val="OE-HS"/>
      <sheetName val="WE1- HS"/>
      <sheetName val="PIVOT OE"/>
      <sheetName val="Trunk Blasting estt"/>
      <sheetName val="WE1-Pivot"/>
      <sheetName val="OE-Blasting"/>
      <sheetName val="ANCHOR-OE"/>
      <sheetName val="without blasting"/>
      <sheetName val="MS pipesfinal"/>
      <sheetName val="Revised rates(SSR 2015-16)"/>
      <sheetName val="PCCP"/>
      <sheetName val="RCC 1400"/>
      <sheetName val="VC 80"/>
      <sheetName val="VC 200"/>
      <sheetName val="VC 450"/>
      <sheetName val="VC 600"/>
      <sheetName val="VC 700"/>
      <sheetName val="VC 1000"/>
      <sheetName val="VC 1500"/>
      <sheetName val="VC 2000"/>
      <sheetName val="SSR"/>
      <sheetName val="CI specials"/>
      <sheetName val="RAM"/>
      <sheetName val="Sump"/>
      <sheetName val="Chap-4"/>
      <sheetName val="PL DI"/>
      <sheetName val="C.Wall"/>
      <sheetName val="IW-SRD-Cir"/>
      <sheetName val="Data- Final  (2)"/>
      <sheetName val="IW-SRD-Rect"/>
      <sheetName val="OHBR Datas"/>
      <sheetName val="60_30m"/>
      <sheetName val="60-25m"/>
      <sheetName val="40-20hunreddy"/>
      <sheetName val="40-20nandula"/>
      <sheetName val="40-20parvathi"/>
      <sheetName val="40-20ganta"/>
      <sheetName val="40-21shesha"/>
      <sheetName val="40-21komati"/>
      <sheetName val="40-21rangoni"/>
      <sheetName val="40-21shakhaji"/>
      <sheetName val="40-21tunga"/>
      <sheetName val="40-25mchinthapally"/>
      <sheetName val="40-25 nainivani"/>
      <sheetName val="40-18PApally"/>
      <sheetName val="40_30mkhanapur"/>
      <sheetName val="40-30iddampa"/>
      <sheetName val="40-30dugge"/>
      <sheetName val="40-30janigani"/>
      <sheetName val="40-30sagarrd"/>
      <sheetName val="40-30kannekal"/>
      <sheetName val="40-30annaram"/>
      <sheetName val="40-30padam"/>
      <sheetName val="90-18kolthanda"/>
      <sheetName val="90-30mthripu"/>
      <sheetName val="200-30waddipatla"/>
      <sheetName val="stair18"/>
      <sheetName val="stair20"/>
      <sheetName val="stair21"/>
      <sheetName val="Staircase-25"/>
      <sheetName val="Staircase-30"/>
      <sheetName val="Staircase-DG"/>
      <sheetName val="300-30m"/>
      <sheetName val="OHBRS-DAta"/>
      <sheetName val="Hyd designs"/>
      <sheetName val="Design"/>
      <sheetName val="Valve chambers"/>
      <sheetName val="Intakewell-canal"/>
      <sheetName val="Intakewell-SSt"/>
      <sheetName val="SS Tank"/>
      <sheetName val="RSF"/>
      <sheetName val="Pump House"/>
      <sheetName val="WQ"/>
      <sheetName val="GLBR flat"/>
      <sheetName val="100KL GLBR"/>
      <sheetName val="Sump Flat"/>
      <sheetName val="Sump Dome"/>
      <sheetName val="Single column"/>
      <sheetName val="Sump rec"/>
      <sheetName val="C well"/>
      <sheetName val="Shaft type"/>
      <sheetName val="OHBR-90-20"/>
      <sheetName val="OHBR-25"/>
      <sheetName val="90-30"/>
      <sheetName val="90-25 lt"/>
      <sheetName val="OHSR Lit"/>
      <sheetName val="OHSR Lit (2)"/>
      <sheetName val="Abstract.Est"/>
      <sheetName val="Epoxy Data"/>
      <sheetName val="Quarry chart (2)"/>
      <sheetName val="DI Specials data"/>
      <sheetName val="OE-Kethapally OHBR 40KL-30m"/>
      <sheetName val="WE1-Kethapally OHBR 40KL-30m"/>
      <sheetName val="Comp_stmt_ Katepally"/>
      <sheetName val="OHBR Datas (2)"/>
      <sheetName val="Supp Data"/>
      <sheetName val="sample PH (16X10)"/>
      <sheetName val="Final Abstract working-final"/>
      <sheetName val="hydraulics-Final"/>
      <sheetName val="Exist CPWS"/>
      <sheetName val="Medak Grid dec"/>
      <sheetName val="MDK Grid EST "/>
      <sheetName val="eco dia  upto Brahmanply"/>
      <sheetName val="Medak pop 2011 (2)"/>
      <sheetName val="Medak pop 2011"/>
      <sheetName val="PH Water req"/>
      <sheetName val="MDK LPM"/>
      <sheetName val="Abstract f"/>
      <sheetName val="Inputs Line Est"/>
      <sheetName val="ESTIMATION "/>
      <sheetName val="CC road filling"/>
      <sheetName val="cc  cutting est "/>
      <sheetName val="OHSR ESt"/>
      <sheetName val="Tap data"/>
      <sheetName val="Tap est"/>
      <sheetName val="DI verticals data"/>
      <sheetName val="Est DI Verticals"/>
      <sheetName val="PH-Data"/>
      <sheetName val="Stag 12"/>
      <sheetName val="Stag 10"/>
      <sheetName val="Stag 15"/>
      <sheetName val="Stag 20"/>
      <sheetName val="Stag 25"/>
      <sheetName val="Stag 30"/>
      <sheetName val="GLBR Dome"/>
      <sheetName val="OHBR-Col"/>
      <sheetName val="Staircase"/>
      <sheetName val="Marriguda-OHBR-21m"/>
      <sheetName val="100 KL OHSR Lit Kunoor"/>
      <sheetName val="40kl-30m shaft Katepally"/>
      <sheetName val="40kl-30m shaft Thimmapur"/>
      <sheetName val="40kl-30m shaft Posanikunta "/>
      <sheetName val="40kl-30m shaft Vartur "/>
      <sheetName val="40kl-30m shaft Lingaraju pally"/>
      <sheetName val="40kl-30m shaft Wangapally "/>
      <sheetName val="OHSR Lit 60 -12 KONDAPUR"/>
      <sheetName val="40kl-30m shaft Rustapur "/>
      <sheetName val="40kl-30m shaft Veera reddy"/>
      <sheetName val="120kl-27m shaft Thurkapally"/>
      <sheetName val="120kl-27 m shaft Thurkapally"/>
      <sheetName val="40kl-30m shaft Venkatapur "/>
      <sheetName val="40kl-30m shaft Madapuram "/>
      <sheetName val="OHSR Lit 60 -12  Parvathapur"/>
      <sheetName val="OHSR Lit 40-12  Singaram"/>
      <sheetName val="40kl-30m shaft Singaram"/>
      <sheetName val="OHSR Lit 250 -10 Thukkapur"/>
      <sheetName val="40kl-30m shaft Bibinagar"/>
      <sheetName val="40kl-30m shaft Makuda"/>
      <sheetName val="OHSR Lit 40 -10  Pedda palugu "/>
      <sheetName val="40 KL -OHBR-20m Pedda"/>
      <sheetName val="60kl-30m shaft Julur"/>
      <sheetName val="40 KL -OHBR-20m Gokaram"/>
      <sheetName val="120kl-30m shaft Golanakonda"/>
      <sheetName val="40kl-30m shaft Dolphi"/>
      <sheetName val="40kl-30m shaft Thurkapally"/>
      <sheetName val="OHSR Lit 40 -20 (4)"/>
      <sheetName val="40kl-30m shaft (2)"/>
      <sheetName val="40kl-30m shaft (3)"/>
      <sheetName val="40kl-30m shaft (4)"/>
      <sheetName val="40kl-30m shaft (5)"/>
      <sheetName val="40kl-30m shaft (6)"/>
      <sheetName val="40kl-30m shaft (7)"/>
      <sheetName val="40kl-30m shaft (8)"/>
      <sheetName val="40kl-30m shaft (9)"/>
      <sheetName val="40kl-30m shaft (10)"/>
      <sheetName val="40kl-30m shaft (11)"/>
      <sheetName val="40kl-30m shaft (12)"/>
      <sheetName val="40kl-30m shaft (13)"/>
      <sheetName val="40kl-30m shaft (17)"/>
      <sheetName val="40 KL -OHBR-20m (2)"/>
      <sheetName val="40 KL -OHBR-20m (4)"/>
      <sheetName val="60kl-30m shaft (18)"/>
      <sheetName val="60kl-30m shaft (19)"/>
      <sheetName val="60kl-30m shaft (20)"/>
      <sheetName val="60kl-30m shaft (29)"/>
      <sheetName val="OHSR Lit 40 -20 (3)"/>
      <sheetName val="90kl-30m shaft (21)"/>
      <sheetName val="120kl-30m shaft (22)"/>
      <sheetName val="60 KL -OHBR-21m (2)"/>
      <sheetName val="Retaing"/>
      <sheetName val="Abstract(F6)"/>
      <sheetName val="gen"/>
      <sheetName val="DET CD"/>
      <sheetName val="EST CD"/>
      <sheetName val="DET ROAD"/>
      <sheetName val="EST RAOD"/>
      <sheetName val="Part-B"/>
      <sheetName val="EWR"/>
      <sheetName val="RR"/>
      <sheetName val="BCR"/>
      <sheetName val="proposal"/>
      <sheetName val="bundqty"/>
      <sheetName val="weir"/>
      <sheetName val="desig cd works"/>
      <sheetName val="est canal"/>
      <sheetName val="l.s bund"/>
      <sheetName val="LFcanal"/>
      <sheetName val="RFcanal"/>
      <sheetName val="qrmap"/>
      <sheetName val="Route Map"/>
      <sheetName val="Drawing"/>
      <sheetName val="Old drawings"/>
      <sheetName val="inspn"/>
      <sheetName val="Chart1"/>
      <sheetName val="certifc"/>
      <sheetName val="Regime"/>
      <sheetName val="weir heads (2)"/>
      <sheetName val="basicdata"/>
      <sheetName val="weir heads"/>
      <sheetName val="Data-abs"/>
      <sheetName val="Data-Drains"/>
      <sheetName val="house service connection"/>
      <sheetName val="TRIAL5"/>
      <sheetName val="DE"/>
      <sheetName val="BAR"/>
      <sheetName val="Detailed Drawing"/>
      <sheetName val="RCC Ladder"/>
      <sheetName val="AE"/>
      <sheetName val="MS Ladder"/>
      <sheetName val="SUMPPIPE"/>
      <sheetName val="SUMPPIPE (2)"/>
      <sheetName val="DISINFECTION"/>
      <sheetName val="CCKUNTA (3)"/>
      <sheetName val="CCKUNTA (EXISTING) Hydrauli (2)"/>
      <sheetName val="CCKUNTA (EXISTING) Hydraulic"/>
      <sheetName val="Front page"/>
      <sheetName val="Line Estimate 100x22"/>
      <sheetName val="Transmission lines 100x22 (2)"/>
      <sheetName val="Transmission lines 100x22"/>
      <sheetName val="Est Pipeline Tax"/>
      <sheetName val="GM100x22"/>
      <sheetName val="GM100x22 old"/>
      <sheetName val="Design100x22 "/>
      <sheetName val="Internal dia"/>
      <sheetName val="Sub Est Pipe Lines"/>
      <sheetName val="kintc-airvalve-DI"/>
      <sheetName val="Trustblock"/>
      <sheetName val="grid I"/>
      <sheetName val="Confirmed Grid_Final_ Groups"/>
      <sheetName val="dbl-airvalve-PVC"/>
      <sheetName val="dbl-airvalve-HDPE"/>
      <sheetName val="airvalve(AC)"/>
      <sheetName val="kintc-airvalve-BWSC&amp;MS"/>
      <sheetName val="MS-BWSC-GRP-PSC"/>
      <sheetName val="airvalve-AC"/>
      <sheetName val="sluice-PSC"/>
      <sheetName val="sluice-GRP"/>
      <sheetName val="Total Popualtion"/>
      <sheetName val="Const RR"/>
      <sheetName val="Const NLG"/>
      <sheetName val="Const WGL"/>
      <sheetName val="const Adlbd"/>
      <sheetName val="const NZMBD"/>
      <sheetName val="const Karimnagar"/>
      <sheetName val="const Medak"/>
      <sheetName val="khammam"/>
      <sheetName val="Mandal wise "/>
      <sheetName val="Constituency wise"/>
      <sheetName val="MBNR WATER GRID"/>
      <sheetName val="Const MBNGR"/>
      <sheetName val="BM-HOOP"/>
      <sheetName val="plan-final"/>
      <sheetName val="800kL-design-final"/>
      <sheetName val="700kl Sump-Comp Stat"/>
      <sheetName val="1000 kl sump"/>
      <sheetName val="Comp Stat. for Sump"/>
      <sheetName val="TOP SLAB-beams"/>
      <sheetName val="1000kl comp"/>
      <sheetName val="1800 kl sump"/>
      <sheetName val="1800kl comp"/>
      <sheetName val="RAMAPPA-sump"/>
      <sheetName val="RAMAPPA-sump1"/>
      <sheetName val="CPWS-MULUGU"/>
      <sheetName val="plan"/>
      <sheetName val="RAMAPPA-supplementary"/>
      <sheetName val="RAMAPPA-supplementary (2)"/>
      <sheetName val="RAMAPPA-sump (2)"/>
      <sheetName val="RAMAPPA-sump-850kL"/>
      <sheetName val="middle head works"/>
      <sheetName val="RAMAPPA-sump-850kL (2)"/>
      <sheetName val="RAMAPPA-supplementary (3)"/>
      <sheetName val="RAMAPPA-sump-850kL (3)"/>
      <sheetName val="RAMAPPA-sump-850kL (4)"/>
      <sheetName val="PALAMPET-sump-1700kL"/>
      <sheetName val="FILTERS LOCATION"/>
      <sheetName val="SUMP-PLAN"/>
      <sheetName val="palampet1-sump-1700kL"/>
      <sheetName val="palampet1-sump-1700kL (2)"/>
      <sheetName val="plan (2)"/>
      <sheetName val="palampet1-sump-1700kL (3)"/>
      <sheetName val="palampet1-sump-1700kL (4)"/>
      <sheetName val="palampet-sump-1700kL-1"/>
      <sheetName val="palampet-sump-1700kL-2"/>
      <sheetName val="palampet-sump-1700kL-3"/>
      <sheetName val="plan (3)"/>
      <sheetName val="palampet-sump-1700kL-4"/>
      <sheetName val="palampet-sump-1700kL-1 (2)"/>
      <sheetName val="PM&amp;GM"/>
      <sheetName val="PM-w"/>
      <sheetName val="P-I"/>
      <sheetName val="pipes-abst"/>
      <sheetName val="PM-Ifinal"/>
      <sheetName val="lvls"/>
      <sheetName val="forabst"/>
      <sheetName val="ORI-POP"/>
      <sheetName val="kadtha"/>
      <sheetName val="GM (2)"/>
      <sheetName val="for abst"/>
      <sheetName val="150-30"/>
      <sheetName val="SQ_OK"/>
      <sheetName val="Data- All"/>
      <sheetName val="1000 KLSump  Medchal_OK"/>
      <sheetName val="PH 24x12_OK"/>
      <sheetName val="Compound walls_OK"/>
      <sheetName val="Medchal 120KL-30_OK"/>
      <sheetName val="120KL - 30m, Medchal Specials"/>
      <sheetName val="Dabilpur 40KL-30_OK"/>
      <sheetName val="40KL-30, Dabilpur Specials"/>
      <sheetName val="200Kl-9m,  Bogaram"/>
      <sheetName val="Ped Thrst est_OK"/>
      <sheetName val="pedestals"/>
      <sheetName val="Thrust blocks"/>
      <sheetName val="200KL-9m, Bogarm Specials"/>
      <sheetName val="Specials- SRD"/>
      <sheetName val="DI Wt"/>
      <sheetName val="Argul C.Wall"/>
      <sheetName val="Tir C.Wall"/>
      <sheetName val="Balk C. Wall"/>
      <sheetName val="Mor C.Wall"/>
      <sheetName val="Mal C.Wall"/>
      <sheetName val="Kon C.Wall"/>
      <sheetName val="Sec C.Wall"/>
      <sheetName val="Moti C.Wall"/>
      <sheetName val="Mail C.Wall"/>
      <sheetName val="Lon C.Wall"/>
      <sheetName val="Bhiknoor C wall"/>
      <sheetName val="Chandapur C wall"/>
      <sheetName val="Gandhari C wall"/>
      <sheetName val="Consolidated TB"/>
      <sheetName val="Tax Computation-13-14"/>
      <sheetName val="Revised-BS"/>
      <sheetName val="Revised P&amp;L"/>
      <sheetName val="Notes To Accounts"/>
      <sheetName val="Tax Computation"/>
      <sheetName val="Depreciation Companies act"/>
      <sheetName val="Deprecation On companies act"/>
      <sheetName val="DEP.( IT )-2013-14"/>
      <sheetName val="Interest 234B"/>
      <sheetName val="234C"/>
      <sheetName val="Repairs &amp; Maintenance"/>
      <sheetName val="Out standing expenses"/>
      <sheetName val="Closing stock-13-14"/>
      <sheetName val="Finished goods"/>
      <sheetName val="sub schdule"/>
      <sheetName val="Consolidated trail balance"/>
      <sheetName val="Corporate"/>
      <sheetName val="Loan Account TB"/>
      <sheetName val="D Dharmaram"/>
      <sheetName val="Gurralagondi"/>
      <sheetName val="Vantimamidi"/>
      <sheetName val="Janagam"/>
      <sheetName val="Parvatagiri"/>
      <sheetName val="Nangunoor"/>
      <sheetName val="Bhonagiri"/>
      <sheetName val="Peddapoor"/>
      <sheetName val="Main KNR"/>
      <sheetName val="Siddipet"/>
      <sheetName val="CLOSING STOCK-fINAL"/>
      <sheetName val="Closing Stock"/>
      <sheetName val="234A"/>
      <sheetName val="Closing Stock 30-9-13"/>
      <sheetName val="Capital"/>
      <sheetName val="COMMUNITY_HALL_ESTT22"/>
      <sheetName val="COMM_HALL_3LAKHS"/>
      <sheetName val="DATA_TEMP(MC)"/>
      <sheetName val="SSR RATE"/>
      <sheetName val="lead-state"/>
      <sheetName val="Data EWE"/>
      <sheetName val="Data- Final "/>
      <sheetName val="xxx OHBR verticals"/>
      <sheetName val="40-30"/>
      <sheetName val="Budhera-1500.30"/>
      <sheetName val="Mamidigi-Parwatapur 40.30 "/>
      <sheetName val="Stair case 40 KL OHBR"/>
      <sheetName val="Indrakalan SS Pet x 60.30"/>
      <sheetName val="Medchal 120-30"/>
      <sheetName val="Aroor 100-30"/>
      <sheetName val="Kavelly-150.30"/>
      <sheetName val="Didgi-275.30"/>
      <sheetName val="Kyasaram-300.30"/>
      <sheetName val="Kasimpur-250-25"/>
      <sheetName val="Abstrct-C0mparative"/>
      <sheetName val="DVKD Hydrulic"/>
      <sheetName val="Trans Line"/>
      <sheetName val="Trns-Comparative"/>
      <sheetName val="Caze Estimate "/>
      <sheetName val="Airvalve-HDPE"/>
      <sheetName val="sluice-upto 1000"/>
      <sheetName val="scour-pvc-hdpe-psc-DI-bwsc"/>
      <sheetName val="SOR"/>
      <sheetName val="970121 fee rates"/>
      <sheetName val="SPT vs PHI"/>
      <sheetName val="PA- Consutant "/>
      <sheetName val="Materials Cost"/>
      <sheetName val="Kurkumbh BOQ"/>
      <sheetName val="BOQ (2)"/>
      <sheetName val="VCH-SLC"/>
      <sheetName val="Supplier"/>
      <sheetName val="A1-Continuous"/>
      <sheetName val="MASTER_RATE ANALYSIS"/>
      <sheetName val="Headings"/>
      <sheetName val="CASHFLOWS"/>
      <sheetName val="jobhist"/>
      <sheetName val="upa"/>
      <sheetName val="Form 6"/>
      <sheetName val="PPA Summary"/>
      <sheetName val="India F&amp;S Template"/>
      <sheetName val="Site Dev BOQ"/>
      <sheetName val="GBW"/>
      <sheetName val="FitOutConfCentre"/>
      <sheetName val="Fee_Rate_Summary"/>
      <sheetName val="970121_fee_rates"/>
      <sheetName val="PA-_Consutant_"/>
      <sheetName val="Materials_Cost"/>
      <sheetName val="Civil_Boq"/>
      <sheetName val="SPT_vs_PHI"/>
      <sheetName val="Site_Dev_BOQ"/>
      <sheetName val="BOQ_(2)"/>
      <sheetName val="PRECAST_lightconc-II"/>
      <sheetName val="CASH-FLOW"/>
      <sheetName val="Tax Invoice"/>
      <sheetName val="Lab"/>
      <sheetName val="FORM7"/>
      <sheetName val="girder"/>
      <sheetName val="INDIGINEOUS ITEMS "/>
      <sheetName val="WBS01"/>
      <sheetName val="WBS10"/>
      <sheetName val="WBS11"/>
      <sheetName val="WBS12"/>
      <sheetName val="WBS13"/>
      <sheetName val="WBS14"/>
      <sheetName val="WBS15"/>
      <sheetName val="WBS16"/>
      <sheetName val="WBS17"/>
      <sheetName val="WBS18"/>
      <sheetName val="WBS19"/>
      <sheetName val="WBS02"/>
      <sheetName val="WBS20"/>
      <sheetName val="WBS03"/>
      <sheetName val="WBS04"/>
      <sheetName val="WBS05"/>
      <sheetName val="WBS06"/>
      <sheetName val="WBS07"/>
      <sheetName val="WBS08"/>
      <sheetName val="WBS09"/>
      <sheetName val="PointNo.5"/>
      <sheetName val="LEVEL SHEET"/>
      <sheetName val="TBEAM"/>
      <sheetName val="Rocker"/>
      <sheetName val="office"/>
      <sheetName val="PRELIM5"/>
      <sheetName val="monitoring-breakup Feb02"/>
      <sheetName val="細目"/>
      <sheetName val="BLK2"/>
      <sheetName val="BLK3"/>
      <sheetName val="E &amp; R"/>
      <sheetName val="radar"/>
      <sheetName val="UG"/>
      <sheetName val="CIVIL WORK PLAN-13-14"/>
      <sheetName val="WORK SUMMERY "/>
      <sheetName val="MEP DETAIL"/>
      <sheetName val="rev.02"/>
      <sheetName val="R20_R30_work"/>
      <sheetName val="COLUMN"/>
      <sheetName val="col-reinft1"/>
      <sheetName val="Kurkumbh_BOQ"/>
      <sheetName val="MASTER_RATE_ANALYSIS"/>
      <sheetName val="Form_6"/>
      <sheetName val="PPA_Summary"/>
      <sheetName val="India_F&amp;S_Template"/>
      <sheetName val="Tax_Invoice"/>
      <sheetName val="INDIGINEOUS_ITEMS_"/>
      <sheetName val="PointNo_5"/>
      <sheetName val="monitoring-breakup_Feb02"/>
      <sheetName val="parametry"/>
      <sheetName val="FORMATION"/>
      <sheetName val="LBD"/>
      <sheetName val="exec"/>
      <sheetName val="glance"/>
      <sheetName val="68 col - SE"/>
      <sheetName val="68 col - ENC"/>
      <sheetName val="Det"/>
      <sheetName val="Hab wise Details"/>
      <sheetName val="District ABS"/>
      <sheetName val="consol"/>
      <sheetName val="NCC"/>
      <sheetName val="PLR-Mucherla"/>
      <sheetName val="SMC-Parigi"/>
      <sheetName val="Purchase Status"/>
      <sheetName val="RR-DPR"/>
      <sheetName val="mpp"/>
      <sheetName val="Data_F8_BTR"/>
      <sheetName val="Plant_&amp;__Machinery"/>
      <sheetName val="Fee_Rate_Summary1"/>
      <sheetName val="PA-_Consutant_1"/>
      <sheetName val="Materials_Cost1"/>
      <sheetName val="970121_fee_rates1"/>
      <sheetName val="Kurkumbh_BOQ1"/>
      <sheetName val="SPT_vs_PHI1"/>
      <sheetName val="BOQ_(2)1"/>
      <sheetName val="MASTER_RATE_ANALYSIS1"/>
      <sheetName val="Civil_Boq1"/>
      <sheetName val="Form_61"/>
      <sheetName val="PPA_Summary1"/>
      <sheetName val="India_F&amp;S_Template1"/>
      <sheetName val="Site_Dev_BOQ1"/>
      <sheetName val="PRECAST_lightconc-II1"/>
      <sheetName val="Tax_Invoice1"/>
      <sheetName val="INDIGINEOUS_ITEMS_1"/>
      <sheetName val="PointNo_51"/>
      <sheetName val="monitoring-breakup_Feb021"/>
      <sheetName val="Fee_Rate_Summary2"/>
      <sheetName val="PA-_Consutant_2"/>
      <sheetName val="Materials_Cost2"/>
      <sheetName val="970121_fee_rates2"/>
      <sheetName val="Kurkumbh_BOQ2"/>
      <sheetName val="SPT_vs_PHI2"/>
      <sheetName val="BOQ_(2)2"/>
      <sheetName val="MASTER_RATE_ANALYSIS2"/>
      <sheetName val="Civil_Boq2"/>
      <sheetName val="Form_62"/>
      <sheetName val="PPA_Summary2"/>
      <sheetName val="India_F&amp;S_Template2"/>
      <sheetName val="Site_Dev_BOQ2"/>
      <sheetName val="PRECAST_lightconc-II2"/>
      <sheetName val="Tax_Invoice2"/>
      <sheetName val="INDIGINEOUS_ITEMS_2"/>
      <sheetName val="PointNo_52"/>
      <sheetName val="monitoring-breakup_Feb022"/>
      <sheetName val="Fee_Rate_Summary3"/>
      <sheetName val="PA-_Consutant_3"/>
      <sheetName val="Materials_Cost3"/>
      <sheetName val="970121_fee_rates3"/>
      <sheetName val="Kurkumbh_BOQ3"/>
      <sheetName val="SPT_vs_PHI3"/>
      <sheetName val="BOQ_(2)3"/>
      <sheetName val="MASTER_RATE_ANALYSIS3"/>
      <sheetName val="Civil_Boq3"/>
      <sheetName val="Form_63"/>
      <sheetName val="PPA_Summary3"/>
      <sheetName val="India_F&amp;S_Template3"/>
      <sheetName val="Site_Dev_BOQ3"/>
      <sheetName val="PRECAST_lightconc-II3"/>
      <sheetName val="Tax_Invoice3"/>
      <sheetName val="INDIGINEOUS_ITEMS_3"/>
      <sheetName val="PointNo_53"/>
      <sheetName val="monitoring-breakup_Feb023"/>
      <sheetName val="Fee_Rate_Summary4"/>
      <sheetName val="PA-_Consutant_4"/>
      <sheetName val="Materials_Cost4"/>
      <sheetName val="970121_fee_rates4"/>
      <sheetName val="Kurkumbh_BOQ4"/>
      <sheetName val="SPT_vs_PHI4"/>
      <sheetName val="BOQ_(2)4"/>
      <sheetName val="MASTER_RATE_ANALYSIS4"/>
      <sheetName val="Civil_Boq4"/>
      <sheetName val="Form_64"/>
      <sheetName val="PPA_Summary4"/>
      <sheetName val="India_F&amp;S_Template4"/>
      <sheetName val="Site_Dev_BOQ4"/>
      <sheetName val="PRECAST_lightconc-II4"/>
      <sheetName val="Tax_Invoice4"/>
      <sheetName val="INDIGINEOUS_ITEMS_4"/>
      <sheetName val="PointNo_54"/>
      <sheetName val="monitoring-breakup_Feb024"/>
      <sheetName val="Fee_Rate_Summary5"/>
      <sheetName val="PA-_Consutant_5"/>
      <sheetName val="Materials_Cost5"/>
      <sheetName val="970121_fee_rates5"/>
      <sheetName val="Kurkumbh_BOQ5"/>
      <sheetName val="SPT_vs_PHI5"/>
      <sheetName val="BOQ_(2)5"/>
      <sheetName val="MASTER_RATE_ANALYSIS5"/>
      <sheetName val="Civil_Boq5"/>
      <sheetName val="Form_65"/>
      <sheetName val="PPA_Summary5"/>
      <sheetName val="India_F&amp;S_Template5"/>
      <sheetName val="Site_Dev_BOQ5"/>
      <sheetName val="PRECAST_lightconc-II5"/>
      <sheetName val="Tax_Invoice5"/>
      <sheetName val="INDIGINEOUS_ITEMS_5"/>
      <sheetName val="PointNo_55"/>
      <sheetName val="monitoring-breakup_Feb025"/>
      <sheetName val="Fee_Rate_Summary6"/>
      <sheetName val="PA-_Consutant_6"/>
      <sheetName val="Materials_Cost6"/>
      <sheetName val="970121_fee_rates6"/>
      <sheetName val="Kurkumbh_BOQ6"/>
      <sheetName val="SPT_vs_PHI6"/>
      <sheetName val="BOQ_(2)6"/>
      <sheetName val="MASTER_RATE_ANALYSIS6"/>
      <sheetName val="Civil_Boq6"/>
      <sheetName val="Form_66"/>
      <sheetName val="PPA_Summary6"/>
      <sheetName val="India_F&amp;S_Template6"/>
      <sheetName val="Site_Dev_BOQ6"/>
      <sheetName val="PRECAST_lightconc-II6"/>
      <sheetName val="Tax_Invoice6"/>
      <sheetName val="INDIGINEOUS_ITEMS_6"/>
      <sheetName val="PointNo_56"/>
      <sheetName val="monitoring-breakup_Feb026"/>
      <sheetName val="Measurements"/>
      <sheetName val="Tables"/>
      <sheetName val="Flooring"/>
      <sheetName val="Ceilings"/>
      <sheetName val="ACAD Finishes"/>
      <sheetName val="Site Details"/>
      <sheetName val="Chair"/>
      <sheetName val="Site Area Statement"/>
      <sheetName val="Doors"/>
      <sheetName val="PI"/>
      <sheetName val="SHADIKHANA_ESTT"/>
      <sheetName val="SA"/>
      <sheetName val="SHEDULE-A"/>
      <sheetName val="Majoduck_SK_1"/>
      <sheetName val="Pipes Pivot"/>
      <sheetName val="Data Pivot"/>
      <sheetName val="enc_working_HS"/>
      <sheetName val="int-Dia-hdpe"/>
      <sheetName val="int-Dia-pvc"/>
      <sheetName val="Intakewell-Singur"/>
      <sheetName val="EMB"/>
      <sheetName val="Area EMB"/>
      <sheetName val="Chap-11 ewe"/>
      <sheetName val="Data- Final  (3)"/>
      <sheetName val="Kondapak CW"/>
      <sheetName val="Gajwel CW"/>
      <sheetName val="Lakudaram CW"/>
      <sheetName val="Burgupallu CW"/>
      <sheetName val="Data- Intake well"/>
      <sheetName val="510 KL GLBR flat"/>
      <sheetName val="250KL GLBR"/>
      <sheetName val="200=9 Bogaram"/>
      <sheetName val="600KL GLBR"/>
      <sheetName val="20000KL Sump"/>
      <sheetName val="2000KL Sump"/>
      <sheetName val="1600KL Sump"/>
      <sheetName val="6000KL Sump"/>
      <sheetName val="15000KL Sump"/>
      <sheetName val="900KL 20"/>
      <sheetName val="500KL 20"/>
      <sheetName val="GLBR flat (2)"/>
      <sheetName val="PH 40x12"/>
      <sheetName val="PH 16x12"/>
      <sheetName val="PH 24x12"/>
      <sheetName val="510KL GLBR "/>
      <sheetName val="300KL 20"/>
      <sheetName val="120KL 20"/>
      <sheetName val="14000GLBR"/>
      <sheetName val="220 20"/>
      <sheetName val="450-12"/>
      <sheetName val="150 16"/>
      <sheetName val="OHBR 150-12"/>
      <sheetName val="GM&amp;PM EST"/>
      <sheetName val="GLBR - 30 Kl"/>
      <sheetName val="ABSRACT=EST"/>
      <sheetName val="pumping-single-mains"/>
      <sheetName val="Pumping mains 26-8-2011"/>
      <sheetName val="pm40"/>
      <sheetName val="SRs"/>
      <sheetName val="SRs-Rev"/>
      <sheetName val="PM 70"/>
      <sheetName val="GM 70"/>
      <sheetName val="PM estimate"/>
      <sheetName val="PM 40rev  (2)"/>
      <sheetName val="PM 40rev "/>
      <sheetName val="GM estimate"/>
      <sheetName val="GM 40 OHs AC (2)"/>
      <sheetName val="GM 40 OHs AC"/>
      <sheetName val="GM 40 OHs"/>
      <sheetName val="GM 40 "/>
      <sheetName val="pm pipes"/>
      <sheetName val="gm pipes"/>
      <sheetName val="altr"/>
      <sheetName val="GM 40  (AC) (2)"/>
      <sheetName val="GM 40  (AC)"/>
      <sheetName val="PM (2)"/>
      <sheetName val="population"/>
      <sheetName val="POP "/>
      <sheetName val="HYD STA M"/>
      <sheetName val="pm-est (NEW)"/>
      <sheetName val="hyd "/>
      <sheetName val="maint est"/>
      <sheetName val="pm-est (2)"/>
      <sheetName val="GM-est"/>
      <sheetName val="pm-est"/>
      <sheetName val="OHSR GOT"/>
      <sheetName val="Original"/>
      <sheetName val="proforma"/>
      <sheetName val="6000000000000"/>
      <sheetName val="7000000000000"/>
      <sheetName val="8000000000000"/>
      <sheetName val="9000000000000"/>
      <sheetName val="a000000000000"/>
      <sheetName val="b000000000000"/>
      <sheetName val="c000000000000"/>
      <sheetName val="d000000000000"/>
      <sheetName val="e000000000000"/>
      <sheetName val="f000000000000"/>
      <sheetName val="g000000000000"/>
      <sheetName val="h000000000000"/>
      <sheetName val="econ pm"/>
      <sheetName val="Infiltration well (2)"/>
      <sheetName val="STATUS"/>
      <sheetName val="Pop"/>
      <sheetName val="F.slip"/>
      <sheetName val="General  AB"/>
      <sheetName val="ABS(A&amp;B)"/>
      <sheetName val="OHSR 10KL 6.30"/>
      <sheetName val="OHSR10 kl11.5"/>
      <sheetName val="OHSR20kl6.3"/>
      <sheetName val="OHSR15 kl 6.3"/>
      <sheetName val="OHSR20KL8.3"/>
      <sheetName val="OHSR 40 9.45"/>
      <sheetName val="OHSR60 9.45"/>
      <sheetName val="OHBR40-det.est"/>
      <sheetName val="GLSR10"/>
      <sheetName val="Hydraulic design"/>
      <sheetName val="cw 110kl"/>
      <sheetName val="sp dis"/>
      <sheetName val="Det-sp dis"/>
      <sheetName val="PH 6x4"/>
      <sheetName val="WMqrts"/>
      <sheetName val="lead_data"/>
      <sheetName val="cWALLS"/>
      <sheetName val="diff steel qty"/>
      <sheetName val="Pmest-2"/>
      <sheetName val="PMest-1"/>
      <sheetName val="GMest2"/>
      <sheetName val="GMest phase1"/>
      <sheetName val="GMest"/>
      <sheetName val="ewelj "/>
      <sheetName val="EW,L &amp;J_pipes"/>
      <sheetName val="DI_on pedestals"/>
      <sheetName val="HDPE sluice valve"/>
      <sheetName val="PVC sluice val)"/>
      <sheetName val="Scour all"/>
      <sheetName val="PVC Air valves"/>
      <sheetName val="annualmai "/>
      <sheetName val="HYDRAULIC SSTATEMENT"/>
      <sheetName val="WATER-HAMMER"/>
      <sheetName val="mcon pm"/>
      <sheetName val="PH 6x"/>
      <sheetName val="pvc-pipe-rates"/>
      <sheetName val="PM_70"/>
      <sheetName val="GM_70"/>
      <sheetName val="PM_estimate"/>
      <sheetName val="PM_40rev__(2)"/>
      <sheetName val="PM_40rev_"/>
      <sheetName val="GM_estimate"/>
      <sheetName val="GM_40_OHs_AC_(2)"/>
      <sheetName val="GM_40_OHs_AC"/>
      <sheetName val="GM_40_OHs"/>
      <sheetName val="GM_40_"/>
      <sheetName val="pm_pipes"/>
      <sheetName val="gm_pipes"/>
      <sheetName val="GM_40__(AC)_(2)"/>
      <sheetName val="GM_40__(AC)"/>
      <sheetName val="PM_(2)"/>
      <sheetName val="POP_"/>
      <sheetName val="HYD_STA_M"/>
      <sheetName val="pm-est_(NEW)"/>
      <sheetName val="hyd_"/>
      <sheetName val="maint_est"/>
      <sheetName val="pm-est_(2)"/>
      <sheetName val="OHSR_GOT"/>
      <sheetName val="econ_pm"/>
      <sheetName val="Infiltration_well_(2)"/>
      <sheetName val="F_slip"/>
      <sheetName val="General__AB"/>
      <sheetName val="OHSR_10KL_6_30"/>
      <sheetName val="OHSR10_kl11_5"/>
      <sheetName val="OHSR20kl6_3"/>
      <sheetName val="OHSR15_kl_6_3"/>
      <sheetName val="OHSR20KL8_3"/>
      <sheetName val="OHSR_40_9_45"/>
      <sheetName val="OHSR60_9_45"/>
      <sheetName val="OHBR40-det_est"/>
      <sheetName val="Hydraulic_design"/>
      <sheetName val="cw_110kl"/>
      <sheetName val="sp_dis"/>
      <sheetName val="Det-sp_dis"/>
      <sheetName val="PH_6x4"/>
      <sheetName val="diff_steel_qty"/>
      <sheetName val="GMest_phase1"/>
      <sheetName val="ewelj_"/>
      <sheetName val="EW,L_&amp;J_pipes"/>
      <sheetName val="DI_on_pedestals"/>
      <sheetName val="HDPE_sluice_valve"/>
      <sheetName val="PVC_sluice_val)"/>
      <sheetName val="Scour_all"/>
      <sheetName val="PVC_Air_valves"/>
      <sheetName val="Valve_Chambers"/>
      <sheetName val="annualmai_"/>
      <sheetName val="Sheet1_(2)"/>
      <sheetName val="HYDRAULIC_SSTATEMENT"/>
      <sheetName val="Data_"/>
      <sheetName val="R_Det"/>
      <sheetName val="PM_701"/>
      <sheetName val="GM_701"/>
      <sheetName val="PM_estimate1"/>
      <sheetName val="PM_40rev__(2)1"/>
      <sheetName val="PM_40rev_1"/>
      <sheetName val="GM_estimate1"/>
      <sheetName val="GM_40_OHs_AC_(2)1"/>
      <sheetName val="GM_40_OHs_AC1"/>
      <sheetName val="GM_40_OHs1"/>
      <sheetName val="GM_40_1"/>
      <sheetName val="pm_pipes1"/>
      <sheetName val="gm_pipes1"/>
      <sheetName val="GM_40__(AC)_(2)1"/>
      <sheetName val="GM_40__(AC)1"/>
      <sheetName val="PM_(2)1"/>
      <sheetName val="POP_1"/>
      <sheetName val="HYD_STA_M1"/>
      <sheetName val="pm-est_(NEW)1"/>
      <sheetName val="hyd_1"/>
      <sheetName val="maint_est1"/>
      <sheetName val="pm-est_(2)1"/>
      <sheetName val="OHSR_GOT1"/>
      <sheetName val="econ_pm1"/>
      <sheetName val="Infiltration_well_(2)1"/>
      <sheetName val="F_slip1"/>
      <sheetName val="General__AB1"/>
      <sheetName val="OHSR_10KL_6_301"/>
      <sheetName val="OHSR10_kl11_51"/>
      <sheetName val="OHSR20kl6_31"/>
      <sheetName val="OHSR15_kl_6_31"/>
      <sheetName val="OHSR20KL8_31"/>
      <sheetName val="OHSR_40_9_451"/>
      <sheetName val="OHSR60_9_451"/>
      <sheetName val="OHBR40-det_est1"/>
      <sheetName val="Hydraulic_design1"/>
      <sheetName val="cw_110kl1"/>
      <sheetName val="sp_dis1"/>
      <sheetName val="Det-sp_dis1"/>
      <sheetName val="PH_6x41"/>
      <sheetName val="diff_steel_qty1"/>
      <sheetName val="GMest_phase11"/>
      <sheetName val="ewelj_1"/>
      <sheetName val="EW,L_&amp;J_pipes1"/>
      <sheetName val="DI_on_pedestals1"/>
      <sheetName val="HDPE_sluice_valve1"/>
      <sheetName val="PVC_sluice_val)1"/>
      <sheetName val="Scour_all1"/>
      <sheetName val="PVC_Air_valves1"/>
      <sheetName val="Valve_Chambers1"/>
      <sheetName val="annualmai_1"/>
      <sheetName val="Sheet1_(2)1"/>
      <sheetName val="HYDRAULIC_SSTATEMENT1"/>
      <sheetName val="mcon_pm1"/>
      <sheetName val="mcon_pm"/>
      <sheetName val="sch"/>
      <sheetName val="Earth Final Rate"/>
      <sheetName val="Pipe trench"/>
      <sheetName val="Pipes &amp; Valves"/>
      <sheetName val="ANAL-PUMP HOUSE"/>
      <sheetName val="Manpower"/>
      <sheetName val="LMP+Loadings"/>
      <sheetName val="BoQ Plan"/>
      <sheetName val="Cash-Inflow"/>
      <sheetName val="Cash-OutFlow"/>
      <sheetName val="Cash Flow-With RM"/>
      <sheetName val="Cash Flow-With out RM"/>
      <sheetName val="0000000"/>
      <sheetName val="تدفقات و مدفوعات"/>
      <sheetName val="WORK COV"/>
      <sheetName val="اجور .ف1"/>
      <sheetName val="سلعيه"/>
      <sheetName val="خدمى"/>
      <sheetName val="مقاولين"/>
      <sheetName val="تحو"/>
      <sheetName val="تخصيصيه"/>
      <sheetName val="اهلاك"/>
      <sheetName val="معد .خ"/>
      <sheetName val="معد .ث"/>
      <sheetName val="B2826"/>
      <sheetName val="Form 1"/>
      <sheetName val="Form 2"/>
      <sheetName val="Form 3"/>
      <sheetName val="Form 4"/>
      <sheetName val="Form 7"/>
      <sheetName val="Form 8"/>
      <sheetName val="Form 9"/>
      <sheetName val="Form 10"/>
      <sheetName val="Form 11"/>
      <sheetName val="S1BOQ"/>
      <sheetName val="S2groupcode"/>
      <sheetName val="S3workplanqty"/>
      <sheetName val="S3workplanamt"/>
      <sheetName val="Shadow BOQ"/>
      <sheetName val="S4timecycle"/>
      <sheetName val="S5escalation"/>
      <sheetName val="S6MATqty-code"/>
      <sheetName val="S7MATqty-grp"/>
      <sheetName val="S8MATexp-code"/>
      <sheetName val="S9wastage"/>
      <sheetName val="S10bomat"/>
      <sheetName val="S11EQPnorm"/>
      <sheetName val="S12EQPhrs"/>
      <sheetName val="S13cons"/>
      <sheetName val="S14spares"/>
      <sheetName val="S15POL"/>
      <sheetName val="S16Elec"/>
      <sheetName val="S17power"/>
      <sheetName val="S18EQPplan"/>
      <sheetName val="S19cap"/>
      <sheetName val="S20MSE Items"/>
      <sheetName val="S21Subcon"/>
      <sheetName val="S22PRW"/>
      <sheetName val="S23ManNos"/>
      <sheetName val="S24Mancost"/>
      <sheetName val="S25EQPrep"/>
      <sheetName val="S26EQPhire"/>
      <sheetName val="S27EQPlease"/>
      <sheetName val="S28Rev"/>
      <sheetName val="S29Prelitem"/>
      <sheetName val="S30Prelplant"/>
      <sheetName val="S31Prelitemdet"/>
      <sheetName val="S32Prelexp"/>
      <sheetName val="S33Prelexpdet"/>
      <sheetName val="S34Dircost"/>
      <sheetName val="S35Indircost"/>
      <sheetName val="S36Prelimcost"/>
      <sheetName val="S37UnitCost"/>
      <sheetName val="S38stock"/>
      <sheetName val="S39liab"/>
      <sheetName val="S40Milestones"/>
      <sheetName val="S41MatProcurement"/>
      <sheetName val="S42HSE"/>
      <sheetName val="S43Taxation"/>
      <sheetName val="Season Dircost"/>
      <sheetName val="Chart-2"/>
      <sheetName val="Chart3"/>
      <sheetName val="Expenses"/>
      <sheetName val="turnover"/>
      <sheetName val="Chart4"/>
      <sheetName val="Chart5"/>
      <sheetName val="Total Collection"/>
      <sheetName val="??? .?"/>
      <sheetName val="02.06.07 (2)"/>
      <sheetName val="B2753"/>
      <sheetName val="Page-1"/>
      <sheetName val="page-2"/>
      <sheetName val="Page-3"/>
      <sheetName val="Page-4"/>
      <sheetName val="Page-5"/>
      <sheetName val="Page-6"/>
      <sheetName val="30-7"/>
      <sheetName val="DMRC3"/>
      <sheetName val="Proj Details"/>
      <sheetName val="."/>
      <sheetName val="Final Tender"/>
      <sheetName val="Sch A-Viaduct"/>
      <sheetName val="Sch A - Typ Station "/>
      <sheetName val="Q-Abstract"/>
      <sheetName val="FOB"/>
      <sheetName val=","/>
      <sheetName val=";"/>
      <sheetName val="Sch B"/>
      <sheetName val="Strip Plan"/>
      <sheetName val="Major Items"/>
      <sheetName val="Cost of equip,fabrication"/>
      <sheetName val="Schedule"/>
      <sheetName val="Late start"/>
      <sheetName val="early start"/>
      <sheetName val="Q-INP"/>
      <sheetName val="Q Baricade"/>
      <sheetName val="Q-Pil"/>
      <sheetName val="Q-PC"/>
      <sheetName val="Q-Pier"/>
      <sheetName val="Q-Seg"/>
      <sheetName val="Q-Para"/>
      <sheetName val="Q-CB"/>
      <sheetName val="Q-Be"/>
      <sheetName val="Q-HTS"/>
      <sheetName val="Q-CT"/>
      <sheetName val="Q-OS"/>
      <sheetName val="Q HR"/>
      <sheetName val="R-Mat"/>
      <sheetName val="R-Subcon"/>
      <sheetName val="R-Hire"/>
      <sheetName val="Equip Depl"/>
      <sheetName val="R-Con"/>
      <sheetName val="R-Stations"/>
      <sheetName val="R-Pil"/>
      <sheetName val="R-PC"/>
      <sheetName val="R-Pier"/>
      <sheetName val="R-Void Slab"/>
      <sheetName val="R-Seg"/>
      <sheetName val="R-Prest"/>
      <sheetName val="R-Laun"/>
      <sheetName val="R-OS"/>
      <sheetName val="R-SKB"/>
      <sheetName val="R-Bear"/>
      <sheetName val="R-CB"/>
      <sheetName val="R-Para"/>
      <sheetName val="R - portal"/>
      <sheetName val="R CLC"/>
      <sheetName val="R-CT"/>
      <sheetName val="P-Summary"/>
      <sheetName val="P-Ins &amp; Bonds"/>
      <sheetName val="P-Finance"/>
      <sheetName val="P-Salary"/>
      <sheetName val="P Staff fac"/>
      <sheetName val="P-Site fac"/>
      <sheetName val="P-Clients fac"/>
      <sheetName val="P-others"/>
      <sheetName val="P-Travel"/>
      <sheetName val="P-Admn"/>
      <sheetName val="P-Lab"/>
      <sheetName val="P Cash Flow"/>
      <sheetName val="BORING "/>
      <sheetName val="LINER"/>
      <sheetName val="EXPANSION JOINT"/>
      <sheetName val="CIS MAIN BERTH-1"/>
      <sheetName val="BOQ 725-769"/>
      <sheetName val="EVM-INDEX"/>
      <sheetName val="Flow Chart"/>
      <sheetName val="EVM1-Proj1"/>
      <sheetName val="EVM2-Proj1"/>
      <sheetName val="EVM2-Proj2"/>
      <sheetName val="EVM2-Proj3"/>
      <sheetName val="EVM3"/>
      <sheetName val="EVM4"/>
      <sheetName val="Performance Graph"/>
      <sheetName val="Format"/>
      <sheetName val="cost Format"/>
      <sheetName val="CJPC   "/>
      <sheetName val="Abstract "/>
      <sheetName val="Piling MB"/>
      <sheetName val="Abs of Pile Rein"/>
      <sheetName val="Reinforcement "/>
      <sheetName val="Pre cast Beam M.B"/>
      <sheetName val="Abs of Beam"/>
      <sheetName val="Pre cast Beam BBS"/>
      <sheetName val="C.In Situ Muff M.B."/>
      <sheetName val="P.C.Muff M.B"/>
      <sheetName val="Abs.of Muff"/>
      <sheetName val="Pre &amp; cast  Muff  BBS"/>
      <sheetName val="Abs. Cross Beam "/>
      <sheetName val="BBS CROSS Beam"/>
      <sheetName val="Cross Beam M.B. "/>
      <sheetName val="Con.Pedstal M.B."/>
      <sheetName val="BBS C.B.P."/>
      <sheetName val="Total Abstract"/>
      <sheetName val="Reco_1"/>
      <sheetName val="Reco_2"/>
      <sheetName val="Walk-way M.B."/>
      <sheetName val="concrete"/>
      <sheetName val="Con Rate"/>
      <sheetName val="concrete detail"/>
      <sheetName val="CJPC"/>
      <sheetName val="Table of Contents"/>
      <sheetName val="Table of Contents (2)"/>
      <sheetName val="Abstract-Cert"/>
      <sheetName val="Index Sheet"/>
      <sheetName val="Meas-1"/>
      <sheetName val="Meas-2"/>
      <sheetName val="Meas-3"/>
      <sheetName val="Meas-4"/>
      <sheetName val="Meas-5"/>
      <sheetName val="Meas-6"/>
      <sheetName val="Extra Item"/>
      <sheetName val="1.04-1"/>
      <sheetName val="2.01(a)-1"/>
      <sheetName val="G-13 2.01-2"/>
      <sheetName val="G-13 2.01-3"/>
      <sheetName val="G-13 2.01-4"/>
      <sheetName val="R-2 2.01-5"/>
      <sheetName val="MRR-1 2.01-6"/>
      <sheetName val="G-13 2.01-7"/>
      <sheetName val="2.01-b-II-1"/>
      <sheetName val="2.01-b-II-2"/>
      <sheetName val="2.01-b-II-3"/>
      <sheetName val="2.07-1"/>
      <sheetName val="2.07-2"/>
      <sheetName val="2.07-3"/>
      <sheetName val="2.07-4"/>
      <sheetName val="2.07-5"/>
      <sheetName val="2.07-6"/>
      <sheetName val="3.01-1"/>
      <sheetName val="3.01-2"/>
      <sheetName val="3.01-3"/>
      <sheetName val="3.01-4"/>
      <sheetName val="3.01-5"/>
      <sheetName val="3.02-1"/>
      <sheetName val="3.02-2"/>
      <sheetName val="3.02-3"/>
      <sheetName val="3.02-4"/>
      <sheetName val="3.02-5"/>
      <sheetName val="3.02-6"/>
      <sheetName val="3.02-7"/>
      <sheetName val="3.02-8"/>
      <sheetName val="3.02-9"/>
      <sheetName val="3.02-10"/>
      <sheetName val="3.02-11"/>
      <sheetName val="3.02-13"/>
      <sheetName val="4.01-1"/>
      <sheetName val="4.02-1"/>
      <sheetName val="4.04-1"/>
      <sheetName val="4.04-2"/>
      <sheetName val="E03-1"/>
      <sheetName val="E03-2"/>
      <sheetName val="E12-1"/>
      <sheetName val="Rock Filling"/>
      <sheetName val="Cement Reconciliation"/>
      <sheetName val="Bitumen Reconciliation"/>
      <sheetName val="Steel"/>
      <sheetName val="Bitumen"/>
      <sheetName val="Bitumen-Consumption"/>
      <sheetName val="Tack Coat"/>
      <sheetName val="BM"/>
      <sheetName val="Gate Pass"/>
      <sheetName val="Meas"/>
      <sheetName val="CJPC (2)"/>
      <sheetName val="RA-markate"/>
      <sheetName val="print"/>
      <sheetName val="Bill"/>
      <sheetName val="SEP-08(34)"/>
      <sheetName val="SEP-08 (5-9)"/>
      <sheetName val="___ ._"/>
      <sheetName val="산근"/>
      <sheetName val="000000"/>
      <sheetName val="XXXXXX"/>
      <sheetName val="KUWATI(Total) "/>
      <sheetName val="GC-01"/>
      <sheetName val="GC-02"/>
      <sheetName val="GC-03"/>
      <sheetName val="GC-04"/>
      <sheetName val="GC-07"/>
      <sheetName val="GC-08"/>
      <sheetName val="GC-09"/>
      <sheetName val="GC-10"/>
      <sheetName val="GC-19"/>
      <sheetName val="GC-21"/>
      <sheetName val="GC-22"/>
      <sheetName val="집계표(OPTION)"/>
      <sheetName val="OPTION 2"/>
      <sheetName val="OPTION 3"/>
      <sheetName val="견적조건"/>
      <sheetName val="대비표"/>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2002년 현장공사비 국내 실적"/>
      <sheetName val="2003년국내현장공사비 실적"/>
      <sheetName val="_REF"/>
      <sheetName val="집계표_OPTION_"/>
      <sheetName val="당초"/>
      <sheetName val="단가(자재)"/>
      <sheetName val="단가(노임)"/>
      <sheetName val="기초목록"/>
      <sheetName val="노임단가"/>
      <sheetName val="???"/>
      <sheetName val="VC2 10.99"/>
      <sheetName val="예산"/>
      <sheetName val="KP1590_E"/>
      <sheetName val="영업2"/>
      <sheetName val="1월"/>
      <sheetName val="inter"/>
      <sheetName val="ERECIN"/>
      <sheetName val="BQMPALOC"/>
      <sheetName val="공문"/>
      <sheetName val="영업3"/>
      <sheetName val="금액내역서"/>
      <sheetName val="BQ_Utl_Off"/>
      <sheetName val="??"/>
      <sheetName val="수입"/>
      <sheetName val="집계표 (25,26ဩ"/>
      <sheetName val="»ê±Ù"/>
      <sheetName val="12CGOU"/>
      <sheetName val="경영혁신본부"/>
      <sheetName val="Final(1)summary"/>
      <sheetName val="BD集計用"/>
      <sheetName val="연돌일위집계"/>
      <sheetName val="Form 0"/>
      <sheetName val="___"/>
      <sheetName val="DESCRIPTION"/>
      <sheetName val="95삼성급(본사)"/>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갑지"/>
      <sheetName val="세금자료"/>
      <sheetName val="Form D-1"/>
      <sheetName val="Form B-1"/>
      <sheetName val="Form F-1"/>
      <sheetName val="Assist(B-1)"/>
      <sheetName val="Form A"/>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
      <sheetName val="집계표_(25,26ဩ"/>
      <sheetName val="Form_0"/>
      <sheetName val="Form_D-1"/>
      <sheetName val="Form_B-1"/>
      <sheetName val="Form_F-1"/>
      <sheetName val="Form_A"/>
      <sheetName val="Basic_Rate"/>
      <sheetName val="appendix_2_5_final_accounts"/>
      <sheetName val="__"/>
      <sheetName val="LABOR &amp; 자재"/>
      <sheetName val="제작도"/>
      <sheetName val="입출재고현황 (2)"/>
      <sheetName val="SANDAN"/>
      <sheetName val="뜃맟뭁돽띿맟?-BLDG"/>
      <sheetName val="SALA-002"/>
      <sheetName val="TTL"/>
      <sheetName val="DRUM"/>
      <sheetName val="eq_data"/>
      <sheetName val="기성내역"/>
      <sheetName val="General_Data"/>
      <sheetName val="DHEQSUPT"/>
      <sheetName val="CB"/>
      <sheetName val="3.공통공사대비"/>
      <sheetName val="M-EQPT-Z"/>
      <sheetName val="주간기성"/>
      <sheetName val="간접비 총괄"/>
      <sheetName val="ESCON"/>
      <sheetName val="뜃맟뭁돽띿맟_-BLDG"/>
      <sheetName val="내역ࠜĀ_x0000_M4)"/>
      <sheetName val="???(OPTION)"/>
      <sheetName val="IN"/>
      <sheetName val="Price Schedule"/>
      <sheetName val="간접비내역-1"/>
      <sheetName val="Lup2"/>
      <sheetName val="당진1,2호기전선관설치및접지4차공사내역서-을지"/>
      <sheetName val="노임단가표"/>
      <sheetName val="6PILE  (돌출)"/>
      <sheetName val="h-013211-2"/>
      <sheetName val="표지"/>
      <sheetName val="Cash2"/>
      <sheetName val="Z"/>
      <sheetName val="내역서 耰&quot;_x0000__x0000_"/>
      <sheetName val="_x0008_"/>
      <sheetName val="비교검토"/>
      <sheetName val="合成単価作成表-BLDG"/>
      <sheetName val="INSTR"/>
      <sheetName val="BOROUGE2"/>
      <sheetName val="CAL."/>
      <sheetName val="EQT-ESTN"/>
      <sheetName val="???¡§????"/>
      <sheetName val="????¢ç¢®¡¿????"/>
      <sheetName val="??????????¢ç??????"/>
      <sheetName val="???????¢ç¢®¢¯????"/>
      <sheetName val="???????®¡¿????"/>
      <sheetName val="??????????????????"/>
      <sheetName val="PRICES"/>
      <sheetName val="Q&amp;pl-V"/>
      <sheetName val="WE'T"/>
      <sheetName val="CTEMCOST"/>
      <sheetName val="내역ࠜĀ?M4)"/>
      <sheetName val="F4-F7"/>
      <sheetName val="내역서 耰&quot;??"/>
      <sheetName val="24V"/>
      <sheetName val="EQUIPMENT -2"/>
      <sheetName val="LEGEND"/>
      <sheetName val="내역ࠜĀ_x005f_x0000_M4)"/>
      <sheetName val="물량"/>
      <sheetName val="WEIGHT LIST"/>
      <sheetName val="산#2-1 (2)"/>
      <sheetName val="POL6차-PIPING"/>
      <sheetName val="산#3-1"/>
      <sheetName val="BEND LOSS"/>
      <sheetName val="찍기"/>
      <sheetName val="PBS"/>
      <sheetName val="내역서 耰&quot;_x005f_x0000__x005f_x0000_"/>
      <sheetName val="_x005f_x0008_"/>
      <sheetName val="내역ࠜĀ_x005f_x005f_x005f_x0000_M4)"/>
      <sheetName val="EQUIP LIST"/>
      <sheetName val="내역"/>
      <sheetName val="단면 (2)"/>
      <sheetName val="SOURCE"/>
      <sheetName val="실행"/>
      <sheetName val="EQUIP"/>
      <sheetName val="공사비 내역 (가)"/>
      <sheetName val="Static Equip"/>
      <sheetName val="CAT_5"/>
      <sheetName val="3.Breakdown Direct Paint"/>
      <sheetName val="Spl"/>
      <sheetName val="내역ࠜĀ"/>
      <sheetName val="PROCURE"/>
      <sheetName val="BID"/>
      <sheetName val="국내"/>
      <sheetName val="Form A "/>
      <sheetName val="___(OPTION)"/>
      <sheetName val="____¢ç¢®¡¿____"/>
      <sheetName val="__________¢ç______"/>
      <sheetName val="___¡§____"/>
      <sheetName val="_______¢ç¢®¢¯____"/>
      <sheetName val="_______®¡¿____"/>
      <sheetName val="__________________"/>
      <sheetName val="내역서 耰&quot;__"/>
      <sheetName val="Summary Sheets"/>
      <sheetName val="내역서 耰&quot;"/>
      <sheetName val="내역ࠜĀ_M4)"/>
      <sheetName val="AOC"/>
      <sheetName val="Budget Bearing _Samut"/>
      <sheetName val="Qty Bearing-Samut"/>
      <sheetName val="Basic Rate"/>
      <sheetName val="Summary of Cost"/>
      <sheetName val="Bill-13"/>
      <sheetName val="Copy of Prog"/>
      <sheetName val="Station for phy s curve"/>
      <sheetName val="for phy s curve viaduct"/>
      <sheetName val="Rev Cash Flow"/>
      <sheetName val="fin S Curve"/>
      <sheetName val="for phy s curve FOB"/>
      <sheetName val="for phy s curve sch B"/>
      <sheetName val="BCWS-CTC"/>
      <sheetName val="CTC Summary"/>
      <sheetName val="Site &amp; Administration Cost"/>
      <sheetName val="EVM1"/>
      <sheetName val="EVM2"/>
      <sheetName val="EVM4A"/>
      <sheetName val="EVM5"/>
      <sheetName val="EVM5- Revised"/>
      <sheetName val="B2826 Cost Bkp"/>
      <sheetName val="B2827"/>
      <sheetName val="B2827 Cost Bkp"/>
      <sheetName val="B2833"/>
      <sheetName val="B2833 Cost Bkp"/>
      <sheetName val="NS 34 &amp; 35 H1,11 CTC Analysis"/>
      <sheetName val="appendix 2.5 final accounts"/>
      <sheetName val="ftstaff"/>
      <sheetName val="1 Labour"/>
      <sheetName val="W block"/>
      <sheetName val="Table 41"/>
      <sheetName val="Table 9"/>
      <sheetName val="Table11"/>
      <sheetName val="Data rough"/>
      <sheetName val="Sheet1 rough"/>
      <sheetName val="To Pavan"/>
      <sheetName val="K-1"/>
      <sheetName val="K-2"/>
      <sheetName val="K-3"/>
      <sheetName val="Table 1"/>
      <sheetName val="Table 2"/>
      <sheetName val="Table 3"/>
      <sheetName val="Table 4"/>
      <sheetName val="Table 5"/>
      <sheetName val="Table 6"/>
      <sheetName val="Pivot"/>
      <sheetName val="Pivot 2"/>
      <sheetName val="DOT-Customer-data"/>
      <sheetName val="Fund Utilisation"/>
      <sheetName val="Hyderabad_NLA"/>
      <sheetName val="Silokhera_NLA"/>
      <sheetName val="Cyber City_NLA"/>
      <sheetName val="Chennai_NLA"/>
      <sheetName val="Chennai "/>
      <sheetName val="Tenant-Chennai"/>
      <sheetName val="Hyderabad"/>
      <sheetName val="Tanent-W Block"/>
      <sheetName val="W block (2)"/>
      <sheetName val="Silokhera"/>
      <sheetName val="Table 7"/>
      <sheetName val="Project Data"/>
      <sheetName val="Unleased area"/>
      <sheetName val="Assumption"/>
      <sheetName val="Pivot (2)"/>
      <sheetName val="Building Matrix"/>
      <sheetName val="Related - Construction"/>
      <sheetName val="TB31.12.2008"/>
      <sheetName val="BS &amp; PL"/>
      <sheetName val="BS Schedule"/>
      <sheetName val="Sch 4 FA Sch"/>
      <sheetName val="Sch 5- Investment"/>
      <sheetName val="P&amp;L Schedule"/>
      <sheetName val="Inventory"/>
      <sheetName val="POCM - 31.12.08"/>
      <sheetName val="Final - Plots  "/>
      <sheetName val="Final - Town Houses"/>
      <sheetName val="Deferred  Tax"/>
      <sheetName val="Tax Provision"/>
      <sheetName val="Dep As per IT act "/>
      <sheetName val="FBT-Working "/>
      <sheetName val="Details "/>
      <sheetName val="Fixed Assets Register"/>
      <sheetName val="AR TB"/>
      <sheetName val="ICD- interest Income  "/>
      <sheetName val="Interest CCD- Expenses"/>
      <sheetName val="Group -31.12.2008"/>
      <sheetName val="Related Party"/>
      <sheetName val="Balance Sheet"/>
      <sheetName val="Interest Allocation "/>
      <sheetName val="DTA &amp; C TAX"/>
      <sheetName val="One Pager"/>
      <sheetName val="P &amp; L Schedule"/>
      <sheetName val="Grouping Sheet"/>
      <sheetName val="Revised TB Ramco"/>
      <sheetName val="TB 31.03.10"/>
      <sheetName val="Ramco TB"/>
      <sheetName val="Pocm Sheet"/>
      <sheetName val="Q-1 Sale"/>
      <sheetName val="Project Summary"/>
      <sheetName val="Fixed Assets "/>
      <sheetName val="IT -Assets"/>
      <sheetName val="Furniture &amp; Fixture"/>
      <sheetName val="office equipment"/>
      <sheetName val="Leasehold"/>
      <sheetName val="Development Rights"/>
      <sheetName val="PF Details"/>
      <sheetName val="DRDL Int ICD"/>
      <sheetName val="DCDL Int ICD"/>
      <sheetName val="DHDL Int. CCD"/>
      <sheetName val="Clogs Int.CCD"/>
      <sheetName val="Epop Working"/>
      <sheetName val="Rent Equalization"/>
      <sheetName val="GAM Text"/>
      <sheetName val="BS SAC YS Ver 2.0"/>
      <sheetName val="P&amp;L SAC YS Ver 2.0"/>
      <sheetName val="BS SAC Ver 1.0"/>
      <sheetName val="P&amp;L SAC Ver 1.0"/>
      <sheetName val="YS SAC"/>
      <sheetName val="Schedule VI"/>
      <sheetName val="foundation"/>
      <sheetName val="substructure"/>
      <sheetName val="PSC SUP(5x15)"/>
      <sheetName val="PSC SUP(5x15) SR"/>
      <sheetName val="FIXED ITEMS"/>
      <sheetName val="Calculation sheet"/>
      <sheetName val="Eqpt.Running"/>
      <sheetName val="BOQ-CODE-SFP "/>
      <sheetName val="Activitywise Qty"/>
      <sheetName val="Time"/>
      <sheetName val="Requiered"/>
      <sheetName val="Module1"/>
      <sheetName val="operat_staff"/>
      <sheetName val="Book1"/>
      <sheetName val="BHANDUP"/>
      <sheetName val="PLAN_FEB97"/>
      <sheetName val=""/>
      <sheetName val="Bridges (Abst)"/>
      <sheetName val="Overpass"/>
      <sheetName val="Underpass"/>
      <sheetName val="Admin"/>
      <sheetName val="Decision Table"/>
      <sheetName val="Dates"/>
      <sheetName val="EPC Cost"/>
      <sheetName val="PrjCost Assumptions"/>
      <sheetName val="Finance Assumptions"/>
      <sheetName val="Revenue Assumptions"/>
      <sheetName val="Traffic Assum"/>
      <sheetName val="TP1 - High Case"/>
      <sheetName val="TP1 - Base Case"/>
      <sheetName val="TP1 - Low Case"/>
      <sheetName val="TP2 - High Case"/>
      <sheetName val="TP2 - Base Case"/>
      <sheetName val="TP2 - Low Case"/>
      <sheetName val="O&amp;M Assumptions"/>
      <sheetName val="MoF"/>
      <sheetName val="LoanSch - Options"/>
      <sheetName val="LoanSch"/>
      <sheetName val="Securitization"/>
      <sheetName val="Toll Rates"/>
      <sheetName val="Toll Revenues"/>
      <sheetName val="Revenue Share"/>
      <sheetName val="Ratios"/>
      <sheetName val="Traffic&gt;&gt;"/>
      <sheetName val="High Case"/>
      <sheetName val="Base case with Ganga"/>
      <sheetName val="Base case without Ganga"/>
      <sheetName val="Low Case"/>
      <sheetName val="O&amp;M&gt;&gt;"/>
      <sheetName val="Capex Cost"/>
      <sheetName val="Maintainence per kms cost"/>
      <sheetName val="MAintenance cost per month"/>
      <sheetName val="ATMS and Toll system"/>
      <sheetName val="staff"/>
      <sheetName val="Periodic Maintaince"/>
      <sheetName val="cons profitability statement"/>
      <sheetName val="cons volume"/>
      <sheetName val="cons captial employed"/>
      <sheetName val="cons cashflow"/>
      <sheetName val="cons scorecard"/>
      <sheetName val="agro_cons"/>
      <sheetName val="agroQrtWise"/>
      <sheetName val="Sumary"/>
      <sheetName val="AGRO Summary (2)"/>
      <sheetName val="energy only (2)"/>
      <sheetName val="energy _cashflow"/>
      <sheetName val="AGRO Summary"/>
      <sheetName val="agrops&amp;ce"/>
      <sheetName val="MSEZ_PMC 28022007"/>
      <sheetName val="MSEZL 28022007"/>
      <sheetName val="BS Group"/>
      <sheetName val="Grouping MSEZL"/>
      <sheetName val="Pivot Trial Balance"/>
      <sheetName val="MPSEZL"/>
      <sheetName val="PMC_MPSEZL"/>
      <sheetName val="MSEZ"/>
      <sheetName val="PMC_MSEZ"/>
      <sheetName val="ACL"/>
      <sheetName val="Grouping"/>
      <sheetName val="Trial Balances"/>
      <sheetName val="Highlight"/>
      <sheetName val="BirdEyeView"/>
      <sheetName val="Mundraport"/>
      <sheetName val="ContainerTerminal"/>
      <sheetName val="Container_Working"/>
      <sheetName val="SBMTerminal"/>
      <sheetName val="SBM_Working"/>
      <sheetName val="Variation"/>
      <sheetName val="AEL_NonAEL"/>
      <sheetName val="Marinesummary"/>
      <sheetName val="Marine_Working"/>
      <sheetName val="Marine_variation"/>
      <sheetName val="BerthFinIndicators"/>
      <sheetName val="DrySummary"/>
      <sheetName val="Dry_Working"/>
      <sheetName val="Coal"/>
      <sheetName val="DryCargo_THC"/>
      <sheetName val="DryCargo_THC (2)"/>
      <sheetName val="Liquid"/>
      <sheetName val="LiquidWorking"/>
      <sheetName val="Rail_Summary"/>
      <sheetName val="Rail_Working"/>
      <sheetName val="OtherIncome"/>
      <sheetName val="OtherIncome_Working"/>
      <sheetName val="Electricity"/>
      <sheetName val="FOH Details"/>
      <sheetName val="salient feature"/>
      <sheetName val="Brief Scope of work"/>
      <sheetName val="Insurance"/>
      <sheetName val="BG"/>
      <sheetName val="Payment"/>
      <sheetName val="Norms "/>
      <sheetName val="Eqpt Nos"/>
      <sheetName val="Cycle Time"/>
      <sheetName val="GC"/>
      <sheetName val="M.Qty"/>
      <sheetName val="Subcon Master"/>
      <sheetName val="Subcon"/>
      <sheetName val="Equipment Hr"/>
      <sheetName val="Material (2)"/>
      <sheetName val="내역서 耰&quot;_x005f_x005f_x005f_x0000__x005f_x005f_x0000"/>
      <sheetName val="_x005f_x005f_x005f_x0008_"/>
      <sheetName val="내역ࠜĀ_x005f_x005f_x005f_x005f_x005f_x005f_x005f_x0000_M4"/>
      <sheetName val="6"/>
      <sheetName val="7"/>
      <sheetName val="16"/>
      <sheetName val="معد__ث"/>
      <sheetName val="تدفقات_و_مدفوعات"/>
      <sheetName val="WORK_COV"/>
      <sheetName val="اجور__ف1"/>
      <sheetName val="معد__خ"/>
      <sheetName val="معد__ث1"/>
      <sheetName val="Form_1"/>
      <sheetName val="Form_2"/>
      <sheetName val="Form_3"/>
      <sheetName val="Form_4"/>
      <sheetName val="Form_5"/>
      <sheetName val="Form_7"/>
      <sheetName val="Form_8"/>
      <sheetName val="Form_9"/>
      <sheetName val="Form_10"/>
      <sheetName val="Form_11"/>
      <sheetName val="Shadow_BOQ"/>
      <sheetName val="S20MSE_Items"/>
      <sheetName val="Season_Dircost"/>
      <sheetName val="Total_Collection"/>
      <sheetName val="???__?"/>
      <sheetName val="02_06_07_(2)"/>
      <sheetName val="Proj_Details"/>
      <sheetName val="_"/>
      <sheetName val="Final_Tender"/>
      <sheetName val="Sch_A-Viaduct"/>
      <sheetName val="Sch_A_-_Typ_Station_"/>
      <sheetName val="Sch_B"/>
      <sheetName val="Strip_Plan"/>
      <sheetName val="Major_Items"/>
      <sheetName val="Cost_of_equip,fabrication"/>
      <sheetName val="Late_start"/>
      <sheetName val="early_start"/>
      <sheetName val="Q_Baricade"/>
      <sheetName val="Q_HR"/>
      <sheetName val="Equip_Depl"/>
      <sheetName val="R-Void_Slab"/>
      <sheetName val="R_-_portal"/>
      <sheetName val="R_CLC"/>
      <sheetName val="P-Ins_&amp;_Bonds"/>
      <sheetName val="P_Staff_fac"/>
      <sheetName val="P-Site_fac"/>
      <sheetName val="P-Clients_fac"/>
      <sheetName val="P_Cash_Flow"/>
      <sheetName val="BORING_"/>
      <sheetName val="EXPANSION_JOINT"/>
      <sheetName val="CIS_MAIN_BERTH-1"/>
      <sheetName val="BOQ_725-769"/>
      <sheetName val="Flow_Chart"/>
      <sheetName val="Performance_Graph"/>
      <sheetName val="cost_Format"/>
      <sheetName val="CJPC___"/>
      <sheetName val="Abstract_"/>
      <sheetName val="Piling_MB"/>
      <sheetName val="Abs_of_Pile_Rein"/>
      <sheetName val="Reinforcement_"/>
      <sheetName val="Pre_cast_Beam_M_B"/>
      <sheetName val="Abs_of_Beam"/>
      <sheetName val="Pre_cast_Beam_BBS"/>
      <sheetName val="C_In_Situ_Muff_M_B_"/>
      <sheetName val="P_C_Muff_M_B"/>
      <sheetName val="Abs_of_Muff"/>
      <sheetName val="Pre_&amp;_cast__Muff__BBS"/>
      <sheetName val="Abs__Cross_Beam_"/>
      <sheetName val="BBS_CROSS_Beam"/>
      <sheetName val="Cross_Beam_M_B__"/>
      <sheetName val="Con_Pedstal_M_B_"/>
      <sheetName val="BBS_C_B_P_"/>
      <sheetName val="Total_Abstract"/>
      <sheetName val="Walk-way_M_B_"/>
      <sheetName val="Con_Rate"/>
      <sheetName val="concrete_detail"/>
      <sheetName val="Table_of_Contents"/>
      <sheetName val="Table_of_Contents_(2)"/>
      <sheetName val="Index_Sheet"/>
      <sheetName val="Extra_Item"/>
      <sheetName val="1_04-1"/>
      <sheetName val="2_01(a)-1"/>
      <sheetName val="G-13_2_01-2"/>
      <sheetName val="G-13_2_01-3"/>
      <sheetName val="G-13_2_01-4"/>
      <sheetName val="R-2_2_01-5"/>
      <sheetName val="MRR-1_2_01-6"/>
      <sheetName val="G-13_2_01-7"/>
      <sheetName val="2_01-b-II-1"/>
      <sheetName val="2_01-b-II-2"/>
      <sheetName val="2_01-b-II-3"/>
      <sheetName val="2_07-1"/>
      <sheetName val="2_07-2"/>
      <sheetName val="2_07-3"/>
      <sheetName val="2_07-4"/>
      <sheetName val="2_07-5"/>
      <sheetName val="2_07-6"/>
      <sheetName val="3_01-1"/>
      <sheetName val="3_01-2"/>
      <sheetName val="3_01-3"/>
      <sheetName val="3_01-4"/>
      <sheetName val="3_01-5"/>
      <sheetName val="3_02-1"/>
      <sheetName val="3_02-2"/>
      <sheetName val="3_02-3"/>
      <sheetName val="3_02-4"/>
      <sheetName val="3_02-5"/>
      <sheetName val="3_02-6"/>
      <sheetName val="3_02-7"/>
      <sheetName val="3_02-8"/>
      <sheetName val="3_02-9"/>
      <sheetName val="3_02-10"/>
      <sheetName val="3_02-11"/>
      <sheetName val="3_02-13"/>
      <sheetName val="4_01-1"/>
      <sheetName val="4_02-1"/>
      <sheetName val="4_04-1"/>
      <sheetName val="4_04-2"/>
      <sheetName val="Rock_Filling"/>
      <sheetName val="Cement_Reconciliation"/>
      <sheetName val="Bitumen_Reconciliation"/>
      <sheetName val="Prime_Coat"/>
      <sheetName val="Tack_Coat"/>
      <sheetName val="Gate_Pass"/>
      <sheetName val="CJPC_(2)"/>
      <sheetName val="SEP-08_(5-9)"/>
      <sheetName val="______"/>
      <sheetName val="KUWATI(Total)_2"/>
      <sheetName val="OPTION_22"/>
      <sheetName val="OPTION_3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2002년_현장공사비_국내_실적2"/>
      <sheetName val="2003년국내현장공사비_실적2"/>
      <sheetName val="VC2_10_992"/>
      <sheetName val="INPUT_DATA1"/>
      <sheetName val="집계표_(25,26ဩ1"/>
      <sheetName val="Form_01"/>
      <sheetName val="Form_D-11"/>
      <sheetName val="Form_B-11"/>
      <sheetName val="Form_F-11"/>
      <sheetName val="Form_A1"/>
      <sheetName val="General_Data1"/>
      <sheetName val="LABOR_&amp;_자재"/>
      <sheetName val="입출재고현황_(2)"/>
      <sheetName val="3_공통공사대비"/>
      <sheetName val="간접비_총괄"/>
      <sheetName val="내역ࠜĀM4)"/>
      <sheetName val="Price_Schedule"/>
      <sheetName val="6PILE__(돌출)"/>
      <sheetName val="내역서_耰&quot;"/>
      <sheetName val="CAL_"/>
      <sheetName val="Rate_Analysis"/>
      <sheetName val="내역서_耰&quot;??"/>
      <sheetName val="EQUIPMENT_-2"/>
      <sheetName val="WEIGHT_LIST"/>
      <sheetName val="산#2-1_(2)"/>
      <sheetName val="BEND_LOSS"/>
      <sheetName val="내역서_耰&quot;_x005f_x0000__x005f_x0000_"/>
      <sheetName val="EQUIP_LIST"/>
      <sheetName val="단면_(2)"/>
      <sheetName val="공사비_내역_(가)"/>
      <sheetName val="Static_Equip"/>
      <sheetName val="3_Breakdown_Direct_Paint"/>
      <sheetName val="Form_A_"/>
      <sheetName val="내역서_耰&quot;__"/>
      <sheetName val="Summary_Sheets"/>
      <sheetName val="Station_for_phy_s_curve"/>
      <sheetName val="for_phy_s_curve_viaduct"/>
      <sheetName val="Rev_Cash_Flow"/>
      <sheetName val="fin_S_Curve"/>
      <sheetName val="for_phy_s_curve_FOB"/>
      <sheetName val="for_phy_s_curve_sch_B"/>
      <sheetName val="CTC_Summary"/>
      <sheetName val="Site_&amp;_Administration_Cost"/>
      <sheetName val="EVM5-_Revised"/>
      <sheetName val="PSC_SUP(5x15)"/>
      <sheetName val="PSC_SUP(5x15)_SR"/>
      <sheetName val="FIXED_ITEMS"/>
      <sheetName val="Area_Statement"/>
      <sheetName val="Calculation_sheet"/>
      <sheetName val="Eqpt_Running"/>
      <sheetName val="BOQ-CODE-SFP_"/>
      <sheetName val="Activitywise_Qty"/>
      <sheetName val="Rate_Ana"/>
      <sheetName val="Bridges_(Abst)"/>
      <sheetName val="Slab_Culvert"/>
      <sheetName val="Decision_Table"/>
      <sheetName val="EPC_Cost"/>
      <sheetName val="PrjCost_Assumptions"/>
      <sheetName val="Finance_Assumptions"/>
      <sheetName val="Revenue_Assumptions"/>
      <sheetName val="Traffic_Assum"/>
      <sheetName val="Inputs "/>
      <sheetName val="PanhandleB"/>
      <sheetName val="rsm"/>
      <sheetName val="GasConsumption"/>
      <sheetName val="Opex"/>
      <sheetName val="IntlCmprPwr"/>
      <sheetName val="BoostrPwr"/>
      <sheetName val="LastBoostrPwr"/>
      <sheetName val="CapexBasis"/>
      <sheetName val="Capex"/>
      <sheetName val="Graph"/>
      <sheetName val="Cht_basis"/>
      <sheetName val="apiDimension"/>
      <sheetName val="weightChart"/>
      <sheetName val="apiWeight"/>
      <sheetName val="thicknessBasis"/>
      <sheetName val="PanhandleA"/>
      <sheetName val="Rough"/>
      <sheetName val="SummarRs Cr&amp;Cust"/>
      <sheetName val="Optimisation"/>
      <sheetName val="SummaryUSDMill-NoCust"/>
      <sheetName val="Network-2 Compr_Option2"/>
      <sheetName val="Network-2 Compr_Option1"/>
      <sheetName val="140Bar Compr_Option1"/>
      <sheetName val="140Bar Compr_Option2"/>
      <sheetName val="120Bar Compr_Option2"/>
      <sheetName val="Dialog2"/>
      <sheetName val="Module3"/>
      <sheetName val="Module4"/>
      <sheetName val="Module5"/>
      <sheetName val="Module6"/>
      <sheetName val="Layer Chart"/>
      <sheetName val="Graph Data"/>
      <sheetName val="Raw Data"/>
      <sheetName val="Layer Table"/>
      <sheetName val="WORKED OGL"/>
      <sheetName val="FRL"/>
      <sheetName val="Voucher"/>
      <sheetName val="STR1"/>
      <sheetName val="STR2"/>
      <sheetName val="STR3"/>
      <sheetName val="LIN1"/>
      <sheetName val="LIN2"/>
      <sheetName val="typical subminor"/>
      <sheetName val="S&amp;I"/>
      <sheetName val="machi"/>
      <sheetName val="TRANS1"/>
      <sheetName val="mes-fb"/>
      <sheetName val="mes-pl"/>
      <sheetName val="XL4Test5"/>
      <sheetName val="inWords"/>
      <sheetName val="Mat_Cost"/>
      <sheetName val="typical_subminor"/>
      <sheetName val="Expenditure_Plan"/>
      <sheetName val="typical_subminor1"/>
      <sheetName val="Expenditure_Plan1"/>
      <sheetName val="MATERIAL-MACHINERY-LABOUR"/>
      <sheetName val="TOLL. SHEET (WMM II)"/>
      <sheetName val="TOLL. SHEET (G.S.B.)"/>
      <sheetName val="R.E. DIS. FROM PR. CL."/>
      <sheetName val="TOLL SHEET EMB"/>
      <sheetName val="TOLL SHEET (S.G)"/>
      <sheetName val="O.R.R.ROCK (D.K.)"/>
      <sheetName val="O R R TBM  LIST"/>
      <sheetName val="O R R OGL"/>
      <sheetName val="DEPTH CHART (ORR) R.S."/>
      <sheetName val="DEPTH CHART (ORR) L.S."/>
      <sheetName val="dIFFERENCE"/>
      <sheetName val="Rock level (Parag)"/>
      <sheetName val="O.R.R.(ROCK1)"/>
      <sheetName val="DEPTH CHART (ORR) L.S. (2)"/>
      <sheetName val="DEPTH CHART (ORR) R.S. (2)"/>
      <sheetName val="co_5"/>
      <sheetName val="C.D. INDEX"/>
      <sheetName val="CPA Cost"/>
      <sheetName val="RSJ COst"/>
      <sheetName val="Connectors"/>
      <sheetName val="Group IX"/>
      <sheetName val="Group X"/>
      <sheetName val="Group XI"/>
      <sheetName val="Group XII"/>
      <sheetName val="Group XIII"/>
      <sheetName val="C. D. Index1"/>
      <sheetName val="Data base"/>
      <sheetName val="Index (Print)"/>
      <sheetName val="COST DATA"/>
      <sheetName val="Non CPA Rates"/>
      <sheetName val="Line formulas"/>
      <sheetName val="Data base (2)"/>
      <sheetName val="Comparision of CD Nov 07 Feb 08"/>
      <sheetName val="Rate Comparision Dec 07 July 08"/>
      <sheetName val="Rate Comparision Feb 06 Jul 08"/>
      <sheetName val="ORDER BOOKING1"/>
      <sheetName val="Status of works Quoted."/>
      <sheetName val="BUSINESS  DEVELOPMENT"/>
      <sheetName val="PPT SLIDES"/>
      <sheetName val="WC ASSESSMENT"/>
      <sheetName val="3.01(b)"/>
      <sheetName val="DC"/>
      <sheetName val="T Vs B Shuttering in DC"/>
      <sheetName val="T Vs B Shuttering in IDC"/>
      <sheetName val="Tender Vs Budget Comp"/>
      <sheetName val="major variation"/>
      <sheetName val="Complete BOQ"/>
      <sheetName val="Tender rates"/>
      <sheetName val="Tender Analysis"/>
      <sheetName val="Shuttering materials"/>
      <sheetName val="RMC analysis"/>
      <sheetName val="Overview"/>
      <sheetName val="COST SUMMARY"/>
      <sheetName val="Plumb"/>
      <sheetName val="Tender Study"/>
      <sheetName val="RA-Civil,plumb"/>
      <sheetName val="Resource List"/>
      <sheetName val="CM &amp; RMC"/>
      <sheetName val="RA- Civil  "/>
      <sheetName val="Major Qty"/>
      <sheetName val="Panelled door"/>
      <sheetName val="PMV"/>
      <sheetName val="Site Super"/>
      <sheetName val="AutoOpen Stub Data"/>
      <sheetName val="Guidelines"/>
      <sheetName val="SBC-BH 19"/>
      <sheetName val="SBC-BH-16"/>
      <sheetName val="BH-20"/>
      <sheetName val="BH-15"/>
      <sheetName val="BH-14"/>
      <sheetName val="BH-16"/>
      <sheetName val="BH-17"/>
      <sheetName val="sbc-ABH-1"/>
      <sheetName val="ABH-1"/>
      <sheetName val="BH-19"/>
      <sheetName val="SBC-BH-1"/>
      <sheetName val="BH-1"/>
      <sheetName val="SBC-BH-3"/>
      <sheetName val="BH-3"/>
      <sheetName val="mantri synergy"/>
      <sheetName val="Milestone"/>
      <sheetName val="Synergy_pricestrategy"/>
      <sheetName val="Synergy Sales Budget"/>
      <sheetName val="Synergy Collection Schedule"/>
      <sheetName val="ABP inputs"/>
      <sheetName val="Quarterly Collections"/>
      <sheetName val="A. Progress Summary-Bill Status"/>
      <sheetName val="B. Executive Summary"/>
      <sheetName val="C. Project Status (CMD)"/>
      <sheetName val="D. Approved Ball Park"/>
      <sheetName val="E.Stat.Approvals"/>
      <sheetName val="F. Mat Proc "/>
      <sheetName val="G. Proj Photos-K,L &amp; DEVPMENT"/>
      <sheetName val="H. DEVT-Progress"/>
      <sheetName val="I.Civil-Bills Processed"/>
      <sheetName val="G.Procurement programme"/>
      <sheetName val=" CMD"/>
      <sheetName val="pg-1"/>
      <sheetName val="Approval"/>
      <sheetName val="Annx"/>
      <sheetName val="Annx 1"/>
      <sheetName val="Proj Cost"/>
      <sheetName val="Mat Proc "/>
      <sheetName val="BLOCK WORK"/>
      <sheetName val="INT.PLASTERING"/>
      <sheetName val="EXT.PLASTRING"/>
      <sheetName val="ARPITHA MESH"/>
      <sheetName val="PERGOLA-CON &amp; FORM"/>
      <sheetName val="PERGOLA STEEL"/>
      <sheetName val="LMR-OHT STEEL"/>
      <sheetName val="LMR-OHT CONC &amp; FORM"/>
      <sheetName val="POP-CORNICE"/>
      <sheetName val="PLASTER BAND"/>
      <sheetName val="sum"/>
      <sheetName val="11B "/>
      <sheetName val="12B"/>
      <sheetName val="sc"/>
      <sheetName val="ACHIEVED"/>
      <sheetName val="plan-achieved"/>
      <sheetName val="INPUT SHEET"/>
      <sheetName val="RES-PLANNING"/>
      <sheetName val="Macro1"/>
      <sheetName val="1000000"/>
      <sheetName val="12-01"/>
      <sheetName val="12-02"/>
      <sheetName val="12-03"/>
      <sheetName val="12-04"/>
      <sheetName val="12-05"/>
      <sheetName val="12-06"/>
      <sheetName val="12-07"/>
      <sheetName val="12-08"/>
      <sheetName val="③赤紙(日文)"/>
      <sheetName val="oresreqsum"/>
      <sheetName val="1. Pay Rec"/>
      <sheetName val="2. Abs"/>
      <sheetName val="3. Summary"/>
      <sheetName val="4. BQ"/>
      <sheetName val="Prelim "/>
      <sheetName val="5.Ad Re"/>
      <sheetName val="MAS"/>
      <sheetName val="Tracking Sheet"/>
      <sheetName val="0. Check List"/>
      <sheetName val="spcl"/>
      <sheetName val="Summary VAT"/>
      <sheetName val="BOQwith VAT"/>
      <sheetName val="Provision sum"/>
      <sheetName val="Prelims_break-up"/>
      <sheetName val="Day work rates_proposed"/>
      <sheetName val="L&amp;M"/>
      <sheetName val="Bluestar-Sum"/>
      <sheetName val="Bluestar"/>
      <sheetName val="Ballpark- Commercial"/>
      <sheetName val="VOR-IA-VO"/>
      <sheetName val="VO format"/>
      <sheetName val="Budget Sheet "/>
      <sheetName val="Budget sheet"/>
      <sheetName val="Ballpark- Stn"/>
      <sheetName val="Annex-1"/>
      <sheetName val="Annexure-2 "/>
      <sheetName val="Annex-2(summary)"/>
      <sheetName val="Cement Escalation(1)"/>
      <sheetName val="RMC-cement escalation(2)"/>
      <sheetName val="RMC RECIEPT"/>
      <sheetName val="Stru.steel Mar'11-Dec'11"/>
      <sheetName val="Annex-3 "/>
      <sheetName val="Variation Tracker"/>
      <sheetName val="Steel-Dia wise"/>
      <sheetName val="Summary for Basic Price Escalat"/>
      <sheetName val="Rate Approval (Final) "/>
      <sheetName val="Annexure-2(Backup)"/>
      <sheetName val="BOQwith VAT-backup"/>
      <sheetName val="Backup"/>
      <sheetName val="BP-2-Approved"/>
      <sheetName val="Over all abstract"/>
      <sheetName val="All PO bill summary"/>
      <sheetName val="All PO bill summary incl SW"/>
      <sheetName val="Main PO Abstract"/>
      <sheetName val="BOQ-Summary "/>
      <sheetName val="Previous Net Payment"/>
      <sheetName val="Prelims_break-up %"/>
      <sheetName val="Prelims_break-up % (2)"/>
      <sheetName val="Prelim Measurement sheet"/>
      <sheetName val="Prelim Measurement sheet (1)"/>
      <sheetName val="Client supply Recovery"/>
      <sheetName val="Annexure-1"/>
      <sheetName val="Annexure-2"/>
      <sheetName val="Face sheet"/>
      <sheetName val="NSC's-Jan-2012"/>
      <sheetName val="Mob.Recovery Abstract"/>
      <sheetName val="Check September"/>
      <sheetName val="1. PayRec"/>
      <sheetName val="2. Retention"/>
      <sheetName val="2a. LD"/>
      <sheetName val="2b. Safety and Bad House"/>
      <sheetName val="3. Ad Rec"/>
      <sheetName val="4. Payment"/>
      <sheetName val="5. Sheet pile Add Pay"/>
      <sheetName val="6. Pro Pay Abs"/>
      <sheetName val="7. BQ"/>
      <sheetName val="8. Qty Reconciliation"/>
      <sheetName val="9. Variation"/>
      <sheetName val="10. Labour Cess"/>
      <sheetName val="11. PGM Inv"/>
      <sheetName val="Bill Summary"/>
      <sheetName val="Cost-abst-15"/>
      <sheetName val="Cost Abs-16"/>
      <sheetName val="Cost Abs-15th &amp; 16th"/>
      <sheetName val="MB-PILE"/>
      <sheetName val="EXCAVATION"/>
      <sheetName val="BACK FILLING"/>
      <sheetName val="ANTI-TERMITE"/>
      <sheetName val="SBFS"/>
      <sheetName val="PCC"/>
      <sheetName val="RCC IN PILE CAP &amp; RAFT"/>
      <sheetName val="R-WALL"/>
      <sheetName val="LIFT WALL"/>
      <sheetName val="RCC IN TIE BEAM"/>
      <sheetName val="RCC IN COLUMN"/>
      <sheetName val="RCC IN COLUMN SUPERSTRUCTURE"/>
      <sheetName val="RCC IN GR. FL. BEAM"/>
      <sheetName val="Shuttering PILE CAP"/>
      <sheetName val="Shuttering TIE BEAM"/>
      <sheetName val="RETAINING WALL SHUTTERING"/>
      <sheetName val="LIFT WALL SHUTTERING"/>
      <sheetName val="GR. FL.BEAM SHUTTERING"/>
      <sheetName val="Shuttering COLUMN ( FOUNDATION)"/>
      <sheetName val="Shuttering COLUMN (SUPERSTRUCT)"/>
      <sheetName val="PILE HEAD BREAKING"/>
      <sheetName val="WATER-PROFFING"/>
      <sheetName val="RMC  CONC.-Ann-(1)"/>
      <sheetName val=" (With Pump)"/>
      <sheetName val="Pile Cap"/>
      <sheetName val="Tie Beam"/>
      <sheetName val="GF Slab&amp;Beam"/>
      <sheetName val="Raft"/>
      <sheetName val="RW"/>
      <sheetName val="Reconciliation Upto 28.02.10"/>
      <sheetName val="SWOT"/>
      <sheetName val="swot Report"/>
      <sheetName val="Business Potential"/>
      <sheetName val="Resources"/>
      <sheetName val="SPILL OVER"/>
      <sheetName val="SPILL OVER PROJECTIONS"/>
      <sheetName val="SPILL OVER SECTORWISE"/>
      <sheetName val="BREAKUP_NEW ORDERS"/>
      <sheetName val="T_O_QTRY"/>
      <sheetName val="TOprj05-06"/>
      <sheetName val="TOprj06-07"/>
      <sheetName val="TOprj 07-08"/>
      <sheetName val="FUNDREQ"/>
      <sheetName val="STRRATE"/>
      <sheetName val="Intro"/>
      <sheetName val="Annex"/>
      <sheetName val="key dates"/>
      <sheetName val="Actual"/>
      <sheetName val="Actual projected"/>
      <sheetName val="CFForecast detail"/>
      <sheetName val="CFTable2"/>
      <sheetName val="CFGraphs"/>
      <sheetName val="CSIRO"/>
      <sheetName val="CF%Print"/>
      <sheetName val="LIST OF MAKES"/>
      <sheetName val="3. Elemental Summary"/>
      <sheetName val="9. Package split - Cost "/>
      <sheetName val="10. &amp; 11. Rate Code &amp; BQ"/>
      <sheetName val="Cashflow projection"/>
      <sheetName val="12a. CFTable"/>
      <sheetName val="Pacakges split"/>
      <sheetName val="WORK TABLE"/>
      <sheetName val="dlvoid"/>
      <sheetName val="factors"/>
      <sheetName val="Fin Sum"/>
      <sheetName val=" B1"/>
      <sheetName val="horizontal"/>
      <sheetName val="F1a-Pile"/>
      <sheetName val="Break_Up"/>
      <sheetName val="RESULT"/>
      <sheetName val="Pay_Sep06"/>
      <sheetName val="loadcal"/>
      <sheetName val="Cal"/>
      <sheetName val="Parameter"/>
      <sheetName val="Summray"/>
      <sheetName val="LMP Comparison"/>
      <sheetName val="escalation 2"/>
      <sheetName val="Escalation-final"/>
      <sheetName val="BG&amp;INSUR"/>
      <sheetName val="other expenses"/>
      <sheetName val="RMC"/>
      <sheetName val="MR PH"/>
      <sheetName val="MR Elect"/>
      <sheetName val="MR FP"/>
      <sheetName val="UL Elect"/>
      <sheetName val="UL FP"/>
      <sheetName val="Ulsoor PH"/>
      <sheetName val="COMAPARISON STATEMENT FINAL"/>
      <sheetName val="PILING"/>
      <sheetName val="Civil Analysis"/>
      <sheetName val="Precast PO Tention as per WO"/>
      <sheetName val="Precastprestr Girders as per WO"/>
      <sheetName val="Precast Girders"/>
      <sheetName val="BP Revised"/>
      <sheetName val="FW Mould"/>
      <sheetName val="barication"/>
      <sheetName val="safety"/>
      <sheetName val="CASHFLOW statement"/>
      <sheetName val="CASHOUTFLOW"/>
      <sheetName val="MONTHLY BILL"/>
      <sheetName val="MONTHLY BILL (160209)"/>
      <sheetName val="P4-B"/>
      <sheetName val="Basement Budget"/>
      <sheetName val="Zan-Jim"/>
      <sheetName val="Comp-Sum"/>
      <sheetName val="Comp Item"/>
      <sheetName val="Own-Sum"/>
      <sheetName val="Own"/>
      <sheetName val="Consult-Sum"/>
      <sheetName val="Consult"/>
      <sheetName val="Maji-Sum"/>
      <sheetName val="Maji"/>
      <sheetName val="MK-Sum"/>
      <sheetName val="MK"/>
      <sheetName val="Pow-Sum"/>
      <sheetName val="Pow"/>
      <sheetName val="SML-Sum"/>
      <sheetName val="SML "/>
      <sheetName val="Vijay-Sum"/>
      <sheetName val="Vijay"/>
      <sheetName val="IO LIST"/>
      <sheetName val="TAF"/>
      <sheetName val="Comp Sum"/>
      <sheetName val="Est-Sum"/>
      <sheetName val="Est "/>
      <sheetName val="Comm-sum"/>
      <sheetName val="Comm"/>
      <sheetName val="ETA-Sum"/>
      <sheetName val="ETA"/>
      <sheetName val="Mega-Sum"/>
      <sheetName val="Mega"/>
      <sheetName val="PK-Sum"/>
      <sheetName val="PK"/>
      <sheetName val="Sri-Sum"/>
      <sheetName val="sri"/>
      <sheetName val="RCC,Ret. Wall"/>
      <sheetName val="Formulas"/>
      <sheetName val="Estimation"/>
      <sheetName val="Daikin-Sum"/>
      <sheetName val="Daikin"/>
      <sheetName val="Pysco-Sum"/>
      <sheetName val="Pysco"/>
      <sheetName val="SME-Sum "/>
      <sheetName val="SME"/>
      <sheetName val="Suvidha-Sum"/>
      <sheetName val="Suvidha"/>
      <sheetName val="VK-Sum"/>
      <sheetName val="VK"/>
      <sheetName val="VK-LC-Sum"/>
      <sheetName val="VK-LC"/>
      <sheetName val="Samsung-Sum"/>
      <sheetName val="Samsung"/>
      <sheetName val="Material "/>
      <sheetName val="TAF FCU"/>
      <sheetName val="Comp Sum Rev1"/>
      <sheetName val="Comp Sum Rev0"/>
      <sheetName val="Sum-Local, Est"/>
      <sheetName val="FCU - Local, Est"/>
      <sheetName val="Spare FCU-Local, Est"/>
      <sheetName val="Sum-Est-Import"/>
      <sheetName val="FCU -Import (Est)"/>
      <sheetName val="Spare Import (Est)"/>
      <sheetName val="Sum-Local Blue Star"/>
      <sheetName val="FCU - Local, Blue star"/>
      <sheetName val="Spare FCU Local Blue Star"/>
      <sheetName val="Sum-Local, Carrier"/>
      <sheetName val="FCU - Local, carrier"/>
      <sheetName val="Spare FCU-Local, Carrier"/>
      <sheetName val="FCU -Import , Carrier"/>
      <sheetName val="Spare FCU,Import, Carrier"/>
      <sheetName val="Sum-Import, Daikin"/>
      <sheetName val="FCU - Daikin, Import"/>
      <sheetName val="Spare- daikin, Import"/>
      <sheetName val="Sum-, York"/>
      <sheetName val="FCU - York"/>
      <sheetName val="Spare FCU York"/>
      <sheetName val="Sum-Import, Trane"/>
      <sheetName val="FCU-Trane, Import"/>
      <sheetName val="Spare -Trane, Import"/>
      <sheetName val="Sum-Import, Sinco"/>
      <sheetName val="FCU-Sinco Import"/>
      <sheetName val="Spare -Sinco Import"/>
      <sheetName val="York rev 0"/>
      <sheetName val="Fcu York Rev 0"/>
      <sheetName val="Spare York Rev 0"/>
      <sheetName val="Sum- York "/>
      <sheetName val="Fcu York"/>
      <sheetName val="Spare York"/>
      <sheetName val="For print"/>
      <sheetName val="Summary of HVAc &amp; related Works"/>
      <sheetName val="analysis-superstructure"/>
      <sheetName val="Quote Sheet"/>
      <sheetName val="Certificate-A Main contrcat -40"/>
      <sheetName val="certi-ra13"/>
      <sheetName val="Payment tracker"/>
      <sheetName val="Service tax diff-May 2013"/>
      <sheetName val="Abstract - A - WO 40 "/>
      <sheetName val="NT &amp; RA4-ABSTRACT- WO 98"/>
      <sheetName val="Abstract -final cement -# 169"/>
      <sheetName val="Phase 2-I tower"/>
      <sheetName val="pHASE 1--RA12"/>
      <sheetName val="PHASE 2-RA12"/>
      <sheetName val="I TOWER-RA12"/>
      <sheetName val="Abstract - B - WO 331"/>
      <sheetName val="Summary- Qty-till RA21"/>
      <sheetName val="Mobilisation Rec-21"/>
      <sheetName val="Steel Recovery -RA21"/>
      <sheetName val=" Tiles-RA21 "/>
      <sheetName val="Summary RAB 19 - Sub Struc"/>
      <sheetName val="Summary RAB 19 - Super struc"/>
      <sheetName val="Steel Summary"/>
      <sheetName val="labor"/>
      <sheetName val="Unit Price"/>
      <sheetName val="Administrative Prices"/>
      <sheetName val="test"/>
      <sheetName val="dBase"/>
      <sheetName val="Intro."/>
      <sheetName val="wordsdata"/>
      <sheetName val="DetEstimates"/>
      <sheetName val="CshFlw"/>
      <sheetName val="DirIndLabor"/>
      <sheetName val="BoQ Covanta"/>
      <sheetName val="Codes"/>
      <sheetName val="CIVIL WORK"/>
      <sheetName val="STEEL STRUCTURE"/>
      <sheetName val="Pur"/>
      <sheetName val="Floor&amp;Ceiling Finishes"/>
      <sheetName val="Wall Finishes"/>
      <sheetName val="Wall"/>
      <sheetName val="Other Items"/>
      <sheetName val="InputPO_Del"/>
      <sheetName val="Footings"/>
      <sheetName val="Project Budget Worksheet"/>
      <sheetName val="Detail"/>
      <sheetName val="13. Steel - Ratio"/>
      <sheetName val="Window"/>
      <sheetName val="Break up Sheet"/>
      <sheetName val="Micro"/>
      <sheetName val="Macro"/>
      <sheetName val="Scaff-Rose"/>
      <sheetName val="SBI(Siliguri)"/>
      <sheetName val="Elemental Summary"/>
      <sheetName val="Classif"/>
      <sheetName val="Areas"/>
      <sheetName val="Area cal"/>
      <sheetName val="Perimeter"/>
      <sheetName val="B1"/>
      <sheetName val="CABLERET"/>
      <sheetName val="Actuals"/>
      <sheetName val="SECPROP"/>
      <sheetName val="05117 CP - Estimate sheet - Sta"/>
      <sheetName val="A-Property"/>
      <sheetName val="DC details (2)"/>
      <sheetName val="BLOCK-A (MEA.SHEET)"/>
      <sheetName val="DSLP"/>
      <sheetName val="Assumption Inputs"/>
      <sheetName val="Load Details(B2)"/>
      <sheetName val="Take off Check list"/>
      <sheetName val="Take off sheet"/>
      <sheetName val="Per Floor"/>
      <sheetName val="Per Unit"/>
      <sheetName val="Floor &amp; Ceiling"/>
      <sheetName val="Int Wall Finish"/>
      <sheetName val="Ext Wall Finish"/>
      <sheetName val="PR-Blinds-HYD2"/>
      <sheetName val="Blinds-HYD"/>
      <sheetName val="Lying Stock 1.4.99"/>
      <sheetName val="Issues-RTS 0499 to 0999"/>
      <sheetName val="Phy Stock 30.9.99"/>
      <sheetName val="Lying Stock 30.9.99"/>
      <sheetName val="MAT0499"/>
      <sheetName val="Final Sheet"/>
      <sheetName val="MAT Summary"/>
      <sheetName val="MAT Consolidated"/>
      <sheetName val="Debit MAT 499 to 999"/>
      <sheetName val="Income"/>
      <sheetName val="Contractor wise work done (2)"/>
      <sheetName val="Contractor wise work done"/>
      <sheetName val="Item Master"/>
      <sheetName val="gateway tower 0999 ctc"/>
      <sheetName val="CONTR+MATERIAL CTC"/>
      <sheetName val="Gateway Contractor 1099 - FINAL"/>
      <sheetName val="Balance Order 0110"/>
      <sheetName val="mat summ"/>
      <sheetName val="STR. BASEMENT WITH FDN"/>
      <sheetName val="F.ISSUE  (BASEMENT WITH FDN)"/>
      <sheetName val="STR. BASEMENT WITHOUT FDN"/>
      <sheetName val="F.ISSUE  (BASEMENT WITHOUT FDN)"/>
      <sheetName val="FINISHING (BASEMENT)"/>
      <sheetName val="num-word"/>
      <sheetName val="TAX TOP"/>
      <sheetName val="REC TOP"/>
      <sheetName val="ABSTRACT R-01"/>
      <sheetName val="RECONCILIATION "/>
      <sheetName val="A1-PROG"/>
      <sheetName val="CTRL-A1"/>
      <sheetName val="TOP - A1"/>
      <sheetName val="A2-PROG"/>
      <sheetName val="CTRL-A2"/>
      <sheetName val="TOP - A2"/>
      <sheetName val="B1-PROG"/>
      <sheetName val="CTRL B1 &amp; B2"/>
      <sheetName val="TOP - B1 &amp; B2"/>
      <sheetName val="B2-PROG "/>
      <sheetName val="MAT DETAIL"/>
      <sheetName val="RCC CEMENT DET"/>
      <sheetName val="CONC &amp; BW-A1"/>
      <sheetName val="CONC &amp; BW-A2"/>
      <sheetName val="CONC &amp; BW-B1 &amp; B2"/>
      <sheetName val="BOQ - A"/>
      <sheetName val="BOQ - B"/>
      <sheetName val="BOQ - C"/>
      <sheetName val="A1 &amp; A2-LIFT"/>
      <sheetName val="BOQ - B1 to B2"/>
      <sheetName val="B1 to B6-LIFT"/>
      <sheetName val="ALL TOWER PROGR"/>
      <sheetName val="Material Prices"/>
      <sheetName val="Direct"/>
      <sheetName val="LsCr"/>
      <sheetName val="Gem"/>
      <sheetName val="Plant"/>
      <sheetName val="Mob"/>
      <sheetName val="MarkUp"/>
      <sheetName val="Gross"/>
      <sheetName val="Cost Codes"/>
      <sheetName val="Formwork"/>
      <sheetName val="Hunnebeck Support Scaffold"/>
      <sheetName val="SWT Formwork &amp; Scaffold List"/>
      <sheetName val="Painting"/>
      <sheetName val="Door Schedule"/>
      <sheetName val="Contract"/>
      <sheetName val="LM1"/>
      <sheetName val="LM2"/>
      <sheetName val="LM3"/>
      <sheetName val="LM4"/>
      <sheetName val="Monat"/>
      <sheetName val="Range"/>
      <sheetName val="Control"/>
      <sheetName val="Comparative statement"/>
      <sheetName val="RA_markate"/>
      <sheetName val="Desgn(zone I)"/>
      <sheetName val="dapr"/>
      <sheetName val="sched"/>
      <sheetName val="cpm"/>
      <sheetName val="activity"/>
      <sheetName val="RateAnalysis"/>
      <sheetName val="PRECAST-conc-II"/>
      <sheetName val="Miscellaneous-civil"/>
      <sheetName val="GN-ST-10"/>
      <sheetName val="Cleaning &amp; Grubbing"/>
      <sheetName val="CF-det"/>
      <sheetName val="PRECAST lightconc_II"/>
      <sheetName val="Friends"/>
      <sheetName val="College Details"/>
      <sheetName val="Personal "/>
      <sheetName val="GN_ST_10"/>
      <sheetName val="IHC"/>
      <sheetName val="bhilai"/>
      <sheetName val="jidal dam"/>
      <sheetName val="delo"/>
      <sheetName val="fran temp"/>
      <sheetName val="gagan"/>
      <sheetName val="hsbc"/>
      <sheetName val="jeedi"/>
      <sheetName val="kona swit"/>
      <sheetName val="template (8)"/>
      <sheetName val="template (9)"/>
      <sheetName val="OVER HEADS"/>
      <sheetName val="Cover Sheet"/>
      <sheetName val="BOQ REV A"/>
      <sheetName val="PTB (IO)"/>
      <sheetName val="BMS "/>
      <sheetName val="TBAL9697 -group wise  sdpl"/>
      <sheetName val="PIPING"/>
      <sheetName val="八幡"/>
      <sheetName val="Quantity Schedule"/>
      <sheetName val="Revenue  Schedule "/>
      <sheetName val="Balance works - Direct Cost"/>
      <sheetName val="Balance works - Indirect Cost"/>
      <sheetName val="Fund Plan"/>
      <sheetName val="300x500"/>
      <sheetName val="jidal_dam"/>
      <sheetName val="fran_temp"/>
      <sheetName val="kona_swit"/>
      <sheetName val="template_(8)"/>
      <sheetName val="template_(9)"/>
      <sheetName val="PRECAST_lightconc_II"/>
      <sheetName val="College_Details"/>
      <sheetName val="Personal_"/>
      <sheetName val="Cleaning_&amp;_Grubbing"/>
      <sheetName val="SITE OVERHEADS"/>
      <sheetName val="beam-reinft-IIInd floor"/>
      <sheetName val="OVER_HEADS"/>
      <sheetName val="BOQ_REV_A"/>
      <sheetName val="PTB_(IO)"/>
      <sheetName val="BMS_"/>
      <sheetName val="TBAL9697_-group_wise__sdpl"/>
      <sheetName val="TAX BILLS"/>
      <sheetName val="CASH BILLS"/>
      <sheetName val="LABOUR BILLS"/>
      <sheetName val="BQQ"/>
      <sheetName val="july"/>
      <sheetName val="june"/>
      <sheetName val="may"/>
      <sheetName val="april"/>
      <sheetName val="march"/>
      <sheetName val="jan"/>
      <sheetName val="fefb"/>
      <sheetName val="invoice"/>
      <sheetName val="puch order"/>
      <sheetName val="decm"/>
      <sheetName val="Boq Block A"/>
      <sheetName val="SILICATE"/>
      <sheetName val="Costing Upto Mar'11 (2)"/>
      <sheetName val="Tender Summary"/>
      <sheetName val="zone-8"/>
      <sheetName val="MHNO_LEV"/>
      <sheetName val="M-Book for Conc"/>
      <sheetName val="M-Book for FW"/>
      <sheetName val="PRECAST_lightconc_II1"/>
      <sheetName val="College_Details1"/>
      <sheetName val="Personal_1"/>
      <sheetName val="Cleaning_&amp;_Grubbing1"/>
      <sheetName val="jidal_dam1"/>
      <sheetName val="fran_temp1"/>
      <sheetName val="kona_swit1"/>
      <sheetName val="template_(8)1"/>
      <sheetName val="template_(9)1"/>
      <sheetName val="OVER_HEADS1"/>
      <sheetName val="Cover_Sheet1"/>
      <sheetName val="BOQ_REV_A1"/>
      <sheetName val="PTB_(IO)1"/>
      <sheetName val="BMS_1"/>
      <sheetName val="TBAL9697_-group_wise__sdpl1"/>
      <sheetName val="Quantity_Schedule"/>
      <sheetName val="Revenue__Schedule_"/>
      <sheetName val="Balance_works_-_Direct_Cost"/>
      <sheetName val="Balance_works_-_Indirect_Cost"/>
      <sheetName val="Fund_Plan"/>
      <sheetName val="Bill_of_Resources"/>
      <sheetName val=" 24.07.10 RS &amp; SECURITY"/>
      <sheetName val="24.07.10 CIVIL WET"/>
      <sheetName val=" 24.07.10 CIVIL"/>
      <sheetName val=" 24.07.10 MECH-FAB"/>
      <sheetName val=" 24.07.10 MECH-TANK"/>
      <sheetName val=" 23.07.10 N.SHIFT MECH-FAB"/>
      <sheetName val=" 23.07.10 N.SHIFT MECH-TANK"/>
      <sheetName val=" 23.07.10 RS &amp; SECURITY"/>
      <sheetName val="23.07.10 CIVIL WET"/>
      <sheetName val=" 23.07.10 CIVIL"/>
      <sheetName val=" 23.07.10 MECH-FAB"/>
      <sheetName val=" 23.07.10 MECH-TANK"/>
      <sheetName val=" 22.07.10 N.SHIFT MECH-FAB"/>
      <sheetName val=" 22.07.10 N.SHIFT MECH-TANK"/>
      <sheetName val=" 22.07.10 RS &amp; SECURITY"/>
      <sheetName val="22.07.10 CIVIL WET"/>
      <sheetName val=" 22.07.10 CIVIL"/>
      <sheetName val=" 22.07.10 MECH-FAB"/>
      <sheetName val=" 22.07.10 MECH-TANK"/>
      <sheetName val=" 21.07.10 N.SHIFT MECH-FAB"/>
      <sheetName val=" 21.07.10 N.SHIFT MECH-TANK"/>
      <sheetName val=" 21.07.10 RS &amp; SECURITY"/>
      <sheetName val="21.07.10 CIVIL WET"/>
      <sheetName val=" 21.07.10 CIVIL"/>
      <sheetName val=" 21.07.10 MECH-FAB"/>
      <sheetName val=" 21.07.10 MECH-TANK"/>
      <sheetName val=" 20.07.10 N.SHIFT MECH-FAB"/>
      <sheetName val=" 20.07.10 N.SHIFT MECH-TANK"/>
      <sheetName val=" 20.07.10 RS &amp; SECURITY"/>
      <sheetName val="20.07.10 CIVIL WET"/>
      <sheetName val=" 20.07.10 CIVIL"/>
      <sheetName val=" 20.07.10 MECH-FAB"/>
      <sheetName val=" 20.07.10 MECH-TANK"/>
      <sheetName val=" 19.07.10 N.SHIFT MECH-FAB"/>
      <sheetName val=" 19.07.10 N.SHIFT MECH-TANK"/>
      <sheetName val=" 19.07.10 RS &amp; SECURITY"/>
      <sheetName val="19.07.10 CIVIL WET"/>
      <sheetName val=" 19.07.10 CIVIL"/>
      <sheetName val=" 19.07.10 MECH-FAB"/>
      <sheetName val=" 19.07.10 MECH-TANK"/>
      <sheetName val=" 18.07.10 N.SHIFT MECH-FAB"/>
      <sheetName val=" 18.07.10 N.SHIFT MECH-TANK"/>
      <sheetName val=" 18.07.10 RS &amp; SECURITY"/>
      <sheetName val="18.07.10 CIVIL WET"/>
      <sheetName val=" 18.07.10 CIVIL"/>
      <sheetName val=" 18.07.10 MECH-FAB"/>
      <sheetName val=" 18.07.10 MECH-TANK"/>
      <sheetName val=" 17.07.10 N.SHIFT MECH-FAB"/>
      <sheetName val=" 17.07.10 N.SHIFT MECH-TANK"/>
      <sheetName val=" 17.07.10 RS &amp; SECURITY"/>
      <sheetName val="17.07.10 CIVIL WET"/>
      <sheetName val=" 17.07.10 CIVIL"/>
      <sheetName val=" 17.07.10 MECH-FAB"/>
      <sheetName val=" 17.07.10 MECH-TANK"/>
      <sheetName val=" 16.07.10 N.SHIFT MECH-FAB"/>
      <sheetName val=" 16.07.10 N.SHIFT MECH-TANK"/>
      <sheetName val=" 16.07.10 RS &amp; SECURITY"/>
      <sheetName val="16.07.10 CIVIL WET"/>
      <sheetName val=" 16.07.10 CIVIL"/>
      <sheetName val=" 16.07.10 MECH-FAB"/>
      <sheetName val=" 16.07.10 MECH-TANK"/>
      <sheetName val=" 15.07.10 N.SHIFT MECH-FAB"/>
      <sheetName val=" 15.07.10 N.SHIFT MECH-TANK"/>
      <sheetName val=" 15.07.10 RS &amp; SECURITY"/>
      <sheetName val="15.07.10 CIVIL WET"/>
      <sheetName val=" 15.07.10 CIVIL"/>
      <sheetName val=" 15.07.10 MECH-FAB"/>
      <sheetName val=" 15.07.10 MECH-TANK"/>
      <sheetName val=" 14.07.10 N.SHIFT MECH-FAB"/>
      <sheetName val=" 14.07.10 N.SHIFT MECH-TANK"/>
      <sheetName val=" 14.07.10 RS &amp; SECURITY"/>
      <sheetName val="14.07.10 CIVIL WET"/>
      <sheetName val=" 14.07.10 CIVIL"/>
      <sheetName val=" 14.07.10 MECH-FAB"/>
      <sheetName val=" 14.07.10 MECH-TANK"/>
      <sheetName val=" 13.07.10 N.SHIFT MECH-FAB"/>
      <sheetName val=" 13.07.10 N.SHIFT MECH-TANK"/>
      <sheetName val=" 13.07.10 RS &amp; SECURITY"/>
      <sheetName val="13.07.10 CIVIL WET"/>
      <sheetName val=" 13.07.10 CIVIL"/>
      <sheetName val=" 13.07.10 MECH-FAB"/>
      <sheetName val=" 13.07.10 MECH-TANK"/>
      <sheetName val=" 12.07.10 N.SHIFT MECH-FAB"/>
      <sheetName val=" 12.07.10 N.SHIFT MECH-TANK"/>
      <sheetName val=" 12.07.10 RS &amp; SECURITY"/>
      <sheetName val="12.07.10 CIVIL WET"/>
      <sheetName val=" 12.07.10 CIVIL"/>
      <sheetName val=" 12.07.10 MECH-FAB"/>
      <sheetName val=" 12.07.10 MECH-TANK"/>
      <sheetName val=" 11.07.10 N.SHIFT MECH-FAB"/>
      <sheetName val=" 11.07.10 N.SHIFT MECH-TANK"/>
      <sheetName val=" 11.07.10 RS &amp; SECURITY"/>
      <sheetName val="11.07.10 CIVIL WET"/>
      <sheetName val=" 11.07.10 CIVIL"/>
      <sheetName val=" 11.07.10 MECH-FAB"/>
      <sheetName val=" 11.07.10 MECH-TANK"/>
      <sheetName val=" 10.07.10 N.SHIFT MECH-FAB"/>
      <sheetName val=" 10.07.10 N.SHIFT MECH-TANK"/>
      <sheetName val=" 10.07.10 RS &amp; SECURITY"/>
      <sheetName val="10.07.10 CIVIL WET"/>
      <sheetName val=" 10.07.10 CIVIL"/>
      <sheetName val=" 10.07.10 MECH-FAB"/>
      <sheetName val=" 10.07.10 MECH-TANK"/>
      <sheetName val=" 09.07.10 N.SHIFT MECH-FAB"/>
      <sheetName val=" 09.07.10 N.SHIFT MECH-TANK"/>
      <sheetName val=" 09.07.10 RS &amp; SECURITY"/>
      <sheetName val="09.07.10 CIVIL WET"/>
      <sheetName val=" 09.07.10 CIVIL"/>
      <sheetName val=" 09.07.10 MECH-FAB"/>
      <sheetName val=" 09.07.10 MECH-TANK"/>
      <sheetName val=" 08.07.10 N.SHIFT MECH-FAB"/>
      <sheetName val=" 08.07.10 N.SHIFT MECH-TANK"/>
      <sheetName val=" 08.07.10 RS &amp; SECURITY"/>
      <sheetName val="08.07.10 CIVIL WET"/>
      <sheetName val=" 08.07.10 CIVIL"/>
      <sheetName val=" 08.07.10 MECH-FAB"/>
      <sheetName val=" 08.07.10 MECH-TANK"/>
      <sheetName val=" 07.07.10 N.SHIFT MECH-FAB"/>
      <sheetName val=" 07.07.10 N.SHIFT MECH-TANK"/>
      <sheetName val=" 07.07.10 RS &amp; SECURITY"/>
      <sheetName val="07.07.10 CIVIL WET"/>
      <sheetName val=" 07.07.10 CIVIL"/>
      <sheetName val=" 07.07.10 MECH-FAB"/>
      <sheetName val=" 07.07.10 MECH-TANK"/>
      <sheetName val=" 06.07.10 N.SHIFT MECH-FAB"/>
      <sheetName val=" 06.07.10 N.SHIFT MECH-TANK"/>
      <sheetName val=" 06.07.10 RS &amp; SECURITY"/>
      <sheetName val="06.07.10 CIVIL WET"/>
      <sheetName val=" 06.07.10 CIVIL"/>
      <sheetName val=" 06.07.10 MECH-FAB"/>
      <sheetName val=" 06.07.10 MECH-TANK"/>
      <sheetName val=" 05.07.10 N.SHIFT MECH-FAB"/>
      <sheetName val=" 05.07.10 N.SHIFT MECH-TANK"/>
      <sheetName val=" 05.07.10 RS &amp; SECURITY"/>
      <sheetName val="05.07.10 CIVIL WET"/>
      <sheetName val=" 05.07.10 CIVIL"/>
      <sheetName val=" 05.07.10 MECH-FAB"/>
      <sheetName val=" 05.07.10 MECH-TANK"/>
      <sheetName val=" 04.07.10 N.SHIFT MECH-FAB"/>
      <sheetName val=" 04.07.10 N.SHIFT MECH-TANK"/>
      <sheetName val=" 04.07.10 RS &amp; SECURITY"/>
      <sheetName val="04.07.10 CIVIL WET"/>
      <sheetName val=" 04.07.10 CIVIL"/>
      <sheetName val=" 04.07.10 MECH-FAB"/>
      <sheetName val=" 04.07.10 MECH-TANK"/>
      <sheetName val=" 03.07.10 N.SHIFT MECH-FAB"/>
      <sheetName val=" 03.07.10 N.SHIFT MECH-TANK"/>
      <sheetName val=" 03.07.10 RS &amp; SECURITY "/>
      <sheetName val="03.07.10 CIVIL WET "/>
      <sheetName val=" 03.07.10 CIVIL "/>
      <sheetName val=" 03.07.10 MECH-FAB "/>
      <sheetName val=" 03.07.10 MECH-TANK "/>
      <sheetName val=" 02.07.10 N.SHIFT MECH-FAB "/>
      <sheetName val=" 02.07.10 N.SHIFT MECH-TANK "/>
      <sheetName val=" 02.07.10 RS &amp; SECURITY"/>
      <sheetName val="02.07.10 CIVIL WET"/>
      <sheetName val=" 02.07.10 CIVIL"/>
      <sheetName val=" 02.07.10 MECH-FAB"/>
      <sheetName val=" 02.07.10 MECH-TANK"/>
      <sheetName val=" 01.07.10 N.SHIFT MECH-FAB"/>
      <sheetName val=" 01.07.10 N.SHIFT MECH-TANK"/>
      <sheetName val=" 01.07.10 RS &amp; SECURITY"/>
      <sheetName val="01.07.10 CIVIL WET"/>
      <sheetName val=" 01.07.10 CIVIL"/>
      <sheetName val=" 01.07.10 MECH-FAB"/>
      <sheetName val=" 01.07.10 MECH-TANK"/>
      <sheetName val=" 30.06.10 N.SHIFT MECH-FAB"/>
      <sheetName val=" 30.06.10 N.SHIFT MECH-TANK"/>
      <sheetName val="scurve calc (2)"/>
      <sheetName val="Meas.-Hotel Part"/>
      <sheetName val="Contract Night Staff"/>
      <sheetName val="Contract Day Staff"/>
      <sheetName val="Day Shift"/>
      <sheetName val="Night Shift"/>
      <sheetName val=" 09.07.10 M顅ᎆ뤀ᨇ԰_x0000_缀_x0000_"/>
      <sheetName val="Ave.wtd.rates"/>
      <sheetName val="Labour &amp; Plant"/>
      <sheetName val="22.12.2011"/>
      <sheetName val="2gii"/>
      <sheetName val="TBAL9697 _group wise  sdpl"/>
      <sheetName val="Intake"/>
      <sheetName val="Item- Compact"/>
      <sheetName val="beam-reinft"/>
      <sheetName val="Build-up"/>
      <sheetName val="공장별판관비배부"/>
      <sheetName val="St.co.91.5lvl"/>
      <sheetName val="Civil Works"/>
      <sheetName val="SP Break Up"/>
      <sheetName val="temp"/>
      <sheetName val="HEAD"/>
      <sheetName val="Labour productivity"/>
      <sheetName val=" 09.07.10 M顅ᎆ뤀ᨇ԰?缀?"/>
      <sheetName val="Meas__Hotel Part"/>
      <sheetName val="DataInput"/>
      <sheetName val="DataInput-1"/>
      <sheetName val="DI Rate Analysis"/>
      <sheetName val="Economic RisingMain  Ph-I"/>
      <sheetName val="Sales &amp; Prod"/>
      <sheetName val="Cost Index"/>
      <sheetName val="cash in flow Summary JV "/>
      <sheetName val="water prop."/>
      <sheetName val="GR.slab-reinft"/>
      <sheetName val="section"/>
      <sheetName val="08.07.10헾】_x0005__x0000__x0000__x0000__x0000_ꎋ"/>
      <sheetName val="Staff Acco."/>
      <sheetName val="Costing"/>
      <sheetName val="HVAC"/>
      <sheetName val="Rate analysis- BOQ 1 "/>
      <sheetName val="box-12"/>
      <sheetName val="MN T.B."/>
      <sheetName val=" &#10;¢_x0002_&amp;_x0000__x0000__x0000_ú5#_x0000__x0000__x0000__x0000__x0000__x0000__x0000_"/>
      <sheetName val="AOR"/>
      <sheetName val="F20 Risk Analysis"/>
      <sheetName val="Change Order Log"/>
      <sheetName val="lookups"/>
      <sheetName val="Bin"/>
      <sheetName val="2000 MOR"/>
      <sheetName val="Driveway Beams"/>
      <sheetName val="Prelims Breakup"/>
      <sheetName val="PRECAST_lightconc_II2"/>
      <sheetName val="Cleaning_&amp;_Grubbing2"/>
      <sheetName val="College_Details2"/>
      <sheetName val="Personal_2"/>
      <sheetName val="jidal_dam2"/>
      <sheetName val="fran_temp2"/>
      <sheetName val="kona_swit2"/>
      <sheetName val="template_(8)2"/>
      <sheetName val="template_(9)2"/>
      <sheetName val="OVER_HEADS2"/>
      <sheetName val="Cover_Sheet2"/>
      <sheetName val="BOQ_REV_A2"/>
      <sheetName val="PTB_(IO)2"/>
      <sheetName val="BMS_2"/>
      <sheetName val="TBAL9697_-group_wise__sdpl2"/>
      <sheetName val="TAX_BILLS"/>
      <sheetName val="CASH_BILLS"/>
      <sheetName val="LABOUR_BILLS"/>
      <sheetName val="puch_order"/>
      <sheetName val="Quantity_Schedule1"/>
      <sheetName val="Revenue__Schedule_1"/>
      <sheetName val="Balance_works_-_Direct_Cost1"/>
      <sheetName val="Balance_works_-_Indirect_Cost1"/>
      <sheetName val="Fund_Plan1"/>
      <sheetName val="Bill_of_Resources1"/>
      <sheetName val="SITE_OVERHEADS"/>
      <sheetName val="labour_coeff"/>
      <sheetName val="ORDER_BOOKING"/>
      <sheetName val="Costing_Upto_Mar'11_(2)"/>
      <sheetName val="Tender_Summary"/>
      <sheetName val="beam-reinft-IIInd_floor"/>
      <sheetName val="Prelims_Breakup"/>
      <sheetName val="Boq_Block_A"/>
      <sheetName val="M-Book_for_Conc"/>
      <sheetName val="M-Book_for_FW"/>
      <sheetName val="Meas_-Hotel_Part"/>
      <sheetName val="22_12_2011"/>
      <sheetName val="_24_07_10_RS_&amp;_SECURITY"/>
      <sheetName val="24_07_10_CIVIL_WET"/>
      <sheetName val="_24_07_10_CIVIL"/>
      <sheetName val="_24_07_10_MECH-FAB"/>
      <sheetName val="_24_07_10_MECH-TANK"/>
      <sheetName val="_23_07_10_N_SHIFT_MECH-FAB"/>
      <sheetName val="_23_07_10_N_SHIFT_MECH-TANK"/>
      <sheetName val="_23_07_10_RS_&amp;_SECURITY"/>
      <sheetName val="23_07_10_CIVIL_WET"/>
      <sheetName val="_23_07_10_CIVIL"/>
      <sheetName val="_23_07_10_MECH-FAB"/>
      <sheetName val="_23_07_10_MECH-TANK"/>
      <sheetName val="_22_07_10_N_SHIFT_MECH-FAB"/>
      <sheetName val="_22_07_10_N_SHIFT_MECH-TANK"/>
      <sheetName val="_22_07_10_RS_&amp;_SECURITY"/>
      <sheetName val="22_07_10_CIVIL_WET"/>
      <sheetName val="_22_07_10_CIVIL"/>
      <sheetName val="MX Equip"/>
      <sheetName val="T.SUMMARRY"/>
      <sheetName val="WS E1"/>
      <sheetName val="WS 3"/>
      <sheetName val="WS 4"/>
      <sheetName val="WS 5"/>
      <sheetName val="WS 6"/>
      <sheetName val="WS 6(2)"/>
      <sheetName val="WS 7"/>
      <sheetName val="FAS BOQ1"/>
      <sheetName val="per pt sec"/>
      <sheetName val="OPTION PRICE"/>
      <sheetName val="P2-Engr"/>
      <sheetName val="P3-T &amp; E"/>
      <sheetName val="P4-BOQ"/>
      <sheetName val="Compliance"/>
      <sheetName val="BOQ-BoH"/>
      <sheetName val="RA - Painting"/>
      <sheetName val="Stone Work"/>
      <sheetName val="Material &amp; Labour Rates"/>
      <sheetName val="1. Notes"/>
      <sheetName val="2. Estimate Summary"/>
      <sheetName val="4. Detail"/>
      <sheetName val="5. Area &amp; Perimeter Statement"/>
      <sheetName val="6. Assumption"/>
      <sheetName val="7. Economic ratios"/>
      <sheetName val="8. Pie Diagram"/>
      <sheetName val="12. Tentative Cashflow"/>
      <sheetName val="14. Std Material Cost"/>
      <sheetName val="15. Loose Furniture"/>
      <sheetName val="16. Room Equipment"/>
      <sheetName val="Costing Sheet (2)"/>
      <sheetName val="4a. Trade"/>
      <sheetName val="RMZ Summary"/>
      <sheetName val="6.Assumptions"/>
      <sheetName val="12b. Cash Flow"/>
      <sheetName val="SUMMARY RESI + commericall"/>
      <sheetName val="SUMMARY RESIDENTIAL"/>
      <sheetName val="RESIDENTIAL BOQ"/>
      <sheetName val="SUMMARY OFFICE"/>
      <sheetName val="OFFICE BOQ"/>
      <sheetName val="DS"/>
      <sheetName val=" AREA STATEMENT-RESIDENTIAL"/>
      <sheetName val=" AREA STATEMENT-OFFICE"/>
      <sheetName val="LBD-COMMERCIAL"/>
      <sheetName val="LBD-RESIDENTIAL"/>
      <sheetName val="Appendix-1.a"/>
      <sheetName val="Appendix-2.a"/>
      <sheetName val="Appendix-1.b"/>
      <sheetName val="Appendix-2.b"/>
      <sheetName val="Appendix-3"/>
      <sheetName val="Appendix-4"/>
      <sheetName val="Appendix-5"/>
      <sheetName val="Material Value"/>
      <sheetName val="Material-breakup"/>
      <sheetName val="Appendix-1.xx"/>
      <sheetName val="Appendix-2.xxx"/>
      <sheetName val="Comparision (5)"/>
      <sheetName val="Comparision (4)"/>
      <sheetName val="Summary-02-1"/>
      <sheetName val="Comparision adj-1"/>
      <sheetName val="Report backup"/>
      <sheetName val="Appendix-1.b (2)"/>
      <sheetName val="COMMERCIAL CONDITIONS"/>
      <sheetName val="Pay Rec"/>
      <sheetName val="Pro Pay Abs"/>
      <sheetName val="Mat Ad"/>
      <sheetName val="Ad Re"/>
      <sheetName val="Retention"/>
      <sheetName val="Steel Esc"/>
      <sheetName val="E.D"/>
      <sheetName val="ABs - MB"/>
      <sheetName val="ABs - SS"/>
      <sheetName val="ABs - Ext"/>
      <sheetName val="Bill 1"/>
      <sheetName val="Bill 2"/>
      <sheetName val="Bill 2 qr"/>
      <sheetName val="Bill 3"/>
      <sheetName val="Bill 3 Qr"/>
      <sheetName val="Bill 4"/>
      <sheetName val="Bill 4 Qr"/>
      <sheetName val="Bill 5"/>
      <sheetName val="Bill 6"/>
      <sheetName val="Bill 6 Qr"/>
      <sheetName val="Bill 7"/>
      <sheetName val="Bill 8"/>
      <sheetName val="Bill 9"/>
      <sheetName val="Bill final CCCL"/>
      <sheetName val="FINAL STATEMENT"/>
      <sheetName val="Pay_Rec"/>
      <sheetName val="BQ"/>
      <sheetName val="Dedcution"/>
      <sheetName val="Other Claim"/>
      <sheetName val="Contract Summary"/>
      <sheetName val="Abstract-8RA"/>
      <sheetName val="Summary compare"/>
      <sheetName val="Excavation Variation"/>
      <sheetName val="Podiam Footing Area"/>
      <sheetName val="Ad rec proposed by Mfar"/>
      <sheetName val="9aVariation-1"/>
      <sheetName val="Bill Summary (C)"/>
      <sheetName val="Cost Abs (C)"/>
      <sheetName val="MB-PILE (C)"/>
      <sheetName val="BW IN FOUNDATION(N.T)(C)"/>
      <sheetName val="MB-Sheet Pile (C)"/>
      <sheetName val="EXCAVATION (C)"/>
      <sheetName val="ANTI-TERMITE (C)"/>
      <sheetName val="SBFS (C)"/>
      <sheetName val="PCC (C)"/>
      <sheetName val="INTEGRITY TEST (C)"/>
      <sheetName val="WATER-PROFFING (C)"/>
      <sheetName val="RCC IN PILE CAP &amp; RAFT (C)"/>
      <sheetName val="Shuttering PILE CAP (C)"/>
      <sheetName val="RCC WALL(C)"/>
      <sheetName val="RETAINING WALL SHUTTERING (C)"/>
      <sheetName val="RCC IN TIE BEAM (C)"/>
      <sheetName val="Shuttering TIE BEAM (C)"/>
      <sheetName val="RCC IN COLUMN (C)"/>
      <sheetName val="Shuttering COLUMN(FOUNDATION)C"/>
      <sheetName val="RCC IN COLUMN SUPERSTRUCTURE(C)"/>
      <sheetName val="Shuttering COLUMN (SUPERSTR)(C)"/>
      <sheetName val="RCC IN GR. FL. BEAM (C)"/>
      <sheetName val="GR. FL.BEAM SHUTTERING (C)"/>
      <sheetName val="PILE HEAD BREAKING (C)"/>
      <sheetName val="RMC  CONC.-Ann-(1)(C)"/>
      <sheetName val="ULT-Ann-(2)(C)"/>
      <sheetName val="ACC-Ann-(3)(C)"/>
      <sheetName val=" (With Pump) (C)"/>
      <sheetName val="CB Nov'09 (C)"/>
      <sheetName val="Reconciliation(WIP) "/>
      <sheetName val="Summary NOV'09 "/>
      <sheetName val="Prelims Back-Up"/>
      <sheetName val="Tracking Form"/>
      <sheetName val="Sum Cement1"/>
      <sheetName val="Previous Payment"/>
      <sheetName val="HVAC COM"/>
      <sheetName val="HVAC RESI"/>
      <sheetName val="FPS COM"/>
      <sheetName val="FPS RESI"/>
      <sheetName val="ELEC COM"/>
      <sheetName val="ELEC RESI"/>
      <sheetName val="PHE COM"/>
      <sheetName val="PHE RESI"/>
      <sheetName val="Equip - Tower B"/>
      <sheetName val="Ground floor"/>
      <sheetName val="Level 1"/>
      <sheetName val="Level 2,4,6,8,10 &amp;12"/>
      <sheetName val="Level 3,5,7,9 &amp;11"/>
      <sheetName val="Level 13"/>
      <sheetName val="Level 14"/>
      <sheetName val="Level 15"/>
      <sheetName val="Level 16"/>
      <sheetName val="Level 17"/>
      <sheetName val="Terrace floor"/>
      <sheetName val="Summary - Commercial"/>
      <sheetName val="DG"/>
      <sheetName val="Lift "/>
      <sheetName val=" Valves"/>
      <sheetName val="BM 3"/>
      <sheetName val="BM 2"/>
      <sheetName val="BM 1"/>
      <sheetName val="GF &amp; 1F"/>
      <sheetName val="2 &amp; 3F"/>
      <sheetName val="4 &amp; 5F"/>
      <sheetName val="6 &amp;7F"/>
      <sheetName val="8 &amp; 9F "/>
      <sheetName val="10 &amp;11F"/>
      <sheetName val="Hyd pipe"/>
      <sheetName val="External"/>
      <sheetName val="FDS"/>
      <sheetName val="FAS - Cable "/>
      <sheetName val="PAS - Cable"/>
      <sheetName val="Fire duct"/>
      <sheetName val="Fire duct 1"/>
      <sheetName val="Common"/>
      <sheetName val="Detail Sheet - below Ground"/>
      <sheetName val="Detail Sheet - Above Ground"/>
      <sheetName val="Detail Sheet - Tower 1"/>
      <sheetName val="Detail Sheet - Tower 2"/>
      <sheetName val="Detail Sheet - Link Bride"/>
      <sheetName val="Detail Sheet - MP hall"/>
      <sheetName val="Detail Sheet - External"/>
      <sheetName val="Base"/>
      <sheetName val="Stilt"/>
      <sheetName val="Club house"/>
      <sheetName val="Tower 1"/>
      <sheetName val="Tower 2"/>
      <sheetName val="Tower 3"/>
      <sheetName val="Ext Works"/>
      <sheetName val="Assumption "/>
      <sheetName val="Reference Information"/>
      <sheetName val="Employee List"/>
      <sheetName val="Sales Office"/>
      <sheetName val="IDC"/>
      <sheetName val="Misc. points"/>
      <sheetName val="qty abst"/>
      <sheetName val="Programe"/>
      <sheetName val="histogram"/>
      <sheetName val="basic "/>
      <sheetName val="bua"/>
      <sheetName val="topsheet"/>
      <sheetName val="ZFIN"/>
      <sheetName val="Location"/>
      <sheetName val="PlantLocation"/>
      <sheetName val="Brand"/>
      <sheetName val="Sub-brand"/>
      <sheetName val="Variant"/>
      <sheetName val="TaxClassificatn"/>
      <sheetName val="PurchGroup"/>
      <sheetName val="PackagingType"/>
      <sheetName val="PackSize"/>
      <sheetName val="UOM"/>
      <sheetName val="ProductHierarchy"/>
      <sheetName val="Special Procurement key"/>
      <sheetName val="Block Work LB-Phase-I"/>
      <sheetName val="Plastering LB-Phase-I"/>
      <sheetName val="Block Work UB-Phase-I"/>
      <sheetName val="Plastering UB-Phase-I"/>
      <sheetName val="DR.Toilet-Rough Pls-UB-Phase-II"/>
      <sheetName val="LB &amp; UB Ext Plastering Qty"/>
      <sheetName val="Pre-cast"/>
      <sheetName val="switch"/>
      <sheetName val="INPUT(Direct)"/>
      <sheetName val="Direct cost"/>
      <sheetName val="Bus Shelter"/>
      <sheetName val="pvdf mtl partition"/>
      <sheetName val="Mat'lRate"/>
      <sheetName val="ConsRate"/>
      <sheetName val="CustomDuty"/>
      <sheetName val="ExciseDuty"/>
      <sheetName val="Salestax"/>
      <sheetName val="EntryTax"/>
      <sheetName val="TransitInsurance"/>
      <sheetName val="SegniorageCharges"/>
      <sheetName val="TempWrksTruss Erect"/>
      <sheetName val="TempWrksTruss Erect (2)"/>
      <sheetName val="plant&amp;machinery"/>
      <sheetName val="Glass Partition"/>
      <sheetName val="total qty"/>
      <sheetName val="total qty - ratio"/>
      <sheetName val="見積書 8月５日提出"/>
      <sheetName val="見積書 8月７日変更"/>
      <sheetName val="表紙"/>
      <sheetName val="表紙 (2)"/>
      <sheetName val="見積書 11月20日"/>
      <sheetName val="見積書 11月20日 連動"/>
      <sheetName val="ドル移行"/>
      <sheetName val="準備期間経費"/>
      <sheetName val="見積金額一覧表"/>
      <sheetName val="Manpower Histogram "/>
      <sheetName val="basdat"/>
      <sheetName val="Ex Sum"/>
      <sheetName val=" Graphs"/>
      <sheetName val="Tracker"/>
      <sheetName val="Entries"/>
      <sheetName val="Provisional entries"/>
      <sheetName val="DCDL Consol June 06"/>
      <sheetName val="Infocity-Chandigarh"/>
      <sheetName val="Infocity-Kolkata"/>
      <sheetName val="DCDL-final"/>
      <sheetName val="Info city-Bangalore"/>
      <sheetName val="Info city-Hyderabad"/>
      <sheetName val="GKS"/>
      <sheetName val="Roadtech"/>
      <sheetName val="Udipti"/>
      <sheetName val="Bhoruka"/>
      <sheetName val="Shivaji"/>
      <sheetName val="Real Estate"/>
      <sheetName val="Info city- Chennai"/>
      <sheetName val="GT_Custom"/>
      <sheetName val="Passion"/>
      <sheetName val="Database"/>
      <sheetName val="E-Core version"/>
      <sheetName val="Laptop Loan Req Form"/>
      <sheetName val="Laptop Release Form"/>
      <sheetName val="page 1 of 2"/>
      <sheetName val="page 2 of 2"/>
      <sheetName val="Explanation"/>
      <sheetName val="QMM-Graph"/>
      <sheetName val="More Exp."/>
      <sheetName val="HRM Data"/>
      <sheetName val="cflwmpbswc"/>
      <sheetName val="Working Sheet"/>
      <sheetName val="Sales &amp; Profit"/>
      <sheetName val="Perf-summary"/>
      <sheetName val="profit"/>
      <sheetName val="Explanation "/>
      <sheetName val="BS'03"/>
      <sheetName val="Cap. Exp."/>
      <sheetName val="Three Aces"/>
      <sheetName val="MHO"/>
      <sheetName val="sbu1"/>
      <sheetName val="F A Sch sbu-2"/>
      <sheetName val="sbu-3"/>
      <sheetName val="sbu-4"/>
      <sheetName val="F A SBU-5"/>
      <sheetName val="F A Sch SBU-6"/>
      <sheetName val="sbu-7"/>
      <sheetName val="sbu-9"/>
      <sheetName val="F A Sch sbu-11"/>
      <sheetName val="eob"/>
      <sheetName val="ped"/>
      <sheetName val="F A Sch NBDD"/>
      <sheetName val="F A Sch HTC"/>
      <sheetName val="F A Sch EOU"/>
      <sheetName val="eou polymer"/>
      <sheetName val="F A Sch SPBU-1"/>
      <sheetName val="STAFFSCHED "/>
      <sheetName val="Abstract 1"/>
      <sheetName val="Tor steel supply Krushi advance"/>
      <sheetName val="Payment Tracker "/>
      <sheetName val="Abstract-2 "/>
      <sheetName val="Abstract 2"/>
      <sheetName val="Recovery-Cummulative"/>
      <sheetName val="Steel and cement recovery"/>
      <sheetName val="Recon Cement"/>
      <sheetName val="Concrete Reconciliation"/>
      <sheetName val="3cd Annexure"/>
      <sheetName val="Certificate "/>
      <sheetName val="BMS BOQ"/>
      <sheetName val="Name List"/>
      <sheetName val="BLOCK MASONARY"/>
      <sheetName val="COP"/>
      <sheetName val="Raft concrete Tower B"/>
      <sheetName val="Column Tower slab bott"/>
      <sheetName val="Column Tower upto beam bottom "/>
      <sheetName val="Basement roof slab Tower area"/>
      <sheetName val="Slab area basement roof"/>
      <sheetName val="RMC RECONCILATION"/>
      <sheetName val="RECONCILATION  STEEL "/>
      <sheetName val="FF roof slab area"/>
      <sheetName val="GF roof slab area &amp; concrete"/>
      <sheetName val="Column Tower C GF roof bott"/>
      <sheetName val="Col Tower(C) GF roof beam bott"/>
      <sheetName val="GF roof beam details"/>
      <sheetName val="FF roof slab concrete "/>
      <sheetName val="FF roof beam details"/>
      <sheetName val="Col Tow C GF roof to FF roof"/>
      <sheetName val="Col Tow C GF to FF beam bott"/>
      <sheetName val="FF roof Slab area chart"/>
      <sheetName val="SF roof Slab area chart"/>
      <sheetName val="Ex. Base Slab Area"/>
      <sheetName val="Ext. Base. Beam RCC"/>
      <sheetName val="Ex. Base. Slab RCC"/>
      <sheetName val="TF Roof Slab Area (as per site)"/>
      <sheetName val="TF Roof Slab Area as per Drg"/>
      <sheetName val="TF Roof Slab Concrete"/>
      <sheetName val="TF Roof Beam"/>
      <sheetName val="Col-SF roof to TF roof"/>
      <sheetName val="Col-SF to TF beam bottom"/>
      <sheetName val="Summary (2)"/>
      <sheetName val="Comparision"/>
      <sheetName val="compa"/>
      <sheetName val="Part II Subhead I(12-73)"/>
      <sheetName val="Basic Rates"/>
      <sheetName val="SubAnlysis"/>
      <sheetName val="Part II Subhead II"/>
      <sheetName val="Part II subhead III"/>
      <sheetName val="Lifts"/>
      <sheetName val="Part IV"/>
      <sheetName val="Rate Analysis in lifts"/>
      <sheetName val="Part II Subhead II(74-112)"/>
      <sheetName val="Part II subhead III(113-126)"/>
      <sheetName val="Part IV(138-166)"/>
      <sheetName val="ELEC-RA"/>
      <sheetName val="SEC-RA"/>
      <sheetName val="FPS-RA"/>
      <sheetName val="summary of item rate"/>
      <sheetName val="Rates compa"/>
      <sheetName val="Pumps"/>
      <sheetName val="AEs PART-II"/>
      <sheetName val="AE PART-I"/>
      <sheetName val="Ele RA"/>
      <sheetName val="Fire Alarm RA"/>
      <sheetName val="Fire"/>
      <sheetName val="Civil RA"/>
      <sheetName val="Blast doors"/>
      <sheetName val=" Basic Rates"/>
      <sheetName val="Ele RA "/>
      <sheetName val="bLAST DOOR RA"/>
      <sheetName val="k"/>
      <sheetName val="Final Estimate"/>
      <sheetName val="CST-I"/>
      <sheetName val="LOW RATES"/>
      <sheetName val="N"/>
      <sheetName val="O"/>
      <sheetName val="CST-O"/>
      <sheetName val="T.S"/>
      <sheetName val="Plinth Area Cost"/>
      <sheetName val="CST"/>
      <sheetName val="APP C"/>
      <sheetName val="APP D"/>
      <sheetName val="App J"/>
      <sheetName val="App K"/>
      <sheetName val="APP L"/>
      <sheetName val="App M"/>
      <sheetName val="App N"/>
      <sheetName val="App O"/>
      <sheetName val="SOLAR FENCE"/>
      <sheetName val="J1"/>
      <sheetName val="J2"/>
      <sheetName val="K1"/>
      <sheetName val="K2"/>
      <sheetName val="High Rates"/>
      <sheetName val="Paschal"/>
      <sheetName val="sca"/>
      <sheetName val="Ammendement"/>
      <sheetName val="Amd BOQ"/>
      <sheetName val="Cost Civil"/>
      <sheetName val="Civil-AOR"/>
      <sheetName val="Electrical AOR"/>
      <sheetName val="Subdetail"/>
      <sheetName val="T7 Buildestimate"/>
      <sheetName val="RA SOLAR"/>
      <sheetName val="Servieces"/>
      <sheetName val="Tunnel "/>
      <sheetName val="FF RA"/>
      <sheetName val="Vent Rate"/>
      <sheetName val="FAS RA"/>
      <sheetName val=" T7"/>
      <sheetName val="LATEST AE"/>
      <sheetName val="AE_I"/>
      <sheetName val="AE-II"/>
      <sheetName val="FF_RA"/>
      <sheetName val="Power Supply FF RA"/>
      <sheetName val="ktr"/>
      <sheetName val="Part C - HardStand"/>
      <sheetName val="New33KVSS_E3"/>
      <sheetName val="Prop aug of Ex 33KVSS_E3a"/>
      <sheetName val="SIN"/>
      <sheetName val="CREV"/>
      <sheetName val="DREV"/>
      <sheetName val="IDCCALHYD_GOO"/>
      <sheetName val="REL"/>
      <sheetName val="CORRECTION"/>
      <sheetName val="wages"/>
      <sheetName val="Major P&amp;M deployment"/>
      <sheetName val="p&amp;m L&amp;T Hire"/>
      <sheetName val="Iron Steel &amp; handrails"/>
      <sheetName val="Publicbuilding"/>
      <sheetName val="STRUC"/>
      <sheetName val="DOOR-WIND"/>
      <sheetName val="ROOFING"/>
      <sheetName val="MR"/>
      <sheetName val="VENDOR CODE WO NO"/>
      <sheetName val="Master Item List"/>
      <sheetName val="WPR-IV"/>
      <sheetName val="Misc__points2"/>
      <sheetName val="qty_abst2"/>
      <sheetName val="basic_2"/>
      <sheetName val="Rate_Analysis2"/>
      <sheetName val="Top_Sheet2"/>
      <sheetName val="Iron_Steel_&amp;_handrails2"/>
      <sheetName val="Misc__points"/>
      <sheetName val="qty_abst"/>
      <sheetName val="basic_"/>
      <sheetName val="Iron_Steel_&amp;_handrails"/>
      <sheetName val="Misc__points1"/>
      <sheetName val="qty_abst1"/>
      <sheetName val="basic_1"/>
      <sheetName val="Rate_Analysis1"/>
      <sheetName val="Top_Sheet1"/>
      <sheetName val="Iron_Steel_&amp;_handrails1"/>
      <sheetName val="VENDER DETAIL"/>
      <sheetName val="calcul"/>
      <sheetName val="Ref_Lists_SER"/>
      <sheetName val="grid"/>
      <sheetName val="COP Final"/>
      <sheetName val="PRICED-BOQ-SUMM"/>
      <sheetName val="PRICED-BOQ"/>
      <sheetName val="RA-MKT"/>
      <sheetName val="M.S."/>
      <sheetName val="Total Quantity (2)"/>
      <sheetName val="except wiring"/>
      <sheetName val="NT LBH"/>
      <sheetName val="pol-60"/>
      <sheetName val="acevsSp"/>
      <sheetName val="Bid Items"/>
      <sheetName val="acevsSp (ABC)"/>
      <sheetName val="INFLUENCES ON GM"/>
      <sheetName val="Matl Cons"/>
      <sheetName val="Basic Cost"/>
      <sheetName val="RECON"/>
      <sheetName val="Matl. Req."/>
      <sheetName val="Form Work"/>
      <sheetName val="Deptitemc"/>
      <sheetName val="deptlc"/>
      <sheetName val="Dept break"/>
      <sheetName val="P&amp;M ITEMCOST"/>
      <sheetName val="PMbreak"/>
      <sheetName val="PMbreak%"/>
      <sheetName val="PMabs"/>
      <sheetName val="PMCOSTa"/>
      <sheetName val="PMCOSTb"/>
      <sheetName val="PMCOSTc"/>
      <sheetName val="PMCOSTd"/>
      <sheetName val="FUEL NORMS (RPLM)"/>
      <sheetName val="GEODESIC"/>
      <sheetName val="IDC.1010,1030,1100,1180"/>
      <sheetName val="IDC.1020"/>
      <sheetName val="IDC.1040 "/>
      <sheetName val="IDC.1200"/>
      <sheetName val="Clients Facilities"/>
      <sheetName val="Clts Fac Tender Vs Actuals"/>
      <sheetName val="NL-Field Lab Equipment SVD"/>
      <sheetName val="CF-Fur-Det"/>
      <sheetName val="BG Det"/>
      <sheetName val="TAXES"/>
      <sheetName val="TAXES (2)"/>
      <sheetName val="Webcity 3"/>
      <sheetName val="Manpower Summary"/>
      <sheetName val="Webcity 3 (2)"/>
      <sheetName val="Dec'16"/>
      <sheetName val="Phase 2"/>
      <sheetName val="Phase 1"/>
      <sheetName val="Phase 1-1"/>
      <sheetName val="Over All Qty"/>
      <sheetName val="Debits as on 12.04.08"/>
      <sheetName val="일위대가"/>
      <sheetName val="INPUT_SHEET"/>
      <sheetName val="Wire"/>
      <sheetName val="INFBD1"/>
      <sheetName val="PACK (B)"/>
      <sheetName val="PO Value 31st January"/>
      <sheetName val="Material Rate (2)"/>
      <sheetName val="E _ R"/>
      <sheetName val="Schedules PL"/>
      <sheetName val="Schedules BS"/>
      <sheetName val="Field Values"/>
      <sheetName val="newsales"/>
      <sheetName val="E_&amp;_R"/>
      <sheetName val="E___R"/>
      <sheetName val="new_main_20K"/>
      <sheetName val="SPS DETAIL"/>
      <sheetName val="Works - Quote Sheet"/>
      <sheetName val="A0744339"/>
      <sheetName val="Client Ref Copy"/>
      <sheetName val="CP Fittings"/>
      <sheetName val="DC Backup"/>
      <sheetName val="Summary M Sheet1"/>
      <sheetName val="GI pipe"/>
      <sheetName val="INPUT_SHEET1"/>
      <sheetName val="E_&amp;_R1"/>
      <sheetName val="Manpower_Histogram_"/>
      <sheetName val="Ex_Sum"/>
      <sheetName val="Data_sheet"/>
      <sheetName val="_Graphs"/>
      <sheetName val="Over_All_Qty"/>
      <sheetName val="Debits_as_on_12_04_08"/>
      <sheetName val="9__Package_split_-_Cost_"/>
      <sheetName val="PACK_(B)"/>
      <sheetName val="PO_Value_31st_January"/>
      <sheetName val="Material_Rate_(2)"/>
      <sheetName val="10__&amp;_11__Rate_Code_&amp;_BQ"/>
      <sheetName val="E___R1"/>
      <sheetName val="Schedules_PL"/>
      <sheetName val="Schedules_BS"/>
      <sheetName val="Field_Values"/>
      <sheetName val="WORK_TABLE"/>
      <sheetName val="INPUT_SHEET3"/>
      <sheetName val="E_&amp;_R3"/>
      <sheetName val="Manpower_Histogram_2"/>
      <sheetName val="Ex_Sum2"/>
      <sheetName val="Data_sheet2"/>
      <sheetName val="_Graphs2"/>
      <sheetName val="Over_All_Qty2"/>
      <sheetName val="Debits_as_on_12_04_082"/>
      <sheetName val="9__Package_split_-_Cost_2"/>
      <sheetName val="PACK_(B)2"/>
      <sheetName val="PO_Value_31st_January2"/>
      <sheetName val="Material_Rate_(2)2"/>
      <sheetName val="10__&amp;_11__Rate_Code_&amp;_BQ2"/>
      <sheetName val="E___R3"/>
      <sheetName val="Schedules_PL2"/>
      <sheetName val="Schedules_BS2"/>
      <sheetName val="Field_Values2"/>
      <sheetName val="WORK_TABLE2"/>
      <sheetName val="INPUT_SHEET2"/>
      <sheetName val="E_&amp;_R2"/>
      <sheetName val="Manpower_Histogram_1"/>
      <sheetName val="Ex_Sum1"/>
      <sheetName val="Data_sheet1"/>
      <sheetName val="_Graphs1"/>
      <sheetName val="Over_All_Qty1"/>
      <sheetName val="Debits_as_on_12_04_081"/>
      <sheetName val="9__Package_split_-_Cost_1"/>
      <sheetName val="PACK_(B)1"/>
      <sheetName val="PO_Value_31st_January1"/>
      <sheetName val="Material_Rate_(2)1"/>
      <sheetName val="10__&amp;_11__Rate_Code_&amp;_BQ1"/>
      <sheetName val="E___R2"/>
      <sheetName val="Schedules_PL1"/>
      <sheetName val="Schedules_BS1"/>
      <sheetName val="Field_Values1"/>
      <sheetName val="WORK_TABLE1"/>
      <sheetName val="INPUT_SHEET4"/>
      <sheetName val="E_&amp;_R4"/>
      <sheetName val="Manpower_Histogram_3"/>
      <sheetName val="Ex_Sum3"/>
      <sheetName val="Data_sheet3"/>
      <sheetName val="_Graphs3"/>
      <sheetName val="Over_All_Qty3"/>
      <sheetName val="Debits_as_on_12_04_083"/>
      <sheetName val="9__Package_split_-_Cost_3"/>
      <sheetName val="PACK_(B)3"/>
      <sheetName val="PO_Value_31st_January3"/>
      <sheetName val="Material_Rate_(2)3"/>
      <sheetName val="10__&amp;_11__Rate_Code_&amp;_BQ3"/>
      <sheetName val="E___R4"/>
      <sheetName val="Schedules_PL3"/>
      <sheetName val="Schedules_BS3"/>
      <sheetName val="Field_Values3"/>
      <sheetName val="WORK_TABLE3"/>
      <sheetName val="Rate_analysis3"/>
      <sheetName val="INPUT_SHEET5"/>
      <sheetName val="E_&amp;_R5"/>
      <sheetName val="Manpower_Histogram_4"/>
      <sheetName val="Ex_Sum4"/>
      <sheetName val="Data_sheet4"/>
      <sheetName val="_Graphs4"/>
      <sheetName val="Over_All_Qty4"/>
      <sheetName val="Debits_as_on_12_04_084"/>
      <sheetName val="9__Package_split_-_Cost_4"/>
      <sheetName val="PACK_(B)4"/>
      <sheetName val="PO_Value_31st_January4"/>
      <sheetName val="Material_Rate_(2)4"/>
      <sheetName val="10__&amp;_11__Rate_Code_&amp;_BQ4"/>
      <sheetName val="E___R5"/>
      <sheetName val="Schedules_PL4"/>
      <sheetName val="Schedules_BS4"/>
      <sheetName val="Field_Values4"/>
      <sheetName val="WORK_TABLE4"/>
      <sheetName val="Rate_analysis4"/>
      <sheetName val="INPUT_SHEET6"/>
      <sheetName val="E_&amp;_R6"/>
      <sheetName val="Manpower_Histogram_5"/>
      <sheetName val="Ex_Sum5"/>
      <sheetName val="Data_sheet5"/>
      <sheetName val="_Graphs5"/>
      <sheetName val="Over_All_Qty5"/>
      <sheetName val="Debits_as_on_12_04_085"/>
      <sheetName val="9__Package_split_-_Cost_5"/>
      <sheetName val="PACK_(B)5"/>
      <sheetName val="PO_Value_31st_January5"/>
      <sheetName val="Material_Rate_(2)5"/>
      <sheetName val="10__&amp;_11__Rate_Code_&amp;_BQ5"/>
      <sheetName val="E___R6"/>
      <sheetName val="Schedules_PL5"/>
      <sheetName val="Schedules_BS5"/>
      <sheetName val="Field_Values5"/>
      <sheetName val="WORK_TABLE5"/>
      <sheetName val="Rate_analysis5"/>
      <sheetName val="INPUT_SHEET7"/>
      <sheetName val="E_&amp;_R7"/>
      <sheetName val="Manpower_Histogram_6"/>
      <sheetName val="Ex_Sum6"/>
      <sheetName val="Data_sheet6"/>
      <sheetName val="_Graphs6"/>
      <sheetName val="Over_All_Qty6"/>
      <sheetName val="Debits_as_on_12_04_086"/>
      <sheetName val="9__Package_split_-_Cost_6"/>
      <sheetName val="PACK_(B)6"/>
      <sheetName val="PO_Value_31st_January6"/>
      <sheetName val="Material_Rate_(2)6"/>
      <sheetName val="10__&amp;_11__Rate_Code_&amp;_BQ6"/>
      <sheetName val="E___R7"/>
      <sheetName val="Schedules_PL6"/>
      <sheetName val="Schedules_BS6"/>
      <sheetName val="Field_Values6"/>
      <sheetName val="WORK_TABLE6"/>
      <sheetName val="Rate_analysis6"/>
      <sheetName val="INPUT_SHEET8"/>
      <sheetName val="E_&amp;_R8"/>
      <sheetName val="Site_Dev_BOQ7"/>
      <sheetName val="Manpower_Histogram_7"/>
      <sheetName val="India_F&amp;S_Template7"/>
      <sheetName val="Ex_Sum7"/>
      <sheetName val="Data_sheet7"/>
      <sheetName val="_Graphs7"/>
      <sheetName val="Over_All_Qty7"/>
      <sheetName val="SPT_vs_PHI7"/>
      <sheetName val="Debits_as_on_12_04_087"/>
      <sheetName val="9__Package_split_-_Cost_7"/>
      <sheetName val="PRECAST_lightconc-II7"/>
      <sheetName val="PACK_(B)7"/>
      <sheetName val="PO_Value_31st_January7"/>
      <sheetName val="Material_Rate_(2)7"/>
      <sheetName val="10__&amp;_11__Rate_Code_&amp;_BQ7"/>
      <sheetName val="Fee_Rate_Summary7"/>
      <sheetName val="E___R8"/>
      <sheetName val="Schedules_PL7"/>
      <sheetName val="Schedules_BS7"/>
      <sheetName val="Field_Values7"/>
      <sheetName val="WORK_TABLE7"/>
      <sheetName val="Rate_analysis7"/>
      <sheetName val="INPUT_SHEET9"/>
      <sheetName val="E_&amp;_R9"/>
      <sheetName val="Site_Dev_BOQ8"/>
      <sheetName val="Manpower_Histogram_8"/>
      <sheetName val="India_F&amp;S_Template8"/>
      <sheetName val="Ex_Sum8"/>
      <sheetName val="Data_sheet8"/>
      <sheetName val="_Graphs8"/>
      <sheetName val="Over_All_Qty8"/>
      <sheetName val="SPT_vs_PHI8"/>
      <sheetName val="Debits_as_on_12_04_088"/>
      <sheetName val="9__Package_split_-_Cost_8"/>
      <sheetName val="PRECAST_lightconc-II8"/>
      <sheetName val="PACK_(B)8"/>
      <sheetName val="PO_Value_31st_January8"/>
      <sheetName val="Material_Rate_(2)8"/>
      <sheetName val="10__&amp;_11__Rate_Code_&amp;_BQ8"/>
      <sheetName val="Fee_Rate_Summary8"/>
      <sheetName val="E___R9"/>
      <sheetName val="Schedules_PL8"/>
      <sheetName val="Schedules_BS8"/>
      <sheetName val="Field_Values8"/>
      <sheetName val="WORK_TABLE8"/>
      <sheetName val="Rate_analysis8"/>
      <sheetName val="98Price"/>
      <sheetName val="INPUT_SHEET15"/>
      <sheetName val="E_&amp;_R15"/>
      <sheetName val="Site_Dev_BOQ14"/>
      <sheetName val="Manpower_Histogram_14"/>
      <sheetName val="India_F&amp;S_Template14"/>
      <sheetName val="Ex_Sum14"/>
      <sheetName val="Data_sheet14"/>
      <sheetName val="_Graphs14"/>
      <sheetName val="Over_All_Qty14"/>
      <sheetName val="SPT_vs_PHI14"/>
      <sheetName val="Debits_as_on_12_04_0814"/>
      <sheetName val="9__Package_split_-_Cost_14"/>
      <sheetName val="PRECAST_lightconc-II14"/>
      <sheetName val="PACK_(B)14"/>
      <sheetName val="PO_Value_31st_January14"/>
      <sheetName val="Material_Rate_(2)14"/>
      <sheetName val="10__&amp;_11__Rate_Code_&amp;_BQ14"/>
      <sheetName val="Fee_Rate_Summary14"/>
      <sheetName val="E___R15"/>
      <sheetName val="Schedules_PL14"/>
      <sheetName val="Schedules_BS14"/>
      <sheetName val="Field_Values14"/>
      <sheetName val="WORK_TABLE14"/>
      <sheetName val="Rate_analysis14"/>
      <sheetName val="INPUT_SHEET11"/>
      <sheetName val="E_&amp;_R11"/>
      <sheetName val="Site_Dev_BOQ10"/>
      <sheetName val="Manpower_Histogram_10"/>
      <sheetName val="India_F&amp;S_Template10"/>
      <sheetName val="Ex_Sum10"/>
      <sheetName val="Data_sheet10"/>
      <sheetName val="_Graphs10"/>
      <sheetName val="Over_All_Qty10"/>
      <sheetName val="SPT_vs_PHI10"/>
      <sheetName val="Debits_as_on_12_04_0810"/>
      <sheetName val="9__Package_split_-_Cost_10"/>
      <sheetName val="PRECAST_lightconc-II10"/>
      <sheetName val="PACK_(B)10"/>
      <sheetName val="PO_Value_31st_January10"/>
      <sheetName val="Material_Rate_(2)10"/>
      <sheetName val="10__&amp;_11__Rate_Code_&amp;_BQ10"/>
      <sheetName val="Fee_Rate_Summary10"/>
      <sheetName val="E___R11"/>
      <sheetName val="Schedules_PL10"/>
      <sheetName val="Schedules_BS10"/>
      <sheetName val="Field_Values10"/>
      <sheetName val="WORK_TABLE10"/>
      <sheetName val="Rate_analysis10"/>
      <sheetName val="INPUT_SHEET10"/>
      <sheetName val="E_&amp;_R10"/>
      <sheetName val="Site_Dev_BOQ9"/>
      <sheetName val="Manpower_Histogram_9"/>
      <sheetName val="India_F&amp;S_Template9"/>
      <sheetName val="Ex_Sum9"/>
      <sheetName val="Data_sheet9"/>
      <sheetName val="_Graphs9"/>
      <sheetName val="Over_All_Qty9"/>
      <sheetName val="SPT_vs_PHI9"/>
      <sheetName val="Debits_as_on_12_04_089"/>
      <sheetName val="9__Package_split_-_Cost_9"/>
      <sheetName val="PRECAST_lightconc-II9"/>
      <sheetName val="PACK_(B)9"/>
      <sheetName val="PO_Value_31st_January9"/>
      <sheetName val="Material_Rate_(2)9"/>
      <sheetName val="10__&amp;_11__Rate_Code_&amp;_BQ9"/>
      <sheetName val="Fee_Rate_Summary9"/>
      <sheetName val="E___R10"/>
      <sheetName val="Schedules_PL9"/>
      <sheetName val="Schedules_BS9"/>
      <sheetName val="Field_Values9"/>
      <sheetName val="WORK_TABLE9"/>
      <sheetName val="Rate_analysis9"/>
      <sheetName val="INPUT_SHEET12"/>
      <sheetName val="E_&amp;_R12"/>
      <sheetName val="Site_Dev_BOQ11"/>
      <sheetName val="Manpower_Histogram_11"/>
      <sheetName val="India_F&amp;S_Template11"/>
      <sheetName val="Ex_Sum11"/>
      <sheetName val="Data_sheet11"/>
      <sheetName val="_Graphs11"/>
      <sheetName val="Over_All_Qty11"/>
      <sheetName val="SPT_vs_PHI11"/>
      <sheetName val="Debits_as_on_12_04_0811"/>
      <sheetName val="9__Package_split_-_Cost_11"/>
      <sheetName val="PRECAST_lightconc-II11"/>
      <sheetName val="PACK_(B)11"/>
      <sheetName val="PO_Value_31st_January11"/>
      <sheetName val="Material_Rate_(2)11"/>
      <sheetName val="10__&amp;_11__Rate_Code_&amp;_BQ11"/>
      <sheetName val="Fee_Rate_Summary11"/>
      <sheetName val="E___R12"/>
      <sheetName val="Schedules_PL11"/>
      <sheetName val="Schedules_BS11"/>
      <sheetName val="Field_Values11"/>
      <sheetName val="WORK_TABLE11"/>
      <sheetName val="Rate_analysis11"/>
      <sheetName val="INPUT_SHEET13"/>
      <sheetName val="E_&amp;_R13"/>
      <sheetName val="Site_Dev_BOQ12"/>
      <sheetName val="Manpower_Histogram_12"/>
      <sheetName val="India_F&amp;S_Template12"/>
      <sheetName val="Ex_Sum12"/>
      <sheetName val="Data_sheet12"/>
      <sheetName val="_Graphs12"/>
      <sheetName val="Over_All_Qty12"/>
      <sheetName val="SPT_vs_PHI12"/>
      <sheetName val="Debits_as_on_12_04_0812"/>
      <sheetName val="9__Package_split_-_Cost_12"/>
      <sheetName val="PRECAST_lightconc-II12"/>
      <sheetName val="PACK_(B)12"/>
      <sheetName val="PO_Value_31st_January12"/>
      <sheetName val="Material_Rate_(2)12"/>
      <sheetName val="10__&amp;_11__Rate_Code_&amp;_BQ12"/>
      <sheetName val="Fee_Rate_Summary12"/>
      <sheetName val="E___R13"/>
      <sheetName val="Schedules_PL12"/>
      <sheetName val="Schedules_BS12"/>
      <sheetName val="Field_Values12"/>
      <sheetName val="WORK_TABLE12"/>
      <sheetName val="Rate_analysis12"/>
      <sheetName val="INPUT_SHEET14"/>
      <sheetName val="E_&amp;_R14"/>
      <sheetName val="Site_Dev_BOQ13"/>
      <sheetName val="Manpower_Histogram_13"/>
      <sheetName val="India_F&amp;S_Template13"/>
      <sheetName val="Ex_Sum13"/>
      <sheetName val="Data_sheet13"/>
      <sheetName val="_Graphs13"/>
      <sheetName val="Over_All_Qty13"/>
      <sheetName val="SPT_vs_PHI13"/>
      <sheetName val="Debits_as_on_12_04_0813"/>
      <sheetName val="9__Package_split_-_Cost_13"/>
      <sheetName val="PRECAST_lightconc-II13"/>
      <sheetName val="PACK_(B)13"/>
      <sheetName val="PO_Value_31st_January13"/>
      <sheetName val="Material_Rate_(2)13"/>
      <sheetName val="10__&amp;_11__Rate_Code_&amp;_BQ13"/>
      <sheetName val="Fee_Rate_Summary13"/>
      <sheetName val="E___R14"/>
      <sheetName val="Schedules_PL13"/>
      <sheetName val="Schedules_BS13"/>
      <sheetName val="Field_Values13"/>
      <sheetName val="WORK_TABLE13"/>
      <sheetName val="Rate_analysis13"/>
      <sheetName val="INPUT_SHEET21"/>
      <sheetName val="E_&amp;_R21"/>
      <sheetName val="Site_Dev_BOQ20"/>
      <sheetName val="Manpower_Histogram_20"/>
      <sheetName val="India_F&amp;S_Template20"/>
      <sheetName val="Ex_Sum20"/>
      <sheetName val="Data_sheet20"/>
      <sheetName val="_Graphs20"/>
      <sheetName val="Over_All_Qty20"/>
      <sheetName val="SPT_vs_PHI20"/>
      <sheetName val="Debits_as_on_12_04_0820"/>
      <sheetName val="9__Package_split_-_Cost_20"/>
      <sheetName val="PRECAST_lightconc-II20"/>
      <sheetName val="PACK_(B)20"/>
      <sheetName val="PO_Value_31st_January20"/>
      <sheetName val="Material_Rate_(2)20"/>
      <sheetName val="10__&amp;_11__Rate_Code_&amp;_BQ20"/>
      <sheetName val="Fee_Rate_Summary20"/>
      <sheetName val="E___R21"/>
      <sheetName val="Schedules_PL20"/>
      <sheetName val="Schedules_BS20"/>
      <sheetName val="Field_Values20"/>
      <sheetName val="WORK_TABLE20"/>
      <sheetName val="Rate_analysis20"/>
      <sheetName val="INPUT_SHEET16"/>
      <sheetName val="E_&amp;_R16"/>
      <sheetName val="Site_Dev_BOQ15"/>
      <sheetName val="Manpower_Histogram_15"/>
      <sheetName val="India_F&amp;S_Template15"/>
      <sheetName val="Ex_Sum15"/>
      <sheetName val="Data_sheet15"/>
      <sheetName val="_Graphs15"/>
      <sheetName val="Over_All_Qty15"/>
      <sheetName val="SPT_vs_PHI15"/>
      <sheetName val="Debits_as_on_12_04_0815"/>
      <sheetName val="9__Package_split_-_Cost_15"/>
      <sheetName val="PRECAST_lightconc-II15"/>
      <sheetName val="PACK_(B)15"/>
      <sheetName val="PO_Value_31st_January15"/>
      <sheetName val="Material_Rate_(2)15"/>
      <sheetName val="10__&amp;_11__Rate_Code_&amp;_BQ15"/>
      <sheetName val="Fee_Rate_Summary15"/>
      <sheetName val="E___R16"/>
      <sheetName val="Schedules_PL15"/>
      <sheetName val="Schedules_BS15"/>
      <sheetName val="Field_Values15"/>
      <sheetName val="WORK_TABLE15"/>
      <sheetName val="Rate_analysis15"/>
      <sheetName val="INPUT_SHEET17"/>
      <sheetName val="E_&amp;_R17"/>
      <sheetName val="Site_Dev_BOQ16"/>
      <sheetName val="Manpower_Histogram_16"/>
      <sheetName val="India_F&amp;S_Template16"/>
      <sheetName val="Ex_Sum16"/>
      <sheetName val="Data_sheet16"/>
      <sheetName val="_Graphs16"/>
      <sheetName val="Over_All_Qty16"/>
      <sheetName val="SPT_vs_PHI16"/>
      <sheetName val="Debits_as_on_12_04_0816"/>
      <sheetName val="9__Package_split_-_Cost_16"/>
      <sheetName val="PRECAST_lightconc-II16"/>
      <sheetName val="PACK_(B)16"/>
      <sheetName val="PO_Value_31st_January16"/>
      <sheetName val="Material_Rate_(2)16"/>
      <sheetName val="10__&amp;_11__Rate_Code_&amp;_BQ16"/>
      <sheetName val="Fee_Rate_Summary16"/>
      <sheetName val="E___R17"/>
      <sheetName val="Schedules_PL16"/>
      <sheetName val="Schedules_BS16"/>
      <sheetName val="Field_Values16"/>
      <sheetName val="WORK_TABLE16"/>
      <sheetName val="Rate_analysis16"/>
      <sheetName val="Client_Ref_Copy3"/>
      <sheetName val="Bill_Summary3"/>
      <sheetName val="CP_Fittings3"/>
      <sheetName val="DC_Backup3"/>
      <sheetName val="Summary_M_Sheet13"/>
      <sheetName val="GI_pipe3"/>
      <sheetName val="SPS_DETAIL3"/>
      <sheetName val="Works_-_Quote_Sheet3"/>
      <sheetName val="Fill_this_out_first___3"/>
      <sheetName val="INPUT_SHEET18"/>
      <sheetName val="E_&amp;_R18"/>
      <sheetName val="Site_Dev_BOQ17"/>
      <sheetName val="Manpower_Histogram_17"/>
      <sheetName val="India_F&amp;S_Template17"/>
      <sheetName val="Ex_Sum17"/>
      <sheetName val="Data_sheet17"/>
      <sheetName val="_Graphs17"/>
      <sheetName val="Over_All_Qty17"/>
      <sheetName val="SPT_vs_PHI17"/>
      <sheetName val="Debits_as_on_12_04_0817"/>
      <sheetName val="9__Package_split_-_Cost_17"/>
      <sheetName val="PRECAST_lightconc-II17"/>
      <sheetName val="PACK_(B)17"/>
      <sheetName val="PO_Value_31st_January17"/>
      <sheetName val="Material_Rate_(2)17"/>
      <sheetName val="10__&amp;_11__Rate_Code_&amp;_BQ17"/>
      <sheetName val="Fee_Rate_Summary17"/>
      <sheetName val="E___R18"/>
      <sheetName val="Schedules_PL17"/>
      <sheetName val="Schedules_BS17"/>
      <sheetName val="Field_Values17"/>
      <sheetName val="WORK_TABLE17"/>
      <sheetName val="Rate_analysis17"/>
      <sheetName val="Client_Ref_Copy"/>
      <sheetName val="Bill_Summary"/>
      <sheetName val="CP_Fittings"/>
      <sheetName val="DC_Backup"/>
      <sheetName val="Summary_M_Sheet1"/>
      <sheetName val="GI_pipe"/>
      <sheetName val="SPS_DETAIL"/>
      <sheetName val="Works_-_Quote_Sheet"/>
      <sheetName val="Fill_this_out_first___"/>
      <sheetName val="INPUT_SHEET19"/>
      <sheetName val="E_&amp;_R19"/>
      <sheetName val="Site_Dev_BOQ18"/>
      <sheetName val="Manpower_Histogram_18"/>
      <sheetName val="India_F&amp;S_Template18"/>
      <sheetName val="Ex_Sum18"/>
      <sheetName val="Data_sheet18"/>
      <sheetName val="_Graphs18"/>
      <sheetName val="Over_All_Qty18"/>
      <sheetName val="SPT_vs_PHI18"/>
      <sheetName val="Debits_as_on_12_04_0818"/>
      <sheetName val="9__Package_split_-_Cost_18"/>
      <sheetName val="PRECAST_lightconc-II18"/>
      <sheetName val="PACK_(B)18"/>
      <sheetName val="PO_Value_31st_January18"/>
      <sheetName val="Material_Rate_(2)18"/>
      <sheetName val="10__&amp;_11__Rate_Code_&amp;_BQ18"/>
      <sheetName val="Fee_Rate_Summary18"/>
      <sheetName val="E___R19"/>
      <sheetName val="Schedules_PL18"/>
      <sheetName val="Schedules_BS18"/>
      <sheetName val="Field_Values18"/>
      <sheetName val="WORK_TABLE18"/>
      <sheetName val="Rate_analysis18"/>
      <sheetName val="Client_Ref_Copy1"/>
      <sheetName val="Bill_Summary1"/>
      <sheetName val="CP_Fittings1"/>
      <sheetName val="DC_Backup1"/>
      <sheetName val="Summary_M_Sheet11"/>
      <sheetName val="GI_pipe1"/>
      <sheetName val="SPS_DETAIL1"/>
      <sheetName val="Works_-_Quote_Sheet1"/>
      <sheetName val="Fill_this_out_first___1"/>
      <sheetName val="INPUT_SHEET20"/>
      <sheetName val="E_&amp;_R20"/>
      <sheetName val="Site_Dev_BOQ19"/>
      <sheetName val="Manpower_Histogram_19"/>
      <sheetName val="India_F&amp;S_Template19"/>
      <sheetName val="Ex_Sum19"/>
      <sheetName val="Data_sheet19"/>
      <sheetName val="_Graphs19"/>
      <sheetName val="Over_All_Qty19"/>
      <sheetName val="SPT_vs_PHI19"/>
      <sheetName val="Debits_as_on_12_04_0819"/>
      <sheetName val="9__Package_split_-_Cost_19"/>
      <sheetName val="PRECAST_lightconc-II19"/>
      <sheetName val="PACK_(B)19"/>
      <sheetName val="PO_Value_31st_January19"/>
      <sheetName val="Material_Rate_(2)19"/>
      <sheetName val="10__&amp;_11__Rate_Code_&amp;_BQ19"/>
      <sheetName val="Fee_Rate_Summary19"/>
      <sheetName val="E___R20"/>
      <sheetName val="Schedules_PL19"/>
      <sheetName val="Schedules_BS19"/>
      <sheetName val="Field_Values19"/>
      <sheetName val="WORK_TABLE19"/>
      <sheetName val="Rate_analysis19"/>
      <sheetName val="Client_Ref_Copy2"/>
      <sheetName val="Bill_Summary2"/>
      <sheetName val="CP_Fittings2"/>
      <sheetName val="DC_Backup2"/>
      <sheetName val="Summary_M_Sheet12"/>
      <sheetName val="GI_pipe2"/>
      <sheetName val="SPS_DETAIL2"/>
      <sheetName val="Works_-_Quote_Sheet2"/>
      <sheetName val="Fill_this_out_first___2"/>
      <sheetName val="INPUT_SHEET22"/>
      <sheetName val="E_&amp;_R22"/>
      <sheetName val="Site_Dev_BOQ21"/>
      <sheetName val="Manpower_Histogram_21"/>
      <sheetName val="India_F&amp;S_Template21"/>
      <sheetName val="Ex_Sum21"/>
      <sheetName val="Data_sheet21"/>
      <sheetName val="_Graphs21"/>
      <sheetName val="Over_All_Qty21"/>
      <sheetName val="SPT_vs_PHI21"/>
      <sheetName val="Debits_as_on_12_04_0821"/>
      <sheetName val="9__Package_split_-_Cost_21"/>
      <sheetName val="PRECAST_lightconc-II21"/>
      <sheetName val="PACK_(B)21"/>
      <sheetName val="PO_Value_31st_January21"/>
      <sheetName val="Material_Rate_(2)21"/>
      <sheetName val="10__&amp;_11__Rate_Code_&amp;_BQ21"/>
      <sheetName val="Fee_Rate_Summary21"/>
      <sheetName val="E___R22"/>
      <sheetName val="Schedules_PL21"/>
      <sheetName val="Schedules_BS21"/>
      <sheetName val="Field_Values21"/>
      <sheetName val="WORK_TABLE21"/>
      <sheetName val="Rate_analysis21"/>
      <sheetName val="Client_Ref_Copy4"/>
      <sheetName val="Bill_Summary4"/>
      <sheetName val="CP_Fittings4"/>
      <sheetName val="DC_Backup4"/>
      <sheetName val="Summary_M_Sheet14"/>
      <sheetName val="GI_pipe4"/>
      <sheetName val="SPS_DETAIL4"/>
      <sheetName val="Works_-_Quote_Sheet4"/>
      <sheetName val="Fill_this_out_first___4"/>
      <sheetName val="INPUT_SHEET23"/>
      <sheetName val="E_&amp;_R23"/>
      <sheetName val="Site_Dev_BOQ22"/>
      <sheetName val="Manpower_Histogram_22"/>
      <sheetName val="India_F&amp;S_Template22"/>
      <sheetName val="Ex_Sum22"/>
      <sheetName val="Data_sheet22"/>
      <sheetName val="_Graphs22"/>
      <sheetName val="Over_All_Qty22"/>
      <sheetName val="SPT_vs_PHI22"/>
      <sheetName val="Debits_as_on_12_04_0822"/>
      <sheetName val="9__Package_split_-_Cost_22"/>
      <sheetName val="PRECAST_lightconc-II22"/>
      <sheetName val="PACK_(B)22"/>
      <sheetName val="PO_Value_31st_January22"/>
      <sheetName val="Material_Rate_(2)22"/>
      <sheetName val="10__&amp;_11__Rate_Code_&amp;_BQ22"/>
      <sheetName val="Fee_Rate_Summary22"/>
      <sheetName val="E___R23"/>
      <sheetName val="Schedules_PL22"/>
      <sheetName val="Schedules_BS22"/>
      <sheetName val="Field_Values22"/>
      <sheetName val="WORK_TABLE22"/>
      <sheetName val="Rate_analysis22"/>
      <sheetName val="Client_Ref_Copy5"/>
      <sheetName val="Bill_Summary5"/>
      <sheetName val="CP_Fittings5"/>
      <sheetName val="DC_Backup5"/>
      <sheetName val="Summary_M_Sheet15"/>
      <sheetName val="GI_pipe5"/>
      <sheetName val="SPS_DETAIL5"/>
      <sheetName val="Works_-_Quote_Sheet5"/>
      <sheetName val="Fill_this_out_first___5"/>
      <sheetName val="Variation Statement"/>
      <sheetName val="INPUT_SHEET24"/>
      <sheetName val="E_&amp;_R24"/>
      <sheetName val="Site_Dev_BOQ23"/>
      <sheetName val="Manpower_Histogram_23"/>
      <sheetName val="India_F&amp;S_Template23"/>
      <sheetName val="Ex_Sum23"/>
      <sheetName val="Data_sheet23"/>
      <sheetName val="_Graphs23"/>
      <sheetName val="Over_All_Qty23"/>
      <sheetName val="SPT_vs_PHI23"/>
      <sheetName val="Debits_as_on_12_04_0823"/>
      <sheetName val="9__Package_split_-_Cost_23"/>
      <sheetName val="PRECAST_lightconc-II23"/>
      <sheetName val="PACK_(B)23"/>
      <sheetName val="PO_Value_31st_January23"/>
      <sheetName val="Material_Rate_(2)23"/>
      <sheetName val="10__&amp;_11__Rate_Code_&amp;_BQ23"/>
      <sheetName val="Fee_Rate_Summary23"/>
      <sheetName val="E___R24"/>
      <sheetName val="Schedules_PL23"/>
      <sheetName val="Schedules_BS23"/>
      <sheetName val="Field_Values23"/>
      <sheetName val="WORK_TABLE23"/>
      <sheetName val="Rate_analysis23"/>
      <sheetName val="Client_Ref_Copy6"/>
      <sheetName val="Bill_Summary6"/>
      <sheetName val="CP_Fittings6"/>
      <sheetName val="DC_Backup6"/>
      <sheetName val="Summary_M_Sheet16"/>
      <sheetName val="GI_pipe6"/>
      <sheetName val="SPS_DETAIL6"/>
      <sheetName val="Works_-_Quote_Sheet6"/>
      <sheetName val="Fill_this_out_first___6"/>
      <sheetName val="INPUT_SHEET25"/>
      <sheetName val="E_&amp;_R25"/>
      <sheetName val="Site_Dev_BOQ24"/>
      <sheetName val="Manpower_Histogram_24"/>
      <sheetName val="India_F&amp;S_Template24"/>
      <sheetName val="Ex_Sum24"/>
      <sheetName val="Data_sheet24"/>
      <sheetName val="_Graphs24"/>
      <sheetName val="Over_All_Qty24"/>
      <sheetName val="SPT_vs_PHI24"/>
      <sheetName val="Debits_as_on_12_04_0824"/>
      <sheetName val="9__Package_split_-_Cost_24"/>
      <sheetName val="PRECAST_lightconc-II24"/>
      <sheetName val="PACK_(B)24"/>
      <sheetName val="PO_Value_31st_January24"/>
      <sheetName val="Material_Rate_(2)24"/>
      <sheetName val="10__&amp;_11__Rate_Code_&amp;_BQ24"/>
      <sheetName val="Fee_Rate_Summary24"/>
      <sheetName val="E___R25"/>
      <sheetName val="Schedules_PL24"/>
      <sheetName val="Schedules_BS24"/>
      <sheetName val="Field_Values24"/>
      <sheetName val="WORK_TABLE24"/>
      <sheetName val="Rate_analysis24"/>
      <sheetName val="Client_Ref_Copy7"/>
      <sheetName val="Bill_Summary7"/>
      <sheetName val="CP_Fittings7"/>
      <sheetName val="DC_Backup7"/>
      <sheetName val="Summary_M_Sheet17"/>
      <sheetName val="GI_pipe7"/>
      <sheetName val="SPS_DETAIL7"/>
      <sheetName val="Works_-_Quote_Sheet7"/>
      <sheetName val="Fill_this_out_first___7"/>
      <sheetName val="Back up"/>
      <sheetName val="선수금"/>
      <sheetName val="seT"/>
      <sheetName val="Reinforcement"/>
      <sheetName val="Pilling_24"/>
      <sheetName val="GF Columns"/>
      <sheetName val="Abs "/>
      <sheetName val="Tower Wise"/>
      <sheetName val="manpower backup Nov'16"/>
      <sheetName val="Abs-Mantri Centrium"/>
      <sheetName val="Mantri Centrium"/>
      <sheetName val="India F_S Template"/>
      <sheetName val="TOWER A"/>
      <sheetName val="Pile"/>
      <sheetName val="Materials Cost(PCC)"/>
      <sheetName val="beam-reinft-machine rm"/>
      <sheetName val="MPR"/>
      <sheetName val="Mix Design"/>
      <sheetName val="std-rates"/>
      <sheetName val="31Oct05 INDIA Capital Template "/>
      <sheetName val="India_F_S_Template"/>
      <sheetName val="TOWER_A"/>
      <sheetName val="ACAD_Finishes"/>
      <sheetName val="Site_Details"/>
      <sheetName val="Site_Area_Statement"/>
      <sheetName val="Materials_Cost(PCC)"/>
      <sheetName val="beam-reinft-machine_rm"/>
      <sheetName val="Mix_Design"/>
      <sheetName val="final_abstract"/>
      <sheetName val="31Oct05_INDIA_Capital_Template_"/>
      <sheetName val="foot-slab reinft"/>
      <sheetName val="Keyword"/>
      <sheetName val="Summary_Local"/>
      <sheetName val="Ins &amp; Bonds"/>
      <sheetName val="Site facilities"/>
      <sheetName val="Clients Requirements"/>
      <sheetName val="매크로"/>
      <sheetName val="India_F_S_Template1"/>
      <sheetName val="TOWER_A1"/>
      <sheetName val="ACAD_Finishes1"/>
      <sheetName val="Site_Details1"/>
      <sheetName val="Site_Area_Statement1"/>
      <sheetName val="Materials_Cost(PCC)1"/>
      <sheetName val="beam-reinft-machine_rm1"/>
      <sheetName val="Mix_Design1"/>
      <sheetName val="final_abstract1"/>
      <sheetName val="31Oct05_INDIA_Capital_Template1"/>
      <sheetName val="beam-reinft-IIInd_floor1"/>
      <sheetName val="India_F_S_Template2"/>
      <sheetName val="TOWER_A2"/>
      <sheetName val="ACAD_Finishes2"/>
      <sheetName val="Site_Details2"/>
      <sheetName val="Site_Area_Statement2"/>
      <sheetName val="Materials_Cost(PCC)2"/>
      <sheetName val="beam-reinft-machine_rm2"/>
      <sheetName val="Mix_Design2"/>
      <sheetName val="final_abstract2"/>
      <sheetName val="31Oct05_INDIA_Capital_Template2"/>
      <sheetName val="beam-reinft-IIInd_floor2"/>
      <sheetName val="India_F_S_Template3"/>
      <sheetName val="TOWER_A3"/>
      <sheetName val="ACAD_Finishes3"/>
      <sheetName val="Site_Details3"/>
      <sheetName val="Site_Area_Statement3"/>
      <sheetName val="Materials_Cost(PCC)3"/>
      <sheetName val="beam-reinft-machine_rm3"/>
      <sheetName val="Mix_Design3"/>
      <sheetName val="final_abstract3"/>
      <sheetName val="31Oct05_INDIA_Capital_Template3"/>
      <sheetName val="beam-reinft-IIInd_floor3"/>
      <sheetName val="India_F_S_Template4"/>
      <sheetName val="TOWER_A4"/>
      <sheetName val="ACAD_Finishes4"/>
      <sheetName val="Site_Details4"/>
      <sheetName val="Site_Area_Statement4"/>
      <sheetName val="Materials_Cost(PCC)4"/>
      <sheetName val="beam-reinft-machine_rm4"/>
      <sheetName val="Mix_Design4"/>
      <sheetName val="final_abstract4"/>
      <sheetName val="31Oct05_INDIA_Capital_Template4"/>
      <sheetName val="beam-reinft-IIInd_floor4"/>
      <sheetName val="Abstract_(2)"/>
      <sheetName val="India_F_S_Template5"/>
      <sheetName val="TOWER_A5"/>
      <sheetName val="ACAD_Finishes5"/>
      <sheetName val="Site_Details5"/>
      <sheetName val="Site_Area_Statement5"/>
      <sheetName val="Materials_Cost(PCC)5"/>
      <sheetName val="beam-reinft-machine_rm5"/>
      <sheetName val="Mix_Design5"/>
      <sheetName val="final_abstract5"/>
      <sheetName val="31Oct05_INDIA_Capital_Template5"/>
      <sheetName val="beam-reinft-IIInd_floor5"/>
      <sheetName val="Abstract_(2)1"/>
      <sheetName val="India_F_S_Template6"/>
      <sheetName val="TOWER_A6"/>
      <sheetName val="ACAD_Finishes6"/>
      <sheetName val="Site_Details6"/>
      <sheetName val="Site_Area_Statement6"/>
      <sheetName val="Materials_Cost(PCC)6"/>
      <sheetName val="beam-reinft-machine_rm6"/>
      <sheetName val="Mix_Design6"/>
      <sheetName val="final_abstract6"/>
      <sheetName val="31Oct05_INDIA_Capital_Template6"/>
      <sheetName val="beam-reinft-IIInd_floor6"/>
      <sheetName val="Abstract_(2)2"/>
      <sheetName val="Varthur 1"/>
      <sheetName val="Full Estimate Summary"/>
      <sheetName val="FOH Works"/>
      <sheetName val="Boiler_TG"/>
      <sheetName val=" B3"/>
      <sheetName val="Civil Chart"/>
      <sheetName val="Overall - Chart"/>
      <sheetName val="Benchmark"/>
      <sheetName val="Ext walls"/>
      <sheetName val="Unit costs"/>
      <sheetName val="Summary budgets"/>
      <sheetName val="Trade Contractors budgets"/>
      <sheetName val="SGL"/>
      <sheetName val="SPLIT"/>
      <sheetName val="Rate analysis_bmrc"/>
      <sheetName val="MG"/>
      <sheetName val="Labour_&amp;_Plant"/>
      <sheetName val="DIR_USED_ITEMS"/>
      <sheetName val="Rate_analysis_bmrc"/>
      <sheetName val="Labour_&amp;_Plant2"/>
      <sheetName val="Lead_Statement2"/>
      <sheetName val="DIR_USED_ITEMS2"/>
      <sheetName val="Rate_analysis_bmrc2"/>
      <sheetName val="Labour_&amp;_Plant1"/>
      <sheetName val="Lead_Statement1"/>
      <sheetName val="DIR_USED_ITEMS1"/>
      <sheetName val="Rate_analysis_bmrc1"/>
      <sheetName val="Labour_&amp;_Plant3"/>
      <sheetName val="Lead_Statement3"/>
      <sheetName val="DIR_USED_ITEMS3"/>
      <sheetName val="Rate_analysis_bmrc3"/>
      <sheetName val="Labour_&amp;_Plant4"/>
      <sheetName val="Lead_Statement4"/>
      <sheetName val="DIR_USED_ITEMS4"/>
      <sheetName val="Rate_analysis_bmrc4"/>
      <sheetName val="Labour_&amp;_Plant5"/>
      <sheetName val="Lead_Statement5"/>
      <sheetName val="DIR_USED_ITEMS5"/>
      <sheetName val="Rate_analysis_bmrc5"/>
      <sheetName val="Labour_&amp;_Plant6"/>
      <sheetName val="Lead_Statement6"/>
      <sheetName val="DIR_USED_ITEMS6"/>
      <sheetName val="Rate_analysis_bmrc6"/>
      <sheetName val="Labour_&amp;_Plant7"/>
      <sheetName val="Materials_Cost7"/>
      <sheetName val="Lead_Statement7"/>
      <sheetName val="DIR_USED_ITEMS7"/>
      <sheetName val="Materials_Cost(PCC)7"/>
      <sheetName val="Rate_analysis_bmrc7"/>
      <sheetName val="Labour_&amp;_Plant8"/>
      <sheetName val="Materials_Cost8"/>
      <sheetName val="Lead_Statement8"/>
      <sheetName val="DIR_USED_ITEMS8"/>
      <sheetName val="Materials_Cost(PCC)8"/>
      <sheetName val="Rate_analysis_bmrc8"/>
      <sheetName val="Labour_&amp;_Plant14"/>
      <sheetName val="Materials_Cost14"/>
      <sheetName val="Lead_Statement14"/>
      <sheetName val="DIR_USED_ITEMS14"/>
      <sheetName val="Materials_Cost(PCC)14"/>
      <sheetName val="Rate_analysis_bmrc14"/>
      <sheetName val="Labour_&amp;_Plant10"/>
      <sheetName val="Materials_Cost10"/>
      <sheetName val="Lead_Statement10"/>
      <sheetName val="DIR_USED_ITEMS10"/>
      <sheetName val="Materials_Cost(PCC)10"/>
      <sheetName val="Rate_analysis_bmrc10"/>
      <sheetName val="Labour_&amp;_Plant9"/>
      <sheetName val="Materials_Cost9"/>
      <sheetName val="Lead_Statement9"/>
      <sheetName val="DIR_USED_ITEMS9"/>
      <sheetName val="Materials_Cost(PCC)9"/>
      <sheetName val="Rate_analysis_bmrc9"/>
      <sheetName val="Labour_&amp;_Plant11"/>
      <sheetName val="Materials_Cost11"/>
      <sheetName val="Lead_Statement11"/>
      <sheetName val="DIR_USED_ITEMS11"/>
      <sheetName val="Materials_Cost(PCC)11"/>
      <sheetName val="Rate_analysis_bmrc11"/>
      <sheetName val="Labour_&amp;_Plant12"/>
      <sheetName val="Materials_Cost12"/>
      <sheetName val="Lead_Statement12"/>
      <sheetName val="DIR_USED_ITEMS12"/>
      <sheetName val="Materials_Cost(PCC)12"/>
      <sheetName val="Rate_analysis_bmrc12"/>
      <sheetName val="Labour_&amp;_Plant13"/>
      <sheetName val="Materials_Cost13"/>
      <sheetName val="Lead_Statement13"/>
      <sheetName val="DIR_USED_ITEMS13"/>
      <sheetName val="Materials_Cost(PCC)13"/>
      <sheetName val="Rate_analysis_bmrc13"/>
      <sheetName val="Labour_&amp;_Plant20"/>
      <sheetName val="Materials_Cost20"/>
      <sheetName val="Lead_Statement20"/>
      <sheetName val="DIR_USED_ITEMS20"/>
      <sheetName val="Materials_Cost(PCC)20"/>
      <sheetName val="Rate_analysis_bmrc20"/>
      <sheetName val="Labour_&amp;_Plant15"/>
      <sheetName val="Materials_Cost15"/>
      <sheetName val="Lead_Statement15"/>
      <sheetName val="DIR_USED_ITEMS15"/>
      <sheetName val="Materials_Cost(PCC)15"/>
      <sheetName val="Rate_analysis_bmrc15"/>
      <sheetName val="Labour_&amp;_Plant16"/>
      <sheetName val="Materials_Cost16"/>
      <sheetName val="Lead_Statement16"/>
      <sheetName val="DIR_USED_ITEMS16"/>
      <sheetName val="Materials_Cost(PCC)16"/>
      <sheetName val="Rate_analysis_bmrc16"/>
      <sheetName val="Labour_&amp;_Plant17"/>
      <sheetName val="Materials_Cost17"/>
      <sheetName val="Lead_Statement17"/>
      <sheetName val="DIR_USED_ITEMS17"/>
      <sheetName val="Materials_Cost(PCC)17"/>
      <sheetName val="Rate_analysis_bmrc17"/>
      <sheetName val="Labour_&amp;_Plant18"/>
      <sheetName val="Materials_Cost18"/>
      <sheetName val="Lead_Statement18"/>
      <sheetName val="DIR_USED_ITEMS18"/>
      <sheetName val="Materials_Cost(PCC)18"/>
      <sheetName val="Rate_analysis_bmrc18"/>
      <sheetName val="Labour_&amp;_Plant19"/>
      <sheetName val="Materials_Cost19"/>
      <sheetName val="Lead_Statement19"/>
      <sheetName val="DIR_USED_ITEMS19"/>
      <sheetName val="Materials_Cost(PCC)19"/>
      <sheetName val="Rate_analysis_bmrc19"/>
      <sheetName val="Labour_&amp;_Plant21"/>
      <sheetName val="Materials_Cost21"/>
      <sheetName val="Lead_Statement21"/>
      <sheetName val="DIR_USED_ITEMS21"/>
      <sheetName val="Materials_Cost(PCC)21"/>
      <sheetName val="Rate_analysis_bmrc21"/>
      <sheetName val="Labour_&amp;_Plant22"/>
      <sheetName val="Materials_Cost22"/>
      <sheetName val="Lead_Statement22"/>
      <sheetName val="DIR_USED_ITEMS22"/>
      <sheetName val="Materials_Cost(PCC)22"/>
      <sheetName val="Rate_analysis_bmrc22"/>
      <sheetName val="Labour_&amp;_Plant23"/>
      <sheetName val="Materials_Cost23"/>
      <sheetName val="Lead_Statement23"/>
      <sheetName val="DIR_USED_ITEMS23"/>
      <sheetName val="Materials_Cost(PCC)23"/>
      <sheetName val="Rate_analysis_bmrc23"/>
      <sheetName val="Labour_&amp;_Plant24"/>
      <sheetName val="Materials_Cost24"/>
      <sheetName val="Lead_Statement24"/>
      <sheetName val="DIR_USED_ITEMS24"/>
      <sheetName val="Materials_Cost(PCC)24"/>
      <sheetName val="Rate_analysis_bmrc24"/>
      <sheetName val="CPIPE"/>
      <sheetName val="Stress Calculation"/>
      <sheetName val="SCurv (3)"/>
      <sheetName val="GN-ST-06(2)(Design Sheet-Ruled)"/>
      <sheetName val="Deprec."/>
      <sheetName val="SC-E-02-03"/>
      <sheetName val="TB-JUNE-2003-18.7.03"/>
      <sheetName val="Detail In Door Stad"/>
      <sheetName val="Inc.St.-Link"/>
      <sheetName val="para"/>
      <sheetName val="kppl pl"/>
      <sheetName val="d-safe DELUXE"/>
      <sheetName val="basic-data"/>
      <sheetName val="17sept"/>
      <sheetName val="A.O.R."/>
      <sheetName val="Road- Ex-soil"/>
      <sheetName val="Road.lvl"/>
      <sheetName val="Road- Filling"/>
      <sheetName val="Curb stone and cwall "/>
      <sheetName val="filling 75 mm"/>
      <sheetName val="Road Soling"/>
      <sheetName val="Road -WBM 1"/>
      <sheetName val="Road - WBM 2"/>
      <sheetName val="Road - PCC"/>
      <sheetName val="Road - Kerb stone"/>
      <sheetName val="Road -BM1"/>
      <sheetName val="Road -BM2"/>
      <sheetName val="F Bill - Road"/>
      <sheetName val="BOQ Distribution"/>
      <sheetName val="cubes_M20"/>
      <sheetName val="Advise 40% Balance 4th RA"/>
      <sheetName val="Advise 60% Adhoc 4th RA"/>
      <sheetName val="num-word (Service Tax)"/>
      <sheetName val="num-word (Tax Top)"/>
      <sheetName val="Advice "/>
      <sheetName val="ADVICE"/>
      <sheetName val="advice 100%"/>
      <sheetName val="WO STEEL"/>
      <sheetName val="wo celling plaster"/>
      <sheetName val="wo celling plaster 12mm"/>
      <sheetName val="wo waterproofing"/>
      <sheetName val="WO ARCHITRAVE"/>
      <sheetName val="wo external plaster"/>
      <sheetName val="WO LANDSCAPE "/>
      <sheetName val="WO GRANITE FACIA"/>
      <sheetName val="wo 9&quot; brick work"/>
      <sheetName val="wo 4.5&quot; brick work"/>
      <sheetName val="WO mica laminated sheet"/>
      <sheetName val="CUMMULATIVE SUMMARY"/>
      <sheetName val="Cement cons-main BOQ"/>
      <sheetName val="WIP-STEEl2"/>
      <sheetName val="Cement Cons Extra item-WIP"/>
      <sheetName val="deviation letter CAR"/>
      <sheetName val="SUMMARY-TOWER A1"/>
      <sheetName val="SUMMARY-TOWER A2"/>
      <sheetName val="SUMMARY-TOWER B1 TO B6"/>
      <sheetName val="LANSCAPE FOR TRIMIX HARDNER"/>
      <sheetName val="TREMIX IN STILT"/>
      <sheetName val="TREMIX IN PARKING"/>
      <sheetName val="TREMIX ON ROAD"/>
      <sheetName val="TREMIX IN STILT T-B4 &amp; B5"/>
      <sheetName val="trimix"/>
      <sheetName val="Dressing"/>
      <sheetName val="STONE CHAMPERING"/>
      <sheetName val="MEASUREMENTS OF TOWER A-1"/>
      <sheetName val="MEASUREMENTS OF TOWER A-2"/>
      <sheetName val="MEASUREMENTS OF TOWERS B1-B6"/>
      <sheetName val="ALL TOWER PROG"/>
      <sheetName val="BBS TRIMIX FLOORING"/>
      <sheetName val="LANSCAPE AND NON TOWER"/>
      <sheetName val="TREMIX  STEEL"/>
      <sheetName val="NON-TOWER WATER TANK"/>
      <sheetName val="MACHINE ROOM &amp; WT PLASTER &amp;PVC "/>
      <sheetName val="WO Ceramic tiles"/>
      <sheetName val="EXTERNAL PLASTER OVER TERRACE"/>
      <sheetName val="CHICKEN WIRE MESH"/>
      <sheetName val="MB SHEET ITEM NO. 9"/>
      <sheetName val="MB Sheet Item No. 7"/>
      <sheetName val="MB Sheet Item No. 1(T-A1-A2)"/>
      <sheetName val="MB Sheet Item No. 13(T-B1-B6 (2"/>
      <sheetName val="MB Sheet Item No. 4.1"/>
      <sheetName val="Annexurre-1"/>
      <sheetName val="Toilet Water- Proofing(A1 &amp; A2 "/>
      <sheetName val="pur.tender"/>
      <sheetName val="EMD "/>
      <sheetName val="Scrutiny"/>
      <sheetName val="A.O.R. (2)"/>
      <sheetName val="formwork (2)"/>
      <sheetName val="A_O_R_"/>
      <sheetName val="Consum"/>
      <sheetName val="Package-2"/>
      <sheetName val="sheeet7"/>
      <sheetName val="Dayworks Bill"/>
      <sheetName val="Bills of Quantities"/>
      <sheetName val="pur_tender"/>
      <sheetName val="EMD_"/>
      <sheetName val="Rate_List"/>
      <sheetName val="A_O_R__(2)"/>
      <sheetName val="A_O_R_1"/>
      <sheetName val="formwork_(2)"/>
      <sheetName val="Package-2 S-curve"/>
      <sheetName val="Measurment"/>
      <sheetName val="MPR_PA_1"/>
      <sheetName val="OH's"/>
      <sheetName val="BOQ P-N"/>
      <sheetName val="Site Plan"/>
      <sheetName val="Elect"/>
      <sheetName val="DPR BOQ"/>
      <sheetName val="DPR Rates"/>
      <sheetName val="Highways BOQ"/>
      <sheetName val="Structures BOQ"/>
      <sheetName val="Cover Drain"/>
      <sheetName val="ewst"/>
      <sheetName val="hyd stm Aitpamula sector final"/>
      <sheetName val="hyd stm Inupamula sector final"/>
      <sheetName val="Bhpl sd"/>
      <sheetName val="3405-2014"/>
      <sheetName val="Const-Wise-Abs"/>
      <sheetName val="Const-Link"/>
      <sheetName val="Dist. abs"/>
      <sheetName val="Mandal Abs.final"/>
      <sheetName val="Const. abstract final"/>
      <sheetName val="Intra Village-Det"/>
      <sheetName val="Online REport"/>
      <sheetName val="DEE office REport"/>
      <sheetName val="Procedure"/>
      <sheetName val="Connection Charges"/>
      <sheetName val="Consumption Charges"/>
      <sheetName val="Cost of O &amp; O"/>
      <sheetName val="pipe-water"/>
      <sheetName val="habs-details"/>
      <sheetName val="hab-details"/>
      <sheetName val="water-pros-pros-rate-empty"/>
      <sheetName val="water-pros-Ultim-rate-empty"/>
      <sheetName val="water-Ultimate-empty"/>
      <sheetName val="Nspt-smp-final-apprd"/>
      <sheetName val="water-pros-pros-rate"/>
      <sheetName val="water-ultimate"/>
      <sheetName val="water-JPTsump-in&amp;out"/>
      <sheetName val="water-JPTsump-Balance"/>
      <sheetName val="jpt-ohbr-out-flow(U)"/>
      <sheetName val="jpt-ohbr-out-flow(P)"/>
      <sheetName val="jpt-ohbr-out-flow(P)-Ult"/>
      <sheetName val="piv-smp-n1"/>
      <sheetName val="Nspt-smp-final-ORIGINAL-(2)"/>
      <sheetName val="Nspt-final-Ultimate(mwl)"/>
      <sheetName val="Nspt-final-Ultimate"/>
      <sheetName val="Nspt-final-pros"/>
      <sheetName val="Nspt-final-Ultimate-21m"/>
      <sheetName val="Nspt-final-at-18.5mstg"/>
      <sheetName val="Nspt-final-pros-14m"/>
      <sheetName val="Nspt-final-pros-12m"/>
      <sheetName val="Nspt-final-pros-10m"/>
      <sheetName val="Nspt-final-pros-7m"/>
      <sheetName val="Nspt-final-pros-4m"/>
      <sheetName val="Nspt-final-empy-258m"/>
      <sheetName val="Nspt-final-empy-254m"/>
      <sheetName val="Nspt-final-empy-249.5m"/>
      <sheetName val="Nspt-final-empy-252m"/>
      <sheetName val="Nspt-final-empy-248m"/>
      <sheetName val="Nspt-final-empy-244m"/>
      <sheetName val="final-smp-pipes"/>
      <sheetName val="Chart1-U and P"/>
      <sheetName val="Chart1-Actual-Flow"/>
      <sheetName val="chart-Jpt-Girnibai-OUT-flow"/>
      <sheetName val="jpt to Girnibai-Out Flow"/>
      <sheetName val="chart-Jpt-Girnibai-OUT-flow (2)"/>
      <sheetName val="chart-Jpt-Girnibai-OUT-flow (3)"/>
      <sheetName val="HDPE-pipe-rates"/>
      <sheetName val="psc-pipe-rates"/>
      <sheetName val="ci-pipes-road-cross"/>
      <sheetName val="pipe-est-16+2"/>
      <sheetName val="rev-pipe-est-16"/>
      <sheetName val="pipe-est (18)"/>
      <sheetName val="pipe-est (18)-1"/>
      <sheetName val="pipe-est (13habs)100%"/>
      <sheetName val="pipe-est(13habs)-single"/>
      <sheetName val="pipe-est (13habs)-bypass-Glsr"/>
      <sheetName val="pipe-est(12habs)-bypass"/>
      <sheetName val="ANX-I"/>
      <sheetName val="ANX-II"/>
      <sheetName val="Valve-cost"/>
      <sheetName val="est(13habs)-bypass"/>
      <sheetName val="na1-pac1-gravity-lines"/>
      <sheetName val="na1-pac1-gravity-lines-Final"/>
      <sheetName val="SMP-gravity-lines-Final"/>
      <sheetName val="HS"/>
      <sheetName val="Lines"/>
      <sheetName val="na1-pac3-gravity-lines"/>
      <sheetName val="epoxy"/>
      <sheetName val="MS pipe,flange,Dummy"/>
      <sheetName val="MS Air valve Data"/>
      <sheetName val="MS Sluice valve Data"/>
      <sheetName val="MS Scour valve Data"/>
      <sheetName val="Airvalve-&gt;1000 MS"/>
      <sheetName val="sluice-MS- &gt;1000 pipe"/>
      <sheetName val="scour-MS &gt;1000"/>
      <sheetName val="sluice-HDPE- FINAL"/>
      <sheetName val="tExnwdpyfD"/>
      <sheetName val="WCO0E1htj6"/>
      <sheetName val="Airvalve-BWSC&amp;MS"/>
      <sheetName val="ziyr7m1jvc"/>
      <sheetName val="kwxes9niwdp7kyhtco1jvcq5jxeq9n3"/>
      <sheetName val="nzo1jvcq9l"/>
      <sheetName val="Swing Cgeck valves "/>
      <sheetName val="Gravity Estt"/>
      <sheetName val="pipe lengths"/>
      <sheetName val="pop corrrected"/>
      <sheetName val="Final-Hyd psets"/>
      <sheetName val="Final-Hyd pm-final (2)"/>
      <sheetName val="HYD KMR TOWN"/>
      <sheetName val="HYD KMR TOWN (2)"/>
      <sheetName val="comp ms - grp"/>
      <sheetName val="comp"/>
      <sheetName val="Project pop"/>
      <sheetName val="26 col (2)"/>
      <sheetName val="eco dia upto Indalwai"/>
      <sheetName val="eco dia upto Indalwai (2)"/>
      <sheetName val="eco dia upto gandhari"/>
      <sheetName val="eco dia upto gandhari (2)"/>
      <sheetName val="Final-Hyd pm-final"/>
      <sheetName val="pipes-tatal"/>
      <sheetName val="pipes-raw-final"/>
      <sheetName val="pipes-clear-final"/>
      <sheetName val="Format f8"/>
      <sheetName val="Gen_Abstract"/>
      <sheetName val="SECDW_I"/>
      <sheetName val="SECDW_II"/>
      <sheetName val=" Estimate"/>
      <sheetName val="1st KM"/>
      <sheetName val="2nd Km"/>
      <sheetName val="3rd Km"/>
      <sheetName val="CDT"/>
      <sheetName val="Cer_1"/>
      <sheetName val="Lead Chat"/>
      <sheetName val="Cer_2"/>
      <sheetName val="Chap-11"/>
      <sheetName val="SSR(15-16)"/>
      <sheetName val="Lead(15-16)"/>
      <sheetName val="Data- All(15-16)"/>
      <sheetName val="1000 KLSump  Medchal"/>
      <sheetName val="PH 12x6(15-16)"/>
      <sheetName val="WQ(15-16)"/>
      <sheetName val="Compound walls (15-16)"/>
      <sheetName val="Medchal 120KL-30"/>
      <sheetName val="Dabilpur 40KL-30"/>
      <sheetName val="Ped Thrst est(15-16)"/>
      <sheetName val="pedestals(15-16)"/>
      <sheetName val="Thrust blocks(15-16)"/>
      <sheetName val="ENC_HYD latest"/>
      <sheetName val="TOPSHT"/>
      <sheetName val="Instructions"/>
      <sheetName val="Size"/>
      <sheetName val="Output"/>
      <sheetName val="bend L"/>
      <sheetName val="Det_design"/>
      <sheetName val="DET_EST"/>
      <sheetName val="ABS_EST"/>
      <sheetName val="rod"/>
      <sheetName val="Cent_data"/>
      <sheetName val="TABLE"/>
      <sheetName val="Under ground  tanks"/>
      <sheetName val="Rect Tanks"/>
      <sheetName val="IS 3370-DsnTable"/>
      <sheetName val="Dsn-Cir-Tank-3m"/>
      <sheetName val="Dsn-Cir-Tank-4m"/>
      <sheetName val="Side wall"/>
      <sheetName val="wall code"/>
      <sheetName val="Side wall dsn Formula"/>
      <sheetName val="RectTankCoeff"/>
      <sheetName val="SW Formula"/>
      <sheetName val="SumpDsn-CenColInsideTank-INPUT"/>
      <sheetName val="SumpDsn-CenColInsideTank"/>
      <sheetName val="SumpDsn-NoColumn-M20"/>
      <sheetName val="SumpDsn-NoColumn-M30-INPUT"/>
      <sheetName val="SumpDsn-NoColumn-M30"/>
      <sheetName val="Abs-sump-NoCol-M30"/>
      <sheetName val="Abs-sump-NoCol-M20"/>
      <sheetName val="DE-sump-NoCol-M30"/>
      <sheetName val="DE-sump-NoCol-M20"/>
      <sheetName val="BarBendDraw-M30"/>
      <sheetName val="BarBendDraw-M20"/>
      <sheetName val="BarBendSchedl-M30"/>
      <sheetName val="BarBendSchedl-M20"/>
      <sheetName val="salient details-1"/>
      <sheetName val="SalientDetails"/>
      <sheetName val="Comp.Stt."/>
      <sheetName val="IS 456-2000"/>
      <sheetName val="Base slab"/>
      <sheetName val=" abstract"/>
      <sheetName val="DEt est"/>
      <sheetName val="IS 3370-DsnTable 9 &amp; 10"/>
      <sheetName val="Table 21-IS3370-Pt4"/>
      <sheetName val="IS 3370-DsnTable 12 &amp; 13"/>
      <sheetName val="SinglyReinForSec"/>
      <sheetName val="Design-sump"/>
      <sheetName val="Dome-opening at crown"/>
      <sheetName val="PIPE CONNNNECTION"/>
      <sheetName val="SPECIALS WT"/>
      <sheetName val="Drawing  rein"/>
      <sheetName val="Drawing size"/>
      <sheetName val="SumpDsn-NoColumn-M30 (2)"/>
      <sheetName val="Abs-sump-NoCol-M30 (2)"/>
      <sheetName val="Abs-sump-NoCol-M20-STT"/>
      <sheetName val="SumpDsn-NoColumn-M30 (3)"/>
      <sheetName val="DsnConcept"/>
      <sheetName val="Comb-Bend&amp;Axial-Concept"/>
      <sheetName val="Design (2)"/>
      <sheetName val="Column-1"/>
      <sheetName val="Column-2"/>
      <sheetName val="Column-3"/>
      <sheetName val="Column-4"/>
      <sheetName val="CombBandA-uncrack"/>
      <sheetName val="CombBandA-crack"/>
      <sheetName val="LSD-Sht-Col-1"/>
      <sheetName val="LSD-Sht-Col-2"/>
      <sheetName val="LSD-Lng-Col-1"/>
      <sheetName val="LSD-Lng-Col-2"/>
      <sheetName val="LSD-Lng-Col-3"/>
      <sheetName val="Input_create"/>
      <sheetName val="Cd"/>
      <sheetName val="THK"/>
      <sheetName val="CPIPE 1"/>
      <sheetName val="ABS EST Z-1"/>
      <sheetName val="DET EST Z-1"/>
      <sheetName val="Thrust Block Z-1"/>
      <sheetName val="ABS ESTZ-2"/>
      <sheetName val="DET EST Z-2"/>
      <sheetName val="ABS ESTZ-Z-3"/>
      <sheetName val="DET EST Z-3"/>
      <sheetName val="ABS ESTZ-Z-4"/>
      <sheetName val="DET EST Z-4"/>
      <sheetName val="ABS ESTZ-Z-5"/>
      <sheetName val="DET EST Z-5"/>
      <sheetName val="ABS ESTZ-Z-6"/>
      <sheetName val="DET EST Z-6"/>
      <sheetName val="ABS EST Z-2"/>
      <sheetName val="DET EST Z-2_"/>
      <sheetName val="Thrust Block Z-2"/>
      <sheetName val="ABS EST Z-3"/>
      <sheetName val="DET EST Z-3 "/>
      <sheetName val="Thrust Block Z-3"/>
      <sheetName val="ABS EST Z-4"/>
      <sheetName val="DET EST Z-4 "/>
      <sheetName val="Thrust Block Z-4"/>
      <sheetName val="Anchorage"/>
      <sheetName val="TH BLOCK"/>
      <sheetName val="valve ch-80mm"/>
      <sheetName val="valve ch-300mm"/>
      <sheetName val="Data Civil"/>
      <sheetName val="Schedule-SS"/>
      <sheetName val="Unit cost-specials"/>
      <sheetName val="specials"/>
      <sheetName val="EW (2)"/>
      <sheetName val="Abs Wagha"/>
      <sheetName val="Wagha BoQ"/>
      <sheetName val="Elect_"/>
      <sheetName val="Hardware"/>
      <sheetName val="Analysis "/>
      <sheetName val="PEP-Data"/>
      <sheetName val="BOQ-Structural"/>
      <sheetName val="dewatering"/>
      <sheetName val="earth work Road"/>
      <sheetName val="Cal - 08-09"/>
      <sheetName val="Lead statement - 2008-09"/>
      <sheetName val="Bitumen-2008-09"/>
      <sheetName val="13 (2)"/>
      <sheetName val="12 (20%)"/>
      <sheetName val="13 (20%)"/>
      <sheetName val="14 (20%)"/>
      <sheetName val="15 (2)"/>
      <sheetName val="Market Rate"/>
      <sheetName val="Cement"/>
      <sheetName val="Material Rate Variation"/>
      <sheetName val="sc bills"/>
      <sheetName val="Top Sheet 1 "/>
      <sheetName val="cf abstract"/>
      <sheetName val="cf sch31.07.07"/>
      <sheetName val="QTY Plan_Prime cost"/>
      <sheetName val="Itemwise Qty plan &amp; Gross Bill"/>
      <sheetName val="Summary 1"/>
      <sheetName val="BOQ_New 1"/>
      <sheetName val="RA Balance items"/>
      <sheetName val="Staff Expenses 1"/>
      <sheetName val="Lease &amp; Rentals 1"/>
      <sheetName val="Office &amp; Admn 1"/>
      <sheetName val="Input 1"/>
      <sheetName val="Bitumen Calculations 1"/>
      <sheetName val="P&amp;M Charges"/>
      <sheetName val="Tech Data"/>
      <sheetName val="Overhead summary"/>
      <sheetName val="Qnty planned"/>
      <sheetName val="PROGRM -2"/>
      <sheetName val="SC WO rates"/>
      <sheetName val="Syn.my to jam."/>
      <sheetName val="Machinery List"/>
      <sheetName val="STAFF-OH"/>
      <sheetName val="M.J.1 BOQ"/>
      <sheetName val="T-2 gen"/>
      <sheetName val="Road Map"/>
      <sheetName val="Details material"/>
      <sheetName val="MECH-PROG (2)"/>
      <sheetName val="Note Sheet"/>
      <sheetName val="notesheet"/>
      <sheetName val="Syn-pkg-1"/>
      <sheetName val="Syn-pkg-2"/>
      <sheetName val="Jhar. BOQ.I,II"/>
      <sheetName val="Machinery Costing"/>
      <sheetName val="PMC BP"/>
      <sheetName val="PMC Mach"/>
      <sheetName val="Drain calculations"/>
      <sheetName val="Con Pro.I"/>
      <sheetName val="mobilisation"/>
      <sheetName val="Con Pro.II"/>
      <sheetName val="Escl"/>
      <sheetName val="Layout"/>
      <sheetName val="Elec Items"/>
      <sheetName val="Synops"/>
      <sheetName val="Abstract ( Depre)"/>
      <sheetName val="C.P. BOQ"/>
      <sheetName val="BitAll"/>
      <sheetName val="Revised"/>
      <sheetName val="Revised (2)"/>
      <sheetName val="Work Prog"/>
      <sheetName val="C.Flow - WORKING"/>
      <sheetName val="C.Flow - ABS"/>
      <sheetName val="Syn-pkg-3"/>
      <sheetName val="Syn-pkg-4"/>
      <sheetName val="Loading (2)"/>
      <sheetName val="Jhar. BOQ.III,IV"/>
      <sheetName val="Con Pro.III"/>
      <sheetName val="Con Pro.IV"/>
      <sheetName val="Road Works"/>
      <sheetName val="MEST"/>
      <sheetName val="MBTLead"/>
      <sheetName val="MRMR"/>
      <sheetName val="MRoadMap"/>
      <sheetName val="SK BOQ Pkg-1"/>
      <sheetName val="Str.Qu."/>
      <sheetName val="AP-1(Electrical BOQ)"/>
      <sheetName val="machinery available soil"/>
      <sheetName val="MAJ Qtys HORR"/>
      <sheetName val="Crusher "/>
      <sheetName val="Shuttering Cost"/>
      <sheetName val="con pro."/>
      <sheetName val="Syn of Sk -Pkg1"/>
      <sheetName val="CoA Breakup"/>
      <sheetName val="AP-7(synopsis)"/>
      <sheetName val="Summary AP7"/>
      <sheetName val="BOQ AP 7"/>
      <sheetName val="MAJ Qtys Ap"/>
      <sheetName val="Qty's calc."/>
      <sheetName val="Cost summary (test)"/>
      <sheetName val="Cost summary (2)"/>
      <sheetName val="Activity summary"/>
      <sheetName val="Commission fees"/>
      <sheetName val="FUNCTION"/>
      <sheetName val="pr_cal"/>
      <sheetName val="Process"/>
      <sheetName val="Railway Deposit"/>
      <sheetName val="BOQ Thum"/>
      <sheetName val="PMC mach "/>
      <sheetName val="Crusher-PMC"/>
      <sheetName val="L.map"/>
      <sheetName val="Ele. workable Rates"/>
      <sheetName val="MBQ"/>
      <sheetName val="drg study"/>
      <sheetName val="block"/>
      <sheetName val="Technicla manpower"/>
      <sheetName val="Mixer"/>
      <sheetName val="Basic Material Rate"/>
      <sheetName val="BP Cost"/>
      <sheetName val="Rate Analysis- Earth work"/>
      <sheetName val="Rate Analysis-Misc "/>
      <sheetName val="Finishing"/>
      <sheetName val="Plant Hire Pile"/>
      <sheetName val="Rate Analysis-Pile"/>
      <sheetName val="Rate Analysis- Concrete"/>
      <sheetName val="Clarification"/>
      <sheetName val="Rate analysis - EW"/>
      <sheetName val="masonary"/>
      <sheetName val="Conc analysis"/>
      <sheetName val="Rate Analysis-Misc"/>
      <sheetName val="Rate Anaysis-Finish"/>
      <sheetName val="Rate Analysis-Finish1"/>
      <sheetName val="Content-Technical"/>
      <sheetName val="Org-Chart"/>
      <sheetName val="Manpower Sche"/>
      <sheetName val="equipment Sche"/>
      <sheetName val="Tools"/>
      <sheetName val="Cover "/>
      <sheetName val="Separator Sheet"/>
      <sheetName val="Module7"/>
      <sheetName val="Module8"/>
      <sheetName val="Module9"/>
      <sheetName val="R1"/>
      <sheetName val="R2"/>
      <sheetName val="R3"/>
      <sheetName val="PH "/>
      <sheetName val="PH BOQ"/>
      <sheetName val="Additional Common Cost"/>
      <sheetName val="Org. Chart"/>
      <sheetName val="BOQ_Summary"/>
      <sheetName val="BOQ_HVAC, Plumbing &amp; Control"/>
      <sheetName val="HVAC Equip. Loading Data"/>
      <sheetName val="Attachment #1"/>
      <sheetName val="Attachment #2"/>
      <sheetName val="Attachment #3"/>
      <sheetName val="Attachment #4"/>
      <sheetName val="Budgetory price-to submit"/>
      <sheetName val="Budgetory price-R2 "/>
      <sheetName val="Costing summery"/>
      <sheetName val="Ash Dyke"/>
      <sheetName val="Erection-Mech"/>
      <sheetName val="E&amp;I mHr-Consu cost"/>
      <sheetName val="W-Cost-Est-Mech"/>
      <sheetName val="Concrete analysis"/>
      <sheetName val="Shuttering analysis"/>
      <sheetName val="DAF-1"/>
      <sheetName val="Rekap"/>
      <sheetName val="ANALISA RAB"/>
      <sheetName val="Analisa Teknik"/>
      <sheetName val="UPAH + ALAT"/>
      <sheetName val="Analisa"/>
      <sheetName val="Bahan"/>
      <sheetName val="Upah"/>
      <sheetName val="Sub"/>
      <sheetName val="Gaji"/>
      <sheetName val=" BU"/>
      <sheetName val="MU"/>
      <sheetName val="Peralatan"/>
      <sheetName val="Alat"/>
      <sheetName val="PL. Ratu"/>
      <sheetName val="Indramayu"/>
      <sheetName val="BQ "/>
      <sheetName val="Dash b"/>
      <sheetName val="Prelim"/>
      <sheetName val="Summery7"/>
      <sheetName val="BQpaket7"/>
      <sheetName val="analysis2"/>
      <sheetName val="DHsat"/>
      <sheetName val="basic price"/>
      <sheetName val="an-tek"/>
      <sheetName val="ProdAlat"/>
      <sheetName val="ALAT JLN"/>
      <sheetName val="an-alat"/>
      <sheetName val="anl pump hs"/>
      <sheetName val="MOMDEMOB"/>
      <sheetName val="ebc"/>
      <sheetName val="1000"/>
      <sheetName val="1200 &amp;1400"/>
      <sheetName val="boughtout"/>
      <sheetName val="erect"/>
      <sheetName val="hours"/>
      <sheetName val="erec"/>
      <sheetName val="belt-conv"/>
      <sheetName val="E &amp; I"/>
      <sheetName val="CABLE BULK"/>
      <sheetName val="Module1 "/>
      <sheetName val="計算式"/>
      <sheetName val="DC - Dozer"/>
      <sheetName val="CCS"/>
      <sheetName val="Non-Rec"/>
      <sheetName val="Prelims"/>
      <sheetName val="Bill1"/>
      <sheetName val="1.1 Staff"/>
      <sheetName val="3.1 Labour"/>
      <sheetName val="4.1 Site_Offices"/>
      <sheetName val="6.1 Plant"/>
      <sheetName val="6.5.1 Ext Scaffold"/>
      <sheetName val="6.5.2 Int Scaffold"/>
      <sheetName val="ETP-220VAC DCS"/>
      <sheetName val="ETP_220VAC DCS"/>
      <sheetName val="Ward areas"/>
      <sheetName val="Synopsis 33A"/>
      <sheetName val="BOQ-II"/>
      <sheetName val="Programme-II"/>
      <sheetName val="Rate Bank"/>
      <sheetName val="Conc. Mixer"/>
      <sheetName val="Shuttering ana"/>
      <sheetName val="Reinf &amp; Fab"/>
      <sheetName val="TAX"/>
      <sheetName val="mem-property"/>
      <sheetName val="Adhi Price"/>
      <sheetName val="Basic Materials"/>
      <sheetName val="Precast Cc Block"/>
      <sheetName val="Borrow Earth 13Km lead"/>
      <sheetName val="option3"/>
      <sheetName val="Load Details(B1)"/>
      <sheetName val="Input "/>
      <sheetName val="Final Bill of Material"/>
      <sheetName val="SAP"/>
      <sheetName val="Zaheer"/>
      <sheetName val="Comprsn"/>
      <sheetName val="sch_a"/>
      <sheetName val="sch_c"/>
      <sheetName val="sec_d"/>
      <sheetName val="sec_e"/>
      <sheetName val="sec_f"/>
      <sheetName val="ITemised rates"/>
      <sheetName val="new items"/>
      <sheetName val="Vind - BtB"/>
      <sheetName val="CABLE"/>
      <sheetName val="DETAILED  BOQ"/>
      <sheetName val="std.wt."/>
      <sheetName val="drg.qty"/>
      <sheetName val="rf-qty"/>
      <sheetName val="str.stl"/>
      <sheetName val="rms"/>
      <sheetName val="Steel Std Wts."/>
      <sheetName val="I-BLDGS.ABS (CB)"/>
      <sheetName val="I-BLDGS. (8)CB"/>
      <sheetName val="I-BLDGS. (7)CB"/>
      <sheetName val="I-BLDGS. (6)CB"/>
      <sheetName val="I-BLDGS. (5)CB"/>
      <sheetName val="I-BLDGS. (4)CB"/>
      <sheetName val="I-BLDGS. (3)CB"/>
      <sheetName val="I-BLDGS. (2)CB"/>
      <sheetName val="I-BLDGS. (1)CB"/>
      <sheetName val="I-BLDGS.ABS (BG)"/>
      <sheetName val="I-BLDGS. (10)BG"/>
      <sheetName val="I-BLDGS. (9)BG"/>
      <sheetName val="I-BLDGS. (8)BG"/>
      <sheetName val="I-BLDGS. (7)BG"/>
      <sheetName val="I-BLDGS. (6)BG"/>
      <sheetName val="I-BLDGS. (5)BG"/>
      <sheetName val="I-BLDGS. (4)BG"/>
      <sheetName val="I-BLDGS. (3)BG"/>
      <sheetName val="I-BLDGS. (2)BG"/>
      <sheetName val="I-BLDGS. (1)BG"/>
      <sheetName val="II,IV,V,VI,VII-BOQ"/>
      <sheetName val="III-ELECT."/>
      <sheetName val="VIII-LIFTS"/>
      <sheetName val="IX-SWH"/>
      <sheetName val="X-FFS"/>
      <sheetName val="XI-SL"/>
      <sheetName val="Elect.Analysis"/>
      <sheetName val="LE"/>
      <sheetName val="Gamzen"/>
      <sheetName val="Qty "/>
      <sheetName val="ANA-LS"/>
      <sheetName val="ANAL-IR"/>
      <sheetName val="TEAM-TEN 01 F 02"/>
      <sheetName val="SFCRR-TEN 01 F 03-SPB"/>
      <sheetName val="Scope"/>
      <sheetName val="T-4"/>
      <sheetName val="T-1A"/>
      <sheetName val="T-1B"/>
      <sheetName val="T-3 "/>
      <sheetName val="T6A"/>
      <sheetName val="T-6"/>
      <sheetName val="T-7"/>
      <sheetName val="T-8A"/>
      <sheetName val="T-9A"/>
      <sheetName val="MSPS_Abstract"/>
      <sheetName val="MSPS_Detailed"/>
      <sheetName val="drwng_study"/>
      <sheetName val="M-BOQ"/>
      <sheetName val="sliding "/>
      <sheetName val="casement"/>
      <sheetName val="RA "/>
      <sheetName val="I-MAINFACT"/>
      <sheetName val="II-RAduct"/>
      <sheetName val="III-RawMatGodwn"/>
      <sheetName val="IV-Utility"/>
      <sheetName val="V-UGtank"/>
      <sheetName val="VI-Road"/>
      <sheetName val="VII-ETP"/>
      <sheetName val="Flooring-MRS"/>
      <sheetName val="BO"/>
      <sheetName val="ANALSIS "/>
      <sheetName val="BOQ  "/>
      <sheetName val="G.SUMMARY"/>
      <sheetName val="Summary -OH "/>
      <sheetName val="BOQ "/>
      <sheetName val="Alanysis for Stations &amp; Roads"/>
      <sheetName val="Points"/>
      <sheetName val="Table9"/>
      <sheetName val="Table10"/>
      <sheetName val="Table12"/>
      <sheetName val="TemplateInformation"/>
      <sheetName val="floor slab-RS2"/>
      <sheetName val="Design Pad"/>
      <sheetName val="Oneway Slab"/>
      <sheetName val="Two slab"/>
      <sheetName val="Monorail"/>
      <sheetName val="Flight-1"/>
      <sheetName val="BS8007 (21)"/>
      <sheetName val="BS8007 (3)"/>
      <sheetName val="IS456"/>
      <sheetName val="cover-sheet"/>
      <sheetName val="sep"/>
      <sheetName val="scop"/>
      <sheetName val="sep (2)"/>
      <sheetName val="design criterion "/>
      <sheetName val="sep (5)"/>
      <sheetName val="buildings "/>
      <sheetName val="sep (3)"/>
      <sheetName val="WT1"/>
      <sheetName val="w.t"/>
      <sheetName val="TRACK-HOPPER"/>
      <sheetName val="m'bays"/>
      <sheetName val="UGTP"/>
      <sheetName val="tunnel-D"/>
      <sheetName val="stacker reclaimer"/>
      <sheetName val="trestls"/>
      <sheetName val="TPS"/>
      <sheetName val="PH's"/>
      <sheetName val="Tel  "/>
      <sheetName val="Ext.light"/>
      <sheetName val="Staff Acco_"/>
      <sheetName val="1.1(a)_Pipes (For External)"/>
      <sheetName val="1.1(b)_Pipes (For External)"/>
      <sheetName val="1.2a_M.S. Pipe (Above ground)"/>
      <sheetName val="1.2b_M.S. Pipes (Above ground)"/>
      <sheetName val="1.3_Sluice valves"/>
      <sheetName val="1.4_Butterfly valves"/>
      <sheetName val="1.5_Non-return valve"/>
      <sheetName val="2.1_External Fire Hydrant"/>
      <sheetName val="2.3(a)_Landing Valve"/>
      <sheetName val="2.4_Branch pipe"/>
      <sheetName val="2.5_Hose reel"/>
      <sheetName val="2.6_RRL Hose Pipe"/>
      <sheetName val="2.7_Fullway valve"/>
      <sheetName val="3.1_2 way fire brigade"/>
      <sheetName val="3.2_4 way fire brigade"/>
      <sheetName val="3.3_Fire Brigade suction hose"/>
      <sheetName val="3.4_Gun metal Air release valve"/>
      <sheetName val="5.1_ABC Type Fire Extinguisher"/>
      <sheetName val="5.2_CO2 Type Fire Extinguisher"/>
      <sheetName val="5.3_CO2 Trolley Mounted"/>
      <sheetName val="5.4_Water extinguisher (9 Ltrs)"/>
      <sheetName val="5.5_Mechanical Foam (9 Ltrs)"/>
      <sheetName val="5.6_Mechanical Foam (50 Ltrs)"/>
      <sheetName val="6.1_M.S. Black pipes"/>
      <sheetName val="6.2_Sprinklers"/>
      <sheetName val="6.9_Ball valve"/>
      <sheetName val="6.6_Butterfly valves"/>
      <sheetName val="6.7_Alarm check valve"/>
      <sheetName val="6.8_Gunmetal Isolation valve"/>
      <sheetName val="6.9_Forged brass ball valve"/>
      <sheetName val="6.10_Flow indicating Switch"/>
      <sheetName val="6.11_C.I. Air release valve"/>
      <sheetName val="7.1a_Main Fire Pump"/>
      <sheetName val="7.1b_Jockey pump"/>
      <sheetName val="7.1c_Sprinkler pump"/>
      <sheetName val="7.2_Diesel Driven pump"/>
      <sheetName val="7.3_Fire Pump (Panels)"/>
      <sheetName val="7.5_Perforated type Cable Tray"/>
      <sheetName val="7.6_C.I. Y Type Strainer"/>
      <sheetName val="7.8_Pressure Gauge"/>
      <sheetName val="7.10_Copper armoured cables"/>
      <sheetName val="7.11_Aluminium armoured cables"/>
      <sheetName val="7.12_Earthing Station"/>
      <sheetName val="7.13_G.I. Strip"/>
      <sheetName val="7.14_G.I. Strip "/>
      <sheetName val="G.Abst"/>
      <sheetName val="civ.abst"/>
      <sheetName val="Anchor"/>
      <sheetName val="pipe abst "/>
      <sheetName val="pumpset abst"/>
      <sheetName val="Pumpset Designs"/>
      <sheetName val="hyd_design_sumps"/>
      <sheetName val="Protec work"/>
      <sheetName val="F.bridge"/>
      <sheetName val="Approach Rd"/>
      <sheetName val="Soil test &amp; Jun cl"/>
      <sheetName val="KON - DATA GLBR, Wat"/>
      <sheetName val="GLBR1000EST"/>
      <sheetName val="GLBR1000KLDESG"/>
      <sheetName val="piles"/>
      <sheetName val="Data IBM Jn"/>
      <sheetName val="OHSR per Lt _2.5"/>
      <sheetName val="DesignsmymKON"/>
      <sheetName val="9x4 P.H GK"/>
      <sheetName val="9x4 P.H"/>
      <sheetName val="Watch  Qtr @ KDP GLBR"/>
      <sheetName val="Data IBM Jn GLSR"/>
      <sheetName val="Watch @ IBM GLSR"/>
      <sheetName val="Watch @ H.W"/>
      <sheetName val="Prote at GLSR"/>
      <sheetName val="6 X 4 P.H"/>
      <sheetName val="DataIBMJN"/>
      <sheetName val="DataGKJN"/>
      <sheetName val="GKRSump(506kl)"/>
      <sheetName val="IBM SUMP904KLDESG"/>
      <sheetName val="DES-1000KL-GLBRKON"/>
      <sheetName val="Sump 904 KL est"/>
      <sheetName val="W.h.Coeff"/>
      <sheetName val="Pipe rate"/>
      <sheetName val="1.50lakhltrt"/>
      <sheetName val="40000ltsOHSR Ch.M"/>
      <sheetName val="40000ltsOHSR Pi"/>
      <sheetName val="Top Sheet  "/>
      <sheetName val="Top Sheet -1"/>
      <sheetName val="ABS-SOH"/>
      <sheetName val="Salaries"/>
      <sheetName val="Off-Veh Exp"/>
      <sheetName val="BP-Other strs"/>
      <sheetName val="BP- FOs-Itchgs"/>
      <sheetName val="Hire chares of Machinery"/>
      <sheetName val="Land Lease-NH "/>
      <sheetName val="BOQ  (2)"/>
      <sheetName val="ESC"/>
      <sheetName val="TARGET VS ACHIVED"/>
      <sheetName val="Sheet1(NOV)"/>
      <sheetName val="Reasons SHORT&amp;CRITICA&amp;EXE.TIME "/>
      <sheetName val="BCTC_SUPPLY (CERTIFIED BILLS)"/>
      <sheetName val="BCTC_ERECTION"/>
      <sheetName val="Action Plan-RE work"/>
      <sheetName val="Action plan Turn Over reports"/>
      <sheetName val="RA BILL DEATAILS"/>
      <sheetName val="pending micc &amp; cip"/>
      <sheetName val="Supply Pkg B"/>
      <sheetName val="Er. PkgB"/>
      <sheetName val="Tower Calculations"/>
      <sheetName val="Hardware &amp; Acces."/>
      <sheetName val="MIS_MRN-6"/>
      <sheetName val="MRN-NEW"/>
      <sheetName val="In Ward 2007-2009"/>
      <sheetName val="MRN"/>
      <sheetName val="MS+CS"/>
      <sheetName val="MRNvsPJV FOR 10"/>
      <sheetName val="MS+CS FOR 10"/>
      <sheetName val="MS FOR 10"/>
      <sheetName val="701"/>
      <sheetName val="736"/>
      <sheetName val="98"/>
      <sheetName val="620"/>
      <sheetName val="597"/>
      <sheetName val="668"/>
      <sheetName val="570"/>
      <sheetName val="524"/>
      <sheetName val="675"/>
      <sheetName val="121"/>
      <sheetName val="577"/>
      <sheetName val="681"/>
      <sheetName val="20176"/>
      <sheetName val="20131"/>
      <sheetName val="20165"/>
      <sheetName val="ORG CHART 040206"/>
      <sheetName val="DPR"/>
      <sheetName val="11 KV MAIN LINE 05.02.06"/>
      <sheetName val="s6 05.02.06"/>
      <sheetName val="Trans main"/>
      <sheetName val="Piling-Quot"/>
      <sheetName val="Piling-Kilpak"/>
      <sheetName val="Piling-KKNgr"/>
      <sheetName val="Piling-AnaPonga"/>
      <sheetName val="ABSTRACT-28-07-10"/>
      <sheetName val="DEBTORS AGING - Q1-FINAL"/>
      <sheetName val="NET DEB. W.INGS.26-7"/>
      <sheetName val="DEB. PROV.AS ON 30-06-2010"/>
      <sheetName val="DEB.ACT.PROV.AVAILABLE31-03-10"/>
      <sheetName val="G.D.(ACTUAL)"/>
      <sheetName val="LESSTHAN 6 M"/>
      <sheetName val="MORETHAN 6 MONTHS"/>
      <sheetName val="ONE TO TWO YRS."/>
      <sheetName val="TO TWO 2 3 YRS."/>
      <sheetName val="MOB.ADV."/>
      <sheetName val="MAT.ADV."/>
      <sheetName val="MAC.ADV."/>
      <sheetName val="01-04-08-30-06-08"/>
      <sheetName val="1-7-07-31-03-09"/>
      <sheetName val="01-04-09 30-06-09"/>
      <sheetName val="01-07-08 TO 31-03-09"/>
      <sheetName val="Complaince Status Report"/>
      <sheetName val="STOCK STATEMENT-BSP"/>
      <sheetName val="Stock Statement"/>
      <sheetName val="Major Materials"/>
      <sheetName val="Free Issue Mat. to PRW_Sub Con."/>
      <sheetName val="P.V.CL.Stock-BSP"/>
      <sheetName val="Physical Verification Cl. Stock"/>
      <sheetName val="Physical verification of FA"/>
      <sheetName val="Physical verification-BSP"/>
      <sheetName val="CFL-BEED"/>
      <sheetName val="CFL-KIM"/>
      <sheetName val="CFL-ORISSA"/>
      <sheetName val="SMR-SUPPLY"/>
      <sheetName val="SMR-EXP."/>
      <sheetName val="CFL-S'PUR"/>
      <sheetName val="CFL-S'PUR(AD)"/>
      <sheetName val="CFL-MBB"/>
      <sheetName val="CFL-MOBHA"/>
      <sheetName val="CFL-KOLAR"/>
      <sheetName val="CFL-WALUJ"/>
      <sheetName val="CFL-WALUJ(ad)"/>
      <sheetName val="CFL-JEJURI (ad)"/>
      <sheetName val="CFL-JEJURI"/>
      <sheetName val="CFL-DVC "/>
      <sheetName val="M-CR"/>
      <sheetName val="SUMMARY (AD)"/>
      <sheetName val="SUM-MW"/>
      <sheetName val="Monthly Billing"/>
      <sheetName val="MPS R-1 (2)"/>
      <sheetName val="MPS R-1"/>
      <sheetName val="Level-3 MPS"/>
      <sheetName val="Old working"/>
      <sheetName val="SIL File"/>
      <sheetName val="DT"/>
      <sheetName val="DPR -Permanent Works"/>
      <sheetName val="CP FEB 03"/>
      <sheetName val="CWCO FEB 03"/>
      <sheetName val="OH FEB 03"/>
      <sheetName val="MAT FEB 03"/>
      <sheetName val="P&amp;M AFA"/>
      <sheetName val="P&amp;M DEPN"/>
      <sheetName val="LAB FEB'03"/>
      <sheetName val="SC Cost FEB 03"/>
      <sheetName val="FEB03 LEDGER"/>
      <sheetName val="FEB03 LEDGER (2)"/>
      <sheetName val="JAN 03 LEDGER (2)"/>
      <sheetName val="CP distribution for CEMA"/>
      <sheetName val="CP MAR 03"/>
      <sheetName val="CWCO MAR 03"/>
      <sheetName val="MAR03 LEDGER"/>
      <sheetName val="MAR03 LEDGER (2)"/>
      <sheetName val="Main Block"/>
      <sheetName val="Glacis Concrete"/>
      <sheetName val="TW-DW-90.85-105.85"/>
      <sheetName val="TW-DW-75.85-90.85 "/>
      <sheetName val="TW-DW-42-75.85"/>
      <sheetName val="Pier-26.17-42"/>
      <sheetName val="Workplan"/>
      <sheetName val="Conc&amp; Aggr"/>
      <sheetName val="Work Plan-Dam-0304-R1"/>
      <sheetName val="Z- GENERAL PRICE SUMMARY"/>
      <sheetName val=" Estimate  "/>
      <sheetName val="갑지1"/>
      <sheetName val="경영혁신본뷀"/>
      <sheetName val="고압수량(철거)"/>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기계내역서"/>
      <sheetName val="2.2 STAFF Scedule"/>
      <sheetName val="당초내역서"/>
      <sheetName val="갑지(추정)"/>
      <sheetName val="ELEC_DCI"/>
      <sheetName val="INST_DCI"/>
      <sheetName val="Engg-Exec-2"/>
      <sheetName val="Site-Precom-2"/>
      <sheetName val="Collab"/>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EQUIPOS"/>
      <sheetName val="AREA"/>
      <sheetName val="바닥판"/>
      <sheetName val="TYPE1"/>
      <sheetName val="철근량"/>
      <sheetName val="토목주소"/>
      <sheetName val="프랜트면허"/>
      <sheetName val="역T형"/>
      <sheetName val="Man Hole"/>
      <sheetName val="대로근거"/>
      <sheetName val="중로근거"/>
      <sheetName val="PRO_DCI"/>
      <sheetName val="HVAC_DCI"/>
      <sheetName val="PIPE_DCI"/>
      <sheetName val="일위대가표"/>
      <sheetName val="조건표"/>
      <sheetName val="내역표지"/>
      <sheetName val="산출2-기기동력"/>
      <sheetName val="40총괄"/>
      <sheetName val="40집계"/>
      <sheetName val="30신설일위대가"/>
      <sheetName val="30집계표"/>
      <sheetName val="NSCP견적물량"/>
      <sheetName val="공사비예산서(토목분)"/>
      <sheetName val="float&amp;bear"/>
      <sheetName val="Kfracture"/>
      <sheetName val="직재"/>
      <sheetName val="I一般比"/>
      <sheetName val="입력시트"/>
      <sheetName val="PROSUM"/>
      <sheetName val="Resumen"/>
      <sheetName val="Precios Unitarios"/>
      <sheetName val="내역서 耰&quot;_x005f_x005f_x005f_x005f_x005f_x005f_x005f_x0000_"/>
      <sheetName val="_x005f_x005f_x005f_x005f_x005f_x005f_x005f_x0008_"/>
      <sheetName val="9906"/>
      <sheetName val="계측 내역서"/>
      <sheetName val="Lstsub"/>
      <sheetName val="[SANDAN.XLS??"/>
      <sheetName val="Hot"/>
      <sheetName val="Piping BQ for one turbine"/>
      <sheetName val="AILC004"/>
      <sheetName val="Calc"/>
      <sheetName val="WBS 44"/>
      <sheetName val="WBS 41"/>
      <sheetName val="Precios por Administración"/>
      <sheetName val="Subcon A"/>
      <sheetName val="수로보호공"/>
      <sheetName val="데이타"/>
      <sheetName val="식재인부"/>
      <sheetName val="견적"/>
      <sheetName val="7. 월별투입내역서"/>
      <sheetName val="인부신상자료"/>
      <sheetName val="cable-data"/>
      <sheetName val="T 3"/>
      <sheetName val="HORI. VESSEL"/>
      <sheetName val="BCPAB"/>
      <sheetName val="내역서"/>
      <sheetName val="MP MOB"/>
      <sheetName val="SummaryC"/>
      <sheetName val="배관내역"/>
      <sheetName val="Form B"/>
      <sheetName val="FORM-12"/>
      <sheetName val="Insts"/>
      <sheetName val="LV induction motors"/>
      <sheetName val="인원계획"/>
      <sheetName val="BSD (2)"/>
      <sheetName val="BM DATA SHEET"/>
      <sheetName val="입찰품의서"/>
      <sheetName val="내역ࠜĀ_x005f_x005f_x005f_x005f_x005f_x005f_x005f_x005f_x0"/>
      <sheetName val="내역서 耰&quot;_x005f_x005f_x005f_x005f_x005f_x005f_x005f_x005f_"/>
      <sheetName val="_x005f_x005f_x005f_x005f_x005f_x005f_x005f_x005f_x005f_x005f_"/>
      <sheetName val="Q-7100-001"/>
      <sheetName val="수주추정"/>
      <sheetName val="_x0002__x0000_뻘N_x0000__x0000__x0001_ࠀ역서"/>
      <sheetName val="BATCH"/>
      <sheetName val="trf(36%)"/>
      <sheetName val="All_2"/>
      <sheetName val="Monthly Load"/>
      <sheetName val="Weekly Load"/>
      <sheetName val="Utility and Fire flange"/>
      <sheetName val="Material Selections"/>
      <sheetName val="97 사업추정(WEKI)"/>
      <sheetName val="금융"/>
      <sheetName val="변경집계표"/>
      <sheetName val="DB@Acess"/>
      <sheetName val="집계표"/>
      <sheetName val="M_DB"/>
      <sheetName val="Piping_물량_정리_"/>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실행집계"/>
      <sheetName val="breakdown of wage rate"/>
      <sheetName val="Unit"/>
      <sheetName val="INPUT_DATA2"/>
      <sheetName val="집계표_(25,26ဩ2"/>
      <sheetName val="Form_02"/>
      <sheetName val="입출재고현황_(2)1"/>
      <sheetName val="General_Data2"/>
      <sheetName val="LABOR_&amp;_자재1"/>
      <sheetName val="간접비_총괄1"/>
      <sheetName val="Price_Schedule1"/>
      <sheetName val="3_공통공사대비1"/>
      <sheetName val="내역서_耰&quot;??1"/>
      <sheetName val="CAL_1"/>
      <sheetName val="EQUIPMENT_-21"/>
      <sheetName val="내역서_耰&quot;__1"/>
      <sheetName val="Civil_1"/>
      <sheetName val="Civil_2"/>
      <sheetName val="Civil_3"/>
      <sheetName val="Site_1"/>
      <sheetName val="Site_2"/>
      <sheetName val="Site_3"/>
      <sheetName val="Site_Faci"/>
      <sheetName val="DCS"/>
      <sheetName val="FWBS7000,8000"/>
      <sheetName val="ANALYSER"/>
      <sheetName val="Eq. Mobilization"/>
      <sheetName val="출금실적"/>
      <sheetName val="경영현황"/>
      <sheetName val="_x0002_?뻘N??_x0001_ࠀ역서"/>
      <sheetName val="_SANDAN.XLS__"/>
      <sheetName val="_x0002_"/>
      <sheetName val="내역서 (∮ἀ嘆ɶ_x0000_᠀㬁_x0000_"/>
      <sheetName val="당초_xd8b4_∸ἀ"/>
      <sheetName val="Resource table"/>
      <sheetName val="총괄표"/>
      <sheetName val="7422CW00"/>
      <sheetName val="수량집계"/>
      <sheetName val="총괄집계표"/>
      <sheetName val="일일총괄"/>
      <sheetName val="criteria"/>
      <sheetName val="RFP002"/>
      <sheetName val="Menus"/>
      <sheetName val="TDTKP"/>
      <sheetName val="DK-KH"/>
      <sheetName val="_x0004__x0000__x000d__x0000__x0003__x0000__x0004__x0000__x0016__x0000__x000d__x0000__x0004_"/>
      <sheetName val="&#10;_x0000__x001b__x0000__x0006__x0000__x0006__x0000__x0008__x0000_&#10;_x0000__x0000_"/>
      <sheetName val="BREAKDOWN(철거설치)"/>
      <sheetName val="BREAKDOWN(신규설치)"/>
      <sheetName val="자바라1"/>
      <sheetName val="Code_Magics"/>
      <sheetName val="Code"/>
      <sheetName val="Curves"/>
      <sheetName val="Note"/>
      <sheetName val="data_dci"/>
      <sheetName val="Heads"/>
      <sheetName val="data_mci"/>
      <sheetName val="BLDG_DCI"/>
      <sheetName val="BLDG_MCI"/>
      <sheetName val="PRO_A"/>
      <sheetName val="Page_2"/>
      <sheetName val="behind"/>
      <sheetName val="costing_CV"/>
      <sheetName val="ITB_COST"/>
      <sheetName val="costing_ESDV"/>
      <sheetName val="costing_FE"/>
      <sheetName val="PROJECT"/>
      <sheetName val="정부노임단가"/>
      <sheetName val="Jobcost"/>
      <sheetName val="Default_Magics"/>
      <sheetName val="BM_DATA_SHEET"/>
      <sheetName val="Graph_(LGEN)"/>
      <sheetName val="PumpSpec"/>
      <sheetName val="costing_MOV"/>
      <sheetName val="PRO"/>
      <sheetName val="out_prog"/>
      <sheetName val="costing_Press"/>
      <sheetName val="96_121"/>
      <sheetName val="선적schedule_(2)"/>
      <sheetName val="System구분"/>
      <sheetName val="견적기준"/>
      <sheetName val="b_balju-단가단가단가"/>
      <sheetName val="10현장조직"/>
      <sheetName val="할증표"/>
      <sheetName val="choose"/>
      <sheetName val="Name of Bidder"/>
      <sheetName val="Attach 3(JV)"/>
      <sheetName val="Attach-3 (QR)"/>
      <sheetName val="Attach 4"/>
      <sheetName val="Attach 4 (A)"/>
      <sheetName val="Attach 5"/>
      <sheetName val="Attach 6"/>
      <sheetName val="Attach 9"/>
      <sheetName val="Attach 10"/>
      <sheetName val="Attach 11"/>
      <sheetName val="Attach 12"/>
      <sheetName val="Attach 13"/>
      <sheetName val="Attach 14"/>
      <sheetName val="Attach 14 IP"/>
      <sheetName val="Attach 15"/>
      <sheetName val="Attach 16"/>
      <sheetName val="Attach 17"/>
      <sheetName val="Attach 18"/>
      <sheetName val="Attach 19"/>
      <sheetName val="Bid Form 1st Env."/>
      <sheetName val="N-W (Cr.)"/>
      <sheetName val="Names of Bidder"/>
      <sheetName val="Sch-1"/>
      <sheetName val="Sch-1 dis"/>
      <sheetName val="Sch-2"/>
      <sheetName val="Sch-2 Dis"/>
      <sheetName val="Sch-3 "/>
      <sheetName val="Sch-3 Dis"/>
      <sheetName val="Sch-4"/>
      <sheetName val="Sch-5"/>
      <sheetName val="Sch-5 Dis"/>
      <sheetName val="Sch-6"/>
      <sheetName val="Sch-6 After Discount"/>
      <sheetName val="Sch-7"/>
      <sheetName val="Sch-7 Dis"/>
      <sheetName val="Discount"/>
      <sheetName val="Octroi"/>
      <sheetName val="Entry Tax"/>
      <sheetName val="Other Taxes &amp; Duties"/>
      <sheetName val="Bid Form 2nd Envelope"/>
      <sheetName val="Q &amp; C (2)"/>
      <sheetName val="Q &amp; C"/>
      <sheetName val="N to W"/>
      <sheetName val="Title-Sh."/>
      <sheetName val="400 kV Eq Stru"/>
      <sheetName val="400kV eq. str foundation"/>
      <sheetName val="4&quot;"/>
      <sheetName val="Title "/>
      <sheetName val="Circuit"/>
      <sheetName val="Cond. data"/>
      <sheetName val="Tubular data"/>
      <sheetName val="4.5&quot;"/>
      <sheetName val="Zebra"/>
      <sheetName val="Annexure-1, Conductor data"/>
      <sheetName val="Annexure-2, Tubular data"/>
      <sheetName val="Annexure-3, IEC 1597"/>
      <sheetName val="Annexure-4, PEHB"/>
      <sheetName val="CALCULATION"/>
      <sheetName val="LINE SIDE"/>
      <sheetName val="GIRDER WIND -GA"/>
      <sheetName val="TOWER WIND - -LONG -L-DIR"/>
      <sheetName val="TOWER WIND - -trans -T-DIR"/>
      <sheetName val="TA TOWER"/>
      <sheetName val="GIRDER-GA"/>
      <sheetName val="Sample Calculations"/>
      <sheetName val="BASE PLATE- TA"/>
      <sheetName val="REACTION TA"/>
      <sheetName val="ND"/>
      <sheetName val="MB"/>
      <sheetName val="LC1"/>
      <sheetName val="LC2"/>
      <sheetName val="LC3"/>
      <sheetName val="LC4"/>
      <sheetName val="DEF peak"/>
      <sheetName val="DEF  girder fixing"/>
      <sheetName val="GIRDER DEFF"/>
      <sheetName val="INPUT FILE"/>
      <sheetName val="STAADOUTPUT"/>
      <sheetName val="lee wind long"/>
      <sheetName val="lee wind tra"/>
      <sheetName val="IS 808 ANGLE"/>
      <sheetName val="SPLICE"/>
      <sheetName val="Annexures (2)"/>
      <sheetName val="SUM FSBLT"/>
      <sheetName val="VOLSUM"/>
      <sheetName val="WPSUM"/>
      <sheetName val="PCWBS_MAP"/>
      <sheetName val="WKFRM1"/>
      <sheetName val="WKFRM2"/>
      <sheetName val="SQNC-1"/>
      <sheetName val="SQNC-2"/>
      <sheetName val="SQNC-3"/>
      <sheetName val="MILSTN"/>
      <sheetName val="MASTSCH"/>
      <sheetName val="MOBALL"/>
      <sheetName val="CRDIDX"/>
      <sheetName val="PROGALL"/>
      <sheetName val="2538M"/>
      <sheetName val="ORGZN"/>
      <sheetName val="STAFSCH"/>
      <sheetName val="SUB_Map"/>
      <sheetName val="PERFEVA"/>
      <sheetName val="PIPE50%A"/>
      <sheetName val="PIPE50%B"/>
      <sheetName val="STFMHANZ"/>
      <sheetName val="CMHANZ"/>
      <sheetName val="MPDATA1000"/>
      <sheetName val="MPDATA2000"/>
      <sheetName val="MPDATA3000"/>
      <sheetName val="MPDATA4000"/>
      <sheetName val="MPDATA5000"/>
      <sheetName val="MPDATA6000"/>
      <sheetName val="MPDATA7000"/>
      <sheetName val="MPDATA8000"/>
      <sheetName val="MPDATA9_A_B"/>
      <sheetName val="BQCONV"/>
      <sheetName val="SCINF1"/>
      <sheetName val="SCINF2"/>
      <sheetName val="KNOWHOW_MEMO"/>
      <sheetName val="EQUIPMOB"/>
      <sheetName val="TEMP_FAC"/>
      <sheetName val="7000(rev)"/>
      <sheetName val="3000-A"/>
      <sheetName val="5000-A"/>
      <sheetName val="6000-A"/>
      <sheetName val="9000-A"/>
      <sheetName val="管道资料"/>
      <sheetName val="9DATA"/>
      <sheetName val="A000-A"/>
      <sheetName val="0DATA"/>
      <sheetName val="9管道资料"/>
      <sheetName val="FWBS 9000"/>
      <sheetName val="Overall Project"/>
      <sheetName val="Overall Process"/>
      <sheetName val="Overall Utility"/>
      <sheetName val="FWBS 1000"/>
      <sheetName val="2000"/>
      <sheetName val="FWBS 2000"/>
      <sheetName val="3000"/>
      <sheetName val="FWBS 3000"/>
      <sheetName val="5000"/>
      <sheetName val="FWBS 5000"/>
      <sheetName val="6000"/>
      <sheetName val="FWBS 6000"/>
      <sheetName val="7000"/>
      <sheetName val="FWBS 7000"/>
      <sheetName val="8000"/>
      <sheetName val="FWBS 8000"/>
      <sheetName val="9000"/>
      <sheetName val="A000"/>
      <sheetName val="FWBS A000"/>
      <sheetName val="B000"/>
      <sheetName val="FWBS B000"/>
      <sheetName val="Z000"/>
      <sheetName val="FWBS Z000"/>
      <sheetName val="TYPE-A"/>
      <sheetName val="95신규호표"/>
      <sheetName val="Proj_Details1"/>
      <sheetName val="_1"/>
      <sheetName val="Final_Tender1"/>
      <sheetName val="Sch_A-Viaduct1"/>
      <sheetName val="Sch_A_-_Typ_Station_1"/>
      <sheetName val="Sch_B1"/>
      <sheetName val="Strip_Plan1"/>
      <sheetName val="Major_Items1"/>
      <sheetName val="Cost_of_equip,fabrication1"/>
      <sheetName val="Late_start1"/>
      <sheetName val="early_start1"/>
      <sheetName val="Q_Baricade1"/>
      <sheetName val="Q_HR1"/>
      <sheetName val="Equip_Depl1"/>
      <sheetName val="R-Void_Slab1"/>
      <sheetName val="R_-_portal1"/>
      <sheetName val="R_CLC1"/>
      <sheetName val="P-Ins_&amp;_Bonds1"/>
      <sheetName val="P_Staff_fac1"/>
      <sheetName val="P-Site_fac1"/>
      <sheetName val="P-Clients_fac1"/>
      <sheetName val="P_Cash_Flow1"/>
      <sheetName val="Input_footings"/>
      <sheetName val="SinglePeir_Input"/>
      <sheetName val="Conc rate analysis"/>
      <sheetName val="Bill No.5C"/>
      <sheetName val="Bill No. 5D"/>
      <sheetName val="Bill No. 5E"/>
      <sheetName val="Bill No.5F"/>
      <sheetName val="Bill No.10"/>
      <sheetName val="Bill No.13"/>
      <sheetName val="Payment Summary"/>
      <sheetName val="Abstract-BOQ"/>
      <sheetName val="Pg No"/>
      <sheetName val="Consumption"/>
      <sheetName val="Consump %"/>
      <sheetName val="B&amp;U Abs"/>
      <sheetName val="Royalty"/>
      <sheetName val="B&amp;U"/>
      <sheetName val="B&amp;U-Rebar"/>
      <sheetName val="RE Wall"/>
      <sheetName val="RE Emb-10+"/>
      <sheetName val="RE Block Ere-10+"/>
      <sheetName val="RE FM -10+"/>
      <sheetName val="RE Fill-10+"/>
      <sheetName val="RE Ere-11"/>
      <sheetName val="RE Fill-11"/>
      <sheetName val="RE FM-11"/>
      <sheetName val="RE Emb 11+"/>
      <sheetName val="RE Block Ere-16+"/>
      <sheetName val="RE FM-16"/>
      <sheetName val="RE Fill-16+"/>
      <sheetName val="RE EMB-16"/>
      <sheetName val="RE EMB-31+"/>
      <sheetName val="RE Block Ere-31+"/>
      <sheetName val="RE FM-31+"/>
      <sheetName val="RE Fill-31+"/>
      <sheetName val="RE Block-cas"/>
      <sheetName val="RE Pannel-cas"/>
      <sheetName val="Abstract of Escalation"/>
      <sheetName val="Escalation-Cement"/>
      <sheetName val="Escalation-Steel"/>
      <sheetName val="Escalation-Diesel"/>
      <sheetName val="Invoice Details-1"/>
      <sheetName val="Invoice Details-2"/>
      <sheetName val="Invoice Details-3"/>
      <sheetName val="Invoice Details-5"/>
      <sheetName val="Secured Mat. Advance"/>
      <sheetName val="Invoice Details-9"/>
      <sheetName val="AS 7"/>
      <sheetName val="AS 7 (REV)"/>
      <sheetName val="BOQ (REV)"/>
      <sheetName val="Conc rate analysisa"/>
      <sheetName val="Conc rate analysis (Dust)"/>
      <sheetName val="Shear at Sections"/>
      <sheetName val="FENCING"/>
      <sheetName val="GIFT"/>
      <sheetName val="chart as per norms"/>
      <sheetName val="Officer"/>
      <sheetName val="staff &amp; DP"/>
      <sheetName val="Working 1"/>
      <sheetName val="Prelim-wrk-detail"/>
      <sheetName val="S44 Depriciation"/>
      <sheetName val="S45 Refurbishment Charges"/>
      <sheetName val="Compatibility Report"/>
      <sheetName val="AS-9 Schedule"/>
      <sheetName val="Schedule Qty"/>
      <sheetName val="Bill No__1"/>
      <sheetName val="Bill No__2"/>
      <sheetName val="Bill No__3"/>
      <sheetName val="Bill No__4"/>
      <sheetName val="Bill No__5"/>
      <sheetName val="Bill No__6"/>
      <sheetName val="Bill No__7"/>
      <sheetName val="Bill No__8"/>
      <sheetName val="Bill No__9"/>
      <sheetName val="Bill No__10"/>
      <sheetName val="Bill No__11"/>
      <sheetName val="Bill No__12"/>
      <sheetName val="Bill No__13"/>
      <sheetName val="DPR Apr'09"/>
      <sheetName val="tracking"/>
      <sheetName val="tracking (2)"/>
      <sheetName val="Alphabetical List (HO)"/>
      <sheetName val="Floorwise List "/>
      <sheetName val="Mobile &amp; Residence No."/>
      <sheetName val="Fax Nos (HO)"/>
      <sheetName val="Office Details"/>
      <sheetName val="Site-PM-contact no's"/>
      <sheetName val="HREL"/>
      <sheetName val="LAVASA-MUMBAI"/>
      <sheetName val="HCC Information System"/>
      <sheetName val="Tivoli"/>
      <sheetName val="IIIA WATER SUPPLY PROJECT"/>
      <sheetName val="Allahbad Bypass "/>
      <sheetName val="AP-8"/>
      <sheetName val="Assam Road Project"/>
      <sheetName val="Badarpur"/>
      <sheetName val="Bandra-Worli"/>
      <sheetName val="Chamera"/>
      <sheetName val="Chennai By Pass Mobile"/>
      <sheetName val="Chennai Bypass "/>
      <sheetName val="Chutak"/>
      <sheetName val="DELHI METRO"/>
      <sheetName val="DHAULIGANGA"/>
      <sheetName val="GOSHIKHURD"/>
      <sheetName val="GSHP-2"/>
      <sheetName val="KISHANGANGA"/>
      <sheetName val="KOODANKULAM"/>
      <sheetName val="KHARAGPUR "/>
      <sheetName val="KAANB - JUBAIL(SAUDI)"/>
      <sheetName val="Lavasa Site Mobiles"/>
      <sheetName val="LAVASA IPPBX"/>
      <sheetName val="LMNHP- 1 &amp; 2"/>
      <sheetName val="LMNHP- 3 &amp; 4"/>
      <sheetName val="Loharinag Pala"/>
      <sheetName val="Mughal Road "/>
      <sheetName val="Middle Vaitarna-Mobile"/>
      <sheetName val="Teesta"/>
      <sheetName val="TALA C1"/>
      <sheetName val="NAINI"/>
      <sheetName val="Paradip"/>
      <sheetName val="Punatsangchhu"/>
      <sheetName val="PURULIA JV"/>
      <sheetName val="Polavaram"/>
      <sheetName val="RJ-7"/>
      <sheetName val="RAPP 5 &amp; 6"/>
      <sheetName val="SBC "/>
      <sheetName val="Tara "/>
      <sheetName val=" URI - WLL &amp; EPBX"/>
      <sheetName val="URI-OFFICERS MOBILE "/>
      <sheetName val="Visakhapatnam"/>
      <sheetName val="Box-qtys "/>
      <sheetName val="TimeCycle"/>
      <sheetName val="BOX-NCW"/>
      <sheetName val="BOX-ECW"/>
      <sheetName val="BOX-PANSKURA"/>
      <sheetName val="UNP-QTY-CYCLE"/>
      <sheetName val="UNP-NCW "/>
      <sheetName val="UNP-ECW"/>
      <sheetName val="UNPSHUT"/>
      <sheetName val="SLABMNBDATA"/>
      <sheetName val="SLABMNB-ECW"/>
      <sheetName val="PSCMNBDATA"/>
      <sheetName val="PSCMNB-NCW"/>
      <sheetName val="PSC-MNB-ECW"/>
      <sheetName val="4-BOX-MNBDATA"/>
      <sheetName val="4-BOX-MNB"/>
      <sheetName val="3-BOXMNBDATA"/>
      <sheetName val="3-BOXMNB102-NCW"/>
      <sheetName val="BOXMNBDATA102-ECW"/>
      <sheetName val="BOXMNB102-ECW"/>
      <sheetName val="3-BOXMNB75"/>
      <sheetName val="MNBSHUT"/>
      <sheetName val="PIPE"/>
      <sheetName val="TIMECYCLE-PIPE"/>
      <sheetName val="PIPE-DETAIL"/>
      <sheetName val="Bridge-Data"/>
      <sheetName val="strplnf"/>
      <sheetName val="MSE ITEMS"/>
      <sheetName val="HP-QTY"/>
      <sheetName val="Cul_detail"/>
      <sheetName val="HP"/>
      <sheetName val="HP Sts"/>
      <sheetName val="Slab"/>
      <sheetName val="Sl Sts"/>
      <sheetName val="M-F-03"/>
      <sheetName val="M-C"/>
      <sheetName val="M-J-03"/>
      <sheetName val="Proj ManStr"/>
      <sheetName val="Proj Mancost"/>
      <sheetName val="Abs Proj ManSt"/>
      <sheetName val="norms"/>
      <sheetName val="MJB-1"/>
      <sheetName val="MJB-2"/>
      <sheetName val="MJB-3"/>
      <sheetName val="UNP-2"/>
      <sheetName val="UNP-4"/>
      <sheetName val="OVP"/>
      <sheetName val="VDT-1"/>
      <sheetName val="VDT-2"/>
      <sheetName val="VDT-3"/>
      <sheetName val="sheath"/>
      <sheetName val="cables"/>
      <sheetName val="fpcc set 1"/>
      <sheetName val="fpcc set 2"/>
      <sheetName val="danamic set 1 "/>
      <sheetName val="danamic set 2"/>
      <sheetName val="sheathing"/>
      <sheetName val="BOQ Supporting sheet -for SAP"/>
      <sheetName val="Pare_Documents"/>
      <sheetName val="Structures"/>
      <sheetName val="Detail CD"/>
      <sheetName val="Cofferdams"/>
      <sheetName val="Pare_TC"/>
      <sheetName val="Equip areawise_Client"/>
      <sheetName val="Equip mthwise_Client"/>
      <sheetName val="Equip areawise_Int"/>
      <sheetName val="Equip mthwise_Int"/>
      <sheetName val="HCC F 01 09 56 Cap"/>
      <sheetName val="Dumpers + T mixers"/>
      <sheetName val="SuperSwinger"/>
      <sheetName val="Gantry"/>
      <sheetName val="Mix"/>
      <sheetName val="BOQ (Filled)"/>
      <sheetName val="Month crushing"/>
      <sheetName val="BOQ Supporting Sheet"/>
      <sheetName val="Pare_Dam Excn"/>
      <sheetName val="WC_Dam lift"/>
      <sheetName val="Pare_Con Area"/>
      <sheetName val="Pare_Con Lift Qty_R1"/>
      <sheetName val="Pare_Cons Grt"/>
      <sheetName val="Pare_TC (2)"/>
      <sheetName val="S0 Key dates"/>
      <sheetName val="S11AEQPnorm"/>
      <sheetName val="S11BEQPnorm"/>
      <sheetName val="Form1 "/>
      <sheetName val="Form 4-rev-1"/>
      <sheetName val="Form 5-rev-1"/>
      <sheetName val="S3workplan"/>
      <sheetName val="S4cycle"/>
      <sheetName val="S5 escl-1"/>
      <sheetName val="S5 escl-2"/>
      <sheetName val="EQUIP NORMS Standard"/>
      <sheetName val="NORMs-1"/>
      <sheetName val="Equipments-details"/>
      <sheetName val="S16Elec."/>
      <sheetName val="S23Mancost"/>
      <sheetName val="S25EQPoutrep"/>
      <sheetName val="S27EQP-lease"/>
      <sheetName val="S31 PRE-EXP"/>
      <sheetName val="S41-MatProcurement"/>
      <sheetName val="S42HSE "/>
      <sheetName val="Season1 program"/>
      <sheetName val="MaterialPrice"/>
      <sheetName val="S5Esc"/>
      <sheetName val="S7Matqty-group"/>
      <sheetName val="S12-Subtotals"/>
      <sheetName val="load&amp;DG"/>
      <sheetName val="S18Eqplan"/>
      <sheetName val="DEPRI"/>
      <sheetName val="S20MSEitems"/>
      <sheetName val="S23Mannos."/>
      <sheetName val="Officer Budget Form"/>
      <sheetName val="S29PrelimItem"/>
      <sheetName val="S31Preitem"/>
      <sheetName val="S33prelexdet"/>
      <sheetName val="S39Liability"/>
      <sheetName val="prel. working"/>
      <sheetName val="dept recov."/>
      <sheetName val="HO EXPS"/>
      <sheetName val="Work Plan C-4"/>
      <sheetName val="S4cycle IV"/>
      <sheetName val="S4cycle V"/>
      <sheetName val="S4cycle VI"/>
      <sheetName val="S4cycle Lin"/>
      <sheetName val=" linked data"/>
      <sheetName val="S5escl"/>
      <sheetName val="Mat Norms"/>
      <sheetName val="CPPL"/>
      <sheetName val="matreqp5"/>
      <sheetName val="Eqp Mnth(main)"/>
      <sheetName val="Equp.wo"/>
      <sheetName val="Crushing Plant"/>
      <sheetName val="cal con pu"/>
      <sheetName val="MSE-DATA"/>
      <sheetName val="S2groupc"/>
      <sheetName val="Esc 12"/>
      <sheetName val="MEMORANDUM"/>
      <sheetName val="Esc 11"/>
      <sheetName val="Esc 10"/>
      <sheetName val="esc 9"/>
      <sheetName val="esc 8"/>
      <sheetName val="esc 7"/>
      <sheetName val="ESC 6"/>
      <sheetName val="ESC 5"/>
      <sheetName val="ESC.4"/>
      <sheetName val="ESC.3"/>
      <sheetName val="Sheet4 "/>
      <sheetName val="XXXX0"/>
      <sheetName val="EQPTS LIST"/>
      <sheetName val="RESOURCE"/>
      <sheetName val="DESIGN MIX"/>
      <sheetName val="LEAD&amp;EFF."/>
      <sheetName val="JAN25"/>
      <sheetName val="Pare-Progress"/>
      <sheetName val="Work Plan Backup"/>
      <sheetName val="Fincl. Graph"/>
      <sheetName val="Crushing Plant Backup"/>
      <sheetName val="Eqplan"/>
      <sheetName val="Profitability"/>
      <sheetName val="D2&amp;3-PRELIMINARY-ITEMWISE"/>
      <sheetName val="D4&amp;5-PRILIMINARY-EXP"/>
      <sheetName val="REVENUE"/>
      <sheetName val="Exp-details"/>
      <sheetName val="BOQ lot IV A"/>
      <sheetName val="BOQ  lot IV B"/>
      <sheetName val="AD"/>
      <sheetName val=" (Annexure 1)All Faces "/>
      <sheetName val="All RA's LOT A"/>
      <sheetName val="Escalation Indices RA 6"/>
      <sheetName val="(Annexure 2)"/>
      <sheetName val=" (Annexure 1)"/>
      <sheetName val="Dewatering 1.1"/>
      <sheetName val="UG Exv 3.1"/>
      <sheetName val="Line Drilling 3.2"/>
      <sheetName val="Extra for Haul. Excav. Mat. 3.4"/>
      <sheetName val="Rock bolts 25mm Upto 5m 4.1.1"/>
      <sheetName val="Rock bolts 25mm more 5m 4.1.2"/>
      <sheetName val="Rock bolt 32 more than 5m 4.2.2"/>
      <sheetName val="Wiremesh 4.7.2"/>
      <sheetName val="Drilling for Pregrouting 4.12"/>
      <sheetName val="Grout Operation 4.12.1"/>
      <sheetName val="Cement for Pregrouting 4.12.2"/>
      <sheetName val="Drilling for forepoling 4. 13"/>
      <sheetName val="Grout Operation 4.13.1"/>
      <sheetName val="Cement for forepoling 4.13.2"/>
      <sheetName val="40-50 mm SFRS 5.1"/>
      <sheetName val="75mm Shotcrete 5.2"/>
      <sheetName val="Admixture"/>
      <sheetName val="Drilling of PreDrain holes 7.1"/>
      <sheetName val="Drilling of instrumentation"/>
      <sheetName val="Instrumentation Load cell"/>
      <sheetName val="Instrumentation MPBX"/>
      <sheetName val="Instrumentation Convergence bol"/>
      <sheetName val="DEFORMED REINFORCEMENT 11.1"/>
      <sheetName val="Pir Panjal VB CTC"/>
      <sheetName val="S0 Keydates"/>
      <sheetName val="S4 CycleTime"/>
      <sheetName val="Depri &amp; Refu"/>
      <sheetName val="Depri &amp; Refu link"/>
      <sheetName val="Working-sheet"/>
      <sheetName val="VB Combined"/>
      <sheetName val="Work Programm"/>
      <sheetName val="Cut nd Cover Qty"/>
      <sheetName val="MIS (VI)"/>
      <sheetName val="MIS (I) Liab"/>
      <sheetName val="Pir Panjal VA CTC"/>
      <sheetName val="Approach"/>
      <sheetName val="S0-KEYDATES"/>
      <sheetName val="S4CycleTime"/>
      <sheetName val="Pir VA (2)"/>
      <sheetName val="VA Combined (R1 17-02)"/>
      <sheetName val="VA"/>
      <sheetName val="Mining BOQ Amount"/>
      <sheetName val="Linning BOQ AMOUNT "/>
      <sheetName val="trial balance(SAP)"/>
      <sheetName val="MIS MODULE 1"/>
      <sheetName val="MOD-II"/>
      <sheetName val="MIS MODULE III"/>
      <sheetName val="MIS MODULE IV"/>
      <sheetName val="CUML_PROFITABILITY"/>
      <sheetName val="MIS MODULE V"/>
      <sheetName val="MIS MODULE VI"/>
      <sheetName val="MIS MODULE VII"/>
      <sheetName val="MIS MODULE VIII"/>
      <sheetName val="MIS MODULE IX"/>
      <sheetName val="MIS MODULE X"/>
      <sheetName val="MISMODULE11"/>
      <sheetName val="preliminary charging"/>
      <sheetName val="Anal.Profit"/>
      <sheetName val="Group"/>
      <sheetName val="Catalog Summ"/>
      <sheetName val="Equipment - Details"/>
      <sheetName val="As Per Acc"/>
      <sheetName val="Form 7-new"/>
      <sheetName val="LIABILITY"/>
      <sheetName val="INDENT-COLLECTION"/>
      <sheetName val="FUND INDENT"/>
      <sheetName val="Form 5-New"/>
      <sheetName val="Pir Panjal Combined CTC"/>
      <sheetName val="Quantity Calculation - BOQ"/>
      <sheetName val="upto-mar-11"/>
      <sheetName val="MIS MOD-II"/>
      <sheetName val="PPVA"/>
      <sheetName val="PPVB"/>
      <sheetName val="Budget Note"/>
      <sheetName val="S16Elec (KWh)"/>
      <sheetName val="CSR expenses"/>
      <sheetName val="Agg. cal"/>
      <sheetName val="S4timecycle "/>
      <sheetName val="S5escalation "/>
      <sheetName val="S18EQPplan "/>
      <sheetName val="USB CTC"/>
      <sheetName val="Pare CTC"/>
      <sheetName val="All Transfer Records"/>
      <sheetName val="Transfer Recs Covered"/>
      <sheetName val="CTC"/>
      <sheetName val="S25Eqptoutside"/>
      <sheetName val="Refurbishment"/>
      <sheetName val="Sheet1 (4)"/>
      <sheetName val="Sheet1 (3)"/>
      <sheetName val="Sitewise GR(APR-MAY07)"/>
      <sheetName val="Sitewise GR(June07)"/>
      <sheetName val="HO &amp; Works"/>
      <sheetName val="Quarterwise 6+3"/>
      <sheetName val="Quarterwise"/>
      <sheetName val="Share Div 6 +3"/>
      <sheetName val="Share Div"/>
      <sheetName val="S Receipts 6+3"/>
      <sheetName val="S Receipts"/>
      <sheetName val="S Receipt HO"/>
      <sheetName val="570001"/>
      <sheetName val="570021"/>
      <sheetName val="Exch diff 6+3"/>
      <sheetName val="Exch-diff New"/>
      <sheetName val="Birthday (2)"/>
      <sheetName val="Marriage (2)"/>
      <sheetName val="GRI Background"/>
      <sheetName val="Financial Implications- CC"/>
      <sheetName val="Financial Assistance from Govt."/>
      <sheetName val="Human Rights Screening"/>
      <sheetName val="Incidents of Discrimination"/>
      <sheetName val="Risks to Collective Bargaining"/>
      <sheetName val="Public Policy and Lobbying"/>
      <sheetName val="Duty Drawback Material"/>
      <sheetName val="equipment norms Backup"/>
      <sheetName val="dUTY dRAWBACK pol"/>
      <sheetName val="19-PERF"/>
      <sheetName val=" _x0000__x001b__x0000__x0006__x0000__x0006__x0000__x0008__x0000_ _x0000__x0000_"/>
      <sheetName val="ESIC_DEDN_"/>
      <sheetName val="Kalk_50"/>
      <sheetName val="E6"/>
      <sheetName val="E8"/>
      <sheetName val="E11"/>
      <sheetName val="ESI Mandi"/>
      <sheetName val="Analysis Mandi"/>
      <sheetName val="Patna"/>
      <sheetName val="Patna Analysis"/>
      <sheetName val="backfilling"/>
      <sheetName val="Abstarct"/>
      <sheetName val="Disposal"/>
      <sheetName val="ATT"/>
      <sheetName val="Sand filling"/>
      <sheetName val="ABSTARCT (2)"/>
      <sheetName val="Carriage"/>
      <sheetName val="Deduct"/>
      <sheetName val="C_P_ BOQ"/>
      <sheetName val="WG-Assumptions"/>
      <sheetName val="Breakeven Analysis Data-MOD1"/>
      <sheetName val="Spiral StairCase"/>
      <sheetName val="GLBR-Flat"/>
      <sheetName val="GLBR-Doome"/>
      <sheetName val="Sump-Flat"/>
      <sheetName val="LAZ"/>
      <sheetName val="Collection Well-girder"/>
      <sheetName val="OHSR-Lt"/>
      <sheetName val="EW Pipeline"/>
      <sheetName val="General Items."/>
      <sheetName val="Cement Steel Sump GLSR "/>
      <sheetName val="MS2375 -14.2 mm"/>
      <sheetName val="MS2375-18mm"/>
      <sheetName val="MS 2375-20mm"/>
      <sheetName val="MS 300"/>
      <sheetName val="MS-700"/>
      <sheetName val="ladder"/>
      <sheetName val="Flgs"/>
      <sheetName val="Dummmplates"/>
      <sheetName val="CCvr Dsh"/>
      <sheetName val="RG EJ"/>
      <sheetName val="DI Valves"/>
      <sheetName val="MS2000"/>
      <sheetName val="Gudipally OHBR"/>
      <sheetName val="Gudipalli covered habs"/>
      <sheetName val="Manthati OHBR"/>
      <sheetName val="Manthati covered habs"/>
      <sheetName val="Kummera OHBR"/>
      <sheetName val="Kummera covered habs "/>
      <sheetName val="Bjnply OHBR"/>
      <sheetName val="Bijinepally covered habs"/>
      <sheetName val="Manganur OHBR"/>
      <sheetName val="Manganur covered habs"/>
      <sheetName val="Vattem Covered Habitations"/>
      <sheetName val="Vattem OHBR"/>
      <sheetName val="Ippalapally Covered Habitations"/>
      <sheetName val="Ippalapally OHBR"/>
      <sheetName val="Pullagiri OHBR"/>
      <sheetName val="Pullagiri covered habs"/>
      <sheetName val="abst seg w"/>
      <sheetName val="abst dia w"/>
      <sheetName val="for abstract"/>
      <sheetName val="Pumping Main"/>
      <sheetName val="designs 1"/>
      <sheetName val="sump@Lattupally"/>
      <sheetName val="sump@gangaram"/>
      <sheetName val="Pedestals &amp; Thrust blocks"/>
      <sheetName val="1644 Habs"/>
      <sheetName val="1646 Habs "/>
      <sheetName val="ABSTRACT2"/>
      <sheetName val="MS 1600-12 "/>
      <sheetName val="MS 1400-12"/>
      <sheetName val="MS 1850"/>
      <sheetName val="MS 1800.."/>
      <sheetName val="MS 1900.."/>
      <sheetName val="MS 2100-.."/>
      <sheetName val="MS 2300-.."/>
      <sheetName val="MS 2375-24"/>
      <sheetName val="Cment Steel Bldg Cwall sew gen"/>
      <sheetName val="E W GLSR"/>
      <sheetName val="EW Sew Ws r2"/>
      <sheetName val="Grill &amp; Saddle"/>
      <sheetName val="MS 1100-10"/>
      <sheetName val="MS 1500 Epoxy"/>
      <sheetName val="MS 1400"/>
      <sheetName val="MS 1100 epoxy"/>
      <sheetName val="MS 1200 epoxy"/>
      <sheetName val="MS 1400 epoxy"/>
      <sheetName val="MS 2200"/>
      <sheetName val="MS 800"/>
      <sheetName val="MS 600"/>
      <sheetName val="MS 1200-14"/>
      <sheetName val="AV Valves"/>
      <sheetName val="DI P.N 1.6"/>
      <sheetName val="MS-EWE"/>
      <sheetName val="Ms specials"/>
      <sheetName val="Data for BWSC pipes"/>
      <sheetName val="low&amp;joint"/>
      <sheetName val="CPO"/>
      <sheetName val="Detailed cum Abstract Estimate"/>
      <sheetName val="segments-details"/>
      <sheetName val="com_st_PM"/>
      <sheetName val="comst_GM"/>
      <sheetName val="G_R_P"/>
      <sheetName val="Road Detail Est."/>
      <sheetName val="com_st_PM1"/>
      <sheetName val="comst_GM1"/>
      <sheetName val="G_R_P1"/>
      <sheetName val="com_st_PM5"/>
      <sheetName val="comst_GM5"/>
      <sheetName val="G_R_P5"/>
      <sheetName val="Road_Detail_Est_2"/>
      <sheetName val="Road_data2"/>
      <sheetName val="com_st_PM3"/>
      <sheetName val="comst_GM3"/>
      <sheetName val="G_R_P3"/>
      <sheetName val="com_st_PM2"/>
      <sheetName val="comst_GM2"/>
      <sheetName val="G_R_P2"/>
      <sheetName val="Road_Detail_Est_"/>
      <sheetName val="com_st_PM4"/>
      <sheetName val="comst_GM4"/>
      <sheetName val="G_R_P4"/>
      <sheetName val="Road_Detail_Est_1"/>
      <sheetName val="Road_data1"/>
      <sheetName val="EDWise"/>
      <sheetName val="Zi-co"/>
      <sheetName val="SSR 2010-11 Rates"/>
      <sheetName val="_x0000_V_x0000_O_x0000_I_x0000_L_x0000_S_x0000_I_x0000_N_x0000_G_x0000_R_x0000_A_x0000_M_x0000_._x0000_X_x0000_L_x0000_S_x0000_"/>
      <sheetName val="Data_2"/>
      <sheetName val="Data_1"/>
      <sheetName val="Bridge Data 2005-06"/>
      <sheetName val="UnitRates"/>
      <sheetName val="1V-1M"/>
      <sheetName val="2V-1M"/>
      <sheetName val="5V-1M"/>
      <sheetName val="Det-ROAD"/>
      <sheetName val="G.Abs"/>
      <sheetName val="abs-cd"/>
      <sheetName val="C page"/>
      <sheetName val="Sp ReportF (2)"/>
      <sheetName val="Sp ReportF"/>
      <sheetName val="G F "/>
      <sheetName val="F F "/>
      <sheetName val="S Tank"/>
      <sheetName val="Sani &amp; W S "/>
      <sheetName val="ESTT Ele "/>
      <sheetName val="D&amp;W DATA (1)"/>
      <sheetName val="WS-DATA (Old)"/>
      <sheetName val="D&amp; W DATA (new)"/>
      <sheetName val="El Data (old)"/>
      <sheetName val="BidRequirement"/>
      <sheetName val="Note gh"/>
      <sheetName val="Bid doc"/>
      <sheetName val="load1"/>
      <sheetName val="details1"/>
      <sheetName val="Electrical1"/>
      <sheetName val="load"/>
      <sheetName val="obd data"/>
      <sheetName val="Joinary"/>
      <sheetName val="GF (6)"/>
      <sheetName val="Est."/>
      <sheetName val="TEChInsBC"/>
      <sheetName val="tECH agent"/>
      <sheetName val="Cov Let"/>
      <sheetName val="Cov Comp"/>
      <sheetName val="Cov WD"/>
      <sheetName val="Certificate SE"/>
      <sheetName val="F1 Exp statement"/>
      <sheetName val="Annex I"/>
      <sheetName val="ew cal"/>
      <sheetName val="Anx2 Tech Det"/>
      <sheetName val="PCR"/>
      <sheetName val="PCR Comp Rep"/>
      <sheetName val="Det Est Compl"/>
      <sheetName val="CDs Comple"/>
      <sheetName val="G Abs Cople"/>
      <sheetName val="Wkg rate anls"/>
      <sheetName val="wd spec"/>
      <sheetName val="KM HM data"/>
      <sheetName val="CS G.Abs"/>
      <sheetName val="Wkg GAbs"/>
      <sheetName val="CS CD Works"/>
      <sheetName val="Wkg CDs"/>
      <sheetName val="CS Det Est"/>
      <sheetName val="Wd Det Est"/>
      <sheetName val="CS 600 2V "/>
      <sheetName val="Wd 600 mm 2v"/>
      <sheetName val="CS 600 2V  (2)"/>
      <sheetName val="Wd 600 mm 2v (2)"/>
      <sheetName val="CS 1000 2V"/>
      <sheetName val="Wd 1000 mm 2v"/>
      <sheetName val="CS 1000 2V (2)"/>
      <sheetName val="Wd 1000 mm 2v (2)"/>
      <sheetName val="CS Rdam 5610"/>
      <sheetName val="Wd rdam 5610"/>
      <sheetName val="CS Rdam 3375"/>
      <sheetName val="Wd rdam 3375"/>
      <sheetName val="30"/>
      <sheetName val="29"/>
      <sheetName val="28"/>
      <sheetName val="27"/>
      <sheetName val="26"/>
      <sheetName val="25"/>
      <sheetName val="24"/>
      <sheetName val="23"/>
      <sheetName val="22"/>
      <sheetName val="21"/>
      <sheetName val="20"/>
      <sheetName val="19"/>
      <sheetName val="18"/>
      <sheetName val="17"/>
      <sheetName val=" "/>
      <sheetName val="WS-Tresury"/>
      <sheetName val="Dt-Tresury"/>
      <sheetName val="Sports com-Internal -Det  (2)"/>
      <sheetName val="VC Chamber -Internal -Det "/>
      <sheetName val="COmm -Internal -Det"/>
      <sheetName val="Detailed-External (2)"/>
      <sheetName val="GA "/>
      <sheetName val="Data -Hostel Building  (2)"/>
      <sheetName val="Est. Expansion joint "/>
      <sheetName val="Sub-estimate electrical"/>
      <sheetName val="LEAD- "/>
      <sheetName val="Rates SSR 2008-09"/>
      <sheetName val="Toilet block "/>
      <sheetName val="Bore well &amp; Motor"/>
      <sheetName val="Sub-estimate for Sanitary &amp; Int"/>
      <sheetName val="Compound wall "/>
      <sheetName val="Doors &amp; Windows "/>
      <sheetName val="MS Windows"/>
      <sheetName val="PH-6x4"/>
      <sheetName val="PH-4X3"/>
      <sheetName val="Watchman Qrters."/>
      <sheetName val="M F ROOM"/>
      <sheetName val="Non-DI "/>
      <sheetName val="temp-SDData (2)"/>
      <sheetName val="E- DATA "/>
      <sheetName val="W.E"/>
      <sheetName val="DW-Data"/>
      <sheetName val="Gf-toilet-electr"/>
      <sheetName val="G.Floor-tb"/>
      <sheetName val="GF rear"/>
      <sheetName val="FF rear"/>
      <sheetName val="S-Tank-100"/>
      <sheetName val="EWSA"/>
      <sheetName val="S&amp;WS (2)"/>
      <sheetName val="Top Cover"/>
      <sheetName val="comp abst (3)"/>
      <sheetName val="comp abst (2)"/>
      <sheetName val="ext-drainag (2)"/>
      <sheetName val="K &amp; D (D)"/>
      <sheetName val="School Builidng"/>
      <sheetName val="STAFF QTRS"/>
      <sheetName val="Internal Electrical"/>
      <sheetName val="SCH-ELE"/>
      <sheetName val="Dormitory-ele"/>
      <sheetName val="Staff-Ele"/>
      <sheetName val="PrlQ-Ele"/>
      <sheetName val="K&amp;D-Ele"/>
      <sheetName val="Ele-Dor"/>
      <sheetName val="Est-Ele(School)"/>
      <sheetName val="WS (Sch)"/>
      <sheetName val="WS Dor"/>
      <sheetName val="WS - Kit "/>
      <sheetName val="Ele K&amp; D"/>
      <sheetName val="Principal Quarters"/>
      <sheetName val="WS - Prll"/>
      <sheetName val="Ele Prl Q"/>
      <sheetName val="Teaching Staff (d) (2)"/>
      <sheetName val="WS - TStaff"/>
      <sheetName val="EleTStaf"/>
      <sheetName val="Road "/>
      <sheetName val="Sump (2)"/>
      <sheetName val="Deviationstate"/>
      <sheetName val="comp furni"/>
      <sheetName val="Comparative_ Compundwall"/>
      <sheetName val="Borewall"/>
      <sheetName val="comp abst"/>
      <sheetName val="New Comp School "/>
      <sheetName val="Comparative_ SCHOOL"/>
      <sheetName val="Comparative_ k&amp;D"/>
      <sheetName val="Comparative_ Doritary"/>
      <sheetName val="Comparative_ SUMP"/>
      <sheetName val="Steel details"/>
      <sheetName val="Clinic (D)"/>
      <sheetName val="Teaching Staff (d)"/>
      <sheetName val="STank200"/>
      <sheetName val="STank100"/>
      <sheetName val="OHSR"/>
      <sheetName val="Inter School "/>
      <sheetName val="Inter Dormatroy"/>
      <sheetName val="Inter Principal Qtr"/>
      <sheetName val="Inter Kit&amp; Din"/>
      <sheetName val="Inter Ecl staff Qtrs  "/>
      <sheetName val="Dormitary (GF FF SF )"/>
      <sheetName val="Inter Dormatory"/>
      <sheetName val="ins"/>
      <sheetName val="f1dup"/>
      <sheetName val="f2adupli"/>
      <sheetName val="f4dup"/>
      <sheetName val="detailddup"/>
      <sheetName val="data1"/>
      <sheetName val="datadupli"/>
      <sheetName val="RData"/>
      <sheetName val="inspection"/>
      <sheetName val="lead1"/>
      <sheetName val="leadsdup"/>
      <sheetName val="slip"/>
      <sheetName val="tech"/>
      <sheetName val="culvert (2)"/>
      <sheetName val="culvert (3)"/>
      <sheetName val="trialpit"/>
      <sheetName val="Electrification"/>
      <sheetName val="Supplemantal - Data"/>
      <sheetName val="Lead Statement 2005-06 1st  Qtr"/>
      <sheetName val="Rates 2005-06 ...."/>
      <sheetName val="Lead Statement 2005-06 2nd Qtr."/>
      <sheetName val="Lead Statement 2005-06 3rd Qtr."/>
      <sheetName val="Lead Statement 2005-06 4th Qtr."/>
      <sheetName val="Rates 2005-06 "/>
      <sheetName val="Lead Statement 2006-07 1, 2, 3"/>
      <sheetName val="Rates 2006-07 1, 2, 3"/>
      <sheetName val="Rates 2006-07 4th"/>
      <sheetName val="Lead Statement 2006-07 4"/>
      <sheetName val="Lead Statement 2007-08 1st Qtr."/>
      <sheetName val="Rates 2007-08 1st"/>
      <sheetName val="Lead Statement 2007-08 2nd "/>
      <sheetName val="Rates 2007-08 2nd"/>
      <sheetName val="Lead Statement 2007-08 3rd"/>
      <sheetName val="Rates 2007-08 3rd "/>
      <sheetName val="Lead Statement 2007-08 4th "/>
      <sheetName val="Rates 2007-08 4th"/>
      <sheetName val="Bridge Data 2006-07"/>
      <sheetName val="Bridge Data 2007-08"/>
      <sheetName val="Lead  07-08 3rd Q Appr. "/>
      <sheetName val="BTR  2007-08 3rd Qtr. "/>
      <sheetName val="Appr. Data 2007-08 3rd Qtr"/>
      <sheetName val="Approaches Origl Align 1 (4)"/>
      <sheetName val="Bridge over all Qtys. "/>
      <sheetName val="Bri. Abs.Est.Agt.Prd SSR 05-06"/>
      <sheetName val="Bri. Abs.Est.Agt.Prd SSR 06-07"/>
      <sheetName val="Bri. Abs.Est. SSR 2007-08"/>
      <sheetName val="Appr. Abs.Est. SSR 2007-08 "/>
      <sheetName val="Comp. Abst. "/>
      <sheetName val="Qty. as per WE II &amp; Prev. SSR "/>
      <sheetName val="repairs"/>
      <sheetName val="CAMPARATIVE STATEMENT          "/>
      <sheetName val="Electrification "/>
      <sheetName val="Ground Floor "/>
      <sheetName val="First Floor "/>
      <sheetName val="Second Floor"/>
      <sheetName val="Third Floor "/>
      <sheetName val="E- DATA"/>
      <sheetName val="Ele-data1"/>
      <sheetName val="ws data "/>
      <sheetName val="Building Datas"/>
      <sheetName val="Main. Est."/>
      <sheetName val="INFO"/>
      <sheetName val="Cov"/>
      <sheetName val="Rep"/>
      <sheetName val="Road Abst."/>
      <sheetName val="CD works Abst."/>
      <sheetName val="CC drains Abst."/>
      <sheetName val="CD works detail Est."/>
      <sheetName val="CC drains detail Est."/>
      <sheetName val="Earth work Cal"/>
      <sheetName val="Earth Volume"/>
      <sheetName val="General Abst."/>
      <sheetName val="CD works data"/>
      <sheetName val="GEN. ABS."/>
      <sheetName val="Road Est."/>
      <sheetName val="Median"/>
      <sheetName val="Slab Culvert 51.10"/>
      <sheetName val="Slab Wid.52.4"/>
      <sheetName val="Wid.Pipe cul 52.10"/>
      <sheetName val="P.C.Drawing"/>
      <sheetName val="C.S.OF DIVIDER"/>
      <sheetName val="SP Report"/>
      <sheetName val="SB GF &amp; FF"/>
      <sheetName val="SB SF"/>
      <sheetName val="WS SB"/>
      <sheetName val="ELE SB"/>
      <sheetName val="DB GF &amp; FF"/>
      <sheetName val="DB SF"/>
      <sheetName val="WS DB"/>
      <sheetName val="ELE DB"/>
      <sheetName val="DINING &amp; KITCHEN"/>
      <sheetName val="WS D&amp;K"/>
      <sheetName val="ELE DNG &amp; KTC"/>
      <sheetName val="PRNCPL QRTR"/>
      <sheetName val="WS PQ"/>
      <sheetName val="ELE PQ"/>
      <sheetName val="STAFF QRTRS"/>
      <sheetName val="WS SQ"/>
      <sheetName val="ELE SQ"/>
      <sheetName val="ST200"/>
      <sheetName val="ST100"/>
      <sheetName val="EXTRNL ELCTFCTN"/>
      <sheetName val="EXT DRAIN"/>
      <sheetName val="CC road (2)"/>
      <sheetName val="Bore Well "/>
      <sheetName val="seignerage"/>
      <sheetName val="C C Road "/>
      <sheetName val="El Data (2)"/>
      <sheetName val="iosum"/>
      <sheetName val="172"/>
      <sheetName val="bom US"/>
      <sheetName val="pwrsum"/>
      <sheetName val="pwr "/>
      <sheetName val="24VBPS"/>
      <sheetName val="HPMPS"/>
      <sheetName val="LUs"/>
      <sheetName val="Estimate-Civil"/>
      <sheetName val="det-qty"/>
      <sheetName val="for C1 India"/>
      <sheetName val="SANI DET"/>
      <sheetName val="Final AB"/>
      <sheetName val="Labul1"/>
      <sheetName val="G - AB WE (3)"/>
      <sheetName val="G - B GF"/>
      <sheetName val="ABS GF"/>
      <sheetName val="GF Detailed"/>
      <sheetName val="CS GF "/>
      <sheetName val="ABS FF"/>
      <sheetName val="FF Detailed"/>
      <sheetName val="CS FF"/>
      <sheetName val="S. Tank"/>
      <sheetName val="CS S Tank"/>
      <sheetName val="WS Detailed"/>
      <sheetName val="supl.data-2"/>
      <sheetName val="Est- orgnl"/>
      <sheetName val="Ele-est"/>
      <sheetName val="SD"/>
      <sheetName val="RE- 9lakhs"/>
      <sheetName val="CS GF"/>
      <sheetName val="WE-1"/>
      <sheetName val="SD Door"/>
      <sheetName val="SD3"/>
      <sheetName val="comp.st."/>
      <sheetName val="label"/>
      <sheetName val="Augu"/>
      <sheetName val="Furniture"/>
      <sheetName val="El Data old"/>
      <sheetName val="MS Doors"/>
      <sheetName val="MS Ventilators"/>
      <sheetName val="Sant"/>
      <sheetName val="Labour_Charges(detl)"/>
      <sheetName val="Core_SSR"/>
      <sheetName val="Abst (2)"/>
      <sheetName val="SF"/>
      <sheetName val="WS&amp;S"/>
      <sheetName val="Bore"/>
      <sheetName val="DB(CIV)"/>
      <sheetName val="Dor Civ"/>
      <sheetName val="DB(WS)"/>
      <sheetName val="DB(IE)"/>
      <sheetName val="Class - IV"/>
      <sheetName val="Class IV"/>
      <sheetName val="CLASS IV(WS)"/>
      <sheetName val="CLASS IV(IE)"/>
      <sheetName val="Security room"/>
      <sheetName val="Generator room"/>
      <sheetName val="First FL (2)"/>
      <sheetName val="Details (2)"/>
      <sheetName val="GROUND FL"/>
      <sheetName val="First FL"/>
      <sheetName val="Detail cum Abstract"/>
      <sheetName val="Details."/>
      <sheetName val="model door 4X2.7"/>
      <sheetName val="Country Wood Doors (2)"/>
      <sheetName val="Country Wood Doors"/>
      <sheetName val="MS D&amp;W"/>
      <sheetName val="El Data1"/>
      <sheetName val="El Data - Final"/>
      <sheetName val="D&amp;W - EE"/>
      <sheetName val="Sal DW"/>
      <sheetName val="Specification Report (2)"/>
      <sheetName val="FINAL ABSTRACT (2)"/>
      <sheetName val="Addl.Dormitory-GF"/>
      <sheetName val="SW Hostel"/>
      <sheetName val="Addl.Dormitory-FF"/>
      <sheetName val="Addl.Dormitory-SF"/>
      <sheetName val="Ele Est"/>
      <sheetName val="WS &amp; S Est"/>
      <sheetName val="D&amp;W DATA sdsd"/>
      <sheetName val="Total Abst"/>
      <sheetName val="18 rooms estimate 1 "/>
      <sheetName val="6 rooms estimate 2"/>
      <sheetName val="GGGGG"/>
      <sheetName val="TENDER"/>
      <sheetName val="ABST "/>
      <sheetName val="ACR"/>
      <sheetName val="ACR 6 ROOMS"/>
      <sheetName val="ACR 12 ROOMS"/>
      <sheetName val="RUNNING WATER"/>
      <sheetName val="eletrical"/>
      <sheetName val="sump &amp; drinking water"/>
      <sheetName val="toilets girls"/>
      <sheetName val="Dilapilated Building"/>
      <sheetName val="ro plant est"/>
      <sheetName val="spec (2)"/>
      <sheetName val="Cover  (2)"/>
      <sheetName val="3 rooms estimate 3"/>
      <sheetName val="2 rooms 1st Floor 4"/>
      <sheetName val="2 rooms 1st Floor  16.00 Lks 5 "/>
      <sheetName val="Sheet5 (2)"/>
      <sheetName val="GS"/>
      <sheetName val="CD-Abs"/>
      <sheetName val="1v-1000"/>
      <sheetName val="1v-600"/>
      <sheetName val="Part-A"/>
      <sheetName val="upload sheet"/>
      <sheetName val="2V"/>
      <sheetName val="1V"/>
      <sheetName val="1V-1.0 dia"/>
      <sheetName val="2V-1.0 dia"/>
      <sheetName val="CC Pavement"/>
      <sheetName val="TD"/>
      <sheetName val="G F"/>
      <sheetName val="G F tOT"/>
      <sheetName val="F F TOT)"/>
      <sheetName val="Elei"/>
      <sheetName val="Sani &amp; W S phase "/>
      <sheetName val="G FTotal"/>
      <sheetName val="F F total"/>
      <sheetName val="Electrical Total"/>
      <sheetName val="Sani &amp; W Supply Total"/>
      <sheetName val="BOQ for package"/>
      <sheetName val="BOQ (SP)"/>
      <sheetName val="BOQ (SP for package)"/>
      <sheetName val="BR (SP)"/>
      <sheetName val="Sani &amp; W S phase 1"/>
      <sheetName val="steel calculation"/>
      <sheetName val="M.Books "/>
      <sheetName val="CM Consumption "/>
      <sheetName val="M.Dates"/>
      <sheetName val="1st bill before 94 GO "/>
      <sheetName val="1st bill Club "/>
      <sheetName val="1st bill 94 GO"/>
      <sheetName val="Rates 2006-07"/>
      <sheetName val="2nd bill "/>
      <sheetName val="LEAD 06-07"/>
      <sheetName val="3rd bill"/>
      <sheetName val="Rates 2007-08"/>
      <sheetName val="4th bill "/>
      <sheetName val="LEAD 07-08"/>
      <sheetName val="Data 07-08 "/>
      <sheetName val="LEAD 08-09"/>
      <sheetName val="Data 08-09"/>
      <sheetName val="Strip Chart"/>
      <sheetName val="Plant &amp; Equip."/>
      <sheetName val="Monthly Quantities"/>
      <sheetName val="Job Mix Formulae"/>
      <sheetName val="Profitability "/>
      <sheetName val="PricedBOQ"/>
      <sheetName val="Camp"/>
      <sheetName val="Running Expenses"/>
      <sheetName val="Major Material"/>
      <sheetName val="Other Material"/>
      <sheetName val="Subcontracts"/>
      <sheetName val="Priced BoQ"/>
      <sheetName val="TC-Bar"/>
      <sheetName val="TC-Detail"/>
      <sheetName val="Material Rate"/>
      <sheetName val="Tippers Cal"/>
      <sheetName val="Bar Chart R0"/>
      <sheetName val="Bar Chart R1"/>
      <sheetName val="Bar Chart R2"/>
      <sheetName val="Cash Flow R0"/>
      <sheetName val="Cash Flow R1"/>
      <sheetName val="Summ Cash Flow R1"/>
      <sheetName val="Cash Flow R2"/>
      <sheetName val="Cash Flow R3"/>
      <sheetName val="Budget Summary R1"/>
      <sheetName val="Cash Flow R3-33%"/>
      <sheetName val="Camp layout (R2)"/>
      <sheetName val="Elect-BlankBOQ"/>
      <sheetName val="P&amp;E Maint."/>
      <sheetName val="List of Lab Equip"/>
      <sheetName val="Org Chart-Names"/>
      <sheetName val="Camp layout"/>
      <sheetName val="Camp layout (R1)"/>
      <sheetName val="Org Chart-Blank"/>
      <sheetName val="X-sections"/>
      <sheetName val="Detailed Strip Chart"/>
      <sheetName val="Strip-Structures"/>
      <sheetName val="NCL GH"/>
      <sheetName val="Lab Equip"/>
      <sheetName val="PricedBOQ-Ssangyong"/>
      <sheetName val="PricedBOQ-NCL"/>
      <sheetName val="Price Adjustment"/>
      <sheetName val="Budget Summary"/>
      <sheetName val="Main Cw"/>
      <sheetName val="Qty MCW"/>
      <sheetName val="SR CW"/>
      <sheetName val="EW SR"/>
      <sheetName val="Qty SR"/>
      <sheetName val="Qty Final"/>
      <sheetName val="Total Hts"/>
      <sheetName val="Diversion"/>
      <sheetName val="Junctions"/>
      <sheetName val="Detailed Qty"/>
      <sheetName val="Basicrates"/>
      <sheetName val="Project review U1 1of 2"/>
      <sheetName val="Project review U1 2 of 2"/>
      <sheetName val="concrete "/>
      <sheetName val="transportation cost"/>
      <sheetName val="Earthworks"/>
      <sheetName val="Bitumen Works"/>
      <sheetName val="Road Works (2)"/>
      <sheetName val="Rate Breakup"/>
      <sheetName val="n rays "/>
      <sheetName val="anishk rates"/>
      <sheetName val="comp statement"/>
      <sheetName val="BOQ (3)"/>
      <sheetName val="BOQ FINAL"/>
      <sheetName val="BOQ _2_"/>
      <sheetName val="1CBR3"/>
      <sheetName val="Str. Steel"/>
      <sheetName val="Steel Column"/>
      <sheetName val="Inserts"/>
      <sheetName val="Sheet Pile Fab"/>
      <sheetName val="Sheet Pile Erec"/>
      <sheetName val="Steel Consp. Dtl"/>
      <sheetName val="Steel Reconcile"/>
      <sheetName val="Mat Consp."/>
      <sheetName val="Summary Extra"/>
      <sheetName val="Measurment Extra"/>
      <sheetName val="NEW "/>
      <sheetName val="NEW"/>
      <sheetName val="MPR_SC_1"/>
      <sheetName val="MPR_SP_1"/>
      <sheetName val="MPR_MJBR_1"/>
      <sheetName val="MPR_MJBR_2"/>
      <sheetName val="MPR_MAN_1"/>
      <sheetName val="MPR_P&amp;E_1"/>
      <sheetName val="MPR_P&amp;E_2"/>
      <sheetName val="MPR_P&amp;E_3"/>
      <sheetName val="MPR_P&amp;E_4"/>
      <sheetName val="MPR_MS_1"/>
      <sheetName val="MPR_RA_1"/>
      <sheetName val="MPR_FR_1"/>
      <sheetName val="MPR_MFE_1"/>
      <sheetName val="MPR_PR_1"/>
      <sheetName val="MPR_RB_1"/>
      <sheetName val="RESOURES"/>
      <sheetName val="DEPT RATES"/>
      <sheetName val="DWR(Priced)"/>
      <sheetName val=" AnalysisPCC"/>
      <sheetName val="Comp.Statement"/>
      <sheetName val="DWR"/>
      <sheetName val="laroux"/>
      <sheetName val="ult"/>
      <sheetName val="BOX"/>
      <sheetName val="BOX (2)"/>
      <sheetName val="실행철강하도"/>
      <sheetName val="TP15A"/>
      <sheetName val="TP10A"/>
      <sheetName val="TP17"/>
      <sheetName val="TAIL HOUSE (ON B2)"/>
      <sheetName val="DRIVE HOUSE"/>
      <sheetName val="TP15"/>
      <sheetName val="TP14"/>
      <sheetName val="TP-9 EXISTING"/>
      <sheetName val="TP-10 EXISTING"/>
      <sheetName val="Rates Required"/>
      <sheetName val="Periodic Renewal"/>
      <sheetName val="Summary of ESTIMATE"/>
      <sheetName val="HP(9.200)"/>
      <sheetName val="RCSlab(9.350)"/>
      <sheetName val="HP(9.435)"/>
      <sheetName val="HP(10.650)"/>
      <sheetName val="HP(11.135)"/>
      <sheetName val="HP(12.050)"/>
      <sheetName val="HP(12.500)"/>
      <sheetName val="HP(13.000)"/>
      <sheetName val="IPC"/>
      <sheetName val="Summary-Boq"/>
      <sheetName val="Extra"/>
      <sheetName val="Esc-A"/>
      <sheetName val="Esc-B"/>
      <sheetName val="Esc-C"/>
      <sheetName val="Advance for Material-PP"/>
      <sheetName val="Mobilisation-aji"/>
      <sheetName val="Sheet22"/>
      <sheetName val=" BS"/>
      <sheetName val="Accounts"/>
      <sheetName val="TB"/>
      <sheetName val="P &amp; L"/>
      <sheetName val="CF Workings"/>
      <sheetName val="CashFlow "/>
      <sheetName val="schedules"/>
      <sheetName val="schedules (2)"/>
      <sheetName val="FA Schedule (2)"/>
      <sheetName val="FA Schedule (3)"/>
      <sheetName val="Investment schedule"/>
      <sheetName val="schedules (3)"/>
      <sheetName val="schedules (4)"/>
      <sheetName val="schedules (5)"/>
      <sheetName val="Excise"/>
      <sheetName val="Share capital Analysis"/>
      <sheetName val="loans &amp;advances"/>
      <sheetName val="Payroll wkgs"/>
      <sheetName val="Factory and marketing"/>
      <sheetName val="Freight"/>
      <sheetName val="Projects"/>
      <sheetName val="Guardpostand drain"/>
      <sheetName val="0-25 - Widening"/>
      <sheetName val="25-56 - Raising"/>
      <sheetName val="56-70 - Oneside Widening"/>
      <sheetName val="70-82 Oneside on CanalBank"/>
      <sheetName val="Flexible"/>
      <sheetName val="Chap 5"/>
      <sheetName val="MachWise"/>
      <sheetName val="DailyAvgeRprt"/>
      <sheetName val="PtyWise"/>
      <sheetName val="Stock"/>
      <sheetName val="Diesel Tanker"/>
      <sheetName val="summery"/>
      <sheetName val=" WORKING "/>
      <sheetName val="pay.sheet.CERTI"/>
      <sheetName val="Material issue statement"/>
      <sheetName val="Discarded links"/>
      <sheetName val="Form D1"/>
      <sheetName val="Form D12"/>
      <sheetName val="Form D13"/>
      <sheetName val="MATERIAL TOTAL"/>
      <sheetName val="bg-charges"/>
      <sheetName val="cl14"/>
      <sheetName val="FORM-W3"/>
      <sheetName val="(31)"/>
      <sheetName val="Measurement Major Maintance (2)"/>
      <sheetName val="CostSheet"/>
      <sheetName val="PlazaConstr"/>
      <sheetName val="PlazaElec"/>
      <sheetName val="ElecPoints"/>
      <sheetName val="Bitumen Rate 010213"/>
      <sheetName val="RA_DbmBC"/>
      <sheetName val="Machinory output"/>
      <sheetName val="Plantation"/>
      <sheetName val="AmbPtrlCrn"/>
      <sheetName val="MaintOH"/>
      <sheetName val="TollOH"/>
      <sheetName val="Measurement"/>
      <sheetName val="Measurement Major Maintance"/>
      <sheetName val="Register"/>
      <sheetName val="RecvrWs"/>
      <sheetName val="TranWs"/>
      <sheetName val="StckSmry"/>
      <sheetName val="MatWs"/>
      <sheetName val="cement Register"/>
      <sheetName val="As per PCA"/>
      <sheetName val="1 Site Dis"/>
      <sheetName val="2 E work"/>
      <sheetName val="3 SB &amp; Base"/>
      <sheetName val="4 BT"/>
      <sheetName val="6B MJ BRD "/>
      <sheetName val="6E FOB"/>
      <sheetName val="6F Repair Bridge"/>
      <sheetName val="10 toll plaza"/>
      <sheetName val="12 _RE_wall"/>
      <sheetName val="EW-Sum"/>
      <sheetName val="Extra_Paved"/>
      <sheetName val="List-SR"/>
      <sheetName val="cross section schedule"/>
      <sheetName val="Toll_Sign"/>
      <sheetName val="Toll_Plaza"/>
      <sheetName val="Cal_MCW"/>
      <sheetName val="Cal_SR"/>
      <sheetName val="TCS_1"/>
      <sheetName val="TCS_4D"/>
      <sheetName val="TCS_3C"/>
      <sheetName val="TCS_2A"/>
      <sheetName val="TCS_2B"/>
      <sheetName val="TCS_2C"/>
      <sheetName val="TCS_2B1"/>
      <sheetName val="TCS_3AL"/>
      <sheetName val="TCS_3AR"/>
      <sheetName val="TCS_3BL"/>
      <sheetName val="TCS_3BR "/>
      <sheetName val="TCS_4"/>
      <sheetName val="TCS_5A"/>
      <sheetName val="TCS_5"/>
      <sheetName val="TCS_5B"/>
      <sheetName val="Trucklaybye"/>
      <sheetName val="RE_Wall-cal"/>
      <sheetName val="Bus-Bay"/>
      <sheetName val="Major T-Junction"/>
      <sheetName val="Major X-Junction"/>
      <sheetName val="list of Structure"/>
      <sheetName val="Earthwork LHS"/>
      <sheetName val="Earthwork RHS"/>
      <sheetName val="TCS TYPE"/>
      <sheetName val="Road inv"/>
      <sheetName val="6A MN BRD"/>
      <sheetName val="91+950 A2 RHS"/>
      <sheetName val="91+950 A2 LHS "/>
      <sheetName val="91+950 A1 RHS"/>
      <sheetName val="91+950 A1 LHS"/>
      <sheetName val="103+836"/>
      <sheetName val="106+100"/>
      <sheetName val="109+800 A2 RHS"/>
      <sheetName val="109+800 A1 RHS  "/>
      <sheetName val="109+800 A2 LHS "/>
      <sheetName val="109+800 A1 LHS"/>
      <sheetName val="q1"/>
      <sheetName val="F6-Conc"/>
      <sheetName val="F6-Up"/>
      <sheetName val="F6-New"/>
      <sheetName val="Bqty"/>
      <sheetName val="HPCul"/>
      <sheetName val="HP2"/>
      <sheetName val="Gul"/>
      <sheetName val="F8"/>
      <sheetName val="PMC"/>
      <sheetName val="RtAnalysis"/>
      <sheetName val="RCC3MF7"/>
      <sheetName val="RaftF7"/>
      <sheetName val="Bk-Anal"/>
      <sheetName val="Raftdesign"/>
      <sheetName val="Wingtrench"/>
      <sheetName val="Drg"/>
      <sheetName val="SoilTest"/>
      <sheetName val="Pavement"/>
      <sheetName val="Format B"/>
      <sheetName val="F3"/>
      <sheetName val="F5"/>
      <sheetName val="BkAnal"/>
      <sheetName val="NP3-Bitu"/>
      <sheetName val="hpipedraw"/>
      <sheetName val="Slab-Design"/>
      <sheetName val="Sheet 2"/>
      <sheetName val="QUESTION"/>
      <sheetName val="Detmes"/>
      <sheetName val="Reassessment Fin"/>
      <sheetName val="Assessment Fin"/>
      <sheetName val="Annex 1.01"/>
      <sheetName val="crusher recon(Annex2.02)"/>
      <sheetName val="Annex 1.02"/>
      <sheetName val="Reassessment SCM"/>
      <sheetName val="Assess SCM"/>
      <sheetName val="Annex.3.01 "/>
      <sheetName val="Annex 3.02"/>
      <sheetName val="Reassessment HR"/>
      <sheetName val="Assessment HR"/>
      <sheetName val="Annex 4.02"/>
      <sheetName val="Annex 4.03"/>
      <sheetName val="FOR O&amp;M"/>
      <sheetName val="PEP SUMMARY"/>
      <sheetName val="ETC summary-rev"/>
      <sheetName val="P&amp;L "/>
      <sheetName val="Client Bill"/>
      <sheetName val="Direct Cost Plan"/>
      <sheetName val="Indirect Cost Plan Final"/>
      <sheetName val=" DIRECT COST"/>
      <sheetName val="ETC INDIRECT COST"/>
      <sheetName val="ETC BOM"/>
      <sheetName val="Indirect Cost Plan"/>
      <sheetName val="Revenue Plan"/>
      <sheetName val="Final Revenue Plan-STP &amp; PS "/>
      <sheetName val="Final Scope Plan-STP &amp; PS"/>
      <sheetName val="Final Scope Plan-UGD"/>
      <sheetName val="Orgonogram"/>
      <sheetName val="Staff Plan"/>
      <sheetName val="Manpower Plan"/>
      <sheetName val="Equipment Plan"/>
      <sheetName val="DI Pipe Laying BOQ"/>
      <sheetName val="Adminasration Building-BOQ"/>
      <sheetName val="Sludge slum -BOQ"/>
      <sheetName val="Centrifuge house-BOQ"/>
      <sheetName val="TQS(HO)"/>
      <sheetName val="WORKING"/>
      <sheetName val="TQS(EZ)"/>
      <sheetName val="WO"/>
      <sheetName val="Top Sheet1"/>
      <sheetName val="TS Civil"/>
      <sheetName val="BUD"/>
      <sheetName val="BUD (Civ Supply)"/>
      <sheetName val="CP-Steel"/>
      <sheetName val="CP-Cement"/>
      <sheetName val="BUD (Chimney)"/>
      <sheetName val="Korba"/>
      <sheetName val="CP"/>
      <sheetName val="T&amp;P"/>
      <sheetName val="CC"/>
      <sheetName val="Agg."/>
      <sheetName val="Mat."/>
      <sheetName val="Labr."/>
      <sheetName val="Subcon(SPL)"/>
      <sheetName val="Stg &amp; Shut."/>
      <sheetName val="S.SAL"/>
      <sheetName val="S.Sal-Com"/>
      <sheetName val="Site Infra."/>
      <sheetName val="S.Wel."/>
      <sheetName val="Tel"/>
      <sheetName val="Tel-Com."/>
      <sheetName val="Travel &amp; Convy"/>
      <sheetName val="Con&amp;Prof"/>
      <sheetName val="Estb.-Exp."/>
      <sheetName val="RCC-CON-SCH-Civil"/>
      <sheetName val="Recruit &amp; Train"/>
      <sheetName val="E&amp;W"/>
      <sheetName val="Vehicle Hire"/>
      <sheetName val="off Maint"/>
      <sheetName val="Rent"/>
      <sheetName val="Security"/>
      <sheetName val="Rates &amp; Taxes"/>
      <sheetName val="Estab"/>
      <sheetName val="Depreciation"/>
      <sheetName val="BOQ With Material"/>
      <sheetName val="structural"/>
      <sheetName val="Lab P&amp;M Op."/>
      <sheetName val="Staff Salaries"/>
      <sheetName val="fuel"/>
      <sheetName val="EQUIMENT"/>
      <sheetName val="R&amp;M"/>
      <sheetName val="Stag"/>
      <sheetName val="Tel-Project (2)"/>
      <sheetName val="packages"/>
      <sheetName val="cfl"/>
      <sheetName val="expn de"/>
      <sheetName val="bgequip"/>
      <sheetName val="Op Salary(2)"/>
      <sheetName val="interest charges"/>
      <sheetName val="LAPPL-QR"/>
      <sheetName val="LAPPL-Dry Rate"/>
      <sheetName val="Summary Format"/>
      <sheetName val="BOQ-Dir-Fin-Monthly"/>
      <sheetName val="WO-Monthly"/>
      <sheetName val="RA-Monthly"/>
      <sheetName val="Summary -New"/>
      <sheetName val="QA - QC"/>
      <sheetName val="POL Charges"/>
      <sheetName val="PEA new"/>
      <sheetName val="Budget-Summary"/>
      <sheetName val="Budget Summary- New "/>
      <sheetName val="Direct cost-RA (2)"/>
      <sheetName val="Indirect Cost "/>
      <sheetName val="HO TQS"/>
      <sheetName val="diesel"/>
      <sheetName val="TRIANGLE"/>
      <sheetName val="OCATAGON"/>
      <sheetName val="RECTANGLE"/>
      <sheetName val="Adv Rt Dirc"/>
      <sheetName val="CIRCULAR"/>
      <sheetName val="NH Rt.M"/>
      <sheetName val="Ex junct."/>
      <sheetName val="OVERHEAD"/>
      <sheetName val="Guard Rail"/>
      <sheetName val="Studs"/>
      <sheetName val="Chevron Sign"/>
      <sheetName val="chervon sign information.1"/>
      <sheetName val="Delineators"/>
      <sheetName val="Road Markings "/>
      <sheetName val="TR-I"/>
      <sheetName val="1    "/>
      <sheetName val="1C"/>
      <sheetName val="2    "/>
      <sheetName val="4    "/>
      <sheetName val="Cut Quantity 1;1 slope"/>
      <sheetName val="Cut Quantity 1;2 slope"/>
      <sheetName val="Fill Quantity 1;2"/>
      <sheetName val="Fill Quantity"/>
      <sheetName val="3C"/>
      <sheetName val="Subgrade"/>
      <sheetName val="5    "/>
      <sheetName val="4C"/>
      <sheetName val="C7"/>
      <sheetName val="7    (2)"/>
      <sheetName val="6    "/>
      <sheetName val="6C"/>
      <sheetName val="7   "/>
      <sheetName val="7C"/>
      <sheetName val="8C"/>
      <sheetName val="12   "/>
      <sheetName val="11C"/>
      <sheetName val="Bus Bay &amp; Truck"/>
      <sheetName val="144"/>
      <sheetName val="Maintanance"/>
      <sheetName val="Jun"/>
      <sheetName val="12C"/>
      <sheetName val="13 D"/>
      <sheetName val="13-D"/>
      <sheetName val="Cs Details"/>
      <sheetName val="Section 1-SH-59"/>
      <sheetName val="Section 2- Sh-9"/>
      <sheetName val="Filling Qty"/>
      <sheetName val="Site Report"/>
      <sheetName val="P&amp;E"/>
      <sheetName val="Financial"/>
      <sheetName val="summary ( OP-2)"/>
      <sheetName val="BU"/>
      <sheetName val="D.E-1"/>
      <sheetName val="B.Pass"/>
      <sheetName val="Widening PRP"/>
      <sheetName val="T.Diver"/>
      <sheetName val="T.Div cost"/>
      <sheetName val="EW-EXist"/>
      <sheetName val="EW-Bpass"/>
      <sheetName val="Bus Bay &amp; Truck-Ex"/>
      <sheetName val="On Existing Proj Road"/>
      <sheetName val="Jun Ex Road"/>
      <sheetName val="EX -MISS"/>
      <sheetName val="Jun Bypass"/>
      <sheetName val="Bus Bay &amp; Truck-Ex (2)"/>
      <sheetName val="BYPAS-MISS "/>
      <sheetName val="Drain - steel"/>
      <sheetName val="Drain - steel-Bypass"/>
      <sheetName val="Wayside Amenities"/>
      <sheetName val="Bypass Cost"/>
      <sheetName val="Delineators (2)"/>
      <sheetName val="Miscellaneous"/>
      <sheetName val="BASIC-Roads"/>
      <sheetName val="Total summary"/>
      <sheetName val="Summary of 13th RA"/>
      <sheetName val="progress"/>
      <sheetName val="견적대비표"/>
      <sheetName val="Stock in Trade"/>
      <sheetName val="wip - erection items"/>
      <sheetName val="Discarded_links"/>
      <sheetName val="Form_D1"/>
      <sheetName val="Form_D12"/>
      <sheetName val="Form_D13"/>
      <sheetName val="MATERIAL_TOTAL"/>
      <sheetName val="Summary_of_13th_RA"/>
      <sheetName val="BOQ_Distribution"/>
      <sheetName val="Officer_Budget_Form"/>
      <sheetName val="Proj Data"/>
      <sheetName val="유동표"/>
      <sheetName val="Spacing of Delineators"/>
      <sheetName val="부대내역"/>
      <sheetName val="purpose&amp;input"/>
      <sheetName val="number"/>
      <sheetName val="section wise"/>
      <sheetName val="askng rate"/>
      <sheetName val="section wise (2)"/>
      <sheetName val="RateList"/>
      <sheetName val="PO Status"/>
      <sheetName val="Selection"/>
      <sheetName val="Detail P&amp;L"/>
      <sheetName val="Assumption Sheet"/>
      <sheetName val="Steel-Circular"/>
      <sheetName val="Steel_Circular"/>
      <sheetName val="Flyover"/>
      <sheetName val="VUP"/>
      <sheetName val="MNB"/>
      <sheetName val="Box Culvert"/>
      <sheetName val="Casting Yard"/>
      <sheetName val="Cast in Situ "/>
      <sheetName val="DLC PQC"/>
      <sheetName val="Plant Quantity"/>
      <sheetName val="Consumption Report-1"/>
      <sheetName val="Conc Qty "/>
      <sheetName val="Status Abstract"/>
      <sheetName val="Status (2)"/>
      <sheetName val="Work delay"/>
      <sheetName val="Spares &amp; Service- 3 yrs"/>
      <sheetName val="Spares - 1 yr"/>
      <sheetName val="UPS cal"/>
      <sheetName val="Plaza connectivity"/>
      <sheetName val="CABLES(1 lane)"/>
      <sheetName val="CABLES (2 Lanes)"/>
      <sheetName val="CABLES (6 lanes)"/>
      <sheetName val="cables 12 lanes"/>
      <sheetName val="AVC"/>
      <sheetName val="LC"/>
      <sheetName val="Master data"/>
      <sheetName val="Total TOLL+HTMS COGS analysis"/>
      <sheetName val="Pending items Hari"/>
      <sheetName val="Total TOLL analysis"/>
      <sheetName val="Final BOQ"/>
      <sheetName val="Toll-Itemwise costing"/>
      <sheetName val="Toll-Loop Sealant calculation"/>
      <sheetName val="Major Materials-1"/>
      <sheetName val="Major Materials-2"/>
      <sheetName val="INPUTS - 1"/>
      <sheetName val="INPUTS - 2"/>
      <sheetName val="Eqp Rates"/>
      <sheetName val="Vehicle Rates"/>
      <sheetName val="BM Plant"/>
      <sheetName val="Reach 3 PRW"/>
      <sheetName val="30 Month CP qTY"/>
      <sheetName val="30 Month CP Rev"/>
      <sheetName val="Programme - HHPL "/>
      <sheetName val="Monthwise Projection"/>
      <sheetName val="Percentage Work done for NH1"/>
      <sheetName val="Exp DivIsion"/>
      <sheetName val="Inflation"/>
      <sheetName val="Material Req"/>
      <sheetName val="Maj Mat Procurement"/>
      <sheetName val="Aggregate Procurement"/>
      <sheetName val="Servicetax"/>
      <sheetName val="HSD"/>
      <sheetName val="Qty Sheet"/>
      <sheetName val="Bkup1"/>
      <sheetName val="LC Site"/>
      <sheetName val="Pivot report"/>
      <sheetName val="dep"/>
      <sheetName val="Aggregate"/>
      <sheetName val="Basic Material"/>
      <sheetName val="Diesel Req"/>
      <sheetName val="Material Requirement"/>
      <sheetName val="Price Mc"/>
      <sheetName val="mc Req"/>
      <sheetName val="HM Plant"/>
      <sheetName val="Tippers"/>
      <sheetName val="SiteClear"/>
      <sheetName val="SBase"/>
      <sheetName val="Bit-Base"/>
      <sheetName val="REW"/>
      <sheetName val="TSigns"/>
      <sheetName val="PC"/>
      <sheetName val="Maint."/>
      <sheetName val="horti"/>
      <sheetName val="Found"/>
      <sheetName val="SubS"/>
      <sheetName val="SupS"/>
      <sheetName val="PW"/>
      <sheetName val="Case-3"/>
      <sheetName val="Schedule workdone"/>
      <sheetName val="PHOTOGRAPHS"/>
      <sheetName val="DATA MAJOR ACTIVITIES"/>
      <sheetName val="BLOCK A"/>
      <sheetName val="B BLOCK"/>
      <sheetName val="BLOCK C"/>
      <sheetName val="BLOCK R"/>
      <sheetName val="BLOCK S"/>
      <sheetName val="P&amp;L"/>
      <sheetName val="PrdQty"/>
      <sheetName val="PrdVal"/>
      <sheetName val="Rate Analy."/>
      <sheetName val="Agg"/>
      <sheetName val="Agg (2)"/>
      <sheetName val="PMRL ind"/>
      <sheetName val="Abs PMRL"/>
      <sheetName val="Mach."/>
      <sheetName val="Eqpdata"/>
      <sheetName val="fol"/>
      <sheetName val="BATA"/>
      <sheetName val="NHC"/>
      <sheetName val="IPA 4 main sheet"/>
      <sheetName val="Certificate -07"/>
      <sheetName val="Material Adv"/>
      <sheetName val="Escalation (2)"/>
      <sheetName val="RECONCILATION 0F  pass "/>
      <sheetName val="RECONCILATION OF P.C. VS CLIENT"/>
      <sheetName val="eXTRA ITEM DETAIL"/>
      <sheetName val="UNPROD. EXP."/>
      <sheetName val="Labour&amp; machinery"/>
      <sheetName val="A_O_R _2_"/>
      <sheetName val="A_O_R r1"/>
      <sheetName val="A_O_R r1Str"/>
      <sheetName val="A.O.R (2)"/>
      <sheetName val="Rates (2)"/>
      <sheetName val="OH (2)"/>
      <sheetName val="RatesR1"/>
      <sheetName val="A.O.R r1"/>
      <sheetName val="OH R1"/>
      <sheetName val="formwork R1"/>
      <sheetName val="A.O.R r1Str"/>
      <sheetName val="OH R1str"/>
      <sheetName val="AoR Finishing"/>
      <sheetName val="cul_invSUBMITTED"/>
      <sheetName val="Revised BoQ Str"/>
      <sheetName val="oH(Str+finishing)"/>
      <sheetName val="oHS+F Ex Alu.+actual staff"/>
      <sheetName val="oHS+F Ex Alu. (trial)"/>
      <sheetName val="Ex aluminium"/>
      <sheetName val="oH(mc purchase)"/>
      <sheetName val="Plang.1pour"/>
      <sheetName val="Plang.3pour"/>
      <sheetName val="Machine Schedule "/>
      <sheetName val="Staff Schedule"/>
      <sheetName val="Reference"/>
      <sheetName val="Report 2"/>
      <sheetName val="Report_2"/>
      <sheetName val="4.4"/>
      <sheetName val="summery-I"/>
      <sheetName val="2.07 EMB"/>
      <sheetName val="BOQ-"/>
      <sheetName val="3.01"/>
      <sheetName val="8.ii.8.(b)"/>
      <sheetName val="4.1"/>
      <sheetName val="8.1.2.(a)"/>
      <sheetName val="2.07 S.G"/>
      <sheetName val="4.2(ii)"/>
      <sheetName val="3.02"/>
      <sheetName val="Data_Renuals"/>
      <sheetName val="Addagutta OHBR"/>
      <sheetName val="Addagutta GLBR"/>
      <sheetName val="Addagutta OHBR Data"/>
      <sheetName val="Kakkireni"/>
      <sheetName val="Addagutta GLBR Data"/>
      <sheetName val="Kakkireni GLBR Data"/>
      <sheetName val=" 09.07.10 M顅ᎆ뤀ᨇ԰"/>
      <sheetName val="08.07.10헾】_x0005_"/>
      <sheetName val=" &#10;¢_x0002_&amp;"/>
      <sheetName val="Blasting data"/>
      <sheetName val="sluice-BWSCP-MS above 1000 pipe"/>
      <sheetName val="ESSR"/>
      <sheetName val="LeadE"/>
      <sheetName val="Data- FinalE "/>
      <sheetName val="Sp. Report"/>
      <sheetName val="TSmemo"/>
      <sheetName val="Rd.Data"/>
      <sheetName val="C.D.Data (Morth)"/>
      <sheetName val="Rd.Det.Est"/>
      <sheetName val="Gen.Abs."/>
      <sheetName val="Rd.abs.Est"/>
      <sheetName val="Abs.CDpipe"/>
      <sheetName val="Abs_vent&amp;pipe"/>
      <sheetName val="Abs_slab"/>
      <sheetName val="Abs.cc"/>
      <sheetName val="Abs_box"/>
      <sheetName val="Det. 1Rx800"/>
      <sheetName val="Det. 2Rx800"/>
      <sheetName val="CD_DET_PIPE_1R"/>
      <sheetName val="Slab det est"/>
      <sheetName val="CD_DET_1CELL_BOX"/>
      <sheetName val="CD_DET_4CELL_BOX"/>
      <sheetName val="150KL GLBR singotam"/>
      <sheetName val="150KL Comp."/>
      <sheetName val="30 KL at Amaragi"/>
      <sheetName val="30 KL Amaragiri Comp."/>
      <sheetName val="3500KL Sump Yellore"/>
      <sheetName val="3500KL Comp."/>
      <sheetName val="220KL GLBR Pasupula"/>
      <sheetName val="220 KL GLBR Comp."/>
      <sheetName val="120 KL Sump somasila.."/>
      <sheetName val="120 KL Comp."/>
      <sheetName val="30 KL atTP.Tha"/>
      <sheetName val="30KL TP tandha Comp."/>
      <sheetName val="S. Data"/>
      <sheetName val="Blasting Rate"/>
      <sheetName val="Burugupally"/>
      <sheetName val="Specification_2"/>
      <sheetName val="Abs N"/>
      <sheetName val="Abs N Comp"/>
      <sheetName val="Gen Abstract"/>
      <sheetName val="Abs COMP"/>
      <sheetName val="Abstract Snctnd"/>
      <sheetName val="Abs Wrkng Part A"/>
      <sheetName val="Abs Wrkng Part A COMP"/>
      <sheetName val="Abs Wrkng Part B"/>
      <sheetName val="OHSR-1 DI"/>
      <sheetName val="Rate Calc-1"/>
      <sheetName val="10.OHSR-2"/>
      <sheetName val="11.Rate Cal-2"/>
      <sheetName val="OHSR-3 CI"/>
      <sheetName val="Rate Cal-3"/>
      <sheetName val="Dist Network_HDPE"/>
      <sheetName val="OFC"/>
      <sheetName val="House Hold"/>
      <sheetName val="VC-80"/>
      <sheetName val="VC-200"/>
      <sheetName val="LEAD 2016-17"/>
      <sheetName val="SSR 16-17"/>
      <sheetName val="CC Road &amp; manhole Data"/>
      <sheetName val="water soft data"/>
      <sheetName val="PVC DATA General"/>
      <sheetName val="ew CC Portion"/>
      <sheetName val="PVC DATA CC"/>
      <sheetName val="HDPE DATA  General"/>
      <sheetName val="HDPE DATA CC"/>
      <sheetName val="OHSR "/>
      <sheetName val="CI Verticals"/>
      <sheetName val="OHSR (3)"/>
      <sheetName val="CI (3)"/>
      <sheetName val="PVC Specials"/>
      <sheetName val="CC Data"/>
      <sheetName val="Pipe line   (2)"/>
      <sheetName val="Peerya thanda"/>
      <sheetName val="JALUBAITHANDA"/>
      <sheetName val="OHSR-1 DI Wrkng"/>
      <sheetName val="OHSR-1 DI Comp"/>
      <sheetName val="Dist Network PVC"/>
      <sheetName val="Dist Network PVC W"/>
      <sheetName val="Dist Network PVC Comp"/>
      <sheetName val="DN ADD"/>
      <sheetName val="DN ADD Comp"/>
      <sheetName val="85 COLUMNS"/>
      <sheetName val="VC-450"/>
      <sheetName val="OFC data"/>
      <sheetName val="18.Repaires"/>
      <sheetName val="Hydruli stmnt"/>
      <sheetName val="cc Refilling"/>
      <sheetName val="epa copy"/>
      <sheetName val="for est"/>
      <sheetName val="4.Schools Data"/>
      <sheetName val="Requisition-Prof"/>
      <sheetName val="maheswari"/>
      <sheetName val="01.06.17 Final"/>
      <sheetName val="Doma-HDPE"/>
      <sheetName val="Lepakshi"/>
      <sheetName val="Ann to SO"/>
      <sheetName val="SO"/>
      <sheetName val="Abs_Sanctioned"/>
      <sheetName val="Abs_Working"/>
      <sheetName val="Comparative_Working"/>
      <sheetName val="Gadwal Estimate"/>
      <sheetName val="Comparitive statement Gadwa (2"/>
      <sheetName val="Comparitive statement Ieeza (2"/>
      <sheetName val="Comparitive statement Gattu (2"/>
      <sheetName val="New Lengths"/>
      <sheetName val="Comparitive statement Gadwal"/>
      <sheetName val="Abs_Sanctioned IEEZA"/>
      <sheetName val="Abs_Working IEEZA"/>
      <sheetName val="Comparative_Working IEEZA"/>
      <sheetName val="Ieeza Estimate "/>
      <sheetName val="Comparitive statement Ieeza"/>
      <sheetName val="Ieeza Estimate  (2)"/>
      <sheetName val="Comparitive"/>
      <sheetName val="Comparitive Gadwal WD"/>
      <sheetName val="CED CALCU"/>
      <sheetName val="Duct Pipe"/>
      <sheetName val="Anathapur Canal Steel Bridge"/>
      <sheetName val="10 Th Betallian DI Spl"/>
      <sheetName val="PEDASTAL   EST (2)"/>
      <sheetName val="THRUST BLOCK (2)"/>
      <sheetName val="MS pipe,flange,Dummy (2)"/>
      <sheetName val="CC RESTORE"/>
      <sheetName val="GI pipe Bedding"/>
      <sheetName val="PV Cement"/>
      <sheetName val="PV Steel"/>
      <sheetName val="GI Taxes"/>
      <sheetName val="stone dust"/>
      <sheetName val="Air valve stem"/>
      <sheetName val="PEDASTAL   EST (MB)"/>
      <sheetName val="PEDASTAL   EST"/>
      <sheetName val="THRUST BLOCK (MB)"/>
      <sheetName val="THRUST BLOCK"/>
      <sheetName val="GI Pipe (2)"/>
      <sheetName val="PV Rates"/>
      <sheetName val="Ieeza Estimate  (3)"/>
      <sheetName val="PEDASTAL   EST WEII"/>
      <sheetName val="THRUST BLOCK WEII"/>
      <sheetName val="valves hdpe"/>
      <sheetName val="Inter connections OHSR"/>
      <sheetName val="60 KL GLBR Final"/>
      <sheetName val="60 KL GLBR Comarative"/>
      <sheetName val="90 KL GLBR Final "/>
      <sheetName val="90 KL GLBR Comarative "/>
      <sheetName val="800 KL GLBR"/>
      <sheetName val="800 KL GLBR Comarative "/>
      <sheetName val="DI Specials Amt"/>
      <sheetName val="1100 KL GLBR"/>
      <sheetName val="1100 KL GLBR Comparative"/>
      <sheetName val="280 KL GLBR "/>
      <sheetName val="280 KL GLBR Comparative "/>
      <sheetName val="120 KL OHBR Thupatrala"/>
      <sheetName val="120 KL OHBR Comparative"/>
      <sheetName val="120 KL OHBR Balgera"/>
      <sheetName val="120 KL OHBR Comparative Balgera"/>
      <sheetName val="90 KL OHBR Mallamdoddi"/>
      <sheetName val="90 KL OHBR Comparative "/>
      <sheetName val="90 KL OHBR Comparative  (2)"/>
      <sheetName val="60 KL OHBR Bhimpuram"/>
      <sheetName val="60 KL OHBR at Bhimpuram compara"/>
      <sheetName val="60 KL OHBR D.Bhridipadu"/>
      <sheetName val="60 KL OHBR at D.Bhuridipadu com"/>
      <sheetName val="60 KL OHBR  CS Nagar"/>
      <sheetName val="60 KL OHBR at CS Nagar"/>
      <sheetName val="60 KL OHBR Penchikalpadu"/>
      <sheetName val="60 KL OHBR at Penchikalpadu"/>
      <sheetName val="60 KL OHBR Mellacheruvu"/>
      <sheetName val="60 KL OHBR at Mellacheruvu"/>
      <sheetName val="40 KL OHBR Garlapadu"/>
      <sheetName val="40 KL OHBR  Comparative"/>
      <sheetName val="40 KL OHBR Sivanampally"/>
      <sheetName val="40 KL OHBR  Comparative sivanam"/>
      <sheetName val="Dharagattu - 2200KL"/>
      <sheetName val="Comparative Dharagattu 2200 KL"/>
      <sheetName val="Head works - 9000KL "/>
      <sheetName val="Comparative Hw 9000 KL Sump"/>
      <sheetName val="Staircase Maldakal"/>
      <sheetName val="RSF Plant"/>
      <sheetName val="Comparative For RSF"/>
      <sheetName val="DATA For Litre RATE"/>
      <sheetName val="90 KL OHSR Maldakal"/>
      <sheetName val="90 KL OHSR Venkatapur stage"/>
      <sheetName val="DATA For 120 KLOHSR Litre RATE "/>
      <sheetName val="DATA For 150 KL OHSRLitre RATE "/>
      <sheetName val="Pump House Head works"/>
      <sheetName val="Pump House Head works (2)"/>
      <sheetName val="Surge pit"/>
      <sheetName val="620 KL GLBR Comarative "/>
      <sheetName val="475 KL GLBR Comarative"/>
      <sheetName val="280 KL GLBR Comarative "/>
      <sheetName val="RSF Plant (2)"/>
      <sheetName val="Comparative For RSF (2)"/>
      <sheetName val="HYD SD"/>
      <sheetName val="WQ Naganpally"/>
      <sheetName val="Electrical Data "/>
      <sheetName val="Electrical Estimate"/>
      <sheetName val="Grills"/>
      <sheetName val="WQ Gungal"/>
      <sheetName val="Data new"/>
      <sheetName val="sanitary data"/>
      <sheetName val="sanitary estimate"/>
      <sheetName val="RR TGA"/>
      <sheetName val="P -ABS"/>
      <sheetName val="S-ABS"/>
      <sheetName val="Habs List"/>
      <sheetName val="P - Designs"/>
      <sheetName val="S - Designs"/>
      <sheetName val="P - HY ST PM"/>
      <sheetName val="P - HY ST GM"/>
      <sheetName val="S - HY ST PM"/>
      <sheetName val="S - HY ST GM"/>
      <sheetName val="P - EST PM"/>
      <sheetName val="P - EST GM"/>
      <sheetName val="S - EST - GM"/>
      <sheetName val="S - EST - PM"/>
      <sheetName val="Statement"/>
      <sheetName val="PV_S_GM"/>
      <sheetName val="BOQ PM"/>
      <sheetName val="PM-BOQ"/>
      <sheetName val="GM-BOQ"/>
      <sheetName val="BOQ GM"/>
      <sheetName val="Existing"/>
      <sheetName val="VALVE"/>
      <sheetName val="Pipelines"/>
      <sheetName val="Contents (2)"/>
      <sheetName val="Mandals List"/>
      <sheetName val="PH 16x6"/>
      <sheetName val="PH 12x6"/>
      <sheetName val="  ¢_x0002_&amp;_x0000__x0000__x0000_ú5#_x0000__x0000__x0000__x0000__x0000__x0000__x0000_"/>
      <sheetName val="100 KL SUMP (MAIN SHEET)"/>
      <sheetName val="Comp "/>
      <sheetName val="100 KL SUMP GST"/>
      <sheetName val="DI Vert-Tax"/>
      <sheetName val="100 KL SUMP POL"/>
      <sheetName val="2O KL SUMP COMP"/>
      <sheetName val="Steel Variation"/>
      <sheetName val="Steel POL"/>
      <sheetName val="cement variation"/>
      <sheetName val="Seginorge"/>
      <sheetName val="POL Data"/>
      <sheetName val="Cement Steel rates"/>
      <sheetName val="DI gate-DI"/>
      <sheetName val="DIgate_PVC "/>
      <sheetName val="Line_Est"/>
      <sheetName val="Abs CD"/>
      <sheetName val="2R 800"/>
      <sheetName val="YELLAREDDY HS"/>
      <sheetName val="Comparative statement (2)"/>
      <sheetName val="BNS PUMP SET"/>
      <sheetName val="Ylrdy PUMP SET "/>
      <sheetName val="Pumpsets"/>
      <sheetName val="Yellareddy HS final"/>
      <sheetName val="BPT 1"/>
      <sheetName val="BPT 2"/>
      <sheetName val="main trunk"/>
      <sheetName val="seconadry trunk"/>
      <sheetName val="NRGPT Abstract"/>
      <sheetName val="YLRD"/>
      <sheetName val="LNGPT"/>
      <sheetName val="Ylrdy Abstract"/>
      <sheetName val="GO 24"/>
      <sheetName val="YLR OHSR"/>
      <sheetName val="YLR PIPE"/>
      <sheetName val="TADWAI OHSR"/>
      <sheetName val="TADWAI PIPE"/>
      <sheetName val="YLR"/>
      <sheetName val="NRPT"/>
      <sheetName val="GDRI&amp;SSN"/>
      <sheetName val="LPT"/>
      <sheetName val="TDW"/>
      <sheetName val="Ngpet Agmt PL Details"/>
      <sheetName val="heading"/>
      <sheetName val="O&amp;M-Abstrat-2018-19"/>
      <sheetName val="Agmt-model-staff-2018-19"/>
      <sheetName val="Est-JLPR-(Apr  to june -19) "/>
      <sheetName val="O&amp;M-Abstrat-(Apr-june_19)"/>
      <sheetName val="Data-O&amp;M Staff-2019-20"/>
      <sheetName val="Est-JLPR-(April to june- 2109)"/>
      <sheetName val="Est-30-Argul(April to June-19)"/>
      <sheetName val="Est-30-Mallanna-(Apr to jun-19)"/>
      <sheetName val="Est-60-Argul-(Apr-jun-19)"/>
      <sheetName val="Est-40-Indalwa-(apr- june -19)"/>
      <sheetName val="Est-40-MallannaGu(Apr-jun-19)"/>
      <sheetName val="staff-pattern-SRSP-Balkonda"/>
      <sheetName val="Staff Pattern E &amp; M IHP"/>
      <sheetName val="Staff Pattern E &amp; M Raghava"/>
      <sheetName val="Chemicals calculation"/>
      <sheetName val="Electricity Bills"/>
      <sheetName val="old-Electricity "/>
      <sheetName val="Exist pipe line-JLPR"/>
      <sheetName val="Exist pipe line-60Argul"/>
      <sheetName val="Existing pipe line-30-Argul"/>
      <sheetName val="Existing pipe line"/>
      <sheetName val="technical-30MLD Mallanna"/>
      <sheetName val="Pop-Mallanan gutta"/>
      <sheetName val="specification-sdpt"/>
      <sheetName val="Absract"/>
      <sheetName val="KUWSDB SR 2018-2019M.H"/>
      <sheetName val="Rectification-Balance Pipe line"/>
      <sheetName val="Rectification of manhol covers"/>
      <sheetName val="Rectification-Balance Pipe  (2)"/>
      <sheetName val="KUWSDB SR 2018-2019HSCpipe line"/>
      <sheetName val="KUWSDB SR 2018-2019 pipe line"/>
      <sheetName val="Abstract-Balnce work pipeline1"/>
      <sheetName val="Balance of New Pipe "/>
      <sheetName val="Baln New manholes estimate "/>
      <sheetName val="Septic Tank construction "/>
      <sheetName val="Flushing tank construction"/>
      <sheetName val="Abstract - SWG &amp; RCC  balance 2"/>
      <sheetName val="New balance pipe line"/>
      <sheetName val="New balance pipe lin"/>
      <sheetName val="New balance pipeline"/>
      <sheetName val=" Abstract-Balance New manholes"/>
      <sheetName val="Balance New manholes 1"/>
      <sheetName val="Balance new pipe line 2 "/>
      <sheetName val="Abstract-CC Road balance pipeli"/>
      <sheetName val="Abstract-WBM Road New pipe line"/>
      <sheetName val="Abstract-New Reconstruction 4"/>
      <sheetName val="New Reconstruction of M.H 1"/>
      <sheetName val="Abstract- New Reconstruction of"/>
      <sheetName val="NewReconstruction ofpipeline 2"/>
      <sheetName val="The Completing Work"/>
      <sheetName val=" Abstract-Asphalt Road"/>
      <sheetName val="Abstract-Raising of manhole 4"/>
      <sheetName val="Asphalt Road "/>
      <sheetName val="Concrete Road 7"/>
      <sheetName val="Abstract-WBM Road"/>
      <sheetName val="WBM Road 8"/>
      <sheetName val="Abstract-HSC pipeline 5"/>
      <sheetName val="HSC Pipe line 9 "/>
      <sheetName val="Abstract-Inspection Chamber"/>
      <sheetName val="Inspection Chamber Construct 10"/>
      <sheetName val="Manholes Rectificationes 9"/>
      <sheetName val="Road Restoration"/>
      <sheetName val="Abstract-Soak pit 7.00 mtr dia6"/>
      <sheetName val="Soak pit 7.00 mtr Dia "/>
      <sheetName val="Abstract-Soak pit 7.50 mtr dia7"/>
      <sheetName val="Soak Pit 7.50 mtr Dia"/>
      <sheetName val="Abstract-Newmanhole Rectifica8"/>
      <sheetName val="New Manholes Rectification "/>
      <sheetName val="Abstract-Old manholes CC recti9"/>
      <sheetName val="Old manholesCC roadrectificat"/>
      <sheetName val="Abstract-DI PipeRectificatio10"/>
      <sheetName val="DI pipe replacement "/>
      <sheetName val="Maintenance 11"/>
      <sheetName val="Manholes recti Labour cost deta"/>
      <sheetName val="Additional work new balnc MH "/>
      <sheetName val="Additinal work New balnce Pipel"/>
      <sheetName val="IN PUT SHEET"/>
      <sheetName val="NET WORK ABSTRACT"/>
      <sheetName val="APPROVED HS"/>
      <sheetName val="DPR PROGRESS"/>
      <sheetName val="AGENCY BILLING"/>
      <sheetName val="CLIENT BILLING"/>
      <sheetName val="cHI"/>
      <sheetName val="FAT"/>
      <sheetName val="RAJ"/>
      <sheetName val="GAR"/>
      <sheetName val="GAD"/>
      <sheetName val="PON"/>
      <sheetName val="QUT"/>
      <sheetName val="KAP"/>
      <sheetName val="RAY"/>
      <sheetName val="MAC"/>
      <sheetName val="GOP"/>
      <sheetName val="RAMS"/>
      <sheetName val="GG P"/>
      <sheetName val="PAL"/>
      <sheetName val="DIR"/>
      <sheetName val="BT"/>
      <sheetName val="ESTT1"/>
      <sheetName val="ESTT_3LAYERS"/>
      <sheetName val="BT_RENUAL_COAT"/>
      <sheetName val="ESTT2"/>
      <sheetName val="SHEDULE_3LAYER"/>
      <sheetName val="SHEDULE_1KM"/>
      <sheetName val="SHEDULE_2KM"/>
      <sheetName val="ESTT3"/>
      <sheetName val="old mandal wise (2)"/>
      <sheetName val="Habs2706_F"/>
      <sheetName val="old mandals"/>
      <sheetName val="checked"/>
      <sheetName val="HAb_Compare"/>
      <sheetName val="Mandal_compare"/>
      <sheetName val="old mandal wise"/>
      <sheetName val="new mandal wise"/>
      <sheetName val="FUEL RATES"/>
      <sheetName val="BOCE RATE"/>
      <sheetName val="Cement,STEEL ETC Rates"/>
      <sheetName val="WE"/>
      <sheetName val="300 mm di Makloor"/>
      <sheetName val="GST &amp; POL estimate"/>
      <sheetName val="CEMENT - PV"/>
      <sheetName val="CRates"/>
      <sheetName val="Steel &amp; PV"/>
      <sheetName val="SEIGNORAGE"/>
      <sheetName val="AS PER MB STEEL"/>
      <sheetName val="MS Door"/>
      <sheetName val="rivettment "/>
      <sheetName val="ET Tax Rates"/>
      <sheetName val="Chequred Plate"/>
      <sheetName val="DI pecials"/>
      <sheetName val="PE- DI V"/>
      <sheetName val="Structural Steel PV"/>
      <sheetName val="Structural Steel Paint"/>
      <sheetName val="Thrust blocks A,N,M,J"/>
      <sheetName val="SIGNORAGE"/>
      <sheetName val="1.cement variation (20)"/>
      <sheetName val="GST POL ESTIMATE"/>
      <sheetName val="50KL-GST"/>
      <sheetName val="3.Steel POL (31)"/>
      <sheetName val="4.GST &amp; POL ESTI (35)"/>
      <sheetName val="5.Seign (18)"/>
      <sheetName val="Comparision "/>
      <sheetName val="Suppli Agt "/>
      <sheetName val="Rev floor  "/>
      <sheetName val="MS rates"/>
      <sheetName val="Node to Node"/>
      <sheetName val="PL info"/>
      <sheetName val="Trench Size"/>
      <sheetName val="Supply GST"/>
      <sheetName val="L&amp;J  GST"/>
      <sheetName val="HT GST"/>
      <sheetName val="COMM. GST"/>
      <sheetName val="내역서 (∮ἀ嘆ɶ"/>
      <sheetName val="_x0004_"/>
      <sheetName val="&#10;"/>
      <sheetName val="Sp 90 (3)"/>
      <sheetName val="Est 90"/>
      <sheetName val="Data 2013-14GHMC"/>
      <sheetName val="Key plan (2)"/>
      <sheetName val="VALVES PN1.6"/>
      <sheetName val="LEAD STATEMENT-2010-11"/>
      <sheetName val="Data-2010-11"/>
      <sheetName val="CI Specials (2010-11) "/>
      <sheetName val="elsr"/>
      <sheetName val="Mech Datas 16-17 on 7-2-17"/>
      <sheetName val="Instrumentation (2)"/>
      <sheetName val="Mech Datas 16-17final on 8-2-17"/>
      <sheetName val="Butterfly Valves PN1.0"/>
      <sheetName val="Butterfly Valves PN2.5 (2)"/>
      <sheetName val="MS pipes &amp; MS Manifold 6mm"/>
      <sheetName val="Pump data"/>
      <sheetName val="MS pipes &amp; MS Manifold 8mm"/>
      <sheetName val="MS pipes &amp; MS Manifold 10mm"/>
      <sheetName val="MS pipes &amp; MS Manifold 12mm"/>
      <sheetName val="CRANES"/>
      <sheetName val="11 KV Electrical datas  Correct"/>
      <sheetName val="DE watering"/>
      <sheetName val="BWSCPlt"/>
      <sheetName val="PSC REVISED"/>
      <sheetName val="Gen Comp St"/>
      <sheetName val="OHSR-1 EST"/>
      <sheetName val="OHSR-2"/>
      <sheetName val="Comp OHSR EST-1"/>
      <sheetName val="Comp PIPE"/>
      <sheetName val="HHC"/>
      <sheetName val="Comp HH"/>
      <sheetName val="Comp OFC"/>
      <sheetName val="DI WE"/>
      <sheetName val="Abst WE"/>
      <sheetName val="OHSR WE"/>
      <sheetName val="WE Pipe "/>
      <sheetName val="Comp HDPE"/>
      <sheetName val="SSR 15-16"/>
      <sheetName val="OFC RC"/>
      <sheetName val="Pipe line Length Details"/>
      <sheetName val="Abst Orig"/>
      <sheetName val="OHSR Orig"/>
      <sheetName val="DI Orig"/>
      <sheetName val="ORIG Est Pipe"/>
      <sheetName val="EPANET Lengths"/>
      <sheetName val="T1"/>
      <sheetName val="T2"/>
      <sheetName val="T3"/>
      <sheetName val=" EST-IV"/>
      <sheetName val="Chakriyal"/>
      <sheetName val="Sorted"/>
      <sheetName val="Abstrctof culverts"/>
      <sheetName val="ga-4-6-6-7"/>
      <sheetName val="ga-2-5-4-6"/>
      <sheetName val="Ge Abs"/>
      <sheetName val="NOTE ON WORK"/>
      <sheetName val="wORKING ESTIMATE 4-6-6-7"/>
      <sheetName val="working estimate 2-5-4-6"/>
      <sheetName val="ls-3-4-6"/>
      <sheetName val="ABST-EST"/>
      <sheetName val="DETD-EST-1VT"/>
      <sheetName val="DETD-EST-ROAD DAM-1"/>
      <sheetName val="DETD-EST-ROAD DAM"/>
      <sheetName val="DETD-EST-2VT"/>
      <sheetName val="DETD-EST-3VT"/>
      <sheetName val="data-f"/>
      <sheetName val="LeadChart"/>
      <sheetName val="LEads-2.5-4-6"/>
      <sheetName val="Drg-3v"/>
      <sheetName val="Drg-2v"/>
      <sheetName val="Drg-1v"/>
      <sheetName val="Drg-raod dam"/>
      <sheetName val="DESGN"/>
      <sheetName val="Spiral BPT"/>
      <sheetName val="BPT"/>
      <sheetName val="AbtractA"/>
      <sheetName val="PH Pothyreddipally Jn"/>
      <sheetName val="PH Antharam Jn"/>
      <sheetName val="PH-HW"/>
      <sheetName val="PH Kistapur thanda"/>
      <sheetName val="Abstract B"/>
      <sheetName val="sump Pallevampu Jn"/>
      <sheetName val="sump rect"/>
      <sheetName val="Rect sump at HW"/>
      <sheetName val="Wman Qrts"/>
      <sheetName val="30 KL GLBR"/>
      <sheetName val="20 kl GLBR Rahat Nagar"/>
      <sheetName val="20 KL GLBR Mendora"/>
      <sheetName val="GLBR- 60KL"/>
      <sheetName val="Sump -100 Kl"/>
      <sheetName val="80 KL GLSR Pallikonda"/>
      <sheetName val="GLSR-40KL"/>
      <sheetName val="10 KL Odder colony "/>
      <sheetName val="10 KL Choudu thanda"/>
      <sheetName val="10 KL Siddapally"/>
      <sheetName val="10 KL Baba Nagar colony"/>
      <sheetName val="10 KL Kotha thanda"/>
      <sheetName val="10 KL Patha thanda"/>
      <sheetName val="10 KL Gangarai"/>
      <sheetName val="10 KL Salimpur"/>
      <sheetName val="Sump -200KL"/>
      <sheetName val="Sump-150KL"/>
      <sheetName val="Sump-50Kl"/>
      <sheetName val="Sump-30 KL"/>
      <sheetName val="PH - Purnnanipet"/>
      <sheetName val="Sump-Nagampally thanda Jn"/>
      <sheetName val="spiral Kistapur"/>
      <sheetName val="OHBR Kistapur"/>
      <sheetName val="spiral Pallevampu Jn"/>
      <sheetName val="shaft-Pallevamou Jn"/>
      <sheetName val="GLBR"/>
      <sheetName val="spiral HW"/>
      <sheetName val="OHBR HW"/>
      <sheetName val="OHBR Pitlam"/>
      <sheetName val="Spiral Pitlam"/>
      <sheetName val="OHBR @ Mahabatpur"/>
      <sheetName val="BPT OHBR Siddapur"/>
      <sheetName val="BPTVelpur"/>
      <sheetName val="SAN"/>
      <sheetName val="OHSR Gokaram"/>
      <sheetName val="OHSR Puligilla"/>
      <sheetName val="OHBR Tummanapally"/>
      <sheetName val="500 MS DATA (2)"/>
      <sheetName val="600 MS DATA"/>
      <sheetName val="JOINTING FLANGED ENDS"/>
      <sheetName val="Jointing SS ENDS"/>
      <sheetName val="Valve pits data"/>
      <sheetName val="500 MS DATA"/>
      <sheetName val="Data-FINAL"/>
      <sheetName val="EW HR"/>
      <sheetName val=" rates_dec_2013"/>
      <sheetName val="zero velocity"/>
      <sheetName val="_5wgdhabfinal00_01"/>
      <sheetName val="11.Habitations"/>
      <sheetName val="GM&amp;PM WE1 EST"/>
      <sheetName val="AV_GRP ms bwsc"/>
      <sheetName val="Bitumen trunk"/>
      <sheetName val="Feeder"/>
      <sheetName val="R99 etc"/>
      <sheetName val="Trunk unpaved"/>
      <sheetName val="20kl-final-est"/>
      <sheetName val="20kL-design-final"/>
      <sheetName val="schedule nos"/>
      <sheetName val="LABOUR RATE"/>
      <sheetName val="boredetails"/>
      <sheetName val="pumping mains (4)"/>
      <sheetName val="Raw Water PM"/>
      <sheetName val="B-SUNKINI (2)"/>
      <sheetName val="DetAbsAbs (2)"/>
      <sheetName val="ext"/>
      <sheetName val="AS Memo"/>
      <sheetName val="Abstract Estimate"/>
      <sheetName val="Verticals 10-40KL"/>
      <sheetName val="Verticals 60KL"/>
      <sheetName val="Verticals 90-120KL "/>
      <sheetName val="Verticals 150-200KL"/>
      <sheetName val=" ohsr data"/>
      <sheetName val="Revised rates(SSR 2016-17)"/>
      <sheetName val="Tap data "/>
      <sheetName val="Tap data-old"/>
      <sheetName val="sluice-PVC (2)"/>
      <sheetName val="Pipe line  "/>
      <sheetName val="Length"/>
      <sheetName val="pipe infor"/>
      <sheetName val="  ¢_x0002_&amp;"/>
      <sheetName val="Kondapak, Komatibanda CW"/>
      <sheetName val="Burgupallu Thimmapur, Dubbak CW"/>
      <sheetName val="300 GLBR"/>
      <sheetName val="Suppl-data"/>
      <sheetName val="Attributes"/>
      <sheetName val="DI Man"/>
      <sheetName val="BALKONDA"/>
      <sheetName val="ARMOOR"/>
      <sheetName val="KAMAREDDY"/>
      <sheetName val="COMPARATIVE ABSTRACT"/>
      <sheetName val="HDPE Man"/>
      <sheetName val="DI Man (2)"/>
      <sheetName val="RCC NP3"/>
      <sheetName val="Data side walls"/>
      <sheetName val="C.I.Specials"/>
      <sheetName val="dam and allied works"/>
      <sheetName val="tunnel and allied works"/>
      <sheetName val="canal and allied works"/>
      <sheetName val="canal cross drainage works"/>
      <sheetName val="gate hoist and allied works"/>
      <sheetName val="preliminary and maintanance"/>
      <sheetName val="abs_leadcharges"/>
      <sheetName val="leadcharges"/>
      <sheetName val="abstact_of_items"/>
      <sheetName val="sluice-DI (2)"/>
      <sheetName val="DI (2)"/>
      <sheetName val="Zero velocity valves DI "/>
      <sheetName val="Zero velocity valves MS"/>
      <sheetName val="Swing check -BWSCP-MS "/>
      <sheetName val="Surge Alleviation valves"/>
      <sheetName val="vc400"/>
      <sheetName val="vc1200"/>
      <sheetName val="airvalve-AC PN 1.60"/>
      <sheetName val="Soft-sluice-AC,GRP PN 1.6"/>
      <sheetName val="soft-sluice-BWSC-MS"/>
      <sheetName val="DI-kintc air valve-DI"/>
      <sheetName val="DI sluice valve"/>
      <sheetName val="SEGMENTS-nodes"/>
      <sheetName val="ohbr-hyd-initial"/>
      <sheetName val="ww-march-02"/>
      <sheetName val="Hydraulic -Upto BPT"/>
      <sheetName val="Bandampalli OHBR  revised"/>
      <sheetName val="Bandampalli OHBR"/>
      <sheetName val=" Hyd design "/>
      <sheetName val="Trunk Mains"/>
      <sheetName val="Clear water PM  to Rural  (2)"/>
      <sheetName val="Clear water PM  to Rural "/>
      <sheetName val="Clear water PM  to corporation"/>
      <sheetName val="Raw water pumping main"/>
      <sheetName val="for Khammam corporation"/>
      <sheetName val="Habs"/>
      <sheetName val="Model-152"/>
      <sheetName val="Model-531"/>
      <sheetName val="Model-333"/>
      <sheetName val="Model-2"/>
      <sheetName val="line est"/>
      <sheetName val="kusohbrprint (2)"/>
      <sheetName val="kusohbrprint"/>
      <sheetName val="kusohbrprint (3)"/>
      <sheetName val="MDNBPTPRINT"/>
      <sheetName val="Hydraulic -DS to bpt 9.75m"/>
      <sheetName val="Hydraulic -Over all"/>
      <sheetName val="PALDAMGDM"/>
      <sheetName val="PALDMREV"/>
      <sheetName val="DAMPRNT"/>
      <sheetName val="Hy Cal -17.7"/>
      <sheetName val="Hy Cal - OK"/>
      <sheetName val="Kus-MAST"/>
      <sheetName val="Rock comp"/>
      <sheetName val="ROCK"/>
      <sheetName val="compera"/>
      <sheetName val="sv600  for OHBR"/>
      <sheetName val="scv 300  on 400 DI "/>
      <sheetName val="scv 300  on 600 DI"/>
      <sheetName val="sv600 "/>
      <sheetName val="scv500  on 700 DI"/>
      <sheetName val="Sv700"/>
      <sheetName val="scv500 on 1200MS"/>
      <sheetName val="Pump House 8x36"/>
      <sheetName val="Cross sections OK "/>
      <sheetName val="Qty Calculations"/>
      <sheetName val="head loss calc"/>
      <sheetName val="Purchase Status- "/>
      <sheetName val="Purchase Status-Misc"/>
      <sheetName val="other activities"/>
      <sheetName val="Civil-works"/>
      <sheetName val="MHexcavation"/>
      <sheetName val="To ma.l requirement for mh"/>
      <sheetName val="material requirement for mh"/>
      <sheetName val="Estimation MH"/>
      <sheetName val="Households"/>
      <sheetName val="DI Verticals &amp; Valves"/>
      <sheetName val="CI Verticals &amp; Valves"/>
      <sheetName val="HDPE Utilised Quantity"/>
      <sheetName val="PVC Utilised Quantity"/>
      <sheetName val="Gravity Mains"/>
      <sheetName val="GM Part Kondapak"/>
      <sheetName val="Dubbak 27.06.2015"/>
      <sheetName val="Gajwel Constituency"/>
      <sheetName val="armoor sd final"/>
      <sheetName val="DfGgHhdEeaBb"/>
      <sheetName val="UZzv1wXxY6Z"/>
      <sheetName val="R C C"/>
      <sheetName val="cc cutting"/>
      <sheetName val="gravel"/>
      <sheetName val="HILL area"/>
      <sheetName val="WS-Pop"/>
      <sheetName val="Proforma VI"/>
      <sheetName val="Proforma-I"/>
      <sheetName val="Proforma _II"/>
      <sheetName val="Seg-KL"/>
      <sheetName val="Const-KL"/>
      <sheetName val="Distri"/>
      <sheetName val="Distri Comp"/>
      <sheetName val="ofc "/>
      <sheetName val="Ofc Comp"/>
      <sheetName val="HHC COMP"/>
      <sheetName val="Ohsr Comp"/>
      <sheetName val="HDPE DATA General"/>
      <sheetName val="pipe_data"/>
      <sheetName val="OHSR (2)"/>
      <sheetName val="OHSR 16-17"/>
      <sheetName val="PH Data EW"/>
      <sheetName val="OHBR 70-12"/>
      <sheetName val="OHBR 15-12"/>
      <sheetName val="OHBR 90-12"/>
      <sheetName val="OHBR 10-12"/>
      <sheetName val="OHBR 120-12"/>
      <sheetName val="OHBR 100-12"/>
      <sheetName val="OHBR 60-12"/>
      <sheetName val="OHBR 50-12 "/>
      <sheetName val="OHBR 40-12 "/>
      <sheetName val="OHBR 30-12"/>
      <sheetName val="40.30 "/>
      <sheetName val="60.30"/>
      <sheetName val="Kondapak  220-20"/>
      <sheetName val="Kvelly Kaman 90-30"/>
      <sheetName val="We 550KL OHBR"/>
      <sheetName val="KBanda Hillock 550-25"/>
      <sheetName val="150-12 Koma"/>
      <sheetName val="Thimmapur 90-30 (2)"/>
      <sheetName val="OHBR 150-16"/>
      <sheetName val="100KL Compl"/>
      <sheetName val="Kodakandla_Vert"/>
      <sheetName val="40 KL @ kodakandla(new)"/>
      <sheetName val="SS Railing"/>
      <sheetName val="1500KL Thuki-GST"/>
      <sheetName val="120-30"/>
      <sheetName val="Staircase 30 mts"/>
      <sheetName val="Staircase 21 mts "/>
      <sheetName val="Staircase 25 mts"/>
      <sheetName val="HS Final - Workdone Entry File"/>
      <sheetName val="Don't Touch"/>
      <sheetName val="ms 1600 10 mm supply"/>
      <sheetName val="ms 1600 10mm guniting"/>
      <sheetName val="tsbabu"/>
      <sheetName val="Liter Rate"/>
      <sheetName val="PH Rates"/>
      <sheetName val="Staircase-12"/>
      <sheetName val="10KL-12m"/>
      <sheetName val="40_30m"/>
      <sheetName val="10KL-Steel"/>
      <sheetName val="15KL-12m"/>
      <sheetName val="15KL-Steel"/>
      <sheetName val="20KL-12m"/>
      <sheetName val="20KL-Steel"/>
      <sheetName val="90-25m"/>
      <sheetName val="90-30m"/>
      <sheetName val="20KL-12m Balramthanda"/>
      <sheetName val="30KL-12M"/>
      <sheetName val="30KL-Steel"/>
      <sheetName val="40KL-12M"/>
      <sheetName val="40KL-Steel"/>
      <sheetName val="40KL-12M Pembarthy"/>
      <sheetName val="60KL-12M"/>
      <sheetName val="60KL-Steel"/>
      <sheetName val="90-12m"/>
      <sheetName val="90KL-Steel "/>
      <sheetName val="30KL-12M Rajeswarpally"/>
      <sheetName val="90-12m Nagaram"/>
      <sheetName val="90-12m Madipally"/>
      <sheetName val="100-12m "/>
      <sheetName val="100KL-Steel "/>
      <sheetName val="100-12m Seethampet"/>
      <sheetName val="120-12m"/>
      <sheetName val="120KL-Steel "/>
      <sheetName val="150-12m"/>
      <sheetName val="150KL-Steel "/>
      <sheetName val="200-12m"/>
      <sheetName val="200KL-Steel "/>
      <sheetName val="90KL-12M"/>
      <sheetName val="De-Est"/>
      <sheetName val="lead bldg"/>
      <sheetName val="wor esti"/>
      <sheetName val="wor - toil"/>
      <sheetName val="Cover_Sheet (2)"/>
      <sheetName val="25.04.2020 to 31.05.2020 "/>
      <sheetName val="01.06.2020 to 10.06.2020"/>
      <sheetName val="11.06.2020 to 11.07.2020"/>
      <sheetName val="12.07.2020 to"/>
      <sheetName val="cash inflow details"/>
      <sheetName val="Spc"/>
      <sheetName val="Estimate only CC"/>
      <sheetName val="road cuttings"/>
      <sheetName val="WH coef"/>
      <sheetName val="ID (2)"/>
      <sheetName val="Kodakondla ORIGINAL Sanctioned"/>
      <sheetName val="4 Mandals"/>
      <sheetName val="8 mandals"/>
      <sheetName val="22-6-2015"/>
      <sheetName val="Pipe-Abs"/>
      <sheetName val="Pipe-Det"/>
      <sheetName val="800 sump"/>
      <sheetName val="SSR - 3"/>
      <sheetName val="RAM1"/>
      <sheetName val="SSR - 4"/>
      <sheetName val="SSR - 1"/>
      <sheetName val="SSR - 2 "/>
      <sheetName val="Data (Master &amp; E.T)"/>
      <sheetName val="Lead (Master)"/>
      <sheetName val="Lead (E.T)"/>
      <sheetName val="Stair case"/>
      <sheetName val="OHBR Datas (MASTER &amp; E.T)"/>
      <sheetName val="DATA FOR ADDL ITEMS"/>
      <sheetName val="ramnagar"/>
      <sheetName val="Nizam-cheruvu"/>
      <sheetName val="30000KL Sump "/>
      <sheetName val="20kl-sump-final-est"/>
      <sheetName val="11000KL Sump"/>
      <sheetName val="1300kl-final-est"/>
      <sheetName val="4500 KL Sump"/>
      <sheetName val="3100kl-final-est"/>
      <sheetName val="3500kl-final-est"/>
      <sheetName val="1200kl-final-est"/>
      <sheetName val="1000kl-final-est"/>
      <sheetName val="800kl-final-girnibhavi-est"/>
      <sheetName val="300kl-rampuru-est"/>
      <sheetName val="300kl-sump-marrigm-est"/>
      <sheetName val="50kl-sump final-est"/>
      <sheetName val="Sumps Abstract"/>
      <sheetName val="200kl-sump final-est"/>
      <sheetName val="20 KL OHBR"/>
      <sheetName val="Lead-Roads"/>
      <sheetName val="RCC-9-10"/>
      <sheetName val="Bends"/>
      <sheetName val="DI Spe."/>
      <sheetName val="HDPE-1"/>
      <sheetName val="RCC-thr"/>
      <sheetName val="data-chamber"/>
      <sheetName val="chamb-up to 200"/>
      <sheetName val="chamber-200 to 400"/>
      <sheetName val="chamber-2"/>
      <sheetName val="chamber-3"/>
      <sheetName val="CI-Spe"/>
      <sheetName val="chamber"/>
      <sheetName val="Data-2009-10"/>
      <sheetName val="PVC-UGD"/>
      <sheetName val="HSC-S"/>
      <sheetName val="c.wall,EWE"/>
      <sheetName val="MH-1.5"/>
      <sheetName val="MH-2.3"/>
      <sheetName val="MH-8.00Mts"/>
      <sheetName val="Window-2"/>
      <sheetName val="Bld"/>
      <sheetName val="Bld-after scrutiny"/>
      <sheetName val="UGD"/>
      <sheetName val="Bld-2"/>
      <sheetName val="census91"/>
      <sheetName val="RAM NAGAR"/>
      <sheetName val="ABSTRACT CONCRETE"/>
      <sheetName val="Side wall data"/>
      <sheetName val="OHBR DATA"/>
      <sheetName val="Steel Qty"/>
      <sheetName val="PROFORMAS"/>
      <sheetName val="CHECK-SLIP"/>
      <sheetName val="DESIGN NORMS"/>
      <sheetName val="DESIGN CALUCULATIONS"/>
      <sheetName val="ABSTRACT-DESIGN CALUCULATIONS"/>
      <sheetName val="GRAVITY MAIN"/>
      <sheetName val="PUMP SETS DESIGN"/>
      <sheetName val="GENERAL-ABSTRACT"/>
      <sheetName val="COMPONENTS"/>
      <sheetName val="SSR(Buildings)"/>
      <sheetName val="SSR(PH)"/>
      <sheetName val="SSR(I&amp;CAD)"/>
      <sheetName val="Labour charges"/>
      <sheetName val="Labour charges(detl)"/>
      <sheetName val="OHSR(Detail)"/>
      <sheetName val="DUMMY_EST"/>
      <sheetName val="DATA-LIST"/>
      <sheetName val="DATA OHSR"/>
      <sheetName val="DATA AC PIPES"/>
      <sheetName val="DATA PVC PIPES"/>
      <sheetName val="BORE WELL"/>
      <sheetName val="SS TANK(HOMO)"/>
      <sheetName val="SS FILTERS"/>
      <sheetName val="SS TANK(HET)"/>
      <sheetName val="SS FILTERS(SQM)"/>
      <sheetName val="TRANSMISSION MAINS"/>
      <sheetName val="WEIR CHAMBER"/>
      <sheetName val="PUMP HOUSE(SQM)"/>
      <sheetName val="CW SUMP"/>
      <sheetName val="RWW_PH"/>
      <sheetName val="RAW WATER WELL"/>
      <sheetName val="VALVE PIT"/>
      <sheetName val="FLOW-DIAGRAM"/>
      <sheetName val="TRANS.MAINS.LEVELS"/>
      <sheetName val="SSF(INT.CONS)"/>
      <sheetName val="DATA_ABSTRACT"/>
      <sheetName val="DESIGN_NORMS"/>
      <sheetName val="DESIGN_CALUCULATIONS"/>
      <sheetName val="ABSTRACT-DESIGN_CALUCULATIONS"/>
      <sheetName val="GRAVITY_MAIN"/>
      <sheetName val="PUMPING_MAIN"/>
      <sheetName val="PUMP_SETS_DESIGN"/>
      <sheetName val="DATA_OHSR"/>
      <sheetName val="DATA_AC_PIPES"/>
      <sheetName val="DATA_PVC_PIPES"/>
      <sheetName val="BORE_WELL"/>
      <sheetName val="SS_TANK(HOMO)"/>
      <sheetName val="SS_FILTERS"/>
      <sheetName val="SS_TANK(HET)"/>
      <sheetName val="SS_FILTERS(SQM)"/>
      <sheetName val="TRANSMISSION_MAINS"/>
      <sheetName val="PUMP_SETS"/>
      <sheetName val="WEIR_CHAMBER"/>
      <sheetName val="PUMP_HOUSE"/>
      <sheetName val="PUMP_HOUSE(SQM)"/>
      <sheetName val="CW_SUMP"/>
      <sheetName val="RAW_WATER_WELL"/>
      <sheetName val="VALVE_PIT"/>
      <sheetName val="TRANS_MAINS_LEVELS"/>
      <sheetName val="SSF(INT_CONS)"/>
      <sheetName val="DESIGN_NORMS1"/>
      <sheetName val="DESIGN_CALUCULATIONS1"/>
      <sheetName val="ABSTRACT-DESIGN_CALUCULATIONS1"/>
      <sheetName val="GRAVITY_MAIN1"/>
      <sheetName val="PUMPING_MAIN1"/>
      <sheetName val="PUMP_SETS_DESIGN1"/>
      <sheetName val="Labour_charges1"/>
      <sheetName val="Labour_charges(detl)1"/>
      <sheetName val="DATA_OHSR1"/>
      <sheetName val="DATA_AC_PIPES1"/>
      <sheetName val="DATA_PVC_PIPES1"/>
      <sheetName val="BORE_WELL1"/>
      <sheetName val="SS_TANK(HOMO)1"/>
      <sheetName val="SS_FILTERS1"/>
      <sheetName val="SS_TANK(HET)1"/>
      <sheetName val="SS_FILTERS(SQM)1"/>
      <sheetName val="TRANSMISSION_MAINS1"/>
      <sheetName val="PUMP_SETS1"/>
      <sheetName val="WEIR_CHAMBER1"/>
      <sheetName val="PUMP_HOUSE1"/>
      <sheetName val="PUMP_HOUSE(SQM)1"/>
      <sheetName val="CW_SUMP1"/>
      <sheetName val="RAW_WATER_WELL1"/>
      <sheetName val="VALVE_PIT1"/>
      <sheetName val="TRANS_MAINS_LEVELS1"/>
      <sheetName val="SSF(INT_CONS)1"/>
      <sheetName val="DESIGN_NORMS2"/>
      <sheetName val="DESIGN_CALUCULATIONS2"/>
      <sheetName val="ABSTRACT-DESIGN_CALUCULATIONS2"/>
      <sheetName val="GRAVITY_MAIN2"/>
      <sheetName val="PUMPING_MAIN2"/>
      <sheetName val="PUMP_SETS_DESIGN2"/>
      <sheetName val="Labour_charges2"/>
      <sheetName val="Labour_charges(detl)2"/>
      <sheetName val="DATA_OHSR2"/>
      <sheetName val="DATA_AC_PIPES2"/>
      <sheetName val="DATA_PVC_PIPES2"/>
      <sheetName val="BORE_WELL2"/>
      <sheetName val="SS_TANK(HOMO)2"/>
      <sheetName val="SS_FILTERS2"/>
      <sheetName val="SS_TANK(HET)2"/>
      <sheetName val="SS_FILTERS(SQM)2"/>
      <sheetName val="TRANSMISSION_MAINS2"/>
      <sheetName val="PUMP_SETS2"/>
      <sheetName val="WEIR_CHAMBER2"/>
      <sheetName val="PUMP_HOUSE2"/>
      <sheetName val="PUMP_HOUSE(SQM)2"/>
      <sheetName val="CW_SUMP2"/>
      <sheetName val="RAW_WATER_WELL2"/>
      <sheetName val="VALVE_PIT2"/>
      <sheetName val="TRANS_MAINS_LEVELS2"/>
      <sheetName val="SSF(INT_CONS)2"/>
      <sheetName val="PUMP_DATA"/>
      <sheetName val="Plant_&amp;__Machi.ery"/>
      <sheetName val="Class IV Qtr. Ele"/>
      <sheetName val="VALVE_PITU"/>
      <sheetName val="Delivery mains"/>
      <sheetName val="GF SB Ok "/>
      <sheetName val="sup dat"/>
      <sheetName val="Hyd_Stmt"/>
      <sheetName val="sg-clay(d)"/>
      <sheetName val=" data sheet "/>
      <sheetName val="SSR(I㫨CAD)"/>
      <sheetName val="Plant 㫨  Machinery"/>
      <sheetName val="Plant_㫨__Machinery"/>
      <sheetName val="Plant_㫨__Machi.ery"/>
      <sheetName val="scour depth"/>
      <sheetName val="SSR 2015-16"/>
      <sheetName val="Convey -16-17"/>
      <sheetName val="Z1_DATA"/>
      <sheetName val="SR"/>
      <sheetName val="150KL"/>
      <sheetName val="550 KL"/>
      <sheetName val="GLBR Rec "/>
      <sheetName val="550Kl OHBR"/>
      <sheetName val="Glbr Rec f"/>
      <sheetName val="GLBR Comp"/>
      <sheetName val="Pump house levels"/>
      <sheetName val="Sub Station Ele"/>
      <sheetName val="Sub Station civil"/>
      <sheetName val="Soil filling "/>
      <sheetName val="Glbr Rec f (2)"/>
      <sheetName val="Steel "/>
      <sheetName val="STEEL AS PER MB"/>
      <sheetName val="Tax Sheet"/>
      <sheetName val="POL Estimate"/>
      <sheetName val="SS ladder"/>
      <sheetName val="MS Man Hole Cover"/>
      <sheetName val="Door Datas 09-10"/>
      <sheetName val="Electrical Data"/>
      <sheetName val="Design Epanet"/>
      <sheetName val="OHSR-Part B"/>
      <sheetName val="OHSR Part A-CI"/>
      <sheetName val="OHSR Part A"/>
      <sheetName val="PipeLine Part A"/>
      <sheetName val="PipeLine Part B"/>
      <sheetName val="PipeLine Part B (2)"/>
      <sheetName val="OFC Part A&amp;B"/>
      <sheetName val="OSB Duct"/>
      <sheetName val="sluice HDPE"/>
      <sheetName val="ew-OG"/>
      <sheetName val="OHSR Data"/>
      <sheetName val="CC filling"/>
      <sheetName val="HS final-2 (2)"/>
      <sheetName val="HS final-2"/>
      <sheetName val="above 70-ok"/>
      <sheetName val="Below 70"/>
      <sheetName val="above 70-ok (Check)"/>
      <sheetName val="Consolidation"/>
      <sheetName val="CI Estimate"/>
      <sheetName val="CI Spl-Data"/>
      <sheetName val="Abstract (Addl)"/>
      <sheetName val="Compartive (Abs)"/>
      <sheetName val="OHSR_ABS1"/>
      <sheetName val="di vert"/>
      <sheetName val="Compartive (OHSR)"/>
      <sheetName val="Compartive (OFC)"/>
      <sheetName val="Compartive (HH)"/>
      <sheetName val="Pipe line  (addl)"/>
      <sheetName val="Compartive (PL)"/>
      <sheetName val="Compartive PL (addl)"/>
      <sheetName val="Length (addl)"/>
      <sheetName val="CI_Special"/>
      <sheetName val="DI_Verticals_1"/>
      <sheetName val="10 kl"/>
      <sheetName val="CI (4)"/>
      <sheetName val="CI 80"/>
      <sheetName val="DIData"/>
      <sheetName val="N Data"/>
      <sheetName val="Est (5)"/>
      <sheetName val="Est (4)"/>
      <sheetName val="Est (3)"/>
      <sheetName val="CCB"/>
      <sheetName val="Q"/>
      <sheetName val="Deviation"/>
      <sheetName val="O Data"/>
      <sheetName val="Check Slip"/>
      <sheetName val="Exp"/>
      <sheetName val="Cemet"/>
      <sheetName val="Data (Bui)"/>
      <sheetName val="Old"/>
      <sheetName val="CIVIL_WORK_PLAN-13-14"/>
      <sheetName val="WORK_SUMMERY_"/>
      <sheetName val="MEP_DETAIL"/>
      <sheetName val="Approved MTD Proj #'s"/>
      <sheetName val="Resource Usage"/>
      <sheetName val="cash budget"/>
      <sheetName val="CIVIL_WORK_PLAN-13-141"/>
      <sheetName val="WORK_SUMMERY_1"/>
      <sheetName val="MEP_DETAIL1"/>
      <sheetName val="HPL"/>
      <sheetName val="Internal Plaster Gr Data"/>
      <sheetName val="Fire Dr Fr &amp; Shtt Gr Data"/>
      <sheetName val="1.GA-2V.2x2.5m-Gandhi Nagar"/>
      <sheetName val="1.Est.2v-2x2.5m-Gandhi Nagar"/>
      <sheetName val="1.GA-2V.2x2.5m"/>
      <sheetName val="1.Est.2v-2x2.5m"/>
      <sheetName val="2.GA-2V.2x2.5m-Srinagar Colony"/>
      <sheetName val="2.Est.2v-2x2.5m-Srinagar Colony"/>
      <sheetName val="3.GA-2V.2.25x2.5m-Shivasai colo"/>
      <sheetName val="3.Est.2v-2.25x2.5m-Shivasai col"/>
      <sheetName val="Mat. rates"/>
      <sheetName val="Cm"/>
      <sheetName val="Data- SWD"/>
      <sheetName val="GA-2V.3.5x3m"/>
      <sheetName val="Est 2v-3.5x3m"/>
      <sheetName val="CC Road - Data"/>
      <sheetName val="GA-Total"/>
      <sheetName val="1.GA-2V.3x2.5m"/>
      <sheetName val="1.Est.2v-3x2.5m"/>
      <sheetName val="2.GA-2V.3.25x2.5m "/>
      <sheetName val="2.Est.2v-3.25x2.5m"/>
      <sheetName val="3.GA-2V.3.5x3m"/>
      <sheetName val="3.Est 2v-3.5x3m "/>
      <sheetName val="4.GA-2V-2.5x2.5m."/>
      <sheetName val="4.Est 2v-3.5x3m."/>
      <sheetName val="5.GA-2V-3.25x2.5m."/>
      <sheetName val="5.Est 2v-3.25x2.5m."/>
      <sheetName val="labour &amp; Hire-20-21"/>
      <sheetName val="Lead-20-21"/>
      <sheetName val="Convey -20-21"/>
      <sheetName val="Cent''g-20-21"/>
      <sheetName val="SSR-Irri, R&amp;B, PH-20-21"/>
      <sheetName val="Bld.SoR-20-21"/>
      <sheetName val=" DATE WISE PROGRAMME"/>
      <sheetName val="VALUE UPTO MARCH"/>
      <sheetName val=" DATE WISE PROGRAMME (SITE)"/>
      <sheetName val="VALUE UPTO MARCH (site)"/>
      <sheetName val="VALUE UPTO MARCH3"/>
      <sheetName val="VALUE UPTO MARCH (site) (2)"/>
      <sheetName val="2F8"/>
      <sheetName val="2F4A"/>
      <sheetName val="List of roads"/>
      <sheetName val="Name"/>
      <sheetName val="I.P"/>
      <sheetName val="InputData"/>
      <sheetName val="Traffic-C"/>
      <sheetName val="Traffic - Design"/>
      <sheetName val="road abstract "/>
      <sheetName val="F 6"/>
      <sheetName val="Road Lead"/>
      <sheetName val="F8 - Road"/>
      <sheetName val="2F6-1"/>
      <sheetName val="lead Plains"/>
      <sheetName val="lead Hills"/>
      <sheetName val="Hire labor"/>
      <sheetName val="CD Lead"/>
      <sheetName val="F8 - CD "/>
      <sheetName val="Abs 1.5"/>
      <sheetName val="slab 0-1"/>
      <sheetName val="Drg 1.5"/>
      <sheetName val="CD 1.5"/>
      <sheetName val="Abs 2.0"/>
      <sheetName val="CD 2.0"/>
      <sheetName val="Drg2.0"/>
      <sheetName val="CD 2 (2)"/>
      <sheetName val="Abs Causeway"/>
      <sheetName val="CD Causeway"/>
      <sheetName val="Drg 3.0"/>
      <sheetName val="Abs 5.0"/>
      <sheetName val="CD 5.0"/>
      <sheetName val="Drg 5.0"/>
      <sheetName val="causeway"/>
      <sheetName val="Hway material"/>
      <sheetName val="Hire n Labour"/>
      <sheetName val="Abs Pipeculvert"/>
      <sheetName val="Pipe Culvert"/>
      <sheetName val="Abs Prot work"/>
      <sheetName val="Prot works"/>
      <sheetName val="SoR9-10"/>
      <sheetName val="99(53)"/>
      <sheetName val="f six"/>
      <sheetName val="Pro C"/>
      <sheetName val="F 7(Pipecul)"/>
      <sheetName val="2F1"/>
      <sheetName val="2F2A"/>
      <sheetName val="2F2B"/>
      <sheetName val="2F4"/>
      <sheetName val="F 7(1.5)"/>
      <sheetName val="F 7(2.0)"/>
      <sheetName val="F 7(3.0)"/>
      <sheetName val="F 7(5.0)"/>
      <sheetName val="F 8 road"/>
      <sheetName val="F8 CD"/>
      <sheetName val="PIPE 0-1"/>
      <sheetName val="PIPE SINGLE ROW ABSTRACT"/>
      <sheetName val="Main Data"/>
      <sheetName val="CD detail"/>
      <sheetName val="Pavement (2)"/>
      <sheetName val="Vertical grade"/>
      <sheetName val="V.Curve"/>
      <sheetName val="Rwall design"/>
      <sheetName val="F - 1"/>
      <sheetName val="F - 2A"/>
      <sheetName val="F - 2B"/>
      <sheetName val="F - 4"/>
      <sheetName val="HPCL_Vizag"/>
      <sheetName val="HPCL_Mumbai"/>
      <sheetName val="BharatPaterolium_RaipurDepot"/>
      <sheetName val="BharatPaterolium_Mumbai"/>
      <sheetName val="Bill1 Measurement"/>
      <sheetName val="1-2 Miscil"/>
      <sheetName val="2a Main Road"/>
      <sheetName val="VOLUME"/>
      <sheetName val="2aa excavation"/>
      <sheetName val="GSB"/>
      <sheetName val="BM (O)"/>
      <sheetName val="BC (O)"/>
      <sheetName val="BBM (O)"/>
      <sheetName val="SCARIFYING"/>
      <sheetName val="2C structure length"/>
      <sheetName val="3a Pipe CULVERT"/>
      <sheetName val="3c box culvert"/>
      <sheetName val="8 Misc"/>
      <sheetName val="9-10 Junctions &amp; Retain"/>
      <sheetName val="Light"/>
      <sheetName val="Drainage"/>
      <sheetName val="17to21 Road Furniture"/>
      <sheetName val="Utility shifting"/>
      <sheetName val="maint-cost."/>
      <sheetName val="main-ann"/>
      <sheetName val="main-spl"/>
      <sheetName val="F-4"/>
      <sheetName val="F-4 (A)"/>
      <sheetName val="F-6"/>
      <sheetName val="F-7"/>
      <sheetName val="F-8"/>
      <sheetName val="F-9"/>
      <sheetName val="Lead stat"/>
      <sheetName val="SoR7-8"/>
      <sheetName val="Specifications"/>
      <sheetName val="ODR-24-PBK"/>
      <sheetName val="ODR-23-DPV"/>
      <sheetName val="ODR-22-KAS"/>
      <sheetName val="ODR-21-ACG"/>
      <sheetName val="ODR-20-PCFR"/>
      <sheetName val="ODR-19-KSD"/>
      <sheetName val="ODR-18-PV"/>
      <sheetName val="ODR-17-SA"/>
      <sheetName val="ODR-16-KSS"/>
      <sheetName val="ODR-15-CV"/>
      <sheetName val="ODR-14-KAK"/>
      <sheetName val="ODR-13-VA"/>
      <sheetName val="ODR-12-KKV"/>
      <sheetName val="ODR-11-SKA"/>
      <sheetName val="ODR-10-MA"/>
      <sheetName val="ODR-9-KR"/>
      <sheetName val="ODR-8-SK"/>
      <sheetName val="ODR-7-PPE"/>
      <sheetName val="ODR-6-TP"/>
      <sheetName val="ODR-5-RGG"/>
      <sheetName val="ODR-4-VKARADI"/>
      <sheetName val="ODR-3-KV"/>
      <sheetName val="ODR-2-PDK"/>
      <sheetName val="ODR-1-VK"/>
      <sheetName val="MDR-4-PPP"/>
      <sheetName val="MDR-3-KSG"/>
      <sheetName val="MDR-2-PP"/>
      <sheetName val="List of Road"/>
      <sheetName val="MDR-1-KK"/>
      <sheetName val="SH-6-PAP"/>
      <sheetName val="SH-5-PCF"/>
      <sheetName val="SH-4-UP"/>
      <sheetName val="SH-3-PD"/>
      <sheetName val="SH-2-KA"/>
      <sheetName val="SH-1-ATPC"/>
      <sheetName val="New RMR 2014-15"/>
      <sheetName val="ST-O"/>
      <sheetName val="ST-I"/>
      <sheetName val="CG -St"/>
      <sheetName val="INN-CB"/>
      <sheetName val="slab-st"/>
      <sheetName val="mesh"/>
      <sheetName val="BOQ-Highways"/>
      <sheetName val="BOQ-Structures"/>
      <sheetName val="BOQ-Balance"/>
      <sheetName val="Quotation"/>
      <sheetName val="CPWD"/>
      <sheetName val="Partly-Quotation"/>
      <sheetName val="formula"/>
      <sheetName val="Electrical (2)"/>
      <sheetName val="Sqn_Abs"/>
      <sheetName val="Sqn-Abs"/>
      <sheetName val="Data-I"/>
      <sheetName val="Data-II"/>
      <sheetName val="mem_property"/>
      <sheetName val="basic_data"/>
      <sheetName val="2.civil-RA"/>
      <sheetName val="2_civil_RA"/>
      <sheetName val="1.Civil-RA"/>
      <sheetName val="INPUT_copy"/>
      <sheetName val="Forms"/>
      <sheetName val="Base_data_Print"/>
      <sheetName val="ABSTRACT_L&amp;H"/>
      <sheetName val="RMR1"/>
      <sheetName val="CC RMR."/>
      <sheetName val="RMR_cmp"/>
      <sheetName val="BIT"/>
      <sheetName val="Mixinplace"/>
      <sheetName val="hrs_BT_metal"/>
      <sheetName val="BC50"/>
      <sheetName val="16.09.2012"/>
      <sheetName val="Plantmix"/>
      <sheetName val="EW Labour Rate"/>
      <sheetName val="Quarry Map PCF 1-4 - 10-0"/>
      <sheetName val="Lead 4-0 - 5-5"/>
      <sheetName val="Average Rate Analysis 4-0 - 6-0"/>
      <sheetName val="Detail 4-0 - 6-0"/>
      <sheetName val="Main Abstract 4-0 - 6-0"/>
      <sheetName val="CRIDP 14-15"/>
      <sheetName val="Detail 4-10"/>
      <sheetName val="1 Line 4-10-0"/>
      <sheetName val="Lead 5-5 - 7-0"/>
      <sheetName val="Average Rate Analysis 6-8"/>
      <sheetName val="Detail 6-8"/>
      <sheetName val="Main Abstract 6-8"/>
      <sheetName val="1 Line 5-5 - 7-0"/>
      <sheetName val="Led 7-0 - 8-5"/>
      <sheetName val="Average Rate Analysis 8-8-10-0+"/>
      <sheetName val="Detail 8-8-10-0"/>
      <sheetName val="Main Abstract8-8-10-0"/>
      <sheetName val="1 Line 7-0 - 8-5"/>
      <sheetName val="Lead 8-5 - 10-0"/>
      <sheetName val="Average Rate Analysis 8-5 - 10-"/>
      <sheetName val="Detail 8-5-10-0"/>
      <sheetName val="Main Abstract 8-5 - 10-0"/>
      <sheetName val="1 Line 8-5 - 10-0"/>
      <sheetName val="Quarry Map 10-15-6"/>
      <sheetName val="Lead 10-15-6"/>
      <sheetName val="Average Rate Analysis 10-15-6"/>
      <sheetName val="Detail 10-15-6"/>
      <sheetName val="Main Abstract 10-15-6"/>
      <sheetName val="Detail 10-0 - 10-2"/>
      <sheetName val="1 Line 10-15-6"/>
      <sheetName val="Quarry Map 10-8-12-4"/>
      <sheetName val="Lead 10-8-12-4"/>
      <sheetName val="Average Rate Analysis 10-8-12-4"/>
      <sheetName val="Detail 10-8-12-4"/>
      <sheetName val="Main Abstract 10-8-12-4"/>
      <sheetName val="One Line Estimate 10-8-12-4"/>
      <sheetName val="Quarry Map 0-0 -0-6"/>
      <sheetName val="Lead 0-0 - 0-6"/>
      <sheetName val="Average Rate Analysis 0-0- -0-6"/>
      <sheetName val="Detail 0-0-0-6"/>
      <sheetName val="Main Abstract 0-0-0-6"/>
      <sheetName val="One Line Estimate 0-06"/>
      <sheetName val="Lead 1-4-2-7"/>
      <sheetName val="Average Rate Analysis 1-4-2-7"/>
      <sheetName val="Detail 1-4-2-7"/>
      <sheetName val="Main Abstract 1-4-2-7"/>
      <sheetName val="One Line Estimate1-4-2-7"/>
      <sheetName val="Lead 2-7-4-0"/>
      <sheetName val="Average Rate Analysis 2-7-4-0"/>
      <sheetName val="Detail 2-7-4-0"/>
      <sheetName val="Main Abstract 2-7-4-0"/>
      <sheetName val="One Line Estimate 2-7-4-0"/>
      <sheetName val="Quarry Map 29-6-32-0"/>
      <sheetName val="Lead 29-6-32-0"/>
      <sheetName val="Average Rate Analysis 29-6-32-0"/>
      <sheetName val="Detail 29-6-32-0"/>
      <sheetName val="Main Abstract 29-6-32-0"/>
      <sheetName val="Detail 29-6 32-0"/>
      <sheetName val="1 Line 29-6-32-0"/>
      <sheetName val="Quarry Map 18-20"/>
      <sheetName val="Lead 18-19"/>
      <sheetName val="Average Rate Analysis 18-19"/>
      <sheetName val="Detail 18-19"/>
      <sheetName val="Main Abstract 18-19"/>
      <sheetName val="1 line 18-19"/>
      <sheetName val="Lead 19-20"/>
      <sheetName val="Average Rate Analysis 19-20"/>
      <sheetName val="Detail 19-20"/>
      <sheetName val="Main Abstract 19-20"/>
      <sheetName val="1 Line 19-20"/>
      <sheetName val="Quarry Map 7-10"/>
      <sheetName val="Lead 7-10"/>
      <sheetName val="Average Rate Analysis 7-10"/>
      <sheetName val="Detail 7-10"/>
      <sheetName val="Main Abstract 7-10"/>
      <sheetName val="Sqn_Abs_G_6_ "/>
      <sheetName val="WO_Abs _G_2_ 6 DUs"/>
      <sheetName val="Air_Abs_G_6_ 23 DUs"/>
      <sheetName val="Case-I"/>
      <sheetName val="5 Drainage And Protctn flexible"/>
      <sheetName val="1-4 Road -Flexible"/>
      <sheetName val="TCS R1 (flexible)"/>
      <sheetName val="TCS R1"/>
      <sheetName val="1-4 Road -Rigid"/>
      <sheetName val="Case-II"/>
      <sheetName val="6. Road Furniture &amp; Misc."/>
      <sheetName val="5 Drainage &amp; Protection (rigid)"/>
      <sheetName val="Cal - 15-16"/>
      <sheetName val="Lead statement - 2015-16"/>
      <sheetName val="Lead statement - Con Pav"/>
      <sheetName val="Bitumen-2015-16"/>
      <sheetName val="Det. Est."/>
      <sheetName val="Annexure-II"/>
      <sheetName val="summa"/>
      <sheetName val="Annexure-I"/>
      <sheetName val="Quotation (2)"/>
      <sheetName val="sqn_ldr_3 Unit_2_"/>
      <sheetName val="Site clearance"/>
      <sheetName val="Earthwork"/>
      <sheetName val="Subbase"/>
      <sheetName val="Bituminous"/>
      <sheetName val="Traffic sign"/>
      <sheetName val="Abut-9+741"/>
      <sheetName val="Cal (2)"/>
      <sheetName val="BILL NO- 1"/>
      <sheetName val="SCHEDULE NEW-1"/>
      <sheetName val="Road furnitures"/>
      <sheetName val="LENGTH (2)"/>
      <sheetName val="SCHEDULE-H"/>
      <sheetName val="Rigid"/>
      <sheetName val="LENGTH "/>
      <sheetName val="Bill No-1&amp;2 Recons "/>
      <sheetName val="BILL NO -2 &amp;3 New construct (2)"/>
      <sheetName val="BILL NO -2 &amp;3 Geometric Improve"/>
      <sheetName val="Bill No-1&amp;2 Recons With toe "/>
      <sheetName val="Bill No-1&amp;2 Builtup withdrain d"/>
      <sheetName val="Bill No-2lane builtup drain"/>
      <sheetName val="BILL NO -2 &amp;3 cURVE PORTION"/>
      <sheetName val="existingoverlay 37-81.473"/>
      <sheetName val="Extra Widening"/>
      <sheetName val="Bill No 5 Road furnitures "/>
      <sheetName val="5)1 m height drain"/>
      <sheetName val="5.a.Foot Path"/>
      <sheetName val="0-37 CROSS DRAINAGE"/>
      <sheetName val="37-81.473 CROSS DRAINAGE"/>
      <sheetName val="5.b.Drain-jn"/>
      <sheetName val="JUNCTION&amp;Bus shel  Abs"/>
      <sheetName val="T jun-0-37"/>
      <sheetName val="Y jun- 0-37"/>
      <sheetName val="T jun-37-81.445"/>
      <sheetName val="Inter section jun-37-81.445"/>
      <sheetName val="Y jun 37-81"/>
      <sheetName val="Major-y-37-81 (2)"/>
      <sheetName val="Major T JUNCTION-37-81 "/>
      <sheetName val="Major Inters JUNCTION-37-81.445"/>
      <sheetName val="7.a)Bus Shel Det0-37"/>
      <sheetName val="1m ht Toe wall 0-37"/>
      <sheetName val="37-81.47bus shelter"/>
      <sheetName val="2m ht PCC Toe wall 0-37"/>
      <sheetName val="1m ht Toe wall 37-81473"/>
      <sheetName val="Bill No - (9 )"/>
      <sheetName val="8.c.RCC Retaining-3m ht0-37"/>
      <sheetName val="Major Right Turn"/>
      <sheetName val="8.c.RCC Retaining Wall-4m ht"/>
      <sheetName val="8.a.PCC Toe wall (2)"/>
      <sheetName val="2m ht PCC Toe wall 37-81.473"/>
      <sheetName val="8.c.RCC Retaining Wall-37-81.47"/>
      <sheetName val="Temporary "/>
      <sheetName val="RAIN WATER harvesting Pit"/>
      <sheetName val="TOLL-0-37"/>
      <sheetName val="TOLL-37-81.473"/>
      <sheetName val="TRUCKLAY 0-37"/>
      <sheetName val="TRUCKLAY37-81.473"/>
      <sheetName val="2 LANE PAVED SHOULDER"/>
      <sheetName val="******"/>
      <sheetName val="dL"/>
      <sheetName val="LLana-1"/>
      <sheetName val="LLana2"/>
      <sheetName val="wing wall"/>
      <sheetName val="Abt Foundation "/>
      <sheetName val="peir1"/>
      <sheetName val="pier Foundation"/>
      <sheetName val="pierFound1"/>
      <sheetName val="Sheet1a"/>
      <sheetName val="Sheet 1b"/>
      <sheetName val="Sheet1c"/>
      <sheetName val="Sheet1ca"/>
      <sheetName val="BILL NO -2 &amp;3 New construction"/>
      <sheetName val="Bill No-1&amp;2 Reconstruction"/>
      <sheetName val="existingoverlay"/>
      <sheetName val="7.bus lay -mc way"/>
      <sheetName val="7.a)Bus Shel Det"/>
      <sheetName val="T jun"/>
      <sheetName val="Y jun (2)"/>
      <sheetName val="Inter section jun (2)"/>
      <sheetName val="Major T JUNCTION"/>
      <sheetName val="8.a.PCC Toe wall"/>
      <sheetName val="8.b.PCC Toe wall =type-2"/>
      <sheetName val="8.c.RCC Retaining Wall-3m ht"/>
      <sheetName val="LA"/>
      <sheetName val="Bill No-1&amp;2 Builtup withdra (2)"/>
      <sheetName val="Bill No-1&amp;2 4-lane divided carr"/>
      <sheetName val="T jun (2)"/>
      <sheetName val="Major T JUNCTION (2)"/>
      <sheetName val="8.c.PCC Retaining Wall-3m"/>
      <sheetName val="Abutment "/>
      <sheetName val="ABS (Flex)  "/>
      <sheetName val="ABS (Rigid) "/>
      <sheetName val="A.Length"/>
      <sheetName val="BILL NO(1) - f"/>
      <sheetName val=" Fig-2.2  New construction"/>
      <sheetName val=" Fig-2.2A Reconstruction"/>
      <sheetName val="Bill No-1&amp;2 -Flexible -Rd -"/>
      <sheetName val=" Fig-2.2B Recon BOTH TOE"/>
      <sheetName val=" Fig-2.2C Recon LHS TOE"/>
      <sheetName val=" Fig-2.2D Recon RHS TOE "/>
      <sheetName val="  Fig-2.5A BUILTUP PORTION"/>
      <sheetName val="  Fig-2.5B 4 LANE DCW WITH TOE"/>
      <sheetName val=" Fig-2.5C-Overlay"/>
      <sheetName val="Extra widening width"/>
      <sheetName val="extra widening at curve"/>
      <sheetName val="  Fig-2.4A BUILTUP PORTION (2)"/>
      <sheetName val=" Fig-2.4 B Reconst wit Toe"/>
      <sheetName val="4. Road furnitures "/>
      <sheetName val="Foot Path"/>
      <sheetName val="CROSS Road CULVERT "/>
      <sheetName val="7.c Major Jn- round about"/>
      <sheetName val="Major - T junctn"/>
      <sheetName val="Major - Y junctn"/>
      <sheetName val="Major Inters JUNCTION"/>
      <sheetName val="Minor - T junctn"/>
      <sheetName val="Staggered jun "/>
      <sheetName val="Minor - Y junctn"/>
      <sheetName val="Minor - + junctn"/>
      <sheetName val="ROW &amp;LA"/>
      <sheetName val="Minor T"/>
      <sheetName val="RE WALL "/>
      <sheetName val="Minor T (2)"/>
      <sheetName val="Temporary diversion"/>
      <sheetName val="Truck Laybye"/>
      <sheetName val="Sheet3 (2)"/>
      <sheetName val=" Fig-2.4 Reconstruction"/>
      <sheetName val=" Fig-2.2B-Overlay "/>
      <sheetName val="  Fig-2.4 A BUILTUP PORTION"/>
      <sheetName val="  Fig-2.5 B BUILTUP PORTION (2)"/>
      <sheetName val="ABS Junctions"/>
      <sheetName val="PCC Toe wall (1M)"/>
      <sheetName val="ERATH-ABS"/>
      <sheetName val="chat"/>
      <sheetName val="DWG"/>
      <sheetName val="SUB DATA"/>
      <sheetName val="CD Work"/>
      <sheetName val="PMGSY"/>
      <sheetName val="CD (NRRDA)"/>
      <sheetName val="SOR07-08"/>
      <sheetName val="HWay-Material"/>
      <sheetName val="detailed est"/>
      <sheetName val="Lead."/>
      <sheetName val="Cement &amp; Steel"/>
      <sheetName val="Steel centering"/>
      <sheetName val="Rates of work"/>
      <sheetName val="form"/>
      <sheetName val="form (2)"/>
      <sheetName val="C1(Ram)"/>
      <sheetName val="C2(Ram)"/>
      <sheetName val="C3(Ram)"/>
      <sheetName val="C1(Kalli)"/>
      <sheetName val="C2(Kalli)"/>
      <sheetName val="C3(Kalli)"/>
      <sheetName val="Proforma B"/>
      <sheetName val="F-6(Vilambar)"/>
      <sheetName val="F6 (manimuthudam)"/>
      <sheetName val="F-6(SU-V.Palayam)"/>
      <sheetName val="F-6(Alathur.Colony)"/>
      <sheetName val="F-6,7(Pichanatham Road)"/>
      <sheetName val="F-7(Vilambar)"/>
      <sheetName val="F7( Manimuthudam)"/>
      <sheetName val="F-7(SU-V.P)1"/>
      <sheetName val="F-7(SU-V.P)2"/>
      <sheetName val="F-7(SU-V.P)3"/>
      <sheetName val="F-7(Alathur.Colony)"/>
      <sheetName val="F-9 &amp; 9A"/>
      <sheetName val="2B Service Road"/>
      <sheetName val="DBM (O)"/>
      <sheetName val="PCC (O)"/>
      <sheetName val="DLC"/>
      <sheetName val="PQC"/>
      <sheetName val="3b Slab culvert"/>
      <sheetName val="8 Median Verge"/>
      <sheetName val="11-12 TruckBus bays"/>
      <sheetName val="13-14 S.L.+Utility"/>
      <sheetName val="15-16 Toll Plazza + Drainage"/>
      <sheetName val="measur-priliminary"/>
      <sheetName val="doq-I"/>
      <sheetName val="doq-1 bus bay"/>
      <sheetName val="doq-1 Aoq Culvert"/>
      <sheetName val="doq-1 DOQ Culvert"/>
      <sheetName val="doq 2"/>
      <sheetName val="doq-1 Dismantling"/>
      <sheetName val="doq 3"/>
      <sheetName val="doq 4"/>
      <sheetName val="doq-7"/>
      <sheetName val="doq-8"/>
      <sheetName val="doq-9"/>
      <sheetName val="doq-9 CUR &amp; EMBK"/>
      <sheetName val="doq-10"/>
      <sheetName val="doq-11"/>
      <sheetName val="Labour _ Plant"/>
      <sheetName val="Sqn-Abs(G+6) "/>
      <sheetName val="I-CO"/>
      <sheetName val="OHT_Abs"/>
      <sheetName val="Balustrade"/>
      <sheetName val="Gwa(fin)"/>
      <sheetName val="TRA(Gwa)(f)"/>
      <sheetName val="DU(Gwa)"/>
      <sheetName val="DG(gwa)(f)"/>
      <sheetName val="Volt"/>
      <sheetName val="lt"/>
      <sheetName val="Sqn"/>
      <sheetName val="Air"/>
      <sheetName val="Int(f)"/>
      <sheetName val="7 Other Costs"/>
      <sheetName val="MAchinery(R1)"/>
      <sheetName val="Materials "/>
      <sheetName val="1.site clearence "/>
      <sheetName val="2.earth work"/>
      <sheetName val="3.granular subbase-base"/>
      <sheetName val="4.Pavement"/>
      <sheetName val="5.culverts &amp;bridges"/>
      <sheetName val="6.drainage"/>
      <sheetName val="7.traffic markng"/>
      <sheetName val="8.maintenance"/>
      <sheetName val="cement_steel"/>
      <sheetName val="Labour rates"/>
      <sheetName val="Fly ash"/>
      <sheetName val="Borrow area"/>
      <sheetName val="Stone, Metal"/>
      <sheetName val="Hume Pipe"/>
      <sheetName val="Subase"/>
      <sheetName val="Cement concrete courses"/>
      <sheetName val="Junction"/>
      <sheetName val="D&amp;LLoad"/>
      <sheetName val="WSa1"/>
      <sheetName val="WSa2"/>
      <sheetName val="WSa3"/>
      <sheetName val="pier1"/>
      <sheetName val="WSp1"/>
      <sheetName val="WSp2"/>
      <sheetName val="WSp3"/>
      <sheetName val="PierFoundn"/>
      <sheetName val="CMRA"/>
      <sheetName val="ERA"/>
      <sheetName val="CMRA (2)"/>
      <sheetName val="ANX1"/>
      <sheetName val="ANX2"/>
      <sheetName val="ANX3"/>
      <sheetName val="DMS"/>
      <sheetName val="L1"/>
      <sheetName val="E.Electrical (2)"/>
      <sheetName val="Lift (2)"/>
      <sheetName val="Aluminum"/>
      <sheetName val="Struc glazing &amp; Alco"/>
      <sheetName val="Civil (RA) _Resi_"/>
      <sheetName val="RW-ch112-142"/>
      <sheetName val="CENTERING DATA"/>
      <sheetName val="DET-Cen-Area"/>
      <sheetName val="BED_BLK_STEEL"/>
      <sheetName val="Lead particulars and cost of ma"/>
      <sheetName val="data-bridge"/>
      <sheetName val="T&amp;P BOW"/>
      <sheetName val="CDam"/>
      <sheetName val="SRate"/>
      <sheetName val="Forming"/>
      <sheetName val="Bill-cost"/>
      <sheetName val="Bill-old2"/>
      <sheetName val="Bill-old2-cost"/>
      <sheetName val="Bill old"/>
      <sheetName val="Bill old cost"/>
      <sheetName val="TOSriver"/>
      <sheetName val="Superstruc"/>
      <sheetName val="Abutment"/>
      <sheetName val="bb-Pilecap"/>
      <sheetName val="bb-Piercap"/>
      <sheetName val="bb-Pier"/>
      <sheetName val="bb-Diap A "/>
      <sheetName val="bb-Diap  P"/>
      <sheetName val="bb-Deckslab"/>
      <sheetName val="bb-Parapet"/>
      <sheetName val="bb-Borepile AbutA"/>
      <sheetName val="bb-Borepile AbutB"/>
      <sheetName val="bb-Borepile Pier"/>
      <sheetName val="bb-Abut"/>
      <sheetName val="RW-seis112-142"/>
      <sheetName val="MM2"/>
      <sheetName val="Loding"/>
      <sheetName val="F 7"/>
      <sheetName val="CD detail (F)"/>
      <sheetName val="CD Abstract (2)"/>
      <sheetName val="Traffic Colc"/>
      <sheetName val="Traffic (2)"/>
      <sheetName val="Pavement "/>
      <sheetName val="FS"/>
      <sheetName val="C1"/>
      <sheetName val="C2"/>
      <sheetName val="C3"/>
      <sheetName val="IND"/>
      <sheetName val="FHS"/>
      <sheetName val="GD"/>
      <sheetName val="REC"/>
      <sheetName val="Fc2"/>
      <sheetName val="AB1"/>
      <sheetName val="MM1"/>
      <sheetName val="AB2"/>
      <sheetName val="EW1"/>
      <sheetName val="EW2"/>
      <sheetName val="RD01"/>
      <sheetName val="AB3"/>
      <sheetName val="MM3"/>
      <sheetName val="AB4"/>
      <sheetName val="MM4"/>
      <sheetName val="ABS5"/>
      <sheetName val="MM5"/>
      <sheetName val="Boards"/>
      <sheetName val="Jns."/>
      <sheetName val="CDworks"/>
      <sheetName val="BBD"/>
      <sheetName val="IRC37"/>
      <sheetName val="Samp"/>
      <sheetName val="RAL"/>
      <sheetName val="QC"/>
      <sheetName val="rd_01"/>
      <sheetName val="RD99"/>
      <sheetName val="Annexure-A"/>
      <sheetName val="Take of sheet"/>
      <sheetName val="strand"/>
      <sheetName val="Civil "/>
      <sheetName val="LEAD DETAILED1"/>
      <sheetName val="Sch. of rate"/>
      <sheetName val="Bit. rate @ site"/>
      <sheetName val="Emulsion rate"/>
      <sheetName val="Patch"/>
      <sheetName val="Patch main"/>
      <sheetName val="TC"/>
      <sheetName val="WBM MAIN"/>
      <sheetName val="WBM"/>
      <sheetName val="TC2.5kg"/>
      <sheetName val="PC main"/>
      <sheetName val="PC+SC"/>
      <sheetName val="Common rate"/>
      <sheetName val="culvert lead "/>
      <sheetName val="Cul.Det"/>
      <sheetName val="Cul.Data"/>
      <sheetName val="cer2"/>
      <sheetName val="cer"/>
      <sheetName val="GD1"/>
      <sheetName val="Rec2"/>
      <sheetName val="Rec1"/>
      <sheetName val="CSR"/>
      <sheetName val="AB21"/>
      <sheetName val="mm21"/>
      <sheetName val="MM 4 i"/>
      <sheetName val="MM 5 i"/>
      <sheetName val="AB6"/>
      <sheetName val="MM6"/>
      <sheetName val="AB7"/>
      <sheetName val="MM7"/>
      <sheetName val="Road i"/>
      <sheetName val="Jn i"/>
      <sheetName val="Jn"/>
      <sheetName val="cdworks i"/>
      <sheetName val="Trees"/>
      <sheetName val="FC3"/>
      <sheetName val="Toll Statioms"/>
      <sheetName val="Samjuticha"/>
      <sheetName val="Samjuticha_English"/>
      <sheetName val="FC"/>
      <sheetName val="RA2"/>
      <sheetName val="DWR(Bid Document)"/>
      <sheetName val="Ave.Wtd.rates-PCC &amp; NH"/>
      <sheetName val="Lead Statement (PCC)"/>
      <sheetName val="Lead Statement (NH)"/>
      <sheetName val="Analysis-NH-Roads"/>
      <sheetName val="Analysis-NH-Culverts"/>
      <sheetName val="Analysis-NH-Bridges"/>
      <sheetName val="Analysis-Drains &amp; Misc"/>
      <sheetName val="Analysis-NH-Traf &amp; Trans"/>
      <sheetName val="Estimates"/>
      <sheetName val="BOQ (Bid Document)"/>
      <sheetName val="AOC - abs (3)"/>
      <sheetName val="AOC - abs (6)"/>
      <sheetName val="Sqn-Abs (G+1) "/>
      <sheetName val="Flt.Lt-Abs 4 DUs"/>
      <sheetName val="WO-Abs (G+2) 6 DUs"/>
      <sheetName val="WO-Abs (G) 1DU"/>
      <sheetName val="WO-Abs(G+6) 23DUs"/>
      <sheetName val="Air-Abs (G+1)"/>
      <sheetName val="Air-Abs (G+2)"/>
      <sheetName val="Air-Abs(G+6) 23 DUs"/>
      <sheetName val="Air-Abs(G+6) 24 DUs"/>
      <sheetName val="AC point"/>
      <sheetName val="RC Beam &amp; Slab Super-9+741"/>
      <sheetName val="Pier-9+741"/>
      <sheetName val="Abstract Qty-9+741"/>
      <sheetName val="PSC Beam &amp; RC Slab-18+201"/>
      <sheetName val="Abut Well-18+201"/>
      <sheetName val="Pier Well-18+201"/>
      <sheetName val="Abstract Qty-18+201"/>
      <sheetName val="PROP PSC Box-26+871"/>
      <sheetName val="PSC Box Super-26+871"/>
      <sheetName val="Abut Well-26+871"/>
      <sheetName val="Pier Well-26+871"/>
      <sheetName val="Abstract Qty-26+871"/>
      <sheetName val="RC Beam &amp; Slab Super-43+483"/>
      <sheetName val="Abut Well-43+483"/>
      <sheetName val="Pier Well-43+483"/>
      <sheetName val="Abstract Qty-43+483"/>
      <sheetName val="PROP PSC Box-93+118"/>
      <sheetName val="PSC Box Super-93+118"/>
      <sheetName val="Abut-93+118"/>
      <sheetName val="Pier-93+118"/>
      <sheetName val="Abstract Qty-93+118"/>
      <sheetName val="PROP PSC Box-96+522"/>
      <sheetName val="PSC Box Super-96+522"/>
      <sheetName val="Abut-96+522"/>
      <sheetName val="Pier-96+522"/>
      <sheetName val="Abstract Qty-96+522"/>
      <sheetName val="RC Beam &amp; Slab Super-99+575"/>
      <sheetName val="Abut-99+575"/>
      <sheetName val="Pier-99+575"/>
      <sheetName val="Abstract Qty-99+575"/>
      <sheetName val="PROP PSC Box-119+805"/>
      <sheetName val="PSC Box Super-119+805"/>
      <sheetName val="Abut-119+805"/>
      <sheetName val="Pier-119+805"/>
      <sheetName val="Abstract Qty-119+805"/>
      <sheetName val="Median Wall"/>
      <sheetName val="Protection Works"/>
      <sheetName val="Abstract Qty"/>
      <sheetName val="Phasing"/>
      <sheetName val="Morshi"/>
      <sheetName val="Flt(G to 3)"/>
      <sheetName val="Flt-4 to 5th "/>
      <sheetName val="Air(4 to 6th)"/>
      <sheetName val="Air(ground to3)"/>
      <sheetName val="Sqn(Ground to3)"/>
      <sheetName val="Sqn (4 to 6)"/>
      <sheetName val="Flt.Lt-Abs"/>
      <sheetName val="Air-Abs"/>
      <sheetName val="WO-Abs"/>
      <sheetName val="wo(ground - 3)"/>
      <sheetName val="wo-4th &amp; Terrace "/>
      <sheetName val="CPWD_Civil"/>
      <sheetName val="centering area"/>
      <sheetName val="RUB_DET"/>
      <sheetName val="SERVICE ROAD_DET"/>
      <sheetName val="APPROACH ROAD_DET"/>
      <sheetName val="FOOTPATH CUM DRAIN_DET"/>
      <sheetName val="RETAINING WALL_DET"/>
      <sheetName val="DEWATERING_DET"/>
      <sheetName val="ABS ESTIMATE"/>
      <sheetName val="cost estimate"/>
      <sheetName val="CAl SHT ATT"/>
      <sheetName val="Spread Sheets bridge"/>
      <sheetName val="2+383"/>
      <sheetName val="11+010"/>
      <sheetName val="Spread Sheet ROB"/>
      <sheetName val="5+008-ROB"/>
      <sheetName val="5+008 ROB"/>
      <sheetName val="Spread Sheets LVUP "/>
      <sheetName val="0+254 "/>
      <sheetName val="0+517 "/>
      <sheetName val="1+180 "/>
      <sheetName val="3+292"/>
      <sheetName val="4+735 "/>
      <sheetName val="5+620 "/>
      <sheetName val="6+625 "/>
      <sheetName val="6+716"/>
      <sheetName val="7+029 "/>
      <sheetName val="7+426 "/>
      <sheetName val="7+862 "/>
      <sheetName val="10+237 "/>
      <sheetName val="11+747"/>
      <sheetName val="12+478"/>
      <sheetName val="13+447"/>
      <sheetName val="13+818"/>
      <sheetName val="LHS"/>
      <sheetName val="RHS"/>
      <sheetName val="Sqn _Main_ Abs"/>
      <sheetName val="Int (RA) "/>
      <sheetName val="Sqn (Main) Abs"/>
      <sheetName val="Air-Abs-25"/>
      <sheetName val="Air-Abs -26"/>
      <sheetName val="Sqn.ldr-AC"/>
      <sheetName val="FLT-AC"/>
      <sheetName val="Det.span-4.00m(f)"/>
      <sheetName val="Det.span-3.00m(f)"/>
      <sheetName val="Det.span-4.00m(f) (2)"/>
      <sheetName val="Det.span-5.00m(f) (2)"/>
      <sheetName val="7 Summary CD works"/>
      <sheetName val="Sum CD-A"/>
      <sheetName val="1-R 1.2 mtr-New"/>
      <sheetName val="2-R 1.2 mtr New"/>
      <sheetName val="3-R 1.2 mtr New "/>
      <sheetName val="4-R 1.2 mtr New"/>
      <sheetName val="1-R 0.9 wid"/>
      <sheetName val="1-R 1.2 wid"/>
      <sheetName val="2-R 0.9 wid"/>
      <sheetName val="2-R 1.2 wid"/>
      <sheetName val="3-R 1.2 wid"/>
      <sheetName val="3-R 1.5 wid"/>
      <sheetName val="4-R 1.2 wid"/>
      <sheetName val="7 SLab-wid"/>
      <sheetName val="7 MS Re-const. of Slab Culverts"/>
      <sheetName val="Lead charges 2016-17"/>
      <sheetName val="Cal - 16-17"/>
      <sheetName val="Lead statement - 2016-17"/>
      <sheetName val="Lead statement - Con.Pav"/>
      <sheetName val="Bitumen-2016-17"/>
      <sheetName val="form-found-Annex1"/>
      <sheetName val="form-slab-Annex12"/>
      <sheetName val="form-beam-Annex 2"/>
      <sheetName val="form-column-Annex 3"/>
      <sheetName val="mar. rat.ana"/>
      <sheetName val="ntc"/>
      <sheetName val="8 Summary Major Bridges"/>
      <sheetName val="8A Measurement "/>
      <sheetName val="8C Summary Minor Bridges"/>
      <sheetName val="8C  Summary Sheet Minor Bridges"/>
      <sheetName val="8C Msmnt Sheet Minor Bridges"/>
      <sheetName val="Cost MNB"/>
      <sheetName val="Cost MJB"/>
      <sheetName val="Underpasses"/>
      <sheetName val="Length(Rigid)"/>
      <sheetName val="Length (flexible)"/>
      <sheetName val="10 Miscelaaneous"/>
      <sheetName val="Cost Est "/>
      <sheetName val="SCHEDULE-H (3)"/>
      <sheetName val="SFC TABULATION"/>
      <sheetName val="SFC Cost Analysis"/>
      <sheetName val="JUSTIFICATION-1summary"/>
      <sheetName val="SFC TABULATION (2)"/>
      <sheetName val="SFC MEMO"/>
      <sheetName val="flex"/>
      <sheetName val="SCHEDULE-H (2)"/>
      <sheetName val="Fly over- det"/>
      <sheetName val="Abs Est"/>
      <sheetName val="Rates 07-08"/>
      <sheetName val="ABS (Flex) "/>
      <sheetName val="Bill No-1&amp;2 -Streng. Ex-Rd "/>
      <sheetName val="BILL NO -2 &amp;3 BUILTUP PORTION"/>
      <sheetName val="CROSS ROAD"/>
      <sheetName val="7.c.Junction Improvements"/>
      <sheetName val="3.75"/>
      <sheetName val="Bill No. 11 - "/>
      <sheetName val="lt (2)"/>
      <sheetName val="Rest"/>
      <sheetName val="MES"/>
      <sheetName val="void"/>
      <sheetName val="Gwa(fin) (2)"/>
      <sheetName val="Materials Cost_PCC_"/>
      <sheetName val="Cal - 09-10"/>
      <sheetName val="Lead statement - 2009-10"/>
      <sheetName val="Bitumen-2009-10"/>
      <sheetName val="Curve Details to Shruthi"/>
      <sheetName val="Method"/>
      <sheetName val="Speed"/>
      <sheetName val="Cur_Details"/>
      <sheetName val="Cur_Details-AutoCAD"/>
      <sheetName val="RotationAngle"/>
      <sheetName val="51+683"/>
      <sheetName val="52+834"/>
      <sheetName val="62+782-MAJOR"/>
      <sheetName val="64+552"/>
      <sheetName val="68+579"/>
      <sheetName val="72+798"/>
      <sheetName val="79+954"/>
      <sheetName val="80+026"/>
      <sheetName val="85+856"/>
      <sheetName val="86+075"/>
      <sheetName val="87+425"/>
      <sheetName val="87+677-MAJOR"/>
      <sheetName val="89+414"/>
      <sheetName val="91+155"/>
      <sheetName val="91+556"/>
      <sheetName val="94+659"/>
      <sheetName val="100+147"/>
      <sheetName val="Abstract for Schedule"/>
      <sheetName val="Abstract for Schedule- 21.1.16"/>
      <sheetName val="Spread Sheet"/>
      <sheetName val="Old cost "/>
      <sheetName val="VOID-100+147 (4 Lane)"/>
      <sheetName val="Abstract1"/>
      <sheetName val="Abstract-13.05.17"/>
      <sheetName val="8+510"/>
      <sheetName val="11+471 - Sk 25"/>
      <sheetName val="16+060"/>
      <sheetName val="17+074 - Sk 43"/>
      <sheetName val="23+454"/>
      <sheetName val="23+560"/>
      <sheetName val="37+270"/>
      <sheetName val="39+877"/>
      <sheetName val="42+919"/>
      <sheetName val="43+275"/>
      <sheetName val="45+329"/>
      <sheetName val="48+488"/>
      <sheetName val="2x2x2.0 (WO)-18.0m"/>
      <sheetName val="2x2x2.0 (WO)-20.0m"/>
      <sheetName val="2x2x2.5 (WO) - 18.0m"/>
      <sheetName val="Spread sheet-Box culvert"/>
      <sheetName val="A.Q."/>
      <sheetName val="C.S.A."/>
      <sheetName val="SS - BOX"/>
      <sheetName val="1 x 2.0 x 3.5 - Box"/>
      <sheetName val="1 x 7.5 x 5.50m"/>
      <sheetName val="SS - PIPE"/>
      <sheetName val="1 row-1.2m-18.0m"/>
      <sheetName val="1 row-1.2m-28.0m"/>
      <sheetName val="2row-1.2m-21.0m"/>
      <sheetName val="1 x 7.5 x 5.5 - Box"/>
      <sheetName val=" Analysis"/>
      <sheetName val="Priced_DWR "/>
      <sheetName val="Rates2001"/>
      <sheetName val=" AnalysisNH"/>
      <sheetName val="Abstract-8.1.17"/>
      <sheetName val="2+092-OPEN-NO BED"/>
      <sheetName val="VOID-5+359"/>
      <sheetName val="VOID-7+777"/>
      <sheetName val="5+359-OPEN-NO BED-4LANE"/>
      <sheetName val="7+777 -  BED"/>
      <sheetName val="13+725-OPEN-WITH BED"/>
      <sheetName val="14+717-OPEN-NO BED"/>
      <sheetName val="15+161 -  WITH BED"/>
      <sheetName val="19+302-OPEN-NO BED"/>
      <sheetName val="Void-43+301"/>
      <sheetName val="41+644-OPEN-NO BED-4LANE"/>
      <sheetName val="7+777 - NO BED (2)"/>
      <sheetName val="Void-Abstract"/>
      <sheetName val="Drain Length"/>
      <sheetName val="Box Culvert1"/>
      <sheetName val="box ms 161-165"/>
      <sheetName val="det.est"/>
      <sheetName val="COST ESTIMATE "/>
      <sheetName val="TOTal Abs Quan"/>
      <sheetName val="CAl SHT ATT "/>
      <sheetName val="11+411"/>
      <sheetName val="5+009 ROB"/>
      <sheetName val="ROB - Span"/>
      <sheetName val="1+180"/>
      <sheetName val="Spread Sheet RE wall"/>
      <sheetName val="280-700"/>
      <sheetName val="960 - 1620"/>
      <sheetName val="2600 - 2680"/>
      <sheetName val="2760 - 3540"/>
      <sheetName val="4450 - 4920"/>
      <sheetName val="4920 - 6980"/>
      <sheetName val="7100 - 7370"/>
      <sheetName val="7710 - 7780"/>
      <sheetName val="10300 - 10520"/>
      <sheetName val="11140 - 11950"/>
      <sheetName val="12160-13030"/>
      <sheetName val="13190 - 13430"/>
      <sheetName val="13600-13810"/>
      <sheetName val="14070-14200"/>
      <sheetName val="Cost Est"/>
      <sheetName val="SCHEDULE-H (NEW) (3)"/>
      <sheetName val="SCHEDULE-H (04.04.17)"/>
      <sheetName val="SFC TABULATION  (2)"/>
      <sheetName val="SFC Cost Analysis  (2)"/>
      <sheetName val="Summary Estimate"/>
      <sheetName val="Justication for addition cost"/>
      <sheetName val="SFC TABULATION "/>
      <sheetName val="SFC Cost Analysis "/>
      <sheetName val="NORMATIVECOST"/>
      <sheetName val="Cost Est TO JE SEL(Shdl) (2)"/>
      <sheetName val="CH - 3+684"/>
      <sheetName val="CH - 26+694"/>
      <sheetName val="35+249"/>
      <sheetName val="GSB1"/>
      <sheetName val="GSB II"/>
      <sheetName val="DBM(O)"/>
      <sheetName val="DBM(PCC)"/>
      <sheetName val="BC(O)"/>
      <sheetName val="Primer"/>
      <sheetName val="Tack"/>
      <sheetName val="embank"/>
      <sheetName val="shoulder filling"/>
      <sheetName val="road filling"/>
      <sheetName val="RE Drain"/>
      <sheetName val="L DRAIN"/>
      <sheetName val="traffic safty"/>
      <sheetName val="maintainance"/>
      <sheetName val="1x2x3X2.0 WEC"/>
      <sheetName val="1X2X3.0 WOE-26.0"/>
      <sheetName val="1X2X2 WOE "/>
      <sheetName val="1X2X2 x 2 WOE  "/>
      <sheetName val="1x2x3X2.5WEC"/>
      <sheetName val="1x2x3X2.0 WEC )"/>
      <sheetName val="1x2x3X1.0WEC"/>
      <sheetName val="1X3X3 WOE (15.0 m) "/>
      <sheetName val="1 x 4x 3x 2 WOE"/>
      <sheetName val="LC 304 Estimation"/>
      <sheetName val="Height of Stem"/>
      <sheetName val="det.est (2)"/>
      <sheetName val="det.est (3)"/>
      <sheetName val="Stair case forming"/>
      <sheetName val="GAOC"/>
      <sheetName val="BH -10"/>
      <sheetName val="corbl"/>
      <sheetName val="T"/>
      <sheetName val="pile group"/>
      <sheetName val="loads"/>
      <sheetName val="summry"/>
      <sheetName val="checkpier"/>
      <sheetName val="checkpile"/>
      <sheetName val="scatch"/>
      <sheetName val="piercap"/>
      <sheetName val="pilecap"/>
      <sheetName val="Reaction"/>
      <sheetName val="reactoin"/>
      <sheetName val="Capac"/>
      <sheetName val="BH III"/>
      <sheetName val="Piercap1"/>
      <sheetName val="Piercap2"/>
      <sheetName val="LoaPedestal col"/>
      <sheetName val="Ped colm"/>
      <sheetName val="Horiz."/>
      <sheetName val="Reactpedcol"/>
      <sheetName val="49+930"/>
      <sheetName val="SpreadSheet Box"/>
      <sheetName val="B&amp;Q"/>
      <sheetName val="WZ1-Subcontract"/>
      <sheetName val="OH-Filled Amount-WZ1 (25.33%)"/>
      <sheetName val="OH-Filled Amount-WZ1(30%)"/>
      <sheetName val="BOQ-01"/>
      <sheetName val="OH-01"/>
      <sheetName val="site"/>
      <sheetName val="Building"/>
      <sheetName val="Int-water"/>
      <sheetName val="Int-ele"/>
      <sheetName val="Sewage"/>
      <sheetName val="Area "/>
      <sheetName val="Exwater"/>
      <sheetName val="EXt ele"/>
      <sheetName val="Dev _ele"/>
      <sheetName val="Rain water"/>
      <sheetName val="Compoundwall"/>
      <sheetName val="Arbori"/>
      <sheetName val="Fire fig"/>
      <sheetName val="Terrace"/>
      <sheetName val="UG - static"/>
      <sheetName val="domestic"/>
      <sheetName val="UG_sump_abs"/>
      <sheetName val="Pump (abs)"/>
      <sheetName val="MES-central"/>
      <sheetName val="Centrifu-central"/>
      <sheetName val="Retainingwall_f"/>
      <sheetName val="Index "/>
      <sheetName val="Gn Ab"/>
      <sheetName val="SiteAb"/>
      <sheetName val="SiteMs"/>
      <sheetName val="EWAb"/>
      <sheetName val="EW Ms"/>
      <sheetName val="WMAb"/>
      <sheetName val="WMMs"/>
      <sheetName val="bt abs"/>
      <sheetName val="BTMs"/>
      <sheetName val="Median AB"/>
      <sheetName val="Median MS"/>
      <sheetName val="FURAb"/>
      <sheetName val="FURMs"/>
      <sheetName val="TRUCK Ab "/>
      <sheetName val="TRUCK Ms "/>
      <sheetName val="BUS Ab "/>
      <sheetName val="BUS Ms  "/>
      <sheetName val="JUN Ab "/>
      <sheetName val="JUN Ms "/>
      <sheetName val="Drain Abs"/>
      <sheetName val="Drain Ms"/>
      <sheetName val="UtAb"/>
      <sheetName val="UtMs"/>
      <sheetName val="MISC Ab "/>
      <sheetName val="MISC Ms "/>
      <sheetName val="CITY P Ab "/>
      <sheetName val="CITY P Ms "/>
      <sheetName val="8-lane toll plaza-A "/>
      <sheetName val="Toll Plaza RD"/>
      <sheetName val="8-lane toll plaza-M"/>
      <sheetName val="5+359 (4 lane)"/>
      <sheetName val="7+777 - NO BED"/>
      <sheetName val="8+550-MAJOR (2)"/>
      <sheetName val="43+301-Major-Open"/>
      <sheetName val="2 Working"/>
      <sheetName val="A.Q. - BOX &amp; PIPE"/>
      <sheetName val="C.S.A. - BOX &amp; PIPE"/>
      <sheetName val="SpreadSheet - Pipe"/>
      <sheetName val="2row-1.2m-18.0 m"/>
      <sheetName val="2row-1.2m-29.0 m"/>
      <sheetName val="1 row-1.2m-27.0 m"/>
      <sheetName val="1 X 6 X 4.5 - 14.0m"/>
      <sheetName val="1X5X3 WOE-14.0m"/>
      <sheetName val="1X2X2 WOE-14.0"/>
      <sheetName val="1+256"/>
      <sheetName val="4+365"/>
      <sheetName val="4+997 "/>
      <sheetName val="5+268"/>
      <sheetName val="5+370"/>
      <sheetName val="5+640"/>
      <sheetName val="6+518- MS"/>
      <sheetName val="7+510 "/>
      <sheetName val="10+510 "/>
      <sheetName val="11+065"/>
      <sheetName val="13+315"/>
      <sheetName val="18+200"/>
      <sheetName val="11+260"/>
      <sheetName val="18+420"/>
      <sheetName val="18+672"/>
      <sheetName val="21+375"/>
      <sheetName val="21+803"/>
      <sheetName val="22+408"/>
      <sheetName val="23+256"/>
      <sheetName val="23+680"/>
      <sheetName val="25+487"/>
      <sheetName val="25+780"/>
      <sheetName val="27+720"/>
      <sheetName val="27+870"/>
      <sheetName val="29+085"/>
      <sheetName val="32+365 - MS"/>
      <sheetName val="33+436"/>
      <sheetName val="37+185"/>
      <sheetName val="37+350"/>
      <sheetName val="41+150"/>
      <sheetName val="41+980 "/>
      <sheetName val="45+950 - 1x25.0m"/>
      <sheetName val="45+950 - 2x12.0m"/>
      <sheetName val="46+478"/>
      <sheetName val="49+390"/>
      <sheetName val="52+125"/>
      <sheetName val="As per Site(Rs.145)"/>
      <sheetName val="Mat.backup"/>
      <sheetName val="ABST."/>
      <sheetName val="ABST for PL&amp; BW"/>
      <sheetName val="Brick work &amp; Plasetring"/>
      <sheetName val="brick work ,plastering"/>
      <sheetName val="as on date plastering,brick wor"/>
      <sheetName val="Agency Billing Abstaract"/>
      <sheetName val="Agency Bill Jan'12"/>
      <sheetName val="Agency Billing Feb-2012"/>
      <sheetName val="agency  billing mar-2012"/>
      <sheetName val="Agency billing April-2012"/>
      <sheetName val="actual stock Physical 8.05.2012"/>
      <sheetName val="Elect.Bill (2)"/>
      <sheetName val="Civil-Bill"/>
      <sheetName val="Escacallatio up to May-2012"/>
      <sheetName val="Center Rear Wing"/>
      <sheetName val="South Wing"/>
      <sheetName val="Center wing"/>
      <sheetName val="North Wing"/>
      <sheetName val="Absract (2)"/>
      <sheetName val="bID rESULT"/>
      <sheetName val="SUM-BOQ"/>
      <sheetName val="BOQ_CHK_DA"/>
      <sheetName val="REV-EST"/>
      <sheetName val="EST-SER"/>
      <sheetName val="RA-MKT-REV"/>
      <sheetName val="RA-CPWD"/>
      <sheetName val="RA-CPWD-REV"/>
      <sheetName val="Meas.-FIN"/>
      <sheetName val="Meas.-STRUCT"/>
      <sheetName val="PILING-11.12.07"/>
      <sheetName val="SUB-STRUCT-11.12.07"/>
      <sheetName val="SUPER-STRUCT-11.12.07"/>
      <sheetName val="Builtup Area"/>
      <sheetName val="BP-PRINT"/>
      <sheetName val="OV BACK UP"/>
      <sheetName val="SUB CON"/>
      <sheetName val="Coarse Agg."/>
      <sheetName val="SUMMAY PRINT"/>
      <sheetName val="comparision statement "/>
      <sheetName val="QUOTE PRINT"/>
      <sheetName val="cal add common cost"/>
      <sheetName val="add com"/>
      <sheetName val="oh cal print"/>
      <sheetName val="over head print"/>
      <sheetName val="gun print"/>
      <sheetName val="PCA FORMAT"/>
      <sheetName val="Quote Summary "/>
      <sheetName val="Calculation Addtional comm. cos"/>
      <sheetName val="Guarantee Sheet"/>
      <sheetName val="PT Work"/>
      <sheetName val="water proofing"/>
      <sheetName val="shutteirng"/>
      <sheetName val="brick work"/>
      <sheetName val="plastering work"/>
      <sheetName val="Piling work"/>
      <sheetName val="Concrete work"/>
      <sheetName val="Flooring work"/>
      <sheetName val="GRC "/>
      <sheetName val="ambaji marble"/>
      <sheetName val="sloped roof"/>
      <sheetName val="Skylight"/>
      <sheetName val="carriaga of materials"/>
      <sheetName val="comparative "/>
      <sheetName val="Materials Part"/>
      <sheetName val="final at BRO"/>
      <sheetName val="BOQ (Rev.)"/>
      <sheetName val="Excavation of vid"/>
      <sheetName val="Close timbering"/>
      <sheetName val="Available earth"/>
      <sheetName val="Fine sand"/>
      <sheetName val="1.2 Exv up to 10 Sqm"/>
      <sheetName val="2.1.1PCC"/>
      <sheetName val="1.10.1 Disposal"/>
      <sheetName val="2.1.2"/>
      <sheetName val="2.2"/>
      <sheetName val="2.3"/>
      <sheetName val="2.4"/>
      <sheetName val="2.5.1"/>
      <sheetName val="2.5.2"/>
      <sheetName val="2.6(plum)"/>
      <sheetName val="4.5"/>
      <sheetName val="Steel Analysis"/>
      <sheetName val="CIVIL BOQ KGA"/>
      <sheetName val="Civil Abstract"/>
      <sheetName val="CIVIL BOQ  IVR"/>
      <sheetName val="carriage of material"/>
      <sheetName val="for TO"/>
      <sheetName val="Abstract -1"/>
      <sheetName val="Labour Expendutere"/>
      <sheetName val="PCA"/>
      <sheetName val="Main summery"/>
      <sheetName val="materiala"/>
      <sheetName val="aug"/>
      <sheetName val="LATEST Final BOQ"/>
      <sheetName val="CABLE SCHEDULE"/>
      <sheetName val="5.2"/>
      <sheetName val="Design of two-way slab"/>
      <sheetName val="A.B.SITE LEVELING"/>
      <sheetName val="D.E.SITE LEVELING"/>
      <sheetName val="Road ABS"/>
      <sheetName val="Road DE"/>
      <sheetName val="A.B. DRAINS"/>
      <sheetName val="D.E.DRAINS"/>
      <sheetName val="A.B.CULVERTS"/>
      <sheetName val="D.E.CUL"/>
      <sheetName val="A.B.EFF"/>
      <sheetName val="D.E.EFF"/>
      <sheetName val="ELSR-ABST"/>
      <sheetName val="A.B GLSR"/>
      <sheetName val="D.E. GLSR"/>
      <sheetName val="A.B. W.S"/>
      <sheetName val="D.E.W.S"/>
      <sheetName val="STP"/>
      <sheetName val="A.B.STP"/>
      <sheetName val="D.E.STP "/>
      <sheetName val="Electrification Line Estimate"/>
      <sheetName val="A.B.ELE"/>
      <sheetName val="A.B.-Pump"/>
      <sheetName val="D.E.-Pump"/>
      <sheetName val="D.E. ELE"/>
      <sheetName val="AB-KERB"/>
      <sheetName val="DE-KERB"/>
      <sheetName val="_LEAD CIVIL"/>
      <sheetName val="DATA-SITE LEVEL"/>
      <sheetName val="DATA-Road"/>
      <sheetName val="DATA-Culvet"/>
      <sheetName val="DATA-SWG"/>
      <sheetName val="DATA-GLSR"/>
      <sheetName val="DATA-W.S"/>
      <sheetName val="DI K7 Data"/>
      <sheetName val="DATA-Pump"/>
      <sheetName val="DATA-KERB"/>
      <sheetName val="Cost_any"/>
      <sheetName val="PART-I (2)"/>
      <sheetName val="ANALY-BOQ"/>
      <sheetName val="ANALYS-LS"/>
      <sheetName val="PART-I"/>
      <sheetName val="I-11"/>
      <sheetName val="I-15"/>
      <sheetName val="sumps"/>
      <sheetName val="GATES(21,22)"/>
      <sheetName val="DetAbsAbs"/>
      <sheetName val="ABSTRACT PROTECTION "/>
      <sheetName val="Abstract culvert"/>
      <sheetName val="Seigniorage road "/>
      <sheetName val="Gen Ab"/>
      <sheetName val="cover 1"/>
      <sheetName val="Seigniorage Culverts"/>
      <sheetName val="Culvert ABST"/>
      <sheetName val="Culvert ABS 3v "/>
      <sheetName val="1vent "/>
      <sheetName val="1 v Draw"/>
      <sheetName val="2 v Det"/>
      <sheetName val="2 v Draw"/>
      <sheetName val="Protection wall 1"/>
      <sheetName val="Protection wall 2"/>
      <sheetName val="3V Det"/>
      <sheetName val="3v Draw"/>
      <sheetName val="cross section "/>
      <sheetName val="est-18-19"/>
      <sheetName val="break up-18-19"/>
      <sheetName val="report-18-19"/>
      <sheetName val="DATA-18-19"/>
      <sheetName val="abst6FF"/>
      <sheetName val="4,5"/>
      <sheetName val="6.1"/>
      <sheetName val="rate anal"/>
      <sheetName val="K &amp; L"/>
      <sheetName val="Comp. sheeting"/>
      <sheetName val="Analysis for sheeting"/>
      <sheetName val="CCCl Offer (Annexure)"/>
      <sheetName val="Bulk Materials"/>
      <sheetName val="Boq (Main Building)"/>
      <sheetName val="Qty VA"/>
      <sheetName val="Standard"/>
      <sheetName val="2V800"/>
      <sheetName val="Det Slab1v-2M"/>
      <sheetName val="Slab det1v-3m"/>
      <sheetName val="det_drains"/>
      <sheetName val="Spn-2"/>
      <sheetName val="G Abs"/>
      <sheetName val="MRoad data (2)"/>
      <sheetName val="D.E"/>
      <sheetName val="A.E"/>
      <sheetName val=" Est   (2)"/>
      <sheetName val="RE wall Aest"/>
      <sheetName val="RE wall Dest"/>
      <sheetName val="1v2m span Dest"/>
      <sheetName val="1v2mspan Aest"/>
      <sheetName val="PC D &amp; Ast"/>
      <sheetName val="ABST.EST."/>
      <sheetName val="DET EST."/>
      <sheetName val="RSI"/>
      <sheetName val="Statement of lead"/>
      <sheetName val="1Row 1000 mm dia pipe-12 Nos"/>
      <sheetName val="1 R 800 mm dia pipe-2 N0s"/>
      <sheetName val="Seign qty"/>
      <sheetName val="Drain est."/>
      <sheetName val="strip plan.road renual chart"/>
      <sheetName val="KR road Crust"/>
      <sheetName val="RT wall Abst.est."/>
      <sheetName val="RT.Wall Det. est."/>
      <sheetName val="RT wall Drg"/>
      <sheetName val="Box culvt2x3"/>
      <sheetName val="Box culvt.2x2-4  Nos"/>
      <sheetName val="1 R of 800 mm dia pipe Drg."/>
      <sheetName val="1 R of 1000 mm dia Pipe Drg."/>
      <sheetName val="LS-1"/>
      <sheetName val="NT road Crust Design-REV"/>
      <sheetName val="Slab culvert 6.00M det"/>
      <sheetName val="Slab culvert 5.00M span  det "/>
      <sheetName val="Slab culvert Abs 6 .00"/>
      <sheetName val="Slab culvert 5.00M span abs "/>
      <sheetName val="Road AE"/>
      <sheetName val="Filling ABSTRACT"/>
      <sheetName val="NT road Crust Design (2)"/>
      <sheetName val="NT road Crust Design"/>
      <sheetName val="Drains detail"/>
      <sheetName val="draind abs"/>
      <sheetName val="Datas for KM &amp; HM etc."/>
      <sheetName val="Pipe culverts 600dia"/>
      <sheetName val="pipe culverts 1000 dia"/>
      <sheetName val="Leads NT"/>
      <sheetName val="Slab culvert abstract(3.00M) "/>
      <sheetName val="slab culvrt detail estimate(3.0"/>
      <sheetName val="Slab culvert 2.00M span absl"/>
      <sheetName val="Slab culvert 2.00M span  det"/>
      <sheetName val="BT rate"/>
      <sheetName val="T.memo"/>
      <sheetName val="CD Data (Morth)"/>
      <sheetName val="Rd Det Est"/>
      <sheetName val="Rd abs Est"/>
      <sheetName val="HP Det est"/>
      <sheetName val="HP Abs Est"/>
      <sheetName val="Index (2)"/>
      <sheetName val="Annex-B"/>
      <sheetName val="SPE-REP"/>
      <sheetName val="Ann_IIA_m"/>
      <sheetName val="EXE-SUMRY"/>
      <sheetName val="com_sta"/>
      <sheetName val="lab_mac"/>
      <sheetName val="FA_CD_LINE"/>
      <sheetName val="A_R_lINE"/>
      <sheetName val="AN_B_SUP"/>
      <sheetName val="Pr_1"/>
      <sheetName val="A1"/>
      <sheetName val="A2"/>
      <sheetName val="A4"/>
      <sheetName val="A5"/>
      <sheetName val="A6"/>
      <sheetName val="A7"/>
      <sheetName val="CBR (2)"/>
      <sheetName val="Exe sum"/>
      <sheetName val="3R800"/>
      <sheetName val="4R 800"/>
      <sheetName val="1R 800"/>
      <sheetName val="m lead"/>
      <sheetName val="xls"/>
      <sheetName val="leads s "/>
      <sheetName val="Report  (2)"/>
      <sheetName val="Divider Drawing"/>
      <sheetName val="Spe. report"/>
      <sheetName val="Abs est-Road"/>
      <sheetName val="FINAL DATA"/>
      <sheetName val="Det est Road"/>
      <sheetName val="CD Estimate  new"/>
      <sheetName val="Culvert Drawing"/>
      <sheetName val="Road-Saftey- Abs"/>
      <sheetName val="Strip "/>
      <sheetName val="Seigniorage"/>
      <sheetName val="drw"/>
      <sheetName val="cul.drw"/>
      <sheetName val="cul.drw2"/>
      <sheetName val="CD-ABS 23.8(6V of 6M)"/>
      <sheetName val="DetAbsAbs-CD"/>
      <sheetName val="1000-1R-Dra"/>
      <sheetName val="1000-2R-Dra "/>
      <sheetName val="1000-4R-Dra"/>
      <sheetName val="1V of 5.0M span"/>
      <sheetName val="6V of 6m span Sectiom"/>
      <sheetName val="Ty.sec(1)"/>
      <sheetName val="Ty.sec (2)"/>
      <sheetName val="Ty.sec (3)"/>
      <sheetName val="m'lead"/>
      <sheetName val="Covering letter"/>
      <sheetName val="W.slip"/>
      <sheetName val="Query"/>
      <sheetName val="QryMap"/>
      <sheetName val="bridge_GENERAL ABTRACT (2)"/>
      <sheetName val="Det&amp;Abs_latest"/>
      <sheetName val="Cov (2)"/>
      <sheetName val="TS memo (2)"/>
      <sheetName val="report (3)"/>
      <sheetName val="report (2)"/>
      <sheetName val="road_Gen Abs (2)"/>
      <sheetName val="bridge_GENERAL ABTRACT"/>
      <sheetName val="Det&amp;Abs (2)"/>
      <sheetName val="Det&amp;Abs"/>
      <sheetName val="patchwork_data_H_T_ROAD (2)"/>
      <sheetName val="Cdworks_DATAS_madhu"/>
      <sheetName val="patchwork_data_H_T_ROAD"/>
      <sheetName val="road_Gen Abs"/>
      <sheetName val="bridge_MEST "/>
      <sheetName val="MWALads"/>
      <sheetName val="leads (3)"/>
      <sheetName val="leads (4)"/>
      <sheetName val="leads (5)"/>
      <sheetName val="TS 8"/>
      <sheetName val="TS UY 1st reach"/>
      <sheetName val="TS UY 1st reach (2)"/>
      <sheetName val="TS 9"/>
      <sheetName val="TS 10"/>
      <sheetName val="TS 11"/>
      <sheetName val="TS 12"/>
      <sheetName val="TS 13"/>
      <sheetName val="TS 14"/>
      <sheetName val="TS 15"/>
      <sheetName val="TS 16"/>
      <sheetName val="TS 17"/>
      <sheetName val="Line_Abstract"/>
      <sheetName val="mmlead"/>
      <sheetName val="Gen . Ab"/>
      <sheetName val="Det-Est"/>
      <sheetName val="Bridge 1V8.0"/>
      <sheetName val="plan 1 V 8.0"/>
      <sheetName val="Quary -2 (2)"/>
      <sheetName val="Cert."/>
      <sheetName val="Quary -2"/>
      <sheetName val="plan "/>
      <sheetName val="1V 5.0 m"/>
      <sheetName val="nabad data"/>
      <sheetName val="DAE pipe"/>
      <sheetName val="Det-cum-Abstract"/>
      <sheetName val="C.C Data"/>
      <sheetName val="Det msmts"/>
      <sheetName val="GA (2)"/>
      <sheetName val="PRE POLISHED DOOR DATAS"/>
      <sheetName val="AAC Adhesive Rate"/>
      <sheetName val="Design mix "/>
      <sheetName val="bricks"/>
      <sheetName val="Reserve"/>
      <sheetName val="Auto_Crt"/>
      <sheetName val="Btext"/>
      <sheetName val="items (2)"/>
      <sheetName val="brick"/>
      <sheetName val="earth"/>
      <sheetName val="160KL24M Stg WDRV GST"/>
      <sheetName val="16KL Comp"/>
      <sheetName val="cag-meil"/>
      <sheetName val="nh-cage"/>
      <sheetName val="POL Steel"/>
      <sheetName val="Gen Abs New"/>
      <sheetName val="DI Wall Thickness"/>
      <sheetName val="Gravity Main-BODHAN"/>
      <sheetName val="mas_hab"/>
      <sheetName val="CPHEEO_Change"/>
      <sheetName val="Eco_dia_bhopal"/>
      <sheetName val="IWWA"/>
      <sheetName val="economical_auto"/>
      <sheetName val="economical_OFF_manual"/>
      <sheetName val="Design_sump"/>
      <sheetName val="Part-II_Buildings"/>
      <sheetName val="CI_Sluice-HDPE"/>
      <sheetName val="800kl-final-est"/>
      <sheetName val="Sump data"/>
      <sheetName val="SSR12-13"/>
      <sheetName val="Lead Statement "/>
      <sheetName val="soil characteristics"/>
      <sheetName val="650kl-final-est"/>
      <sheetName val="660kl-final-est"/>
      <sheetName val="650kL-design-final"/>
      <sheetName val="Comparative stmt"/>
      <sheetName val="Specification "/>
      <sheetName val="E-Table"/>
      <sheetName val="hdpe-int-Dia"/>
      <sheetName val="pvc-int-Dia"/>
      <sheetName val="final-kannaraopet-bore"/>
      <sheetName val="pump-selection"/>
      <sheetName val="PVC P MAIN"/>
      <sheetName val="PUMPING DESIGN"/>
      <sheetName val="HDPE P MAIN"/>
      <sheetName val="60-KL-ohsr-9.75M "/>
      <sheetName val="20-KL-ohsr-6.0M "/>
      <sheetName val="40-KL-ohsr-9.55M  "/>
      <sheetName val="20-KL-ohsr-9.0M "/>
      <sheetName val="MAP 2"/>
      <sheetName val="SEGMENTS"/>
      <sheetName val="habs-list-POP"/>
      <sheetName val="BR PALEM-hyd-original"/>
      <sheetName val="duty"/>
      <sheetName val="LWL"/>
      <sheetName val="MWL"/>
      <sheetName val="PIPES"/>
      <sheetName val="print-hyd B.R.Palem"/>
      <sheetName val="PIPES-COV"/>
      <sheetName val="print-hyd B.R.Palem-COV"/>
      <sheetName val="Annex-7"/>
      <sheetName val="executive-summary"/>
      <sheetName val="HP det (3)"/>
      <sheetName val="HP det (2)"/>
      <sheetName val="HP det 1"/>
      <sheetName val=" data"/>
      <sheetName val="SSR-06-07"/>
      <sheetName val="Line"/>
      <sheetName val="Material_Rates"/>
      <sheetName val="Gen abs est"/>
      <sheetName val="civ data-SSR"/>
      <sheetName val="civ Lead chart"/>
      <sheetName val="civ data"/>
      <sheetName val="abstract-tictac"/>
      <sheetName val="Detailed est-TAC&amp;TIC"/>
      <sheetName val="Det est -Toilet"/>
      <sheetName val="Detailed signage"/>
      <sheetName val="sig-abs"/>
      <sheetName val="civ RH"/>
      <sheetName val="Civ-RH-abs "/>
      <sheetName val="CIV DWB"/>
      <sheetName val="Civ-Dwb-abs "/>
      <sheetName val="ext-civ-koneru"/>
      <sheetName val="ext-civ-temple"/>
      <sheetName val="ext-civ-tactic"/>
      <sheetName val="ext-civ-mh"/>
      <sheetName val="ext-abs"/>
      <sheetName val="ele abs"/>
      <sheetName val="PHE data SSR"/>
      <sheetName val="PHE data"/>
      <sheetName val="PHE abs"/>
      <sheetName val="Dt-Est-SF"/>
      <sheetName val="Dt-Est-FF"/>
      <sheetName val="G.Ab"/>
      <sheetName val="Ab-Est-GF"/>
      <sheetName val="Dt-Est-GF"/>
      <sheetName val="Centering-1"/>
      <sheetName val="Centering-2"/>
      <sheetName val="hire - R&amp;B"/>
      <sheetName val="UPVc"/>
      <sheetName val="Hydruli stmnt "/>
      <sheetName val="ms 10 mm"/>
      <sheetName val="ms 8 mm"/>
      <sheetName val="ms 6 mm"/>
      <sheetName val="epm-tsb"/>
      <sheetName val="id_whmr"/>
      <sheetName val="airvalve-AC-BWSC-GRP-MS-PSC"/>
      <sheetName val="Sluice AC GRP BWSP MS"/>
      <sheetName val="NRV-DI "/>
      <sheetName val="sluice-PVC (25%)"/>
      <sheetName val="sluice-HDPE (25%)"/>
      <sheetName val="RdKJIHGFEDCBA86420Z"/>
      <sheetName val="yAgfedcba"/>
      <sheetName val="Ct0ZYXWVUT"/>
      <sheetName val="B0ba97531z"/>
      <sheetName val="PH Sor"/>
      <sheetName val="Spn"/>
      <sheetName val="SPECIFIC. GP (2)"/>
      <sheetName val="yadadrimodel"/>
      <sheetName val="Ykunta"/>
      <sheetName val="Anobose "/>
      <sheetName val="Harith.filter"/>
      <sheetName val="Plants "/>
      <sheetName val="AVENUE."/>
      <sheetName val="Tall Plants "/>
      <sheetName val="Harith. Labour "/>
      <sheetName val="Haritha Haram . Palnts "/>
      <sheetName val="haritha.me.pln"/>
      <sheetName val="Plast.Tree.7"/>
      <sheetName val="quatation "/>
      <sheetName val="Compa.tank"/>
      <sheetName val="cmpara"/>
      <sheetName val="spc_Line"/>
      <sheetName val="st_est"/>
      <sheetName val="ygt 16"/>
      <sheetName val="CC16 hudco aler"/>
      <sheetName val="bram 17 hudco"/>
      <sheetName val="CC16 HUDCO atm sat"/>
      <sheetName val="thukrapaly cc17 hud"/>
      <sheetName val="ygt hudco 17"/>
      <sheetName val="15 GUND 23012020"/>
      <sheetName val="CC atm15"/>
      <sheetName val="CC alair15"/>
      <sheetName val="cc 12 brm"/>
      <sheetName val="tply cc 13"/>
      <sheetName val="pply 16"/>
      <sheetName val="vlg 17"/>
      <sheetName val="BNGR CC 17"/>
      <sheetName val="rajapet cc 17"/>
      <sheetName val="CC17 RAJA"/>
      <sheetName val="restortion"/>
      <sheetName val="valves (2f)"/>
      <sheetName val="laying (p)"/>
      <sheetName val="hsc details"/>
      <sheetName val="pipeline"/>
      <sheetName val="SC ST pROF -p (2)40km"/>
      <sheetName val="Proforma -I"/>
      <sheetName val="Proforma -II "/>
      <sheetName val="Abs Cr"/>
      <sheetName val="Abs Comb"/>
      <sheetName val="Mahesh"/>
      <sheetName val="Rajitha _proI"/>
      <sheetName val="R-Abs"/>
      <sheetName val="SC ST pROF -p"/>
      <sheetName val="SC ST pROF -p 35km"/>
      <sheetName val="Rough proforma"/>
      <sheetName val="R D1"/>
      <sheetName val="R D2"/>
      <sheetName val="R D3"/>
      <sheetName val="R D4"/>
      <sheetName val="R D5"/>
      <sheetName val="R D6"/>
      <sheetName val="R D7"/>
      <sheetName val="R D8"/>
      <sheetName val="R D9"/>
      <sheetName val="LEAD CH "/>
      <sheetName val="CD1"/>
      <sheetName val="CD2"/>
      <sheetName val="CD3"/>
      <sheetName val="CD4"/>
      <sheetName val="CD5"/>
      <sheetName val="CD6"/>
      <sheetName val="CD8"/>
      <sheetName val="CD7"/>
      <sheetName val="pc1 (2 vents)"/>
      <sheetName val="2V-6M (4)"/>
      <sheetName val="2V-6M"/>
      <sheetName val="pc1 "/>
      <sheetName val="3V-5M  (3)"/>
      <sheetName val="3V-5M "/>
      <sheetName val="pc2  "/>
      <sheetName val="pc2 (2 vents)"/>
      <sheetName val="pc4"/>
      <sheetName val="pc7"/>
      <sheetName val="Acheivements"/>
      <sheetName val="Cover page of Nabard "/>
      <sheetName val="Capital Head "/>
      <sheetName val="ABST XX+XXI"/>
      <sheetName val="NABARD WORKS status (2)"/>
      <sheetName val="ABST XX dist (2)"/>
      <sheetName val="progress XXI (3)"/>
      <sheetName val="Mahboobnagar ABST"/>
      <sheetName val="Mahboobnagar XX ABST"/>
      <sheetName val="Mahboobnagar XXI ABST"/>
      <sheetName val="Mahbubnagar XXI Total Works"/>
      <sheetName val="Mahbubnagar XX Total Works"/>
      <sheetName val="Mahbubnagar review"/>
      <sheetName val="ABST XX +XXI  (2)"/>
      <sheetName val="Cover page of Nabard  (2)"/>
      <sheetName val="ns abS"/>
      <sheetName val="PAO Token numbers"/>
      <sheetName val="PAO Token numbers proforma"/>
      <sheetName val="ABST XX +XXI "/>
      <sheetName val="ABST XX+XXI Dist WISE "/>
      <sheetName val="ABST XXI Dist "/>
      <sheetName val="ABST XX dist"/>
      <sheetName val="progress for FY XX"/>
      <sheetName val="progress for FY XXI"/>
      <sheetName val="Total Works"/>
      <sheetName val="progress and Comp XXI"/>
      <sheetName val="progress and Comp XX"/>
      <sheetName val="NS WORKS (12)"/>
      <sheetName val="Physical &amp; Fina- 05.12.21"/>
      <sheetName val="NS works(other than RAS)"/>
      <sheetName val="Status of Works NABARD Jan22"/>
      <sheetName val="PCR NABARD Jan22"/>
      <sheetName val="PCRs sent of Progress Works"/>
      <sheetName val="PCRs Pending NB 29.12.21"/>
      <sheetName val="PCRs Pending XX"/>
      <sheetName val="PCRs Pending XXI"/>
      <sheetName val="NS-RAS works"/>
      <sheetName val="NABARD All Projects30.07.21"/>
      <sheetName val="to be deleted works "/>
      <sheetName val="deleted works"/>
      <sheetName val="Checkdam Details"/>
      <sheetName val="135BCCD"/>
      <sheetName val="progress works XX"/>
      <sheetName val="progress works (2)"/>
      <sheetName val="progress works XXI"/>
      <sheetName val="Old Works"/>
      <sheetName val="NS"/>
      <sheetName val="XXI "/>
      <sheetName val="Progress works -83"/>
      <sheetName val="Progress List"/>
      <sheetName val="Zero Exp"/>
      <sheetName val="KNR pr"/>
      <sheetName val="ADB Prog"/>
      <sheetName val="OLD NB 4 works"/>
      <sheetName val="10-Not started works"/>
      <sheetName val="11-Dropped works"/>
      <sheetName val="402 bridge works"/>
      <sheetName val="General NB Abst"/>
      <sheetName val="XXI-Checkdam"/>
      <sheetName val="XX-Checkdam"/>
      <sheetName val="total checkdams"/>
      <sheetName val="NABARD WORKS status"/>
      <sheetName val="Value of further payments"/>
      <sheetName val="year"/>
      <sheetName val="Checkdam Abs"/>
      <sheetName val="progress XXI (2)"/>
      <sheetName val="D.System"/>
      <sheetName val="P.Main"/>
      <sheetName val="BW "/>
      <sheetName val="Pset (2)"/>
      <sheetName val="Pset "/>
      <sheetName val="1HP(nw) (2)"/>
      <sheetName val="HDPEData"/>
      <sheetName val="Psets"/>
      <sheetName val="GI spl (2)"/>
      <sheetName val="CI Spl for 60Kl"/>
      <sheetName val="Bfly-HDPE"/>
      <sheetName val="GI spl"/>
      <sheetName val="PS_data with Vat"/>
      <sheetName val="Abstrac"/>
      <sheetName val="LeadSt"/>
      <sheetName val="pvcRates"/>
      <sheetName val="estimat"/>
      <sheetName val="Cover page "/>
      <sheetName val="speci-Rep"/>
      <sheetName val="seig charges"/>
      <sheetName val="Running Ac Bill"/>
      <sheetName val="CC form"/>
      <sheetName val="Hand Recipt"/>
      <sheetName val="wEstimate"/>
      <sheetName val="Compari St"/>
      <sheetName val="Comple Re"/>
      <sheetName val="ValveChamber -OHSR-legal"/>
      <sheetName val="PumpHouse1.50X1.20"/>
      <sheetName val="PumpHouse1.05X0.75"/>
      <sheetName val="PumpHouse 0.90X0.90"/>
      <sheetName val="PumpHouse1.20X0.90"/>
      <sheetName val="ValveChamber_16-09"/>
      <sheetName val="RCC-Pipes-4600-34500"/>
      <sheetName val="Gen.Abstr"/>
      <sheetName val="Abstract _CD"/>
      <sheetName val="Detailed (3)"/>
      <sheetName val="600mm dia Pipe (3)"/>
      <sheetName val="Road Infrastructure"/>
      <sheetName val="RMR CHART"/>
      <sheetName val="DATA-CD  (2)"/>
      <sheetName val="3 Day Traffic Summary"/>
      <sheetName val="CC Drain (4)"/>
      <sheetName val="900mm dia Pipe"/>
      <sheetName val="2Mtr_1vSpan (5)"/>
      <sheetName val="6Mtr_1vSpan (6)"/>
      <sheetName val="Road dam-1"/>
      <sheetName val="Retaing Wall"/>
      <sheetName val="Safety wall"/>
      <sheetName val="1Mtr_1vSpan (4)"/>
      <sheetName val="900mm dia Pipe (5)"/>
      <sheetName val="900mm dia Pipe (4)"/>
      <sheetName val="3Mtr_2vSpan (3)"/>
      <sheetName val="900mm dia Pipe (2)"/>
      <sheetName val="3Mtr_2vSpan (2)"/>
      <sheetName val="2Mtr_1vSpan"/>
      <sheetName val="3Mtr_2vSpan"/>
      <sheetName val="3Mtr_1vSpan (2)"/>
      <sheetName val="1Mtr_1vSpan"/>
      <sheetName val="3Mtr_1vSpan "/>
      <sheetName val="prection wall"/>
      <sheetName val="RETAINING"/>
      <sheetName val="Taps"/>
      <sheetName val="COVER PAGE (2)"/>
      <sheetName val="Total  Estimate"/>
      <sheetName val="Estimate for RH"/>
      <sheetName val="Estimate for Arch"/>
      <sheetName val="Estimate for Signage"/>
      <sheetName val="Estimate for TAC"/>
      <sheetName val="Estimate for TIC"/>
      <sheetName val="Estimate for Auditorium"/>
      <sheetName val="Estimate for Toilet Block 9x5"/>
      <sheetName val="temple &amp; NTR garden"/>
      <sheetName val="Rates (Revised)"/>
      <sheetName val="Rate analysis (Revised)"/>
      <sheetName val="Estimate for Toilet Block 7x4"/>
      <sheetName val="Table's"/>
      <sheetName val="Traffic chapters 1"/>
      <sheetName val="Trafic chapters 2"/>
      <sheetName val="Pavenment Design"/>
      <sheetName val="Design CC Road 150mm"/>
      <sheetName val="Design CC Road 200mm"/>
      <sheetName val="Curve 1"/>
      <sheetName val="Curve 2"/>
      <sheetName val="Curve 3"/>
      <sheetName val="Curve 4"/>
      <sheetName val="Curve 5"/>
      <sheetName val="Curve 6"/>
      <sheetName val="Curve 7"/>
      <sheetName val="Curve8"/>
      <sheetName val="Curve 9"/>
      <sheetName val="Curve 10"/>
      <sheetName val="Curve 11"/>
      <sheetName val="RMR  CHART"/>
      <sheetName val="RW design"/>
      <sheetName val="RW design (2)"/>
      <sheetName val="RW-est"/>
      <sheetName val="Format 5"/>
      <sheetName val="Itemized "/>
      <sheetName val="fur "/>
      <sheetName val="2.0m SC design"/>
      <sheetName val="2.00 SC"/>
      <sheetName val="1000mm design"/>
      <sheetName val="1000 dia-est"/>
      <sheetName val="DWG-Laying of pipe"/>
      <sheetName val="600mm design "/>
      <sheetName val="600 dia"/>
      <sheetName val="Seignorage "/>
      <sheetName val="Transit walk"/>
      <sheetName val="RMR  MAP"/>
      <sheetName val="formatf1"/>
      <sheetName val="f4 (1)"/>
      <sheetName val="f4 (2)"/>
      <sheetName val="Format 4a"/>
      <sheetName val="Annex 7.30"/>
      <sheetName val="Format9B"/>
      <sheetName val="format 9A"/>
      <sheetName val="format7"/>
      <sheetName val="format6"/>
      <sheetName val="LS "/>
      <sheetName val="EEIR"/>
      <sheetName val="SE IR"/>
      <sheetName val="5.00m"/>
      <sheetName val="4.00m"/>
      <sheetName val="3.0m design"/>
      <sheetName val="CC Drains"/>
      <sheetName val="3.00m"/>
      <sheetName val="pipe line rates"/>
      <sheetName val="platform estimate"/>
      <sheetName val="bore well ori estimate"/>
      <sheetName val="pumpset estimate"/>
      <sheetName val="TAP (2)"/>
      <sheetName val="RAFI"/>
      <sheetName val="name "/>
      <sheetName val="KUR"/>
      <sheetName val="Hydralic"/>
      <sheetName val="kumkum"/>
      <sheetName val="edaga"/>
      <sheetName val="gvr-cr"/>
      <sheetName val="gvr-cs"/>
      <sheetName val="iskapalem"/>
      <sheetName val="KAKU"/>
      <sheetName val="KAKUR"/>
      <sheetName val="kak-cr (2)"/>
      <sheetName val="KAKU (2)"/>
      <sheetName val="kak-val"/>
      <sheetName val="kak-cr-2"/>
      <sheetName val="MOLKAL"/>
      <sheetName val="ramanada"/>
      <sheetName val="Panguluri  Spec"/>
      <sheetName val="Panguluri  Spec (2)"/>
      <sheetName val="2rows of 1000mm P"/>
      <sheetName val="1000p"/>
      <sheetName val="Pipe 600"/>
      <sheetName val="casway"/>
      <sheetName val="DATA2"/>
      <sheetName val="P4 total"/>
      <sheetName val="sp report ZPHS"/>
      <sheetName val="mas-lead-0910"/>
      <sheetName val="zphs 7.50"/>
      <sheetName val="DETCUM ABS JNN"/>
      <sheetName val="H-M stone"/>
      <sheetName val="K-M Stone"/>
      <sheetName val="Seigniorage charges"/>
      <sheetName val="ssr common"/>
      <sheetName val="PL"/>
      <sheetName val="master lead"/>
      <sheetName val="conveyance common"/>
      <sheetName val="handling common"/>
      <sheetName val="labour charges 2005-06"/>
      <sheetName val="background data"/>
      <sheetName val="Rotary bore well source"/>
      <sheetName val="ohsr verticals 20 9.55 "/>
      <sheetName val="verticals jointing 20kl 9.55"/>
      <sheetName val="lead 20kl ohsr"/>
      <sheetName val="data 20kl ohsr"/>
      <sheetName val="vc 150mm 20kl ohsr"/>
      <sheetName val="20kl ohsr item wise"/>
      <sheetName val="lpm inlet relation"/>
      <sheetName val="ohsr litre rate estimate"/>
      <sheetName val="ohsr vertical specials data"/>
      <sheetName val="ohsr verticals jointing"/>
      <sheetName val="ohsr litre rate data"/>
      <sheetName val="lead vc ohsr"/>
      <sheetName val="data vc ohsr"/>
      <sheetName val="vc ohsr"/>
      <sheetName val="lead vc pipe line"/>
      <sheetName val="data vc pipe line"/>
      <sheetName val="vc 150 pipe line estimate"/>
      <sheetName val="pvc pipe line data"/>
      <sheetName val="std flange dimensions"/>
      <sheetName val="lead_pipe lines"/>
      <sheetName val="pvc pipes rates dgs d formula"/>
      <sheetName val="pvc pipe details"/>
      <sheetName val="hydraulic designs"/>
      <sheetName val="Filter point"/>
      <sheetName val="pedestal "/>
      <sheetName val="pumpset submersible"/>
      <sheetName val="co"/>
      <sheetName val="common conveyance"/>
      <sheetName val="Hleads"/>
      <sheetName val="Haleads"/>
      <sheetName val="Hableads"/>
      <sheetName val="Hab leads"/>
      <sheetName val="data existing_do not delet"/>
      <sheetName val="data existing_do not dele"/>
      <sheetName val="data existing_do not del"/>
      <sheetName val="data existing_do not de"/>
      <sheetName val="data existing_do not d"/>
      <sheetName val="data existing_do not "/>
      <sheetName val="data existing_do not"/>
      <sheetName val="data existing_do no"/>
      <sheetName val="data existing_do n"/>
      <sheetName val="data existing_do "/>
      <sheetName val="data existing_do"/>
      <sheetName val="data existing_d"/>
      <sheetName val="data existing_"/>
      <sheetName val="data existing"/>
      <sheetName val="data existin"/>
      <sheetName val="data existi"/>
      <sheetName val="data exist"/>
      <sheetName val="data exis"/>
      <sheetName val="data exi"/>
      <sheetName val="data ex"/>
      <sheetName val="data e"/>
      <sheetName val="ata1"/>
      <sheetName val="dat"/>
      <sheetName val="da"/>
      <sheetName val="master lead1"/>
      <sheetName val="master ead1"/>
      <sheetName val="maste Lead1"/>
      <sheetName val="mast Lead1"/>
      <sheetName val="mas Lead1"/>
      <sheetName val="ma Lead1"/>
      <sheetName val="m Lead1"/>
      <sheetName val=" Lead1"/>
      <sheetName val="maste lead"/>
      <sheetName val="mast lead"/>
      <sheetName val="mas lead"/>
      <sheetName val="ma lead"/>
      <sheetName val=" lead"/>
      <sheetName val="cover pag"/>
      <sheetName val="cover pa"/>
      <sheetName val="cover p"/>
      <sheetName val="cove"/>
      <sheetName val="master leadO"/>
      <sheetName val="master lead-O"/>
      <sheetName val="maste Lead-O"/>
      <sheetName val="mast Lead-O"/>
      <sheetName val="mas Lead-O"/>
      <sheetName val="ma Lead-O"/>
      <sheetName val="m Lead-O"/>
      <sheetName val=" Lead-O"/>
      <sheetName val="chall"/>
      <sheetName val="thirm"/>
      <sheetName val="kam"/>
      <sheetName val="IB"/>
      <sheetName val="yell"/>
      <sheetName val="gadkole"/>
      <sheetName val="nallavelly"/>
      <sheetName val="sirnapally"/>
      <sheetName val="donklal"/>
      <sheetName val="C R"/>
      <sheetName val="C C bill"/>
      <sheetName val="C S"/>
      <sheetName val="sein"/>
      <sheetName val="wor est"/>
      <sheetName val="spe foots"/>
      <sheetName val="Lead  Build"/>
      <sheetName val="bldg data"/>
      <sheetName val="mtc est (5)"/>
      <sheetName val="mtc est (4)"/>
      <sheetName val="mtc est (3)"/>
      <sheetName val="mtc est (2)"/>
      <sheetName val="mtc est (1)"/>
      <sheetName val="mtc abst"/>
      <sheetName val="mtc data"/>
      <sheetName val="Retain wall"/>
      <sheetName val="600 dia 2 rows"/>
      <sheetName val="900 mm dia PC 1 Row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ow r="11">
          <cell r="B11" t="str">
            <v>Q.C. Charges @ 0.50%</v>
          </cell>
        </row>
        <row r="12">
          <cell r="B12" t="str">
            <v>NAC @ 0.10%</v>
          </cell>
        </row>
        <row r="13">
          <cell r="B13" t="str">
            <v>Seignarage Charges</v>
          </cell>
        </row>
        <row r="14">
          <cell r="B14" t="str">
            <v>Add DMF @ 30% on Seignarage amount</v>
          </cell>
        </row>
        <row r="15">
          <cell r="B15" t="str">
            <v>Add SMET @2% on Seignarage amount</v>
          </cell>
        </row>
      </sheetData>
      <sheetData sheetId="19">
        <row r="2">
          <cell r="B2" t="str">
            <v>Upgradation of PHC at Bhupalapally 100 bedded Hospital</v>
          </cell>
        </row>
      </sheetData>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ow r="2">
          <cell r="B2" t="str">
            <v>Upgradation of PHC at Bhupalapally 100 bedded Hospital</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ow r="1">
          <cell r="B1" t="str">
            <v>Id</v>
          </cell>
        </row>
      </sheetData>
      <sheetData sheetId="135"/>
      <sheetData sheetId="136" refreshError="1"/>
      <sheetData sheetId="137" refreshError="1"/>
      <sheetData sheetId="138" refreshError="1"/>
      <sheetData sheetId="139">
        <row r="6">
          <cell r="J6">
            <v>336.1</v>
          </cell>
        </row>
      </sheetData>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sheetData sheetId="283"/>
      <sheetData sheetId="284" refreshError="1"/>
      <sheetData sheetId="285" refreshError="1"/>
      <sheetData sheetId="286"/>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refreshError="1"/>
      <sheetData sheetId="511" refreshError="1"/>
      <sheetData sheetId="512" refreshError="1"/>
      <sheetData sheetId="513" refreshError="1"/>
      <sheetData sheetId="514" refreshError="1"/>
      <sheetData sheetId="515" refreshError="1"/>
      <sheetData sheetId="516" refreshError="1"/>
      <sheetData sheetId="517"/>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ow r="1">
          <cell r="B1" t="str">
            <v>Id</v>
          </cell>
        </row>
      </sheetData>
      <sheetData sheetId="636">
        <row r="1">
          <cell r="B1" t="str">
            <v>Id</v>
          </cell>
        </row>
      </sheetData>
      <sheetData sheetId="637">
        <row r="1">
          <cell r="B1" t="str">
            <v>Id</v>
          </cell>
        </row>
      </sheetData>
      <sheetData sheetId="638">
        <row r="1">
          <cell r="B1" t="str">
            <v>Id</v>
          </cell>
        </row>
      </sheetData>
      <sheetData sheetId="639"/>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sheetData sheetId="665"/>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sheetData sheetId="2998" refreshError="1"/>
      <sheetData sheetId="2999" refreshError="1"/>
      <sheetData sheetId="3000" refreshError="1"/>
      <sheetData sheetId="3001"/>
      <sheetData sheetId="3002" refreshError="1"/>
      <sheetData sheetId="3003" refreshError="1"/>
      <sheetData sheetId="3004" refreshError="1"/>
      <sheetData sheetId="3005" refreshError="1"/>
      <sheetData sheetId="3006"/>
      <sheetData sheetId="3007"/>
      <sheetData sheetId="3008"/>
      <sheetData sheetId="3009"/>
      <sheetData sheetId="3010" refreshError="1"/>
      <sheetData sheetId="3011" refreshError="1"/>
      <sheetData sheetId="3012" refreshError="1"/>
      <sheetData sheetId="3013" refreshError="1"/>
      <sheetData sheetId="3014" refreshError="1"/>
      <sheetData sheetId="3015" refreshError="1"/>
      <sheetData sheetId="3016">
        <row r="1">
          <cell r="J1" t="str">
            <v>PROFIT=</v>
          </cell>
        </row>
      </sheetData>
      <sheetData sheetId="3017"/>
      <sheetData sheetId="3018">
        <row r="1">
          <cell r="A1" t="str">
            <v>A S I A K O N S T R U K T</v>
          </cell>
        </row>
      </sheetData>
      <sheetData sheetId="3019"/>
      <sheetData sheetId="3020" refreshError="1"/>
      <sheetData sheetId="3021">
        <row r="1">
          <cell r="A1" t="str">
            <v>MONTHLY PLANNING</v>
          </cell>
        </row>
      </sheetData>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ow r="1">
          <cell r="B1">
            <v>2</v>
          </cell>
        </row>
      </sheetData>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sheetData sheetId="3268" refreshError="1"/>
      <sheetData sheetId="3269" refreshError="1"/>
      <sheetData sheetId="3270" refreshError="1"/>
      <sheetData sheetId="3271" refreshError="1"/>
      <sheetData sheetId="3272" refreshError="1"/>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ow r="1">
          <cell r="B1" t="str">
            <v>2</v>
          </cell>
        </row>
      </sheetData>
      <sheetData sheetId="3308">
        <row r="1">
          <cell r="J1" t="str">
            <v>PROFIT=</v>
          </cell>
        </row>
      </sheetData>
      <sheetData sheetId="3309" refreshError="1"/>
      <sheetData sheetId="3310" refreshError="1"/>
      <sheetData sheetId="3311" refreshError="1"/>
      <sheetData sheetId="3312" refreshError="1"/>
      <sheetData sheetId="3313" refreshError="1"/>
      <sheetData sheetId="3314">
        <row r="1">
          <cell r="A1" t="str">
            <v>MONTHLY PLANNING</v>
          </cell>
        </row>
      </sheetData>
      <sheetData sheetId="3315" refreshError="1"/>
      <sheetData sheetId="3316" refreshError="1"/>
      <sheetData sheetId="3317">
        <row r="1">
          <cell r="A1" t="str">
            <v>MONTHLY PLANNING</v>
          </cell>
        </row>
      </sheetData>
      <sheetData sheetId="3318"/>
      <sheetData sheetId="3319" refreshError="1"/>
      <sheetData sheetId="3320" refreshError="1"/>
      <sheetData sheetId="3321" refreshError="1"/>
      <sheetData sheetId="3322">
        <row r="1">
          <cell r="A1" t="str">
            <v>TECNICAS REUNIDAS, S. A.</v>
          </cell>
        </row>
      </sheetData>
      <sheetData sheetId="3323" refreshError="1"/>
      <sheetData sheetId="3324" refreshError="1"/>
      <sheetData sheetId="3325">
        <row r="1">
          <cell r="E1" t="str">
            <v>TECNICAS REUNIDAS, S.A.</v>
          </cell>
        </row>
      </sheetData>
      <sheetData sheetId="3326" refreshError="1"/>
      <sheetData sheetId="3327" refreshError="1"/>
      <sheetData sheetId="3328">
        <row r="1">
          <cell r="A1" t="str">
            <v>CODE</v>
          </cell>
        </row>
      </sheetData>
      <sheetData sheetId="3329">
        <row r="1">
          <cell r="J1" t="str">
            <v>PROFIT=</v>
          </cell>
        </row>
      </sheetData>
      <sheetData sheetId="3330">
        <row r="1">
          <cell r="A1" t="str">
            <v>CODE</v>
          </cell>
        </row>
      </sheetData>
      <sheetData sheetId="3331">
        <row r="1">
          <cell r="A1" t="str">
            <v>CODE</v>
          </cell>
        </row>
      </sheetData>
      <sheetData sheetId="3332">
        <row r="1">
          <cell r="A1" t="str">
            <v>MONTHLY PLANNING</v>
          </cell>
        </row>
      </sheetData>
      <sheetData sheetId="3333">
        <row r="1">
          <cell r="A1" t="str">
            <v>A S I A K O N S T R U K T</v>
          </cell>
        </row>
      </sheetData>
      <sheetData sheetId="3334">
        <row r="1">
          <cell r="A1" t="str">
            <v>TECNICAS REUNIDAS, S. A.</v>
          </cell>
        </row>
      </sheetData>
      <sheetData sheetId="3335"/>
      <sheetData sheetId="3336">
        <row r="203">
          <cell r="D203" t="str">
            <v>WWW</v>
          </cell>
        </row>
      </sheetData>
      <sheetData sheetId="3337"/>
      <sheetData sheetId="3338"/>
      <sheetData sheetId="3339">
        <row r="203">
          <cell r="D203" t="str">
            <v>WWW</v>
          </cell>
        </row>
      </sheetData>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ow r="1">
          <cell r="A1" t="str">
            <v>TECNICAS REUNIDAS, S. A.</v>
          </cell>
        </row>
      </sheetData>
      <sheetData sheetId="3354">
        <row r="1">
          <cell r="A1" t="str">
            <v>MONTHLY PLANNING</v>
          </cell>
        </row>
      </sheetData>
      <sheetData sheetId="3355"/>
      <sheetData sheetId="3356"/>
      <sheetData sheetId="3357">
        <row r="1">
          <cell r="A1" t="str">
            <v>MONTHLY PLANNING</v>
          </cell>
        </row>
      </sheetData>
      <sheetData sheetId="3358">
        <row r="1">
          <cell r="B1" t="str">
            <v>2</v>
          </cell>
        </row>
      </sheetData>
      <sheetData sheetId="3359">
        <row r="1">
          <cell r="J1" t="str">
            <v>PROFIT=</v>
          </cell>
        </row>
      </sheetData>
      <sheetData sheetId="3360">
        <row r="1">
          <cell r="B1">
            <v>2</v>
          </cell>
        </row>
      </sheetData>
      <sheetData sheetId="3361">
        <row r="1">
          <cell r="B1" t="str">
            <v>2</v>
          </cell>
        </row>
      </sheetData>
      <sheetData sheetId="3362"/>
      <sheetData sheetId="3363" refreshError="1"/>
      <sheetData sheetId="3364" refreshError="1"/>
      <sheetData sheetId="3365" refreshError="1"/>
      <sheetData sheetId="3366" refreshError="1"/>
      <sheetData sheetId="3367" refreshError="1"/>
      <sheetData sheetId="3368" refreshError="1"/>
      <sheetData sheetId="3369" refreshError="1"/>
      <sheetData sheetId="3370"/>
      <sheetData sheetId="3371">
        <row r="1">
          <cell r="J1" t="str">
            <v>PROFIT=</v>
          </cell>
        </row>
      </sheetData>
      <sheetData sheetId="3372">
        <row r="1">
          <cell r="A1" t="str">
            <v>TECNICAS REUNIDAS, S. A.</v>
          </cell>
        </row>
      </sheetData>
      <sheetData sheetId="3373">
        <row r="1">
          <cell r="A1" t="str">
            <v>TECNICAS REUNIDAS, S. A.</v>
          </cell>
        </row>
      </sheetData>
      <sheetData sheetId="3374">
        <row r="511">
          <cell r="A511" t="str">
            <v>Item Rate</v>
          </cell>
        </row>
      </sheetData>
      <sheetData sheetId="3375"/>
      <sheetData sheetId="3376">
        <row r="1">
          <cell r="E1" t="str">
            <v>TECNICAS REUNIDAS, S.A.</v>
          </cell>
        </row>
      </sheetData>
      <sheetData sheetId="3377"/>
      <sheetData sheetId="3378"/>
      <sheetData sheetId="3379">
        <row r="1">
          <cell r="A1" t="str">
            <v>CODE</v>
          </cell>
        </row>
      </sheetData>
      <sheetData sheetId="3380">
        <row r="1">
          <cell r="J1" t="str">
            <v>PROFIT=</v>
          </cell>
        </row>
      </sheetData>
      <sheetData sheetId="3381">
        <row r="2">
          <cell r="A2" t="str">
            <v>A001</v>
          </cell>
        </row>
      </sheetData>
      <sheetData sheetId="3382">
        <row r="1">
          <cell r="A1" t="str">
            <v>CODE</v>
          </cell>
        </row>
      </sheetData>
      <sheetData sheetId="3383">
        <row r="1">
          <cell r="J1" t="str">
            <v>PROFIT=</v>
          </cell>
        </row>
      </sheetData>
      <sheetData sheetId="3384">
        <row r="1">
          <cell r="A1" t="str">
            <v>A S I A K O N S T R U K T</v>
          </cell>
        </row>
      </sheetData>
      <sheetData sheetId="3385" refreshError="1"/>
      <sheetData sheetId="3386"/>
      <sheetData sheetId="3387">
        <row r="1">
          <cell r="A1" t="str">
            <v>A S I A K O N S T R U K T</v>
          </cell>
        </row>
      </sheetData>
      <sheetData sheetId="3388">
        <row r="1">
          <cell r="A1" t="str">
            <v>TECNICAS REUNIDAS, S. A.</v>
          </cell>
        </row>
      </sheetData>
      <sheetData sheetId="3389"/>
      <sheetData sheetId="3390">
        <row r="1">
          <cell r="E1" t="str">
            <v>TECNICAS REUNIDAS, S.A.</v>
          </cell>
        </row>
      </sheetData>
      <sheetData sheetId="3391"/>
      <sheetData sheetId="3392"/>
      <sheetData sheetId="3393">
        <row r="1">
          <cell r="E1" t="str">
            <v>TECNICAS REUNIDAS, S.A.</v>
          </cell>
        </row>
      </sheetData>
      <sheetData sheetId="3394"/>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refreshError="1"/>
      <sheetData sheetId="3419" refreshError="1"/>
      <sheetData sheetId="3420" refreshError="1"/>
      <sheetData sheetId="3421" refreshError="1"/>
      <sheetData sheetId="3422" refreshError="1"/>
      <sheetData sheetId="3423" refreshError="1"/>
      <sheetData sheetId="3424" refreshError="1"/>
      <sheetData sheetId="3425" refreshError="1"/>
      <sheetData sheetId="3426">
        <row r="1">
          <cell r="J1" t="str">
            <v>PROFIT=</v>
          </cell>
        </row>
      </sheetData>
      <sheetData sheetId="3427">
        <row r="1">
          <cell r="A1" t="str">
            <v>TECNICAS REUNIDAS, S. A.</v>
          </cell>
        </row>
      </sheetData>
      <sheetData sheetId="3428">
        <row r="1">
          <cell r="A1" t="str">
            <v>TECNICAS REUNIDAS, S. A.</v>
          </cell>
        </row>
      </sheetData>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row r="1">
          <cell r="B1" t="str">
            <v>CPWS SCHEME TO                                                            DISTRICT</v>
          </cell>
        </row>
      </sheetData>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refreshError="1"/>
      <sheetData sheetId="3622" refreshError="1"/>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refreshError="1"/>
      <sheetData sheetId="3635" refreshError="1"/>
      <sheetData sheetId="3636" refreshError="1"/>
      <sheetData sheetId="3637" refreshError="1"/>
      <sheetData sheetId="3638" refreshError="1"/>
      <sheetData sheetId="3639" refreshError="1"/>
      <sheetData sheetId="3640" refreshError="1"/>
      <sheetData sheetId="3641" refreshError="1"/>
      <sheetData sheetId="3642" refreshError="1"/>
      <sheetData sheetId="3643" refreshError="1"/>
      <sheetData sheetId="3644" refreshError="1"/>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refreshError="1"/>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refreshError="1"/>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refreshError="1"/>
      <sheetData sheetId="4030" refreshError="1"/>
      <sheetData sheetId="4031" refreshError="1"/>
      <sheetData sheetId="4032" refreshError="1"/>
      <sheetData sheetId="4033" refreshError="1"/>
      <sheetData sheetId="4034" refreshError="1"/>
      <sheetData sheetId="4035" refreshError="1"/>
      <sheetData sheetId="4036" refreshError="1"/>
      <sheetData sheetId="4037" refreshError="1"/>
      <sheetData sheetId="4038" refreshError="1"/>
      <sheetData sheetId="4039" refreshError="1"/>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efreshError="1"/>
      <sheetData sheetId="4053" refreshError="1"/>
      <sheetData sheetId="4054" refreshError="1"/>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refreshError="1"/>
      <sheetData sheetId="4120" refreshError="1"/>
      <sheetData sheetId="4121" refreshError="1"/>
      <sheetData sheetId="4122" refreshError="1"/>
      <sheetData sheetId="4123" refreshError="1"/>
      <sheetData sheetId="4124" refreshError="1"/>
      <sheetData sheetId="4125" refreshError="1"/>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ow r="1">
          <cell r="A1">
            <v>1</v>
          </cell>
        </row>
      </sheetData>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efreshError="1"/>
      <sheetData sheetId="4158" refreshError="1"/>
      <sheetData sheetId="4159" refreshError="1"/>
      <sheetData sheetId="4160" refreshError="1"/>
      <sheetData sheetId="4161" refreshError="1"/>
      <sheetData sheetId="4162" refreshError="1"/>
      <sheetData sheetId="4163" refreshError="1"/>
      <sheetData sheetId="4164" refreshError="1"/>
      <sheetData sheetId="4165" refreshError="1"/>
      <sheetData sheetId="4166" refreshError="1"/>
      <sheetData sheetId="4167" refreshError="1"/>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refreshError="1"/>
      <sheetData sheetId="4191" refreshError="1"/>
      <sheetData sheetId="4192" refreshError="1"/>
      <sheetData sheetId="4193" refreshError="1"/>
      <sheetData sheetId="4194" refreshError="1"/>
      <sheetData sheetId="4195" refreshError="1"/>
      <sheetData sheetId="4196" refreshError="1"/>
      <sheetData sheetId="4197" refreshError="1"/>
      <sheetData sheetId="4198" refreshError="1"/>
      <sheetData sheetId="4199" refreshError="1"/>
      <sheetData sheetId="4200" refreshError="1"/>
      <sheetData sheetId="4201" refreshError="1"/>
      <sheetData sheetId="4202" refreshError="1"/>
      <sheetData sheetId="4203" refreshError="1"/>
      <sheetData sheetId="4204" refreshError="1"/>
      <sheetData sheetId="4205" refreshError="1"/>
      <sheetData sheetId="4206" refreshError="1"/>
      <sheetData sheetId="4207" refreshError="1"/>
      <sheetData sheetId="4208" refreshError="1"/>
      <sheetData sheetId="4209" refreshError="1"/>
      <sheetData sheetId="4210" refreshError="1"/>
      <sheetData sheetId="4211" refreshError="1"/>
      <sheetData sheetId="4212" refreshError="1"/>
      <sheetData sheetId="4213" refreshError="1"/>
      <sheetData sheetId="4214" refreshError="1"/>
      <sheetData sheetId="4215" refreshError="1"/>
      <sheetData sheetId="4216" refreshError="1"/>
      <sheetData sheetId="4217" refreshError="1"/>
      <sheetData sheetId="4218" refreshError="1"/>
      <sheetData sheetId="4219" refreshError="1"/>
      <sheetData sheetId="4220" refreshError="1"/>
      <sheetData sheetId="4221" refreshError="1"/>
      <sheetData sheetId="4222" refreshError="1"/>
      <sheetData sheetId="4223" refreshError="1"/>
      <sheetData sheetId="4224" refreshError="1"/>
      <sheetData sheetId="4225" refreshError="1"/>
      <sheetData sheetId="4226" refreshError="1"/>
      <sheetData sheetId="4227" refreshError="1"/>
      <sheetData sheetId="4228" refreshError="1"/>
      <sheetData sheetId="4229" refreshError="1"/>
      <sheetData sheetId="4230" refreshError="1"/>
      <sheetData sheetId="4231" refreshError="1"/>
      <sheetData sheetId="4232" refreshError="1"/>
      <sheetData sheetId="4233" refreshError="1"/>
      <sheetData sheetId="4234" refreshError="1"/>
      <sheetData sheetId="4235" refreshError="1"/>
      <sheetData sheetId="4236" refreshError="1"/>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refreshError="1"/>
      <sheetData sheetId="4250" refreshError="1"/>
      <sheetData sheetId="4251" refreshError="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sheetData sheetId="4297"/>
      <sheetData sheetId="4298"/>
      <sheetData sheetId="4299"/>
      <sheetData sheetId="4300"/>
      <sheetData sheetId="4301">
        <row r="1">
          <cell r="E1" t="str">
            <v>TECNICAS REUNIDAS, S.A.</v>
          </cell>
        </row>
      </sheetData>
      <sheetData sheetId="4302">
        <row r="1">
          <cell r="A1" t="str">
            <v>MONTHLY PLANNING</v>
          </cell>
        </row>
      </sheetData>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refreshError="1"/>
      <sheetData sheetId="4318"/>
      <sheetData sheetId="4319"/>
      <sheetData sheetId="4320"/>
      <sheetData sheetId="4321"/>
      <sheetData sheetId="4322"/>
      <sheetData sheetId="4323"/>
      <sheetData sheetId="4324"/>
      <sheetData sheetId="4325" refreshError="1"/>
      <sheetData sheetId="4326"/>
      <sheetData sheetId="4327">
        <row r="318">
          <cell r="AI318">
            <v>134.91192604608</v>
          </cell>
        </row>
      </sheetData>
      <sheetData sheetId="4328"/>
      <sheetData sheetId="4329"/>
      <sheetData sheetId="4330">
        <row r="318">
          <cell r="AI318">
            <v>134.91192604608</v>
          </cell>
        </row>
      </sheetData>
      <sheetData sheetId="4331" refreshError="1"/>
      <sheetData sheetId="4332" refreshError="1"/>
      <sheetData sheetId="4333" refreshError="1"/>
      <sheetData sheetId="4334" refreshError="1"/>
      <sheetData sheetId="4335" refreshError="1"/>
      <sheetData sheetId="4336" refreshError="1"/>
      <sheetData sheetId="4337" refreshError="1"/>
      <sheetData sheetId="4338" refreshError="1"/>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refreshError="1"/>
      <sheetData sheetId="4351" refreshError="1"/>
      <sheetData sheetId="4352" refreshError="1"/>
      <sheetData sheetId="4353" refreshError="1"/>
      <sheetData sheetId="4354" refreshError="1"/>
      <sheetData sheetId="4355" refreshError="1"/>
      <sheetData sheetId="4356" refreshError="1"/>
      <sheetData sheetId="4357" refreshError="1"/>
      <sheetData sheetId="4358">
        <row r="1">
          <cell r="B1">
            <v>2</v>
          </cell>
        </row>
      </sheetData>
      <sheetData sheetId="4359">
        <row r="1">
          <cell r="B1">
            <v>2</v>
          </cell>
        </row>
      </sheetData>
      <sheetData sheetId="4360">
        <row r="1">
          <cell r="A1">
            <v>1</v>
          </cell>
        </row>
      </sheetData>
      <sheetData sheetId="4361">
        <row r="1">
          <cell r="B1" t="str">
            <v>2</v>
          </cell>
        </row>
      </sheetData>
      <sheetData sheetId="4362">
        <row r="1">
          <cell r="B1">
            <v>2</v>
          </cell>
        </row>
      </sheetData>
      <sheetData sheetId="4363">
        <row r="1">
          <cell r="B1" t="str">
            <v>2</v>
          </cell>
        </row>
      </sheetData>
      <sheetData sheetId="4364" refreshError="1"/>
      <sheetData sheetId="4365" refreshError="1"/>
      <sheetData sheetId="4366">
        <row r="1">
          <cell r="B1" t="str">
            <v>2</v>
          </cell>
        </row>
      </sheetData>
      <sheetData sheetId="4367">
        <row r="1">
          <cell r="B1">
            <v>2</v>
          </cell>
        </row>
      </sheetData>
      <sheetData sheetId="4368" refreshError="1"/>
      <sheetData sheetId="4369"/>
      <sheetData sheetId="4370">
        <row r="1">
          <cell r="B1">
            <v>2</v>
          </cell>
        </row>
      </sheetData>
      <sheetData sheetId="4371">
        <row r="1">
          <cell r="B1">
            <v>2</v>
          </cell>
        </row>
      </sheetData>
      <sheetData sheetId="4372">
        <row r="1">
          <cell r="B1">
            <v>2</v>
          </cell>
        </row>
      </sheetData>
      <sheetData sheetId="4373"/>
      <sheetData sheetId="4374" refreshError="1"/>
      <sheetData sheetId="4375" refreshError="1"/>
      <sheetData sheetId="4376" refreshError="1"/>
      <sheetData sheetId="4377" refreshError="1"/>
      <sheetData sheetId="4378" refreshError="1"/>
      <sheetData sheetId="4379" refreshError="1"/>
      <sheetData sheetId="4380" refreshError="1"/>
      <sheetData sheetId="4381" refreshError="1"/>
      <sheetData sheetId="4382" refreshError="1"/>
      <sheetData sheetId="4383" refreshError="1"/>
      <sheetData sheetId="4384" refreshError="1"/>
      <sheetData sheetId="4385" refreshError="1"/>
      <sheetData sheetId="4386" refreshError="1"/>
      <sheetData sheetId="4387" refreshError="1"/>
      <sheetData sheetId="4388" refreshError="1"/>
      <sheetData sheetId="4389" refreshError="1"/>
      <sheetData sheetId="4390" refreshError="1"/>
      <sheetData sheetId="4391" refreshError="1"/>
      <sheetData sheetId="4392">
        <row r="318">
          <cell r="AI318">
            <v>134.91192604608</v>
          </cell>
        </row>
      </sheetData>
      <sheetData sheetId="4393"/>
      <sheetData sheetId="4394" refreshError="1"/>
      <sheetData sheetId="4395" refreshError="1"/>
      <sheetData sheetId="4396" refreshError="1"/>
      <sheetData sheetId="4397" refreshError="1"/>
      <sheetData sheetId="4398" refreshError="1"/>
      <sheetData sheetId="4399" refreshError="1"/>
      <sheetData sheetId="4400" refreshError="1"/>
      <sheetData sheetId="4401" refreshError="1"/>
      <sheetData sheetId="4402" refreshError="1"/>
      <sheetData sheetId="4403" refreshError="1"/>
      <sheetData sheetId="4404" refreshError="1"/>
      <sheetData sheetId="4405" refreshError="1"/>
      <sheetData sheetId="4406" refreshError="1"/>
      <sheetData sheetId="4407" refreshError="1"/>
      <sheetData sheetId="4408" refreshError="1"/>
      <sheetData sheetId="4409" refreshError="1"/>
      <sheetData sheetId="4410" refreshError="1"/>
      <sheetData sheetId="4411" refreshError="1"/>
      <sheetData sheetId="4412" refreshError="1"/>
      <sheetData sheetId="4413" refreshError="1"/>
      <sheetData sheetId="4414" refreshError="1"/>
      <sheetData sheetId="4415" refreshError="1"/>
      <sheetData sheetId="4416" refreshError="1"/>
      <sheetData sheetId="4417" refreshError="1"/>
      <sheetData sheetId="4418"/>
      <sheetData sheetId="4419">
        <row r="1">
          <cell r="B1">
            <v>2</v>
          </cell>
        </row>
      </sheetData>
      <sheetData sheetId="4420">
        <row r="1">
          <cell r="B1">
            <v>2</v>
          </cell>
        </row>
      </sheetData>
      <sheetData sheetId="4421"/>
      <sheetData sheetId="4422">
        <row r="1">
          <cell r="B1">
            <v>2</v>
          </cell>
        </row>
      </sheetData>
      <sheetData sheetId="4423">
        <row r="1">
          <cell r="B1">
            <v>2</v>
          </cell>
        </row>
      </sheetData>
      <sheetData sheetId="4424">
        <row r="1">
          <cell r="B1">
            <v>2</v>
          </cell>
        </row>
      </sheetData>
      <sheetData sheetId="4425">
        <row r="1">
          <cell r="A1">
            <v>1</v>
          </cell>
        </row>
      </sheetData>
      <sheetData sheetId="4426">
        <row r="1">
          <cell r="B1" t="str">
            <v>2</v>
          </cell>
        </row>
      </sheetData>
      <sheetData sheetId="4427">
        <row r="1">
          <cell r="A1">
            <v>1</v>
          </cell>
        </row>
      </sheetData>
      <sheetData sheetId="4428">
        <row r="1">
          <cell r="B1" t="str">
            <v>2</v>
          </cell>
        </row>
      </sheetData>
      <sheetData sheetId="4429">
        <row r="1">
          <cell r="B1" t="str">
            <v>2</v>
          </cell>
        </row>
      </sheetData>
      <sheetData sheetId="4430">
        <row r="1">
          <cell r="A1">
            <v>10000000</v>
          </cell>
        </row>
      </sheetData>
      <sheetData sheetId="4431">
        <row r="1">
          <cell r="B1" t="str">
            <v>2</v>
          </cell>
        </row>
      </sheetData>
      <sheetData sheetId="4432">
        <row r="1">
          <cell r="A1">
            <v>10000000</v>
          </cell>
        </row>
      </sheetData>
      <sheetData sheetId="4433">
        <row r="1">
          <cell r="A1">
            <v>10000000</v>
          </cell>
        </row>
      </sheetData>
      <sheetData sheetId="4434">
        <row r="1">
          <cell r="B1">
            <v>2</v>
          </cell>
        </row>
      </sheetData>
      <sheetData sheetId="4435">
        <row r="1">
          <cell r="A1">
            <v>10000000</v>
          </cell>
        </row>
      </sheetData>
      <sheetData sheetId="4436">
        <row r="1">
          <cell r="B1">
            <v>2</v>
          </cell>
        </row>
      </sheetData>
      <sheetData sheetId="4437">
        <row r="1">
          <cell r="B1">
            <v>2</v>
          </cell>
        </row>
      </sheetData>
      <sheetData sheetId="4438">
        <row r="1">
          <cell r="A1">
            <v>10000000</v>
          </cell>
        </row>
      </sheetData>
      <sheetData sheetId="4439">
        <row r="1">
          <cell r="B1">
            <v>2</v>
          </cell>
        </row>
      </sheetData>
      <sheetData sheetId="4440">
        <row r="1">
          <cell r="B1">
            <v>2</v>
          </cell>
        </row>
      </sheetData>
      <sheetData sheetId="4441">
        <row r="1">
          <cell r="B1">
            <v>2</v>
          </cell>
        </row>
      </sheetData>
      <sheetData sheetId="4442">
        <row r="1">
          <cell r="A1">
            <v>1</v>
          </cell>
        </row>
      </sheetData>
      <sheetData sheetId="4443">
        <row r="1">
          <cell r="B1" t="str">
            <v>2</v>
          </cell>
        </row>
      </sheetData>
      <sheetData sheetId="4444">
        <row r="1">
          <cell r="B1">
            <v>2</v>
          </cell>
        </row>
      </sheetData>
      <sheetData sheetId="4445">
        <row r="1">
          <cell r="B1" t="str">
            <v>2</v>
          </cell>
        </row>
      </sheetData>
      <sheetData sheetId="4446">
        <row r="1">
          <cell r="B1" t="str">
            <v>2</v>
          </cell>
        </row>
      </sheetData>
      <sheetData sheetId="4447">
        <row r="1">
          <cell r="A1">
            <v>10000000</v>
          </cell>
        </row>
      </sheetData>
      <sheetData sheetId="4448"/>
      <sheetData sheetId="4449">
        <row r="1">
          <cell r="B1">
            <v>2</v>
          </cell>
        </row>
      </sheetData>
      <sheetData sheetId="4450">
        <row r="1">
          <cell r="A1">
            <v>10000000</v>
          </cell>
        </row>
      </sheetData>
      <sheetData sheetId="4451"/>
      <sheetData sheetId="4452">
        <row r="1">
          <cell r="B1">
            <v>2</v>
          </cell>
        </row>
      </sheetData>
      <sheetData sheetId="4453">
        <row r="1">
          <cell r="B1">
            <v>2</v>
          </cell>
        </row>
      </sheetData>
      <sheetData sheetId="4454">
        <row r="1">
          <cell r="B1">
            <v>2</v>
          </cell>
        </row>
      </sheetData>
      <sheetData sheetId="4455"/>
      <sheetData sheetId="4456"/>
      <sheetData sheetId="4457">
        <row r="1">
          <cell r="B1">
            <v>2</v>
          </cell>
        </row>
      </sheetData>
      <sheetData sheetId="4458" refreshError="1"/>
      <sheetData sheetId="4459" refreshError="1"/>
      <sheetData sheetId="4460" refreshError="1"/>
      <sheetData sheetId="4461" refreshError="1"/>
      <sheetData sheetId="4462" refreshError="1"/>
      <sheetData sheetId="4463" refreshError="1"/>
      <sheetData sheetId="4464" refreshError="1"/>
      <sheetData sheetId="4465" refreshError="1"/>
      <sheetData sheetId="4466" refreshError="1"/>
      <sheetData sheetId="4467" refreshError="1"/>
      <sheetData sheetId="4468" refreshError="1"/>
      <sheetData sheetId="4469" refreshError="1"/>
      <sheetData sheetId="4470"/>
      <sheetData sheetId="4471">
        <row r="1">
          <cell r="B1">
            <v>2</v>
          </cell>
        </row>
      </sheetData>
      <sheetData sheetId="4472">
        <row r="1">
          <cell r="B1">
            <v>2</v>
          </cell>
        </row>
      </sheetData>
      <sheetData sheetId="4473">
        <row r="1">
          <cell r="A1">
            <v>1</v>
          </cell>
        </row>
      </sheetData>
      <sheetData sheetId="4474" refreshError="1"/>
      <sheetData sheetId="4475" refreshError="1"/>
      <sheetData sheetId="4476" refreshError="1"/>
      <sheetData sheetId="4477" refreshError="1"/>
      <sheetData sheetId="4478" refreshError="1"/>
      <sheetData sheetId="4479" refreshError="1"/>
      <sheetData sheetId="4480" refreshError="1"/>
      <sheetData sheetId="4481" refreshError="1"/>
      <sheetData sheetId="4482" refreshError="1"/>
      <sheetData sheetId="4483" refreshError="1"/>
      <sheetData sheetId="4484" refreshError="1"/>
      <sheetData sheetId="4485" refreshError="1"/>
      <sheetData sheetId="4486" refreshError="1"/>
      <sheetData sheetId="4487" refreshError="1"/>
      <sheetData sheetId="4488" refreshError="1"/>
      <sheetData sheetId="4489" refreshError="1"/>
      <sheetData sheetId="4490" refreshError="1"/>
      <sheetData sheetId="4491" refreshError="1"/>
      <sheetData sheetId="4492" refreshError="1"/>
      <sheetData sheetId="4493" refreshError="1"/>
      <sheetData sheetId="4494" refreshError="1"/>
      <sheetData sheetId="4495" refreshError="1"/>
      <sheetData sheetId="4496" refreshError="1"/>
      <sheetData sheetId="4497" refreshError="1"/>
      <sheetData sheetId="4498" refreshError="1"/>
      <sheetData sheetId="4499" refreshError="1"/>
      <sheetData sheetId="4500" refreshError="1"/>
      <sheetData sheetId="4501" refreshError="1"/>
      <sheetData sheetId="4502" refreshError="1"/>
      <sheetData sheetId="4503" refreshError="1"/>
      <sheetData sheetId="4504" refreshError="1"/>
      <sheetData sheetId="4505" refreshError="1"/>
      <sheetData sheetId="4506" refreshError="1"/>
      <sheetData sheetId="4507" refreshError="1"/>
      <sheetData sheetId="4508" refreshError="1"/>
      <sheetData sheetId="4509" refreshError="1"/>
      <sheetData sheetId="4510" refreshError="1"/>
      <sheetData sheetId="4511" refreshError="1"/>
      <sheetData sheetId="4512" refreshError="1"/>
      <sheetData sheetId="4513" refreshError="1"/>
      <sheetData sheetId="4514" refreshError="1"/>
      <sheetData sheetId="4515" refreshError="1"/>
      <sheetData sheetId="4516" refreshError="1"/>
      <sheetData sheetId="4517" refreshError="1"/>
      <sheetData sheetId="4518" refreshError="1"/>
      <sheetData sheetId="4519" refreshError="1"/>
      <sheetData sheetId="4520" refreshError="1"/>
      <sheetData sheetId="4521" refreshError="1"/>
      <sheetData sheetId="4522" refreshError="1"/>
      <sheetData sheetId="4523" refreshError="1"/>
      <sheetData sheetId="4524" refreshError="1"/>
      <sheetData sheetId="4525" refreshError="1"/>
      <sheetData sheetId="4526" refreshError="1"/>
      <sheetData sheetId="4527" refreshError="1"/>
      <sheetData sheetId="4528" refreshError="1"/>
      <sheetData sheetId="4529" refreshError="1"/>
      <sheetData sheetId="4530" refreshError="1"/>
      <sheetData sheetId="4531" refreshError="1"/>
      <sheetData sheetId="4532" refreshError="1"/>
      <sheetData sheetId="4533" refreshError="1"/>
      <sheetData sheetId="4534" refreshError="1"/>
      <sheetData sheetId="4535" refreshError="1"/>
      <sheetData sheetId="4536" refreshError="1"/>
      <sheetData sheetId="4537" refreshError="1"/>
      <sheetData sheetId="4538" refreshError="1"/>
      <sheetData sheetId="4539" refreshError="1"/>
      <sheetData sheetId="4540" refreshError="1"/>
      <sheetData sheetId="4541" refreshError="1"/>
      <sheetData sheetId="4542" refreshError="1"/>
      <sheetData sheetId="4543" refreshError="1"/>
      <sheetData sheetId="4544" refreshError="1"/>
      <sheetData sheetId="4545" refreshError="1"/>
      <sheetData sheetId="4546" refreshError="1"/>
      <sheetData sheetId="4547" refreshError="1"/>
      <sheetData sheetId="4548" refreshError="1"/>
      <sheetData sheetId="4549" refreshError="1"/>
      <sheetData sheetId="4550" refreshError="1"/>
      <sheetData sheetId="4551" refreshError="1"/>
      <sheetData sheetId="4552" refreshError="1"/>
      <sheetData sheetId="4553" refreshError="1"/>
      <sheetData sheetId="4554" refreshError="1"/>
      <sheetData sheetId="4555" refreshError="1"/>
      <sheetData sheetId="4556" refreshError="1"/>
      <sheetData sheetId="4557" refreshError="1"/>
      <sheetData sheetId="4558" refreshError="1"/>
      <sheetData sheetId="4559" refreshError="1"/>
      <sheetData sheetId="4560" refreshError="1"/>
      <sheetData sheetId="4561" refreshError="1"/>
      <sheetData sheetId="4562" refreshError="1"/>
      <sheetData sheetId="4563" refreshError="1"/>
      <sheetData sheetId="4564" refreshError="1"/>
      <sheetData sheetId="4565" refreshError="1"/>
      <sheetData sheetId="4566" refreshError="1"/>
      <sheetData sheetId="4567" refreshError="1"/>
      <sheetData sheetId="4568" refreshError="1"/>
      <sheetData sheetId="4569" refreshError="1"/>
      <sheetData sheetId="4570" refreshError="1"/>
      <sheetData sheetId="4571" refreshError="1"/>
      <sheetData sheetId="4572" refreshError="1"/>
      <sheetData sheetId="4573" refreshError="1"/>
      <sheetData sheetId="4574" refreshError="1"/>
      <sheetData sheetId="4575" refreshError="1"/>
      <sheetData sheetId="4576" refreshError="1"/>
      <sheetData sheetId="4577" refreshError="1"/>
      <sheetData sheetId="4578" refreshError="1"/>
      <sheetData sheetId="4579" refreshError="1"/>
      <sheetData sheetId="4580" refreshError="1"/>
      <sheetData sheetId="4581" refreshError="1"/>
      <sheetData sheetId="4582" refreshError="1"/>
      <sheetData sheetId="4583" refreshError="1"/>
      <sheetData sheetId="4584" refreshError="1"/>
      <sheetData sheetId="4585" refreshError="1"/>
      <sheetData sheetId="4586" refreshError="1"/>
      <sheetData sheetId="4587" refreshError="1"/>
      <sheetData sheetId="4588" refreshError="1"/>
      <sheetData sheetId="4589" refreshError="1"/>
      <sheetData sheetId="4590" refreshError="1"/>
      <sheetData sheetId="4591" refreshError="1"/>
      <sheetData sheetId="4592" refreshError="1"/>
      <sheetData sheetId="4593" refreshError="1"/>
      <sheetData sheetId="4594" refreshError="1"/>
      <sheetData sheetId="4595" refreshError="1"/>
      <sheetData sheetId="4596" refreshError="1"/>
      <sheetData sheetId="4597" refreshError="1"/>
      <sheetData sheetId="4598" refreshError="1"/>
      <sheetData sheetId="4599" refreshError="1"/>
      <sheetData sheetId="4600" refreshError="1"/>
      <sheetData sheetId="4601" refreshError="1"/>
      <sheetData sheetId="4602" refreshError="1"/>
      <sheetData sheetId="4603" refreshError="1"/>
      <sheetData sheetId="4604" refreshError="1"/>
      <sheetData sheetId="4605" refreshError="1"/>
      <sheetData sheetId="4606" refreshError="1"/>
      <sheetData sheetId="4607" refreshError="1"/>
      <sheetData sheetId="4608" refreshError="1"/>
      <sheetData sheetId="4609" refreshError="1"/>
      <sheetData sheetId="4610" refreshError="1"/>
      <sheetData sheetId="4611" refreshError="1"/>
      <sheetData sheetId="4612" refreshError="1"/>
      <sheetData sheetId="4613" refreshError="1"/>
      <sheetData sheetId="4614" refreshError="1"/>
      <sheetData sheetId="4615" refreshError="1"/>
      <sheetData sheetId="4616" refreshError="1"/>
      <sheetData sheetId="4617" refreshError="1"/>
      <sheetData sheetId="4618" refreshError="1"/>
      <sheetData sheetId="4619" refreshError="1"/>
      <sheetData sheetId="4620" refreshError="1"/>
      <sheetData sheetId="4621" refreshError="1"/>
      <sheetData sheetId="4622" refreshError="1"/>
      <sheetData sheetId="4623" refreshError="1"/>
      <sheetData sheetId="4624" refreshError="1"/>
      <sheetData sheetId="4625" refreshError="1"/>
      <sheetData sheetId="4626" refreshError="1"/>
      <sheetData sheetId="4627" refreshError="1"/>
      <sheetData sheetId="4628" refreshError="1"/>
      <sheetData sheetId="4629" refreshError="1"/>
      <sheetData sheetId="4630" refreshError="1"/>
      <sheetData sheetId="4631" refreshError="1"/>
      <sheetData sheetId="4632" refreshError="1"/>
      <sheetData sheetId="4633" refreshError="1"/>
      <sheetData sheetId="4634" refreshError="1"/>
      <sheetData sheetId="4635" refreshError="1"/>
      <sheetData sheetId="4636" refreshError="1"/>
      <sheetData sheetId="4637" refreshError="1"/>
      <sheetData sheetId="4638" refreshError="1"/>
      <sheetData sheetId="4639" refreshError="1"/>
      <sheetData sheetId="4640" refreshError="1"/>
      <sheetData sheetId="4641" refreshError="1"/>
      <sheetData sheetId="4642" refreshError="1"/>
      <sheetData sheetId="4643" refreshError="1"/>
      <sheetData sheetId="4644" refreshError="1"/>
      <sheetData sheetId="4645" refreshError="1"/>
      <sheetData sheetId="4646" refreshError="1"/>
      <sheetData sheetId="4647" refreshError="1"/>
      <sheetData sheetId="4648" refreshError="1"/>
      <sheetData sheetId="4649" refreshError="1"/>
      <sheetData sheetId="4650" refreshError="1"/>
      <sheetData sheetId="4651" refreshError="1"/>
      <sheetData sheetId="4652" refreshError="1"/>
      <sheetData sheetId="4653" refreshError="1"/>
      <sheetData sheetId="4654" refreshError="1"/>
      <sheetData sheetId="4655" refreshError="1"/>
      <sheetData sheetId="4656" refreshError="1"/>
      <sheetData sheetId="4657" refreshError="1"/>
      <sheetData sheetId="4658" refreshError="1"/>
      <sheetData sheetId="4659" refreshError="1"/>
      <sheetData sheetId="4660" refreshError="1"/>
      <sheetData sheetId="4661" refreshError="1"/>
      <sheetData sheetId="4662" refreshError="1"/>
      <sheetData sheetId="4663" refreshError="1"/>
      <sheetData sheetId="4664" refreshError="1"/>
      <sheetData sheetId="4665" refreshError="1"/>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refreshError="1"/>
      <sheetData sheetId="4705" refreshError="1"/>
      <sheetData sheetId="4706" refreshError="1"/>
      <sheetData sheetId="4707" refreshError="1"/>
      <sheetData sheetId="4708" refreshError="1"/>
      <sheetData sheetId="4709" refreshError="1"/>
      <sheetData sheetId="4710" refreshError="1"/>
      <sheetData sheetId="4711" refreshError="1"/>
      <sheetData sheetId="4712" refreshError="1"/>
      <sheetData sheetId="4713" refreshError="1"/>
      <sheetData sheetId="4714" refreshError="1"/>
      <sheetData sheetId="4715" refreshError="1"/>
      <sheetData sheetId="4716" refreshError="1"/>
      <sheetData sheetId="4717" refreshError="1"/>
      <sheetData sheetId="4718" refreshError="1"/>
      <sheetData sheetId="4719" refreshError="1"/>
      <sheetData sheetId="4720" refreshError="1"/>
      <sheetData sheetId="4721" refreshError="1"/>
      <sheetData sheetId="4722" refreshError="1"/>
      <sheetData sheetId="4723" refreshError="1"/>
      <sheetData sheetId="4724" refreshError="1"/>
      <sheetData sheetId="4725" refreshError="1"/>
      <sheetData sheetId="4726" refreshError="1"/>
      <sheetData sheetId="4727" refreshError="1"/>
      <sheetData sheetId="4728" refreshError="1"/>
      <sheetData sheetId="4729" refreshError="1"/>
      <sheetData sheetId="4730" refreshError="1"/>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efreshError="1"/>
      <sheetData sheetId="5100" refreshError="1"/>
      <sheetData sheetId="5101" refreshError="1"/>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sheetData sheetId="5386" refreshError="1"/>
      <sheetData sheetId="5387" refreshError="1"/>
      <sheetData sheetId="5388" refreshError="1"/>
      <sheetData sheetId="5389" refreshError="1"/>
      <sheetData sheetId="5390"/>
      <sheetData sheetId="5391"/>
      <sheetData sheetId="5392"/>
      <sheetData sheetId="5393"/>
      <sheetData sheetId="5394"/>
      <sheetData sheetId="5395"/>
      <sheetData sheetId="5396"/>
      <sheetData sheetId="5397" refreshError="1"/>
      <sheetData sheetId="5398" refreshError="1"/>
      <sheetData sheetId="5399" refreshError="1"/>
      <sheetData sheetId="5400" refreshError="1"/>
      <sheetData sheetId="5401" refreshError="1"/>
      <sheetData sheetId="5402"/>
      <sheetData sheetId="5403"/>
      <sheetData sheetId="5404"/>
      <sheetData sheetId="5405"/>
      <sheetData sheetId="5406"/>
      <sheetData sheetId="5407"/>
      <sheetData sheetId="5408"/>
      <sheetData sheetId="5409"/>
      <sheetData sheetId="5410"/>
      <sheetData sheetId="5411"/>
      <sheetData sheetId="5412"/>
      <sheetData sheetId="5413"/>
      <sheetData sheetId="5414"/>
      <sheetData sheetId="5415"/>
      <sheetData sheetId="5416"/>
      <sheetData sheetId="5417"/>
      <sheetData sheetId="5418"/>
      <sheetData sheetId="5419"/>
      <sheetData sheetId="5420"/>
      <sheetData sheetId="5421"/>
      <sheetData sheetId="5422"/>
      <sheetData sheetId="5423"/>
      <sheetData sheetId="5424">
        <row r="2">
          <cell r="K2" t="str">
            <v>Month</v>
          </cell>
        </row>
      </sheetData>
      <sheetData sheetId="5425"/>
      <sheetData sheetId="5426"/>
      <sheetData sheetId="5427">
        <row r="3">
          <cell r="D3">
            <v>0.2</v>
          </cell>
        </row>
      </sheetData>
      <sheetData sheetId="5428"/>
      <sheetData sheetId="5429"/>
      <sheetData sheetId="5430"/>
      <sheetData sheetId="5431"/>
      <sheetData sheetId="5432"/>
      <sheetData sheetId="5433"/>
      <sheetData sheetId="5434"/>
      <sheetData sheetId="5435"/>
      <sheetData sheetId="5436"/>
      <sheetData sheetId="5437"/>
      <sheetData sheetId="5438"/>
      <sheetData sheetId="5439"/>
      <sheetData sheetId="5440"/>
      <sheetData sheetId="5441"/>
      <sheetData sheetId="5442"/>
      <sheetData sheetId="5443"/>
      <sheetData sheetId="5444"/>
      <sheetData sheetId="5445"/>
      <sheetData sheetId="5446"/>
      <sheetData sheetId="5447">
        <row r="2">
          <cell r="K2" t="str">
            <v>Month</v>
          </cell>
        </row>
      </sheetData>
      <sheetData sheetId="5448"/>
      <sheetData sheetId="5449"/>
      <sheetData sheetId="5450"/>
      <sheetData sheetId="5451"/>
      <sheetData sheetId="5452"/>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efreshError="1"/>
      <sheetData sheetId="5494" refreshError="1"/>
      <sheetData sheetId="5495" refreshError="1"/>
      <sheetData sheetId="5496" refreshError="1"/>
      <sheetData sheetId="5497" refreshError="1"/>
      <sheetData sheetId="5498" refreshError="1"/>
      <sheetData sheetId="5499" refreshError="1"/>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refreshError="1"/>
      <sheetData sheetId="5539" refreshError="1"/>
      <sheetData sheetId="5540" refreshError="1"/>
      <sheetData sheetId="5541" refreshError="1"/>
      <sheetData sheetId="5542" refreshError="1"/>
      <sheetData sheetId="5543" refreshError="1"/>
      <sheetData sheetId="5544" refreshError="1"/>
      <sheetData sheetId="5545" refreshError="1"/>
      <sheetData sheetId="5546" refreshError="1"/>
      <sheetData sheetId="5547" refreshError="1"/>
      <sheetData sheetId="5548" refreshError="1"/>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 sheetId="5795" refreshError="1"/>
      <sheetData sheetId="5796" refreshError="1"/>
      <sheetData sheetId="5797" refreshError="1"/>
      <sheetData sheetId="5798" refreshError="1"/>
      <sheetData sheetId="5799" refreshError="1"/>
      <sheetData sheetId="5800" refreshError="1"/>
      <sheetData sheetId="5801" refreshError="1"/>
      <sheetData sheetId="5802" refreshError="1"/>
      <sheetData sheetId="5803" refreshError="1"/>
      <sheetData sheetId="5804" refreshError="1"/>
      <sheetData sheetId="5805" refreshError="1"/>
      <sheetData sheetId="5806" refreshError="1"/>
      <sheetData sheetId="5807" refreshError="1"/>
      <sheetData sheetId="5808" refreshError="1"/>
      <sheetData sheetId="5809" refreshError="1"/>
      <sheetData sheetId="5810" refreshError="1"/>
      <sheetData sheetId="5811" refreshError="1"/>
      <sheetData sheetId="5812" refreshError="1"/>
      <sheetData sheetId="5813" refreshError="1"/>
      <sheetData sheetId="5814"/>
      <sheetData sheetId="5815"/>
      <sheetData sheetId="5816"/>
      <sheetData sheetId="5817"/>
      <sheetData sheetId="5818"/>
      <sheetData sheetId="5819"/>
      <sheetData sheetId="5820"/>
      <sheetData sheetId="5821">
        <row r="2">
          <cell r="K2" t="str">
            <v>Month</v>
          </cell>
        </row>
      </sheetData>
      <sheetData sheetId="5822"/>
      <sheetData sheetId="5823" refreshError="1"/>
      <sheetData sheetId="5824"/>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ow r="2">
          <cell r="K2" t="str">
            <v>Month</v>
          </cell>
        </row>
      </sheetData>
      <sheetData sheetId="5840">
        <row r="1">
          <cell r="B1" t="str">
            <v>Id</v>
          </cell>
        </row>
      </sheetData>
      <sheetData sheetId="5841">
        <row r="2">
          <cell r="K2" t="str">
            <v>Month</v>
          </cell>
        </row>
      </sheetData>
      <sheetData sheetId="5842">
        <row r="2">
          <cell r="K2" t="str">
            <v>Month</v>
          </cell>
        </row>
      </sheetData>
      <sheetData sheetId="5843">
        <row r="2">
          <cell r="K2" t="str">
            <v>Month</v>
          </cell>
        </row>
      </sheetData>
      <sheetData sheetId="5844">
        <row r="2">
          <cell r="K2" t="str">
            <v>Month</v>
          </cell>
        </row>
      </sheetData>
      <sheetData sheetId="5845">
        <row r="1">
          <cell r="B1" t="str">
            <v>Data based on 2015-16 Common SSR</v>
          </cell>
        </row>
      </sheetData>
      <sheetData sheetId="5846">
        <row r="1">
          <cell r="B1" t="str">
            <v>Id</v>
          </cell>
        </row>
      </sheetData>
      <sheetData sheetId="5847">
        <row r="1">
          <cell r="B1" t="str">
            <v>CPWS SCHEME TO                                                            DISTRICT</v>
          </cell>
        </row>
      </sheetData>
      <sheetData sheetId="5848">
        <row r="2">
          <cell r="K2" t="str">
            <v>Month</v>
          </cell>
        </row>
      </sheetData>
      <sheetData sheetId="5849">
        <row r="2">
          <cell r="K2" t="str">
            <v>Month</v>
          </cell>
        </row>
      </sheetData>
      <sheetData sheetId="5850">
        <row r="2">
          <cell r="K2" t="str">
            <v>Month</v>
          </cell>
        </row>
      </sheetData>
      <sheetData sheetId="5851">
        <row r="2">
          <cell r="K2" t="str">
            <v>Month</v>
          </cell>
        </row>
      </sheetData>
      <sheetData sheetId="5852">
        <row r="1">
          <cell r="B1" t="str">
            <v>Id</v>
          </cell>
        </row>
      </sheetData>
      <sheetData sheetId="5853">
        <row r="1">
          <cell r="B1" t="str">
            <v>Data based on 2015-16 Common SSR</v>
          </cell>
        </row>
      </sheetData>
      <sheetData sheetId="5854">
        <row r="1">
          <cell r="B1" t="str">
            <v>Id</v>
          </cell>
        </row>
      </sheetData>
      <sheetData sheetId="5855">
        <row r="1">
          <cell r="B1" t="str">
            <v>CPWS SCHEME TO                                                            DISTRICT</v>
          </cell>
        </row>
      </sheetData>
      <sheetData sheetId="5856">
        <row r="2">
          <cell r="K2" t="str">
            <v>Month</v>
          </cell>
        </row>
      </sheetData>
      <sheetData sheetId="5857">
        <row r="2">
          <cell r="K2" t="str">
            <v>Month</v>
          </cell>
        </row>
      </sheetData>
      <sheetData sheetId="5858">
        <row r="2">
          <cell r="K2" t="str">
            <v>Month</v>
          </cell>
        </row>
      </sheetData>
      <sheetData sheetId="5859">
        <row r="2">
          <cell r="K2" t="str">
            <v>Month</v>
          </cell>
        </row>
      </sheetData>
      <sheetData sheetId="5860">
        <row r="2">
          <cell r="K2" t="str">
            <v>Month</v>
          </cell>
        </row>
      </sheetData>
      <sheetData sheetId="5861">
        <row r="2">
          <cell r="K2" t="str">
            <v>Month</v>
          </cell>
        </row>
      </sheetData>
      <sheetData sheetId="5862">
        <row r="2">
          <cell r="K2" t="str">
            <v>Month</v>
          </cell>
        </row>
      </sheetData>
      <sheetData sheetId="5863">
        <row r="3">
          <cell r="D3">
            <v>0.2</v>
          </cell>
        </row>
      </sheetData>
      <sheetData sheetId="5864" refreshError="1"/>
      <sheetData sheetId="5865" refreshError="1"/>
      <sheetData sheetId="5866" refreshError="1"/>
      <sheetData sheetId="5867" refreshError="1"/>
      <sheetData sheetId="5868" refreshError="1"/>
      <sheetData sheetId="5869" refreshError="1"/>
      <sheetData sheetId="5870" refreshError="1"/>
      <sheetData sheetId="5871" refreshError="1"/>
      <sheetData sheetId="5872" refreshError="1"/>
      <sheetData sheetId="5873" refreshError="1"/>
      <sheetData sheetId="5874" refreshError="1"/>
      <sheetData sheetId="5875" refreshError="1"/>
      <sheetData sheetId="5876">
        <row r="3">
          <cell r="D3">
            <v>0.2</v>
          </cell>
        </row>
      </sheetData>
      <sheetData sheetId="5877">
        <row r="158">
          <cell r="H158">
            <v>0.14499999999999999</v>
          </cell>
        </row>
      </sheetData>
      <sheetData sheetId="5878"/>
      <sheetData sheetId="5879">
        <row r="3">
          <cell r="D3">
            <v>0.2</v>
          </cell>
        </row>
      </sheetData>
      <sheetData sheetId="5880" refreshError="1"/>
      <sheetData sheetId="5881" refreshError="1"/>
      <sheetData sheetId="5882" refreshError="1"/>
      <sheetData sheetId="5883" refreshError="1"/>
      <sheetData sheetId="5884" refreshError="1"/>
      <sheetData sheetId="5885" refreshError="1"/>
      <sheetData sheetId="5886" refreshError="1"/>
      <sheetData sheetId="5887" refreshError="1"/>
      <sheetData sheetId="5888" refreshError="1"/>
      <sheetData sheetId="5889" refreshError="1"/>
      <sheetData sheetId="5890" refreshError="1"/>
      <sheetData sheetId="5891" refreshError="1"/>
      <sheetData sheetId="5892" refreshError="1"/>
      <sheetData sheetId="5893" refreshError="1"/>
      <sheetData sheetId="5894" refreshError="1"/>
      <sheetData sheetId="5895" refreshError="1"/>
      <sheetData sheetId="5896" refreshError="1"/>
      <sheetData sheetId="5897" refreshError="1"/>
      <sheetData sheetId="5898" refreshError="1"/>
      <sheetData sheetId="5899" refreshError="1"/>
      <sheetData sheetId="5900" refreshError="1"/>
      <sheetData sheetId="5901" refreshError="1"/>
      <sheetData sheetId="5902" refreshError="1"/>
      <sheetData sheetId="5903" refreshError="1"/>
      <sheetData sheetId="5904" refreshError="1"/>
      <sheetData sheetId="5905" refreshError="1"/>
      <sheetData sheetId="5906" refreshError="1"/>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ow r="3">
          <cell r="D3">
            <v>0.2</v>
          </cell>
        </row>
      </sheetData>
      <sheetData sheetId="5916">
        <row r="3">
          <cell r="D3">
            <v>0.2</v>
          </cell>
        </row>
      </sheetData>
      <sheetData sheetId="5917">
        <row r="3">
          <cell r="D3">
            <v>0.2</v>
          </cell>
        </row>
      </sheetData>
      <sheetData sheetId="5918">
        <row r="158">
          <cell r="H158">
            <v>0.14499999999999999</v>
          </cell>
        </row>
      </sheetData>
      <sheetData sheetId="5919"/>
      <sheetData sheetId="5920">
        <row r="3">
          <cell r="D3">
            <v>0.2</v>
          </cell>
        </row>
      </sheetData>
      <sheetData sheetId="5921">
        <row r="1">
          <cell r="B1" t="str">
            <v>Id</v>
          </cell>
        </row>
      </sheetData>
      <sheetData sheetId="5922">
        <row r="3">
          <cell r="D3">
            <v>0.2</v>
          </cell>
        </row>
      </sheetData>
      <sheetData sheetId="5923">
        <row r="2">
          <cell r="K2" t="str">
            <v>Month</v>
          </cell>
        </row>
      </sheetData>
      <sheetData sheetId="5924">
        <row r="1">
          <cell r="B1" t="str">
            <v>Id</v>
          </cell>
        </row>
      </sheetData>
      <sheetData sheetId="5925">
        <row r="2">
          <cell r="K2" t="str">
            <v>Month</v>
          </cell>
        </row>
      </sheetData>
      <sheetData sheetId="5926">
        <row r="2">
          <cell r="K2" t="str">
            <v>Month</v>
          </cell>
        </row>
      </sheetData>
      <sheetData sheetId="5927">
        <row r="1">
          <cell r="B1" t="str">
            <v>Id</v>
          </cell>
        </row>
      </sheetData>
      <sheetData sheetId="5928">
        <row r="1">
          <cell r="B1" t="str">
            <v>Id</v>
          </cell>
        </row>
      </sheetData>
      <sheetData sheetId="5929">
        <row r="1">
          <cell r="B1" t="str">
            <v>Id</v>
          </cell>
        </row>
      </sheetData>
      <sheetData sheetId="5930">
        <row r="1">
          <cell r="B1" t="str">
            <v>Id</v>
          </cell>
        </row>
      </sheetData>
      <sheetData sheetId="5931">
        <row r="3">
          <cell r="D3">
            <v>0.2</v>
          </cell>
        </row>
      </sheetData>
      <sheetData sheetId="5932">
        <row r="3">
          <cell r="D3">
            <v>0.2</v>
          </cell>
        </row>
      </sheetData>
      <sheetData sheetId="5933">
        <row r="2">
          <cell r="K2" t="str">
            <v>Month</v>
          </cell>
        </row>
      </sheetData>
      <sheetData sheetId="5934">
        <row r="1">
          <cell r="B1" t="str">
            <v>Id</v>
          </cell>
        </row>
      </sheetData>
      <sheetData sheetId="5935">
        <row r="3">
          <cell r="D3">
            <v>0.2</v>
          </cell>
        </row>
      </sheetData>
      <sheetData sheetId="5936">
        <row r="3">
          <cell r="D3">
            <v>0.2</v>
          </cell>
        </row>
      </sheetData>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refreshError="1"/>
      <sheetData sheetId="6049" refreshError="1"/>
      <sheetData sheetId="6050" refreshError="1"/>
      <sheetData sheetId="6051" refreshError="1"/>
      <sheetData sheetId="6052" refreshError="1"/>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refreshError="1"/>
      <sheetData sheetId="6132" refreshError="1"/>
      <sheetData sheetId="6133" refreshError="1"/>
      <sheetData sheetId="6134" refreshError="1"/>
      <sheetData sheetId="6135" refreshError="1"/>
      <sheetData sheetId="6136" refreshError="1"/>
      <sheetData sheetId="6137" refreshError="1"/>
      <sheetData sheetId="6138" refreshError="1"/>
      <sheetData sheetId="6139" refreshError="1"/>
      <sheetData sheetId="6140" refreshError="1"/>
      <sheetData sheetId="6141" refreshError="1"/>
      <sheetData sheetId="6142" refreshError="1"/>
      <sheetData sheetId="6143" refreshError="1"/>
      <sheetData sheetId="6144" refreshError="1"/>
      <sheetData sheetId="6145" refreshError="1"/>
      <sheetData sheetId="6146" refreshError="1"/>
      <sheetData sheetId="6147" refreshError="1"/>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refreshError="1"/>
      <sheetData sheetId="6196" refreshError="1"/>
      <sheetData sheetId="6197" refreshError="1"/>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refreshError="1"/>
      <sheetData sheetId="6312" refreshError="1"/>
      <sheetData sheetId="6313" refreshError="1"/>
      <sheetData sheetId="6314" refreshError="1"/>
      <sheetData sheetId="6315" refreshError="1"/>
      <sheetData sheetId="6316" refreshError="1"/>
      <sheetData sheetId="6317" refreshError="1"/>
      <sheetData sheetId="6318" refreshError="1"/>
      <sheetData sheetId="6319" refreshError="1"/>
      <sheetData sheetId="6320" refreshError="1"/>
      <sheetData sheetId="6321" refreshError="1"/>
      <sheetData sheetId="6322" refreshError="1"/>
      <sheetData sheetId="6323" refreshError="1"/>
      <sheetData sheetId="6324" refreshError="1"/>
      <sheetData sheetId="6325" refreshError="1"/>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efreshError="1"/>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refreshError="1"/>
      <sheetData sheetId="6348" refreshError="1"/>
      <sheetData sheetId="6349" refreshError="1"/>
      <sheetData sheetId="6350" refreshError="1"/>
      <sheetData sheetId="6351" refreshError="1"/>
      <sheetData sheetId="6352" refreshError="1"/>
      <sheetData sheetId="6353" refreshError="1"/>
      <sheetData sheetId="6354" refreshError="1"/>
      <sheetData sheetId="6355" refreshError="1"/>
      <sheetData sheetId="6356" refreshError="1"/>
      <sheetData sheetId="6357" refreshError="1"/>
      <sheetData sheetId="6358" refreshError="1"/>
      <sheetData sheetId="6359" refreshError="1"/>
      <sheetData sheetId="6360" refreshError="1"/>
      <sheetData sheetId="6361" refreshError="1"/>
      <sheetData sheetId="6362" refreshError="1"/>
      <sheetData sheetId="6363" refreshError="1"/>
      <sheetData sheetId="6364" refreshError="1"/>
      <sheetData sheetId="6365" refreshError="1"/>
      <sheetData sheetId="6366" refreshError="1"/>
      <sheetData sheetId="6367" refreshError="1"/>
      <sheetData sheetId="6368" refreshError="1"/>
      <sheetData sheetId="6369" refreshError="1"/>
      <sheetData sheetId="6370" refreshError="1"/>
      <sheetData sheetId="6371" refreshError="1"/>
      <sheetData sheetId="6372" refreshError="1"/>
      <sheetData sheetId="6373" refreshError="1"/>
      <sheetData sheetId="6374" refreshError="1"/>
      <sheetData sheetId="6375" refreshError="1"/>
      <sheetData sheetId="6376"/>
      <sheetData sheetId="6377" refreshError="1"/>
      <sheetData sheetId="6378" refreshError="1"/>
      <sheetData sheetId="6379" refreshError="1"/>
      <sheetData sheetId="6380" refreshError="1"/>
      <sheetData sheetId="6381" refreshError="1"/>
      <sheetData sheetId="6382" refreshError="1"/>
      <sheetData sheetId="6383" refreshError="1"/>
      <sheetData sheetId="6384" refreshError="1"/>
      <sheetData sheetId="6385" refreshError="1"/>
      <sheetData sheetId="6386" refreshError="1"/>
      <sheetData sheetId="6387" refreshError="1"/>
      <sheetData sheetId="6388" refreshError="1"/>
      <sheetData sheetId="6389" refreshError="1"/>
      <sheetData sheetId="6390" refreshError="1"/>
      <sheetData sheetId="6391" refreshError="1"/>
      <sheetData sheetId="6392" refreshError="1"/>
      <sheetData sheetId="6393" refreshError="1"/>
      <sheetData sheetId="6394" refreshError="1"/>
      <sheetData sheetId="6395" refreshError="1"/>
      <sheetData sheetId="6396" refreshError="1"/>
      <sheetData sheetId="6397" refreshError="1"/>
      <sheetData sheetId="6398" refreshError="1"/>
      <sheetData sheetId="6399" refreshError="1"/>
      <sheetData sheetId="6400" refreshError="1"/>
      <sheetData sheetId="6401" refreshError="1"/>
      <sheetData sheetId="6402" refreshError="1"/>
      <sheetData sheetId="6403" refreshError="1"/>
      <sheetData sheetId="6404" refreshError="1"/>
      <sheetData sheetId="6405" refreshError="1"/>
      <sheetData sheetId="6406" refreshError="1"/>
      <sheetData sheetId="6407" refreshError="1"/>
      <sheetData sheetId="6408" refreshError="1"/>
      <sheetData sheetId="6409" refreshError="1"/>
      <sheetData sheetId="6410" refreshError="1"/>
      <sheetData sheetId="6411" refreshError="1"/>
      <sheetData sheetId="6412" refreshError="1"/>
      <sheetData sheetId="6413" refreshError="1"/>
      <sheetData sheetId="6414" refreshError="1"/>
      <sheetData sheetId="6415" refreshError="1"/>
      <sheetData sheetId="6416" refreshError="1"/>
      <sheetData sheetId="6417" refreshError="1"/>
      <sheetData sheetId="6418" refreshError="1"/>
      <sheetData sheetId="6419" refreshError="1"/>
      <sheetData sheetId="6420" refreshError="1"/>
      <sheetData sheetId="6421" refreshError="1"/>
      <sheetData sheetId="6422" refreshError="1"/>
      <sheetData sheetId="6423" refreshError="1"/>
      <sheetData sheetId="6424" refreshError="1"/>
      <sheetData sheetId="6425" refreshError="1"/>
      <sheetData sheetId="6426" refreshError="1"/>
      <sheetData sheetId="6427" refreshError="1"/>
      <sheetData sheetId="6428" refreshError="1"/>
      <sheetData sheetId="6429" refreshError="1"/>
      <sheetData sheetId="6430" refreshError="1"/>
      <sheetData sheetId="6431" refreshError="1"/>
      <sheetData sheetId="6432" refreshError="1"/>
      <sheetData sheetId="6433" refreshError="1"/>
      <sheetData sheetId="6434" refreshError="1"/>
      <sheetData sheetId="6435" refreshError="1"/>
      <sheetData sheetId="6436" refreshError="1"/>
      <sheetData sheetId="6437" refreshError="1"/>
      <sheetData sheetId="6438" refreshError="1"/>
      <sheetData sheetId="6439" refreshError="1"/>
      <sheetData sheetId="6440" refreshError="1"/>
      <sheetData sheetId="6441" refreshError="1"/>
      <sheetData sheetId="6442" refreshError="1"/>
      <sheetData sheetId="6443" refreshError="1"/>
      <sheetData sheetId="6444" refreshError="1"/>
      <sheetData sheetId="6445" refreshError="1"/>
      <sheetData sheetId="6446" refreshError="1"/>
      <sheetData sheetId="6447" refreshError="1"/>
      <sheetData sheetId="6448" refreshError="1"/>
      <sheetData sheetId="6449" refreshError="1"/>
      <sheetData sheetId="6450" refreshError="1"/>
      <sheetData sheetId="6451" refreshError="1"/>
      <sheetData sheetId="6452" refreshError="1"/>
      <sheetData sheetId="6453" refreshError="1"/>
      <sheetData sheetId="6454" refreshError="1"/>
      <sheetData sheetId="6455" refreshError="1"/>
      <sheetData sheetId="6456" refreshError="1"/>
      <sheetData sheetId="6457" refreshError="1"/>
      <sheetData sheetId="6458" refreshError="1"/>
      <sheetData sheetId="6459" refreshError="1"/>
      <sheetData sheetId="6460" refreshError="1"/>
      <sheetData sheetId="6461" refreshError="1"/>
      <sheetData sheetId="6462" refreshError="1"/>
      <sheetData sheetId="6463" refreshError="1"/>
      <sheetData sheetId="6464" refreshError="1"/>
      <sheetData sheetId="6465" refreshError="1"/>
      <sheetData sheetId="6466" refreshError="1"/>
      <sheetData sheetId="6467" refreshError="1"/>
      <sheetData sheetId="6468" refreshError="1"/>
      <sheetData sheetId="6469" refreshError="1"/>
      <sheetData sheetId="6470" refreshError="1"/>
      <sheetData sheetId="6471" refreshError="1"/>
      <sheetData sheetId="6472" refreshError="1"/>
      <sheetData sheetId="6473" refreshError="1"/>
      <sheetData sheetId="6474" refreshError="1"/>
      <sheetData sheetId="6475" refreshError="1"/>
      <sheetData sheetId="6476" refreshError="1"/>
      <sheetData sheetId="6477" refreshError="1"/>
      <sheetData sheetId="6478" refreshError="1"/>
      <sheetData sheetId="6479" refreshError="1"/>
      <sheetData sheetId="6480" refreshError="1"/>
      <sheetData sheetId="6481" refreshError="1"/>
      <sheetData sheetId="6482" refreshError="1"/>
      <sheetData sheetId="6483" refreshError="1"/>
      <sheetData sheetId="6484" refreshError="1"/>
      <sheetData sheetId="6485" refreshError="1"/>
      <sheetData sheetId="6486" refreshError="1"/>
      <sheetData sheetId="6487" refreshError="1"/>
      <sheetData sheetId="6488" refreshError="1"/>
      <sheetData sheetId="6489" refreshError="1"/>
      <sheetData sheetId="6490" refreshError="1"/>
      <sheetData sheetId="6491" refreshError="1"/>
      <sheetData sheetId="6492" refreshError="1"/>
      <sheetData sheetId="6493" refreshError="1"/>
      <sheetData sheetId="6494" refreshError="1"/>
      <sheetData sheetId="6495" refreshError="1"/>
      <sheetData sheetId="6496" refreshError="1"/>
      <sheetData sheetId="6497" refreshError="1"/>
      <sheetData sheetId="6498" refreshError="1"/>
      <sheetData sheetId="6499" refreshError="1"/>
      <sheetData sheetId="6500" refreshError="1"/>
      <sheetData sheetId="6501" refreshError="1"/>
      <sheetData sheetId="6502" refreshError="1"/>
      <sheetData sheetId="6503" refreshError="1"/>
      <sheetData sheetId="6504" refreshError="1"/>
      <sheetData sheetId="6505" refreshError="1"/>
      <sheetData sheetId="6506" refreshError="1"/>
      <sheetData sheetId="6507" refreshError="1"/>
      <sheetData sheetId="6508" refreshError="1"/>
      <sheetData sheetId="6509" refreshError="1"/>
      <sheetData sheetId="6510" refreshError="1"/>
      <sheetData sheetId="6511" refreshError="1"/>
      <sheetData sheetId="6512" refreshError="1"/>
      <sheetData sheetId="6513" refreshError="1"/>
      <sheetData sheetId="6514" refreshError="1"/>
      <sheetData sheetId="6515" refreshError="1"/>
      <sheetData sheetId="6516" refreshError="1"/>
      <sheetData sheetId="6517" refreshError="1"/>
      <sheetData sheetId="6518" refreshError="1"/>
      <sheetData sheetId="6519" refreshError="1"/>
      <sheetData sheetId="6520" refreshError="1"/>
      <sheetData sheetId="6521" refreshError="1"/>
      <sheetData sheetId="6522" refreshError="1"/>
      <sheetData sheetId="6523" refreshError="1"/>
      <sheetData sheetId="6524" refreshError="1"/>
      <sheetData sheetId="6525" refreshError="1"/>
      <sheetData sheetId="6526" refreshError="1"/>
      <sheetData sheetId="6527" refreshError="1"/>
      <sheetData sheetId="6528" refreshError="1"/>
      <sheetData sheetId="6529" refreshError="1"/>
      <sheetData sheetId="6530" refreshError="1"/>
      <sheetData sheetId="6531" refreshError="1"/>
      <sheetData sheetId="6532" refreshError="1"/>
      <sheetData sheetId="6533" refreshError="1"/>
      <sheetData sheetId="6534" refreshError="1"/>
      <sheetData sheetId="6535" refreshError="1"/>
      <sheetData sheetId="6536" refreshError="1"/>
      <sheetData sheetId="6537" refreshError="1"/>
      <sheetData sheetId="6538" refreshError="1"/>
      <sheetData sheetId="6539" refreshError="1"/>
      <sheetData sheetId="6540" refreshError="1"/>
      <sheetData sheetId="6541" refreshError="1"/>
      <sheetData sheetId="6542" refreshError="1"/>
      <sheetData sheetId="6543" refreshError="1"/>
      <sheetData sheetId="6544" refreshError="1"/>
      <sheetData sheetId="6545" refreshError="1"/>
      <sheetData sheetId="6546" refreshError="1"/>
      <sheetData sheetId="6547" refreshError="1"/>
      <sheetData sheetId="6548" refreshError="1"/>
      <sheetData sheetId="6549" refreshError="1"/>
      <sheetData sheetId="6550" refreshError="1"/>
      <sheetData sheetId="6551" refreshError="1"/>
      <sheetData sheetId="6552" refreshError="1"/>
      <sheetData sheetId="6553" refreshError="1"/>
      <sheetData sheetId="6554" refreshError="1"/>
      <sheetData sheetId="6555" refreshError="1"/>
      <sheetData sheetId="6556" refreshError="1"/>
      <sheetData sheetId="6557" refreshError="1"/>
      <sheetData sheetId="6558" refreshError="1"/>
      <sheetData sheetId="6559" refreshError="1"/>
      <sheetData sheetId="6560" refreshError="1"/>
      <sheetData sheetId="6561" refreshError="1"/>
      <sheetData sheetId="6562" refreshError="1"/>
      <sheetData sheetId="6563" refreshError="1"/>
      <sheetData sheetId="6564" refreshError="1"/>
      <sheetData sheetId="6565" refreshError="1"/>
      <sheetData sheetId="6566" refreshError="1"/>
      <sheetData sheetId="6567" refreshError="1"/>
      <sheetData sheetId="6568" refreshError="1"/>
      <sheetData sheetId="6569" refreshError="1"/>
      <sheetData sheetId="6570" refreshError="1"/>
      <sheetData sheetId="6571" refreshError="1"/>
      <sheetData sheetId="6572" refreshError="1"/>
      <sheetData sheetId="6573" refreshError="1"/>
      <sheetData sheetId="6574" refreshError="1"/>
      <sheetData sheetId="6575" refreshError="1"/>
      <sheetData sheetId="6576" refreshError="1"/>
      <sheetData sheetId="6577" refreshError="1"/>
      <sheetData sheetId="6578" refreshError="1"/>
      <sheetData sheetId="6579" refreshError="1"/>
      <sheetData sheetId="6580" refreshError="1"/>
      <sheetData sheetId="6581" refreshError="1"/>
      <sheetData sheetId="6582" refreshError="1"/>
      <sheetData sheetId="6583" refreshError="1"/>
      <sheetData sheetId="6584" refreshError="1"/>
      <sheetData sheetId="6585" refreshError="1"/>
      <sheetData sheetId="6586" refreshError="1"/>
      <sheetData sheetId="6587" refreshError="1"/>
      <sheetData sheetId="6588" refreshError="1"/>
      <sheetData sheetId="6589" refreshError="1"/>
      <sheetData sheetId="6590" refreshError="1"/>
      <sheetData sheetId="6591" refreshError="1"/>
      <sheetData sheetId="6592" refreshError="1"/>
      <sheetData sheetId="6593" refreshError="1"/>
      <sheetData sheetId="6594" refreshError="1"/>
      <sheetData sheetId="6595" refreshError="1"/>
      <sheetData sheetId="6596" refreshError="1"/>
      <sheetData sheetId="6597" refreshError="1"/>
      <sheetData sheetId="6598" refreshError="1"/>
      <sheetData sheetId="6599" refreshError="1"/>
      <sheetData sheetId="6600" refreshError="1"/>
      <sheetData sheetId="6601" refreshError="1"/>
      <sheetData sheetId="6602" refreshError="1"/>
      <sheetData sheetId="6603" refreshError="1"/>
      <sheetData sheetId="6604" refreshError="1"/>
      <sheetData sheetId="6605" refreshError="1"/>
      <sheetData sheetId="6606" refreshError="1"/>
      <sheetData sheetId="6607" refreshError="1"/>
      <sheetData sheetId="6608" refreshError="1"/>
      <sheetData sheetId="6609" refreshError="1"/>
      <sheetData sheetId="6610" refreshError="1"/>
      <sheetData sheetId="6611" refreshError="1"/>
      <sheetData sheetId="6612" refreshError="1"/>
      <sheetData sheetId="6613" refreshError="1"/>
      <sheetData sheetId="6614" refreshError="1"/>
      <sheetData sheetId="6615" refreshError="1"/>
      <sheetData sheetId="6616" refreshError="1"/>
      <sheetData sheetId="6617" refreshError="1"/>
      <sheetData sheetId="6618" refreshError="1"/>
      <sheetData sheetId="6619" refreshError="1"/>
      <sheetData sheetId="6620" refreshError="1"/>
      <sheetData sheetId="6621" refreshError="1"/>
      <sheetData sheetId="6622" refreshError="1"/>
      <sheetData sheetId="6623" refreshError="1"/>
      <sheetData sheetId="6624" refreshError="1"/>
      <sheetData sheetId="6625" refreshError="1"/>
      <sheetData sheetId="6626" refreshError="1"/>
      <sheetData sheetId="6627" refreshError="1"/>
      <sheetData sheetId="6628" refreshError="1"/>
      <sheetData sheetId="6629" refreshError="1"/>
      <sheetData sheetId="6630" refreshError="1"/>
      <sheetData sheetId="6631" refreshError="1"/>
      <sheetData sheetId="6632" refreshError="1"/>
      <sheetData sheetId="6633" refreshError="1"/>
      <sheetData sheetId="6634" refreshError="1"/>
      <sheetData sheetId="6635" refreshError="1"/>
      <sheetData sheetId="6636" refreshError="1"/>
      <sheetData sheetId="6637" refreshError="1"/>
      <sheetData sheetId="6638" refreshError="1"/>
      <sheetData sheetId="6639" refreshError="1"/>
      <sheetData sheetId="6640" refreshError="1"/>
      <sheetData sheetId="6641" refreshError="1"/>
      <sheetData sheetId="6642" refreshError="1"/>
      <sheetData sheetId="6643" refreshError="1"/>
      <sheetData sheetId="6644" refreshError="1"/>
      <sheetData sheetId="6645" refreshError="1"/>
      <sheetData sheetId="6646" refreshError="1"/>
      <sheetData sheetId="6647" refreshError="1"/>
      <sheetData sheetId="6648" refreshError="1"/>
      <sheetData sheetId="6649" refreshError="1"/>
      <sheetData sheetId="6650" refreshError="1"/>
      <sheetData sheetId="6651" refreshError="1"/>
      <sheetData sheetId="6652" refreshError="1"/>
      <sheetData sheetId="6653" refreshError="1"/>
      <sheetData sheetId="6654" refreshError="1"/>
      <sheetData sheetId="6655" refreshError="1"/>
      <sheetData sheetId="6656" refreshError="1"/>
      <sheetData sheetId="6657" refreshError="1"/>
      <sheetData sheetId="6658" refreshError="1"/>
      <sheetData sheetId="6659" refreshError="1"/>
      <sheetData sheetId="6660" refreshError="1"/>
      <sheetData sheetId="6661" refreshError="1"/>
      <sheetData sheetId="6662" refreshError="1"/>
      <sheetData sheetId="6663" refreshError="1"/>
      <sheetData sheetId="6664" refreshError="1"/>
      <sheetData sheetId="6665" refreshError="1"/>
      <sheetData sheetId="6666" refreshError="1"/>
      <sheetData sheetId="6667" refreshError="1"/>
      <sheetData sheetId="6668" refreshError="1"/>
      <sheetData sheetId="6669" refreshError="1"/>
      <sheetData sheetId="6670" refreshError="1"/>
      <sheetData sheetId="6671" refreshError="1"/>
      <sheetData sheetId="6672" refreshError="1"/>
      <sheetData sheetId="6673" refreshError="1"/>
      <sheetData sheetId="6674" refreshError="1"/>
      <sheetData sheetId="6675" refreshError="1"/>
      <sheetData sheetId="6676" refreshError="1"/>
      <sheetData sheetId="6677" refreshError="1"/>
      <sheetData sheetId="6678" refreshError="1"/>
      <sheetData sheetId="6679" refreshError="1"/>
      <sheetData sheetId="6680" refreshError="1"/>
      <sheetData sheetId="6681" refreshError="1"/>
      <sheetData sheetId="6682" refreshError="1"/>
      <sheetData sheetId="6683" refreshError="1"/>
      <sheetData sheetId="6684" refreshError="1"/>
      <sheetData sheetId="6685" refreshError="1"/>
      <sheetData sheetId="6686" refreshError="1"/>
      <sheetData sheetId="6687" refreshError="1"/>
      <sheetData sheetId="6688" refreshError="1"/>
      <sheetData sheetId="6689" refreshError="1"/>
      <sheetData sheetId="6690" refreshError="1"/>
      <sheetData sheetId="6691" refreshError="1"/>
      <sheetData sheetId="6692" refreshError="1"/>
      <sheetData sheetId="6693" refreshError="1"/>
      <sheetData sheetId="6694" refreshError="1"/>
      <sheetData sheetId="6695" refreshError="1"/>
      <sheetData sheetId="6696" refreshError="1"/>
      <sheetData sheetId="6697" refreshError="1"/>
      <sheetData sheetId="6698" refreshError="1"/>
      <sheetData sheetId="6699" refreshError="1"/>
      <sheetData sheetId="6700" refreshError="1"/>
      <sheetData sheetId="6701" refreshError="1"/>
      <sheetData sheetId="6702" refreshError="1"/>
      <sheetData sheetId="6703" refreshError="1"/>
      <sheetData sheetId="6704" refreshError="1"/>
      <sheetData sheetId="6705" refreshError="1"/>
      <sheetData sheetId="6706" refreshError="1"/>
      <sheetData sheetId="6707" refreshError="1"/>
      <sheetData sheetId="6708" refreshError="1"/>
      <sheetData sheetId="6709" refreshError="1"/>
      <sheetData sheetId="6710" refreshError="1"/>
      <sheetData sheetId="6711" refreshError="1"/>
      <sheetData sheetId="6712" refreshError="1"/>
      <sheetData sheetId="6713" refreshError="1"/>
      <sheetData sheetId="6714" refreshError="1"/>
      <sheetData sheetId="6715" refreshError="1"/>
      <sheetData sheetId="6716" refreshError="1"/>
      <sheetData sheetId="6717" refreshError="1"/>
      <sheetData sheetId="6718" refreshError="1"/>
      <sheetData sheetId="6719" refreshError="1"/>
      <sheetData sheetId="6720" refreshError="1"/>
      <sheetData sheetId="6721" refreshError="1"/>
      <sheetData sheetId="6722" refreshError="1"/>
      <sheetData sheetId="6723" refreshError="1"/>
      <sheetData sheetId="6724" refreshError="1"/>
      <sheetData sheetId="6725" refreshError="1"/>
      <sheetData sheetId="6726" refreshError="1"/>
      <sheetData sheetId="6727" refreshError="1"/>
      <sheetData sheetId="6728" refreshError="1"/>
      <sheetData sheetId="6729" refreshError="1"/>
      <sheetData sheetId="6730" refreshError="1"/>
      <sheetData sheetId="6731" refreshError="1"/>
      <sheetData sheetId="6732" refreshError="1"/>
      <sheetData sheetId="6733" refreshError="1"/>
      <sheetData sheetId="6734" refreshError="1"/>
      <sheetData sheetId="6735" refreshError="1"/>
      <sheetData sheetId="6736" refreshError="1"/>
      <sheetData sheetId="6737" refreshError="1"/>
      <sheetData sheetId="6738" refreshError="1"/>
      <sheetData sheetId="6739" refreshError="1"/>
      <sheetData sheetId="6740" refreshError="1"/>
      <sheetData sheetId="6741" refreshError="1"/>
      <sheetData sheetId="6742" refreshError="1"/>
      <sheetData sheetId="6743" refreshError="1"/>
      <sheetData sheetId="6744" refreshError="1"/>
      <sheetData sheetId="6745" refreshError="1"/>
      <sheetData sheetId="6746" refreshError="1"/>
      <sheetData sheetId="6747" refreshError="1"/>
      <sheetData sheetId="6748" refreshError="1"/>
      <sheetData sheetId="6749" refreshError="1"/>
      <sheetData sheetId="6750" refreshError="1"/>
      <sheetData sheetId="6751" refreshError="1"/>
      <sheetData sheetId="6752" refreshError="1"/>
      <sheetData sheetId="6753" refreshError="1"/>
      <sheetData sheetId="6754" refreshError="1"/>
      <sheetData sheetId="6755" refreshError="1"/>
      <sheetData sheetId="6756" refreshError="1"/>
      <sheetData sheetId="6757" refreshError="1"/>
      <sheetData sheetId="6758" refreshError="1"/>
      <sheetData sheetId="6759" refreshError="1"/>
      <sheetData sheetId="6760" refreshError="1"/>
      <sheetData sheetId="6761" refreshError="1"/>
      <sheetData sheetId="6762" refreshError="1"/>
      <sheetData sheetId="6763" refreshError="1"/>
      <sheetData sheetId="6764" refreshError="1"/>
      <sheetData sheetId="6765" refreshError="1"/>
      <sheetData sheetId="6766" refreshError="1"/>
      <sheetData sheetId="6767" refreshError="1"/>
      <sheetData sheetId="6768" refreshError="1"/>
      <sheetData sheetId="6769" refreshError="1"/>
      <sheetData sheetId="6770" refreshError="1"/>
      <sheetData sheetId="6771" refreshError="1"/>
      <sheetData sheetId="6772" refreshError="1"/>
      <sheetData sheetId="6773" refreshError="1"/>
      <sheetData sheetId="6774" refreshError="1"/>
      <sheetData sheetId="6775" refreshError="1"/>
      <sheetData sheetId="6776" refreshError="1"/>
      <sheetData sheetId="6777" refreshError="1"/>
      <sheetData sheetId="6778" refreshError="1"/>
      <sheetData sheetId="6779" refreshError="1"/>
      <sheetData sheetId="6780" refreshError="1"/>
      <sheetData sheetId="6781" refreshError="1"/>
      <sheetData sheetId="6782" refreshError="1"/>
      <sheetData sheetId="6783" refreshError="1"/>
      <sheetData sheetId="6784" refreshError="1"/>
      <sheetData sheetId="6785" refreshError="1"/>
      <sheetData sheetId="6786" refreshError="1"/>
      <sheetData sheetId="6787" refreshError="1"/>
      <sheetData sheetId="6788" refreshError="1"/>
      <sheetData sheetId="6789" refreshError="1"/>
      <sheetData sheetId="6790" refreshError="1"/>
      <sheetData sheetId="6791" refreshError="1"/>
      <sheetData sheetId="6792" refreshError="1"/>
      <sheetData sheetId="6793" refreshError="1"/>
      <sheetData sheetId="6794" refreshError="1"/>
      <sheetData sheetId="6795" refreshError="1"/>
      <sheetData sheetId="6796" refreshError="1"/>
      <sheetData sheetId="6797" refreshError="1"/>
      <sheetData sheetId="6798" refreshError="1"/>
      <sheetData sheetId="6799" refreshError="1"/>
      <sheetData sheetId="6800" refreshError="1"/>
      <sheetData sheetId="6801" refreshError="1"/>
      <sheetData sheetId="6802" refreshError="1"/>
      <sheetData sheetId="6803" refreshError="1"/>
      <sheetData sheetId="6804" refreshError="1"/>
      <sheetData sheetId="6805" refreshError="1"/>
      <sheetData sheetId="6806" refreshError="1"/>
      <sheetData sheetId="6807" refreshError="1"/>
      <sheetData sheetId="6808" refreshError="1"/>
      <sheetData sheetId="6809" refreshError="1"/>
      <sheetData sheetId="6810" refreshError="1"/>
      <sheetData sheetId="6811" refreshError="1"/>
      <sheetData sheetId="6812" refreshError="1"/>
      <sheetData sheetId="6813" refreshError="1"/>
      <sheetData sheetId="6814" refreshError="1"/>
      <sheetData sheetId="6815" refreshError="1"/>
      <sheetData sheetId="6816" refreshError="1"/>
      <sheetData sheetId="6817" refreshError="1"/>
      <sheetData sheetId="6818" refreshError="1"/>
      <sheetData sheetId="6819" refreshError="1"/>
      <sheetData sheetId="6820" refreshError="1"/>
      <sheetData sheetId="6821" refreshError="1"/>
      <sheetData sheetId="6822" refreshError="1"/>
      <sheetData sheetId="6823" refreshError="1"/>
      <sheetData sheetId="6824" refreshError="1"/>
      <sheetData sheetId="6825" refreshError="1"/>
      <sheetData sheetId="6826" refreshError="1"/>
      <sheetData sheetId="6827" refreshError="1"/>
      <sheetData sheetId="6828" refreshError="1"/>
      <sheetData sheetId="6829" refreshError="1"/>
      <sheetData sheetId="6830" refreshError="1"/>
      <sheetData sheetId="6831" refreshError="1"/>
      <sheetData sheetId="6832" refreshError="1"/>
      <sheetData sheetId="6833" refreshError="1"/>
      <sheetData sheetId="6834" refreshError="1"/>
      <sheetData sheetId="6835" refreshError="1"/>
      <sheetData sheetId="6836" refreshError="1"/>
      <sheetData sheetId="6837" refreshError="1"/>
      <sheetData sheetId="6838" refreshError="1"/>
      <sheetData sheetId="6839" refreshError="1"/>
      <sheetData sheetId="6840" refreshError="1"/>
      <sheetData sheetId="6841" refreshError="1"/>
      <sheetData sheetId="6842" refreshError="1"/>
      <sheetData sheetId="6843" refreshError="1"/>
      <sheetData sheetId="6844" refreshError="1"/>
      <sheetData sheetId="6845" refreshError="1"/>
      <sheetData sheetId="6846" refreshError="1"/>
      <sheetData sheetId="6847" refreshError="1"/>
      <sheetData sheetId="6848" refreshError="1"/>
      <sheetData sheetId="6849" refreshError="1"/>
      <sheetData sheetId="6850" refreshError="1"/>
      <sheetData sheetId="6851" refreshError="1"/>
      <sheetData sheetId="6852" refreshError="1"/>
      <sheetData sheetId="6853" refreshError="1"/>
      <sheetData sheetId="6854" refreshError="1"/>
      <sheetData sheetId="6855" refreshError="1"/>
      <sheetData sheetId="6856" refreshError="1"/>
      <sheetData sheetId="6857" refreshError="1"/>
      <sheetData sheetId="6858" refreshError="1"/>
      <sheetData sheetId="6859" refreshError="1"/>
      <sheetData sheetId="6860" refreshError="1"/>
      <sheetData sheetId="6861" refreshError="1"/>
      <sheetData sheetId="6862" refreshError="1"/>
      <sheetData sheetId="6863" refreshError="1"/>
      <sheetData sheetId="6864" refreshError="1"/>
      <sheetData sheetId="6865" refreshError="1"/>
      <sheetData sheetId="6866" refreshError="1"/>
      <sheetData sheetId="6867" refreshError="1"/>
      <sheetData sheetId="6868" refreshError="1"/>
      <sheetData sheetId="6869" refreshError="1"/>
      <sheetData sheetId="6870" refreshError="1"/>
      <sheetData sheetId="6871" refreshError="1"/>
      <sheetData sheetId="6872" refreshError="1"/>
      <sheetData sheetId="6873" refreshError="1"/>
      <sheetData sheetId="6874" refreshError="1"/>
      <sheetData sheetId="6875" refreshError="1"/>
      <sheetData sheetId="6876" refreshError="1"/>
      <sheetData sheetId="6877" refreshError="1"/>
      <sheetData sheetId="6878" refreshError="1"/>
      <sheetData sheetId="6879" refreshError="1"/>
      <sheetData sheetId="6880" refreshError="1"/>
      <sheetData sheetId="6881" refreshError="1"/>
      <sheetData sheetId="6882" refreshError="1"/>
      <sheetData sheetId="6883" refreshError="1"/>
      <sheetData sheetId="6884" refreshError="1"/>
      <sheetData sheetId="6885" refreshError="1"/>
      <sheetData sheetId="6886" refreshError="1"/>
      <sheetData sheetId="6887" refreshError="1"/>
      <sheetData sheetId="6888" refreshError="1"/>
      <sheetData sheetId="6889" refreshError="1"/>
      <sheetData sheetId="6890" refreshError="1"/>
      <sheetData sheetId="6891" refreshError="1"/>
      <sheetData sheetId="6892" refreshError="1"/>
      <sheetData sheetId="6893" refreshError="1"/>
      <sheetData sheetId="6894" refreshError="1"/>
      <sheetData sheetId="6895" refreshError="1"/>
      <sheetData sheetId="6896" refreshError="1"/>
      <sheetData sheetId="6897" refreshError="1"/>
      <sheetData sheetId="6898" refreshError="1"/>
      <sheetData sheetId="6899" refreshError="1"/>
      <sheetData sheetId="6900" refreshError="1"/>
      <sheetData sheetId="6901" refreshError="1"/>
      <sheetData sheetId="6902" refreshError="1"/>
      <sheetData sheetId="6903" refreshError="1"/>
      <sheetData sheetId="6904" refreshError="1"/>
      <sheetData sheetId="6905" refreshError="1"/>
      <sheetData sheetId="6906" refreshError="1"/>
      <sheetData sheetId="6907" refreshError="1"/>
      <sheetData sheetId="6908" refreshError="1"/>
      <sheetData sheetId="6909" refreshError="1"/>
      <sheetData sheetId="6910" refreshError="1"/>
      <sheetData sheetId="6911" refreshError="1"/>
      <sheetData sheetId="6912" refreshError="1"/>
      <sheetData sheetId="6913" refreshError="1"/>
      <sheetData sheetId="6914" refreshError="1"/>
      <sheetData sheetId="6915" refreshError="1"/>
      <sheetData sheetId="6916" refreshError="1"/>
      <sheetData sheetId="6917" refreshError="1"/>
      <sheetData sheetId="6918" refreshError="1"/>
      <sheetData sheetId="6919" refreshError="1"/>
      <sheetData sheetId="6920" refreshError="1"/>
      <sheetData sheetId="6921" refreshError="1"/>
      <sheetData sheetId="6922" refreshError="1"/>
      <sheetData sheetId="6923" refreshError="1"/>
      <sheetData sheetId="6924" refreshError="1"/>
      <sheetData sheetId="6925" refreshError="1"/>
      <sheetData sheetId="6926" refreshError="1"/>
      <sheetData sheetId="6927" refreshError="1"/>
      <sheetData sheetId="6928" refreshError="1"/>
      <sheetData sheetId="6929" refreshError="1"/>
      <sheetData sheetId="6930" refreshError="1"/>
      <sheetData sheetId="6931" refreshError="1"/>
      <sheetData sheetId="6932" refreshError="1"/>
      <sheetData sheetId="6933" refreshError="1"/>
      <sheetData sheetId="6934" refreshError="1"/>
      <sheetData sheetId="6935" refreshError="1"/>
      <sheetData sheetId="6936" refreshError="1"/>
      <sheetData sheetId="6937" refreshError="1"/>
      <sheetData sheetId="6938" refreshError="1"/>
      <sheetData sheetId="6939" refreshError="1"/>
      <sheetData sheetId="6940" refreshError="1"/>
      <sheetData sheetId="6941" refreshError="1"/>
      <sheetData sheetId="6942" refreshError="1"/>
      <sheetData sheetId="6943" refreshError="1"/>
      <sheetData sheetId="6944" refreshError="1"/>
      <sheetData sheetId="6945" refreshError="1"/>
      <sheetData sheetId="6946" refreshError="1"/>
      <sheetData sheetId="6947" refreshError="1"/>
      <sheetData sheetId="6948" refreshError="1"/>
      <sheetData sheetId="6949" refreshError="1"/>
      <sheetData sheetId="6950" refreshError="1"/>
      <sheetData sheetId="6951" refreshError="1"/>
      <sheetData sheetId="6952" refreshError="1"/>
      <sheetData sheetId="6953" refreshError="1"/>
      <sheetData sheetId="6954" refreshError="1"/>
      <sheetData sheetId="6955" refreshError="1"/>
      <sheetData sheetId="6956" refreshError="1"/>
      <sheetData sheetId="6957" refreshError="1"/>
      <sheetData sheetId="6958" refreshError="1"/>
      <sheetData sheetId="6959" refreshError="1"/>
      <sheetData sheetId="6960" refreshError="1"/>
      <sheetData sheetId="6961" refreshError="1"/>
      <sheetData sheetId="6962" refreshError="1"/>
      <sheetData sheetId="6963" refreshError="1"/>
      <sheetData sheetId="6964" refreshError="1"/>
      <sheetData sheetId="6965" refreshError="1"/>
      <sheetData sheetId="6966" refreshError="1"/>
      <sheetData sheetId="6967" refreshError="1"/>
      <sheetData sheetId="6968" refreshError="1"/>
      <sheetData sheetId="6969" refreshError="1"/>
      <sheetData sheetId="6970" refreshError="1"/>
      <sheetData sheetId="6971" refreshError="1"/>
      <sheetData sheetId="6972" refreshError="1"/>
      <sheetData sheetId="6973" refreshError="1"/>
      <sheetData sheetId="6974" refreshError="1"/>
      <sheetData sheetId="6975" refreshError="1"/>
      <sheetData sheetId="6976" refreshError="1"/>
      <sheetData sheetId="6977" refreshError="1"/>
      <sheetData sheetId="6978" refreshError="1"/>
      <sheetData sheetId="6979" refreshError="1"/>
      <sheetData sheetId="6980" refreshError="1"/>
      <sheetData sheetId="6981" refreshError="1"/>
      <sheetData sheetId="6982" refreshError="1"/>
      <sheetData sheetId="6983" refreshError="1"/>
      <sheetData sheetId="6984" refreshError="1"/>
      <sheetData sheetId="6985" refreshError="1"/>
      <sheetData sheetId="6986" refreshError="1"/>
      <sheetData sheetId="6987" refreshError="1"/>
      <sheetData sheetId="6988" refreshError="1"/>
      <sheetData sheetId="6989" refreshError="1"/>
      <sheetData sheetId="6990" refreshError="1"/>
      <sheetData sheetId="6991" refreshError="1"/>
      <sheetData sheetId="6992" refreshError="1"/>
      <sheetData sheetId="6993" refreshError="1"/>
      <sheetData sheetId="6994" refreshError="1"/>
      <sheetData sheetId="6995" refreshError="1"/>
      <sheetData sheetId="6996" refreshError="1"/>
      <sheetData sheetId="6997" refreshError="1"/>
      <sheetData sheetId="6998" refreshError="1"/>
      <sheetData sheetId="6999" refreshError="1"/>
      <sheetData sheetId="7000" refreshError="1"/>
      <sheetData sheetId="7001" refreshError="1"/>
      <sheetData sheetId="7002" refreshError="1"/>
      <sheetData sheetId="7003" refreshError="1"/>
      <sheetData sheetId="7004" refreshError="1"/>
      <sheetData sheetId="7005" refreshError="1"/>
      <sheetData sheetId="7006" refreshError="1"/>
      <sheetData sheetId="7007" refreshError="1"/>
      <sheetData sheetId="7008" refreshError="1"/>
      <sheetData sheetId="7009" refreshError="1"/>
      <sheetData sheetId="7010" refreshError="1"/>
      <sheetData sheetId="7011" refreshError="1"/>
      <sheetData sheetId="7012" refreshError="1"/>
      <sheetData sheetId="7013" refreshError="1"/>
      <sheetData sheetId="7014" refreshError="1"/>
      <sheetData sheetId="7015" refreshError="1"/>
      <sheetData sheetId="7016" refreshError="1"/>
      <sheetData sheetId="7017" refreshError="1"/>
      <sheetData sheetId="7018" refreshError="1"/>
      <sheetData sheetId="7019" refreshError="1"/>
      <sheetData sheetId="7020" refreshError="1"/>
      <sheetData sheetId="7021" refreshError="1"/>
      <sheetData sheetId="7022" refreshError="1"/>
      <sheetData sheetId="7023" refreshError="1"/>
      <sheetData sheetId="7024" refreshError="1"/>
      <sheetData sheetId="7025" refreshError="1"/>
      <sheetData sheetId="7026" refreshError="1"/>
      <sheetData sheetId="7027" refreshError="1"/>
      <sheetData sheetId="7028" refreshError="1"/>
      <sheetData sheetId="7029" refreshError="1"/>
      <sheetData sheetId="7030" refreshError="1"/>
      <sheetData sheetId="7031" refreshError="1"/>
      <sheetData sheetId="7032" refreshError="1"/>
      <sheetData sheetId="7033" refreshError="1"/>
      <sheetData sheetId="7034" refreshError="1"/>
      <sheetData sheetId="7035" refreshError="1"/>
      <sheetData sheetId="7036" refreshError="1"/>
      <sheetData sheetId="7037" refreshError="1"/>
      <sheetData sheetId="7038" refreshError="1"/>
      <sheetData sheetId="7039" refreshError="1"/>
      <sheetData sheetId="7040" refreshError="1"/>
      <sheetData sheetId="7041" refreshError="1"/>
      <sheetData sheetId="7042" refreshError="1"/>
      <sheetData sheetId="7043" refreshError="1"/>
      <sheetData sheetId="7044" refreshError="1"/>
      <sheetData sheetId="7045" refreshError="1"/>
      <sheetData sheetId="7046" refreshError="1"/>
      <sheetData sheetId="7047" refreshError="1"/>
      <sheetData sheetId="7048" refreshError="1"/>
      <sheetData sheetId="7049" refreshError="1"/>
      <sheetData sheetId="7050" refreshError="1"/>
      <sheetData sheetId="7051" refreshError="1"/>
      <sheetData sheetId="7052" refreshError="1"/>
      <sheetData sheetId="7053" refreshError="1"/>
      <sheetData sheetId="7054" refreshError="1"/>
      <sheetData sheetId="7055" refreshError="1"/>
      <sheetData sheetId="7056" refreshError="1"/>
      <sheetData sheetId="7057" refreshError="1"/>
      <sheetData sheetId="7058" refreshError="1"/>
      <sheetData sheetId="7059" refreshError="1"/>
      <sheetData sheetId="7060" refreshError="1"/>
      <sheetData sheetId="7061" refreshError="1"/>
      <sheetData sheetId="7062" refreshError="1"/>
      <sheetData sheetId="7063" refreshError="1"/>
      <sheetData sheetId="7064" refreshError="1"/>
      <sheetData sheetId="7065" refreshError="1"/>
      <sheetData sheetId="7066" refreshError="1"/>
      <sheetData sheetId="7067" refreshError="1"/>
      <sheetData sheetId="7068" refreshError="1"/>
      <sheetData sheetId="7069" refreshError="1"/>
      <sheetData sheetId="7070" refreshError="1"/>
      <sheetData sheetId="7071" refreshError="1"/>
      <sheetData sheetId="7072" refreshError="1"/>
      <sheetData sheetId="7073" refreshError="1"/>
      <sheetData sheetId="7074" refreshError="1"/>
      <sheetData sheetId="7075" refreshError="1"/>
      <sheetData sheetId="7076" refreshError="1"/>
      <sheetData sheetId="7077" refreshError="1"/>
      <sheetData sheetId="7078" refreshError="1"/>
      <sheetData sheetId="7079" refreshError="1"/>
      <sheetData sheetId="7080" refreshError="1"/>
      <sheetData sheetId="7081" refreshError="1"/>
      <sheetData sheetId="7082" refreshError="1"/>
      <sheetData sheetId="7083" refreshError="1"/>
      <sheetData sheetId="7084" refreshError="1"/>
      <sheetData sheetId="7085" refreshError="1"/>
      <sheetData sheetId="7086" refreshError="1"/>
      <sheetData sheetId="7087" refreshError="1"/>
      <sheetData sheetId="7088" refreshError="1"/>
      <sheetData sheetId="7089" refreshError="1"/>
      <sheetData sheetId="7090" refreshError="1"/>
      <sheetData sheetId="7091" refreshError="1"/>
      <sheetData sheetId="7092" refreshError="1"/>
      <sheetData sheetId="7093" refreshError="1"/>
      <sheetData sheetId="7094" refreshError="1"/>
      <sheetData sheetId="7095" refreshError="1"/>
      <sheetData sheetId="7096" refreshError="1"/>
      <sheetData sheetId="7097" refreshError="1"/>
      <sheetData sheetId="7098" refreshError="1"/>
      <sheetData sheetId="7099" refreshError="1"/>
      <sheetData sheetId="7100" refreshError="1"/>
      <sheetData sheetId="7101" refreshError="1"/>
      <sheetData sheetId="7102" refreshError="1"/>
      <sheetData sheetId="7103" refreshError="1"/>
      <sheetData sheetId="7104" refreshError="1"/>
      <sheetData sheetId="7105" refreshError="1"/>
      <sheetData sheetId="7106" refreshError="1"/>
      <sheetData sheetId="7107" refreshError="1"/>
      <sheetData sheetId="7108" refreshError="1"/>
      <sheetData sheetId="7109" refreshError="1"/>
      <sheetData sheetId="7110" refreshError="1"/>
      <sheetData sheetId="7111" refreshError="1"/>
      <sheetData sheetId="7112" refreshError="1"/>
      <sheetData sheetId="7113" refreshError="1"/>
      <sheetData sheetId="7114" refreshError="1"/>
      <sheetData sheetId="7115" refreshError="1"/>
      <sheetData sheetId="7116" refreshError="1"/>
      <sheetData sheetId="7117" refreshError="1"/>
      <sheetData sheetId="7118" refreshError="1"/>
      <sheetData sheetId="7119" refreshError="1"/>
      <sheetData sheetId="7120" refreshError="1"/>
      <sheetData sheetId="7121" refreshError="1"/>
      <sheetData sheetId="7122" refreshError="1"/>
      <sheetData sheetId="7123" refreshError="1"/>
      <sheetData sheetId="7124" refreshError="1"/>
      <sheetData sheetId="7125" refreshError="1"/>
      <sheetData sheetId="7126" refreshError="1"/>
      <sheetData sheetId="7127" refreshError="1"/>
      <sheetData sheetId="7128" refreshError="1"/>
      <sheetData sheetId="7129" refreshError="1"/>
      <sheetData sheetId="7130" refreshError="1"/>
      <sheetData sheetId="7131" refreshError="1"/>
      <sheetData sheetId="7132" refreshError="1"/>
      <sheetData sheetId="7133" refreshError="1"/>
      <sheetData sheetId="7134" refreshError="1"/>
      <sheetData sheetId="7135" refreshError="1"/>
      <sheetData sheetId="7136" refreshError="1"/>
      <sheetData sheetId="7137" refreshError="1"/>
      <sheetData sheetId="7138" refreshError="1"/>
      <sheetData sheetId="7139" refreshError="1"/>
      <sheetData sheetId="7140" refreshError="1"/>
      <sheetData sheetId="7141" refreshError="1"/>
      <sheetData sheetId="7142" refreshError="1"/>
      <sheetData sheetId="7143" refreshError="1"/>
      <sheetData sheetId="7144" refreshError="1"/>
      <sheetData sheetId="7145" refreshError="1"/>
      <sheetData sheetId="7146" refreshError="1"/>
      <sheetData sheetId="7147" refreshError="1"/>
      <sheetData sheetId="7148" refreshError="1"/>
      <sheetData sheetId="7149" refreshError="1"/>
      <sheetData sheetId="7150" refreshError="1"/>
      <sheetData sheetId="7151" refreshError="1"/>
      <sheetData sheetId="7152" refreshError="1"/>
      <sheetData sheetId="7153" refreshError="1"/>
      <sheetData sheetId="7154" refreshError="1"/>
      <sheetData sheetId="7155" refreshError="1"/>
      <sheetData sheetId="7156" refreshError="1"/>
      <sheetData sheetId="7157" refreshError="1"/>
      <sheetData sheetId="7158" refreshError="1"/>
      <sheetData sheetId="7159" refreshError="1"/>
      <sheetData sheetId="7160" refreshError="1"/>
      <sheetData sheetId="7161" refreshError="1"/>
      <sheetData sheetId="7162" refreshError="1"/>
      <sheetData sheetId="7163" refreshError="1"/>
      <sheetData sheetId="7164" refreshError="1"/>
      <sheetData sheetId="7165" refreshError="1"/>
      <sheetData sheetId="7166" refreshError="1"/>
      <sheetData sheetId="7167" refreshError="1"/>
      <sheetData sheetId="7168" refreshError="1"/>
      <sheetData sheetId="7169" refreshError="1"/>
      <sheetData sheetId="7170" refreshError="1"/>
      <sheetData sheetId="7171" refreshError="1"/>
      <sheetData sheetId="7172" refreshError="1"/>
      <sheetData sheetId="7173" refreshError="1"/>
      <sheetData sheetId="7174" refreshError="1"/>
      <sheetData sheetId="7175" refreshError="1"/>
      <sheetData sheetId="7176" refreshError="1"/>
      <sheetData sheetId="7177" refreshError="1"/>
      <sheetData sheetId="7178" refreshError="1"/>
      <sheetData sheetId="7179" refreshError="1"/>
      <sheetData sheetId="7180" refreshError="1"/>
      <sheetData sheetId="7181" refreshError="1"/>
      <sheetData sheetId="7182" refreshError="1"/>
      <sheetData sheetId="7183" refreshError="1"/>
      <sheetData sheetId="7184" refreshError="1"/>
      <sheetData sheetId="7185" refreshError="1"/>
      <sheetData sheetId="7186" refreshError="1"/>
      <sheetData sheetId="7187" refreshError="1"/>
      <sheetData sheetId="7188" refreshError="1"/>
      <sheetData sheetId="7189" refreshError="1"/>
      <sheetData sheetId="7190" refreshError="1"/>
      <sheetData sheetId="7191" refreshError="1"/>
      <sheetData sheetId="7192" refreshError="1"/>
      <sheetData sheetId="7193" refreshError="1"/>
      <sheetData sheetId="7194" refreshError="1"/>
      <sheetData sheetId="7195" refreshError="1"/>
      <sheetData sheetId="7196" refreshError="1"/>
      <sheetData sheetId="7197" refreshError="1"/>
      <sheetData sheetId="7198" refreshError="1"/>
      <sheetData sheetId="7199" refreshError="1"/>
      <sheetData sheetId="7200" refreshError="1"/>
      <sheetData sheetId="7201" refreshError="1"/>
      <sheetData sheetId="7202" refreshError="1"/>
      <sheetData sheetId="7203" refreshError="1"/>
      <sheetData sheetId="7204" refreshError="1"/>
      <sheetData sheetId="7205" refreshError="1"/>
      <sheetData sheetId="7206" refreshError="1"/>
      <sheetData sheetId="7207" refreshError="1"/>
      <sheetData sheetId="7208" refreshError="1"/>
      <sheetData sheetId="7209" refreshError="1"/>
      <sheetData sheetId="7210" refreshError="1"/>
      <sheetData sheetId="7211" refreshError="1"/>
      <sheetData sheetId="7212" refreshError="1"/>
      <sheetData sheetId="7213" refreshError="1"/>
      <sheetData sheetId="7214" refreshError="1"/>
      <sheetData sheetId="7215" refreshError="1"/>
      <sheetData sheetId="7216" refreshError="1"/>
      <sheetData sheetId="7217" refreshError="1"/>
      <sheetData sheetId="7218" refreshError="1"/>
      <sheetData sheetId="7219" refreshError="1"/>
      <sheetData sheetId="7220" refreshError="1"/>
      <sheetData sheetId="7221" refreshError="1"/>
      <sheetData sheetId="7222" refreshError="1"/>
      <sheetData sheetId="7223" refreshError="1"/>
      <sheetData sheetId="7224" refreshError="1"/>
      <sheetData sheetId="7225" refreshError="1"/>
      <sheetData sheetId="7226" refreshError="1"/>
      <sheetData sheetId="7227" refreshError="1"/>
      <sheetData sheetId="7228" refreshError="1"/>
      <sheetData sheetId="7229" refreshError="1"/>
      <sheetData sheetId="7230" refreshError="1"/>
      <sheetData sheetId="7231" refreshError="1"/>
      <sheetData sheetId="7232" refreshError="1"/>
      <sheetData sheetId="7233" refreshError="1"/>
      <sheetData sheetId="7234" refreshError="1"/>
      <sheetData sheetId="7235" refreshError="1"/>
      <sheetData sheetId="7236" refreshError="1"/>
      <sheetData sheetId="7237" refreshError="1"/>
      <sheetData sheetId="7238" refreshError="1"/>
      <sheetData sheetId="7239" refreshError="1"/>
      <sheetData sheetId="7240" refreshError="1"/>
      <sheetData sheetId="7241" refreshError="1"/>
      <sheetData sheetId="7242" refreshError="1"/>
      <sheetData sheetId="7243" refreshError="1"/>
      <sheetData sheetId="7244" refreshError="1"/>
      <sheetData sheetId="7245" refreshError="1"/>
      <sheetData sheetId="7246" refreshError="1"/>
      <sheetData sheetId="7247" refreshError="1"/>
      <sheetData sheetId="7248" refreshError="1"/>
      <sheetData sheetId="7249" refreshError="1"/>
      <sheetData sheetId="7250" refreshError="1"/>
      <sheetData sheetId="7251" refreshError="1"/>
      <sheetData sheetId="7252" refreshError="1"/>
      <sheetData sheetId="7253" refreshError="1"/>
      <sheetData sheetId="7254" refreshError="1"/>
      <sheetData sheetId="7255" refreshError="1"/>
      <sheetData sheetId="7256" refreshError="1"/>
      <sheetData sheetId="7257" refreshError="1"/>
      <sheetData sheetId="7258" refreshError="1"/>
      <sheetData sheetId="7259" refreshError="1"/>
      <sheetData sheetId="7260" refreshError="1"/>
      <sheetData sheetId="7261" refreshError="1"/>
      <sheetData sheetId="7262" refreshError="1"/>
      <sheetData sheetId="7263" refreshError="1"/>
      <sheetData sheetId="7264" refreshError="1"/>
      <sheetData sheetId="7265" refreshError="1"/>
      <sheetData sheetId="7266" refreshError="1"/>
      <sheetData sheetId="7267" refreshError="1"/>
      <sheetData sheetId="7268" refreshError="1"/>
      <sheetData sheetId="7269" refreshError="1"/>
      <sheetData sheetId="7270" refreshError="1"/>
      <sheetData sheetId="7271" refreshError="1"/>
      <sheetData sheetId="7272" refreshError="1"/>
      <sheetData sheetId="7273" refreshError="1"/>
      <sheetData sheetId="7274" refreshError="1"/>
      <sheetData sheetId="7275" refreshError="1"/>
      <sheetData sheetId="7276" refreshError="1"/>
      <sheetData sheetId="7277" refreshError="1"/>
      <sheetData sheetId="7278" refreshError="1"/>
      <sheetData sheetId="7279" refreshError="1"/>
      <sheetData sheetId="7280" refreshError="1"/>
      <sheetData sheetId="7281" refreshError="1"/>
      <sheetData sheetId="7282" refreshError="1"/>
      <sheetData sheetId="7283" refreshError="1"/>
      <sheetData sheetId="7284" refreshError="1"/>
      <sheetData sheetId="7285" refreshError="1"/>
      <sheetData sheetId="7286" refreshError="1"/>
      <sheetData sheetId="7287" refreshError="1"/>
      <sheetData sheetId="7288" refreshError="1"/>
      <sheetData sheetId="7289" refreshError="1"/>
      <sheetData sheetId="7290" refreshError="1"/>
      <sheetData sheetId="7291" refreshError="1"/>
      <sheetData sheetId="7292" refreshError="1"/>
      <sheetData sheetId="7293" refreshError="1"/>
      <sheetData sheetId="7294" refreshError="1"/>
      <sheetData sheetId="7295" refreshError="1"/>
      <sheetData sheetId="7296" refreshError="1"/>
      <sheetData sheetId="7297" refreshError="1"/>
      <sheetData sheetId="7298" refreshError="1"/>
      <sheetData sheetId="7299" refreshError="1"/>
      <sheetData sheetId="7300" refreshError="1"/>
      <sheetData sheetId="7301" refreshError="1"/>
      <sheetData sheetId="7302" refreshError="1"/>
      <sheetData sheetId="7303" refreshError="1"/>
      <sheetData sheetId="7304" refreshError="1"/>
      <sheetData sheetId="7305" refreshError="1"/>
      <sheetData sheetId="7306" refreshError="1"/>
      <sheetData sheetId="7307" refreshError="1"/>
      <sheetData sheetId="7308" refreshError="1"/>
      <sheetData sheetId="7309" refreshError="1"/>
      <sheetData sheetId="7310" refreshError="1"/>
      <sheetData sheetId="7311" refreshError="1"/>
      <sheetData sheetId="7312" refreshError="1"/>
      <sheetData sheetId="7313" refreshError="1"/>
      <sheetData sheetId="7314" refreshError="1"/>
      <sheetData sheetId="7315" refreshError="1"/>
      <sheetData sheetId="7316" refreshError="1"/>
      <sheetData sheetId="7317" refreshError="1"/>
      <sheetData sheetId="7318" refreshError="1"/>
      <sheetData sheetId="7319" refreshError="1"/>
      <sheetData sheetId="7320" refreshError="1"/>
      <sheetData sheetId="7321" refreshError="1"/>
      <sheetData sheetId="7322" refreshError="1"/>
      <sheetData sheetId="7323" refreshError="1"/>
      <sheetData sheetId="7324" refreshError="1"/>
      <sheetData sheetId="7325" refreshError="1"/>
      <sheetData sheetId="7326" refreshError="1"/>
      <sheetData sheetId="7327" refreshError="1"/>
      <sheetData sheetId="7328" refreshError="1"/>
      <sheetData sheetId="7329" refreshError="1"/>
      <sheetData sheetId="7330" refreshError="1"/>
      <sheetData sheetId="7331" refreshError="1"/>
      <sheetData sheetId="7332" refreshError="1"/>
      <sheetData sheetId="7333" refreshError="1"/>
      <sheetData sheetId="7334" refreshError="1"/>
      <sheetData sheetId="7335" refreshError="1"/>
      <sheetData sheetId="7336" refreshError="1"/>
      <sheetData sheetId="7337" refreshError="1"/>
      <sheetData sheetId="7338" refreshError="1"/>
      <sheetData sheetId="7339" refreshError="1"/>
      <sheetData sheetId="7340" refreshError="1"/>
      <sheetData sheetId="7341" refreshError="1"/>
      <sheetData sheetId="7342" refreshError="1"/>
      <sheetData sheetId="7343" refreshError="1"/>
      <sheetData sheetId="7344" refreshError="1"/>
      <sheetData sheetId="7345" refreshError="1"/>
      <sheetData sheetId="7346" refreshError="1"/>
      <sheetData sheetId="7347" refreshError="1"/>
      <sheetData sheetId="7348" refreshError="1"/>
      <sheetData sheetId="7349" refreshError="1"/>
      <sheetData sheetId="7350" refreshError="1"/>
      <sheetData sheetId="7351" refreshError="1"/>
      <sheetData sheetId="7352" refreshError="1"/>
      <sheetData sheetId="7353" refreshError="1"/>
      <sheetData sheetId="7354" refreshError="1"/>
      <sheetData sheetId="7355" refreshError="1"/>
      <sheetData sheetId="7356" refreshError="1"/>
      <sheetData sheetId="7357" refreshError="1"/>
      <sheetData sheetId="7358" refreshError="1"/>
      <sheetData sheetId="7359" refreshError="1"/>
      <sheetData sheetId="7360" refreshError="1"/>
      <sheetData sheetId="7361" refreshError="1"/>
      <sheetData sheetId="7362" refreshError="1"/>
      <sheetData sheetId="7363" refreshError="1"/>
      <sheetData sheetId="7364" refreshError="1"/>
      <sheetData sheetId="7365" refreshError="1"/>
      <sheetData sheetId="7366" refreshError="1"/>
      <sheetData sheetId="7367" refreshError="1"/>
      <sheetData sheetId="7368" refreshError="1"/>
      <sheetData sheetId="7369" refreshError="1"/>
      <sheetData sheetId="7370" refreshError="1"/>
      <sheetData sheetId="7371" refreshError="1"/>
      <sheetData sheetId="7372" refreshError="1"/>
      <sheetData sheetId="7373" refreshError="1"/>
      <sheetData sheetId="7374" refreshError="1"/>
      <sheetData sheetId="7375" refreshError="1"/>
      <sheetData sheetId="7376" refreshError="1"/>
      <sheetData sheetId="7377" refreshError="1"/>
      <sheetData sheetId="7378" refreshError="1"/>
      <sheetData sheetId="7379" refreshError="1"/>
      <sheetData sheetId="7380" refreshError="1"/>
      <sheetData sheetId="7381" refreshError="1"/>
      <sheetData sheetId="7382" refreshError="1"/>
      <sheetData sheetId="7383" refreshError="1"/>
      <sheetData sheetId="7384" refreshError="1"/>
      <sheetData sheetId="7385" refreshError="1"/>
      <sheetData sheetId="7386" refreshError="1"/>
      <sheetData sheetId="7387" refreshError="1"/>
      <sheetData sheetId="7388" refreshError="1"/>
      <sheetData sheetId="7389" refreshError="1"/>
      <sheetData sheetId="7390" refreshError="1"/>
      <sheetData sheetId="7391" refreshError="1"/>
      <sheetData sheetId="7392" refreshError="1"/>
      <sheetData sheetId="7393" refreshError="1"/>
      <sheetData sheetId="7394" refreshError="1"/>
      <sheetData sheetId="7395" refreshError="1"/>
      <sheetData sheetId="7396" refreshError="1"/>
      <sheetData sheetId="7397" refreshError="1"/>
      <sheetData sheetId="7398" refreshError="1"/>
      <sheetData sheetId="7399" refreshError="1"/>
      <sheetData sheetId="7400" refreshError="1"/>
      <sheetData sheetId="7401" refreshError="1"/>
      <sheetData sheetId="7402" refreshError="1"/>
      <sheetData sheetId="7403" refreshError="1"/>
      <sheetData sheetId="7404" refreshError="1"/>
      <sheetData sheetId="7405" refreshError="1"/>
      <sheetData sheetId="7406" refreshError="1"/>
      <sheetData sheetId="7407" refreshError="1"/>
      <sheetData sheetId="7408" refreshError="1"/>
      <sheetData sheetId="7409" refreshError="1"/>
      <sheetData sheetId="7410" refreshError="1"/>
      <sheetData sheetId="7411" refreshError="1"/>
      <sheetData sheetId="7412" refreshError="1"/>
      <sheetData sheetId="7413" refreshError="1"/>
      <sheetData sheetId="7414" refreshError="1"/>
      <sheetData sheetId="7415" refreshError="1"/>
      <sheetData sheetId="7416" refreshError="1"/>
      <sheetData sheetId="7417" refreshError="1"/>
      <sheetData sheetId="7418" refreshError="1"/>
      <sheetData sheetId="7419" refreshError="1"/>
      <sheetData sheetId="7420" refreshError="1"/>
      <sheetData sheetId="7421" refreshError="1"/>
      <sheetData sheetId="7422" refreshError="1"/>
      <sheetData sheetId="7423" refreshError="1"/>
      <sheetData sheetId="7424" refreshError="1"/>
      <sheetData sheetId="7425" refreshError="1"/>
      <sheetData sheetId="7426" refreshError="1"/>
      <sheetData sheetId="7427" refreshError="1"/>
      <sheetData sheetId="7428" refreshError="1"/>
      <sheetData sheetId="7429" refreshError="1"/>
      <sheetData sheetId="7430" refreshError="1"/>
      <sheetData sheetId="7431" refreshError="1"/>
      <sheetData sheetId="7432" refreshError="1"/>
      <sheetData sheetId="7433" refreshError="1"/>
      <sheetData sheetId="7434" refreshError="1"/>
      <sheetData sheetId="7435" refreshError="1"/>
      <sheetData sheetId="7436" refreshError="1"/>
      <sheetData sheetId="7437" refreshError="1"/>
      <sheetData sheetId="7438" refreshError="1"/>
      <sheetData sheetId="7439" refreshError="1"/>
      <sheetData sheetId="7440" refreshError="1"/>
      <sheetData sheetId="7441" refreshError="1"/>
      <sheetData sheetId="7442" refreshError="1"/>
      <sheetData sheetId="7443" refreshError="1"/>
      <sheetData sheetId="7444" refreshError="1"/>
      <sheetData sheetId="7445" refreshError="1"/>
      <sheetData sheetId="7446" refreshError="1"/>
      <sheetData sheetId="7447" refreshError="1"/>
      <sheetData sheetId="7448" refreshError="1"/>
      <sheetData sheetId="7449" refreshError="1"/>
      <sheetData sheetId="7450" refreshError="1"/>
      <sheetData sheetId="7451" refreshError="1"/>
      <sheetData sheetId="7452" refreshError="1"/>
      <sheetData sheetId="7453" refreshError="1"/>
      <sheetData sheetId="7454" refreshError="1"/>
      <sheetData sheetId="7455" refreshError="1"/>
      <sheetData sheetId="7456" refreshError="1"/>
      <sheetData sheetId="7457" refreshError="1"/>
      <sheetData sheetId="7458" refreshError="1"/>
      <sheetData sheetId="7459" refreshError="1"/>
      <sheetData sheetId="7460" refreshError="1"/>
      <sheetData sheetId="7461" refreshError="1"/>
      <sheetData sheetId="7462" refreshError="1"/>
      <sheetData sheetId="7463" refreshError="1"/>
      <sheetData sheetId="7464" refreshError="1"/>
      <sheetData sheetId="7465" refreshError="1"/>
      <sheetData sheetId="7466" refreshError="1"/>
      <sheetData sheetId="7467" refreshError="1"/>
      <sheetData sheetId="7468" refreshError="1"/>
      <sheetData sheetId="7469" refreshError="1"/>
      <sheetData sheetId="7470" refreshError="1"/>
      <sheetData sheetId="7471" refreshError="1"/>
      <sheetData sheetId="7472" refreshError="1"/>
      <sheetData sheetId="7473" refreshError="1"/>
      <sheetData sheetId="7474" refreshError="1"/>
      <sheetData sheetId="7475" refreshError="1"/>
      <sheetData sheetId="7476" refreshError="1"/>
      <sheetData sheetId="7477" refreshError="1"/>
      <sheetData sheetId="7478" refreshError="1"/>
      <sheetData sheetId="7479" refreshError="1"/>
      <sheetData sheetId="7480" refreshError="1"/>
      <sheetData sheetId="7481" refreshError="1"/>
      <sheetData sheetId="7482" refreshError="1"/>
      <sheetData sheetId="7483" refreshError="1"/>
      <sheetData sheetId="7484" refreshError="1"/>
      <sheetData sheetId="7485" refreshError="1"/>
      <sheetData sheetId="7486" refreshError="1"/>
      <sheetData sheetId="7487" refreshError="1"/>
      <sheetData sheetId="7488" refreshError="1"/>
      <sheetData sheetId="7489" refreshError="1"/>
      <sheetData sheetId="7490" refreshError="1"/>
      <sheetData sheetId="7491" refreshError="1"/>
      <sheetData sheetId="7492" refreshError="1"/>
      <sheetData sheetId="7493" refreshError="1"/>
      <sheetData sheetId="7494" refreshError="1"/>
      <sheetData sheetId="7495" refreshError="1"/>
      <sheetData sheetId="7496" refreshError="1"/>
      <sheetData sheetId="7497" refreshError="1"/>
      <sheetData sheetId="7498" refreshError="1"/>
      <sheetData sheetId="7499" refreshError="1"/>
      <sheetData sheetId="7500" refreshError="1"/>
      <sheetData sheetId="7501" refreshError="1"/>
      <sheetData sheetId="7502" refreshError="1"/>
      <sheetData sheetId="7503" refreshError="1"/>
      <sheetData sheetId="7504" refreshError="1"/>
      <sheetData sheetId="7505" refreshError="1"/>
      <sheetData sheetId="7506" refreshError="1"/>
      <sheetData sheetId="7507" refreshError="1"/>
      <sheetData sheetId="7508" refreshError="1"/>
      <sheetData sheetId="7509" refreshError="1"/>
      <sheetData sheetId="7510" refreshError="1"/>
      <sheetData sheetId="7511" refreshError="1"/>
      <sheetData sheetId="7512" refreshError="1"/>
      <sheetData sheetId="7513" refreshError="1"/>
      <sheetData sheetId="7514" refreshError="1"/>
      <sheetData sheetId="7515" refreshError="1"/>
      <sheetData sheetId="7516" refreshError="1"/>
      <sheetData sheetId="7517" refreshError="1"/>
      <sheetData sheetId="7518" refreshError="1"/>
      <sheetData sheetId="7519" refreshError="1"/>
      <sheetData sheetId="7520" refreshError="1"/>
      <sheetData sheetId="7521" refreshError="1"/>
      <sheetData sheetId="7522" refreshError="1"/>
      <sheetData sheetId="7523" refreshError="1"/>
      <sheetData sheetId="7524" refreshError="1"/>
      <sheetData sheetId="7525" refreshError="1"/>
      <sheetData sheetId="7526" refreshError="1"/>
      <sheetData sheetId="7527" refreshError="1"/>
      <sheetData sheetId="7528" refreshError="1"/>
      <sheetData sheetId="7529" refreshError="1"/>
      <sheetData sheetId="7530" refreshError="1"/>
      <sheetData sheetId="7531" refreshError="1"/>
      <sheetData sheetId="7532" refreshError="1"/>
      <sheetData sheetId="7533" refreshError="1"/>
      <sheetData sheetId="7534" refreshError="1"/>
      <sheetData sheetId="7535" refreshError="1"/>
      <sheetData sheetId="7536" refreshError="1"/>
      <sheetData sheetId="7537" refreshError="1"/>
      <sheetData sheetId="7538" refreshError="1"/>
      <sheetData sheetId="7539" refreshError="1"/>
      <sheetData sheetId="7540" refreshError="1"/>
      <sheetData sheetId="7541" refreshError="1"/>
      <sheetData sheetId="7542" refreshError="1"/>
      <sheetData sheetId="7543" refreshError="1"/>
      <sheetData sheetId="7544" refreshError="1"/>
      <sheetData sheetId="7545" refreshError="1"/>
      <sheetData sheetId="7546" refreshError="1"/>
      <sheetData sheetId="7547" refreshError="1"/>
      <sheetData sheetId="7548" refreshError="1"/>
      <sheetData sheetId="7549" refreshError="1"/>
      <sheetData sheetId="7550" refreshError="1"/>
      <sheetData sheetId="7551" refreshError="1"/>
      <sheetData sheetId="7552" refreshError="1"/>
      <sheetData sheetId="7553" refreshError="1"/>
      <sheetData sheetId="7554" refreshError="1"/>
      <sheetData sheetId="7555" refreshError="1"/>
      <sheetData sheetId="7556" refreshError="1"/>
      <sheetData sheetId="7557" refreshError="1"/>
      <sheetData sheetId="7558" refreshError="1"/>
      <sheetData sheetId="7559" refreshError="1"/>
      <sheetData sheetId="7560" refreshError="1"/>
      <sheetData sheetId="7561" refreshError="1"/>
      <sheetData sheetId="7562" refreshError="1"/>
      <sheetData sheetId="7563" refreshError="1"/>
      <sheetData sheetId="7564" refreshError="1"/>
      <sheetData sheetId="7565" refreshError="1"/>
      <sheetData sheetId="7566" refreshError="1"/>
      <sheetData sheetId="7567" refreshError="1"/>
      <sheetData sheetId="7568" refreshError="1"/>
      <sheetData sheetId="7569" refreshError="1"/>
      <sheetData sheetId="7570" refreshError="1"/>
      <sheetData sheetId="7571" refreshError="1"/>
      <sheetData sheetId="7572" refreshError="1"/>
      <sheetData sheetId="7573" refreshError="1"/>
      <sheetData sheetId="7574" refreshError="1"/>
      <sheetData sheetId="7575" refreshError="1"/>
      <sheetData sheetId="7576" refreshError="1"/>
      <sheetData sheetId="7577" refreshError="1"/>
      <sheetData sheetId="7578" refreshError="1"/>
      <sheetData sheetId="7579" refreshError="1"/>
      <sheetData sheetId="7580" refreshError="1"/>
      <sheetData sheetId="7581" refreshError="1"/>
      <sheetData sheetId="7582" refreshError="1"/>
      <sheetData sheetId="7583" refreshError="1"/>
      <sheetData sheetId="7584" refreshError="1"/>
      <sheetData sheetId="7585" refreshError="1"/>
      <sheetData sheetId="7586" refreshError="1"/>
      <sheetData sheetId="7587" refreshError="1"/>
      <sheetData sheetId="7588" refreshError="1"/>
      <sheetData sheetId="7589" refreshError="1"/>
      <sheetData sheetId="7590" refreshError="1"/>
      <sheetData sheetId="7591" refreshError="1"/>
      <sheetData sheetId="7592" refreshError="1"/>
      <sheetData sheetId="7593" refreshError="1"/>
      <sheetData sheetId="7594" refreshError="1"/>
      <sheetData sheetId="7595" refreshError="1"/>
      <sheetData sheetId="7596" refreshError="1"/>
      <sheetData sheetId="7597" refreshError="1"/>
      <sheetData sheetId="7598" refreshError="1"/>
      <sheetData sheetId="7599" refreshError="1"/>
      <sheetData sheetId="7600" refreshError="1"/>
      <sheetData sheetId="7601" refreshError="1"/>
      <sheetData sheetId="7602" refreshError="1"/>
      <sheetData sheetId="7603" refreshError="1"/>
      <sheetData sheetId="7604" refreshError="1"/>
      <sheetData sheetId="7605" refreshError="1"/>
      <sheetData sheetId="7606" refreshError="1"/>
      <sheetData sheetId="7607" refreshError="1"/>
      <sheetData sheetId="7608" refreshError="1"/>
      <sheetData sheetId="7609" refreshError="1"/>
      <sheetData sheetId="7610" refreshError="1"/>
      <sheetData sheetId="7611" refreshError="1"/>
      <sheetData sheetId="7612" refreshError="1"/>
      <sheetData sheetId="7613" refreshError="1"/>
      <sheetData sheetId="7614" refreshError="1"/>
      <sheetData sheetId="7615" refreshError="1"/>
      <sheetData sheetId="7616" refreshError="1"/>
      <sheetData sheetId="7617" refreshError="1"/>
      <sheetData sheetId="7618" refreshError="1"/>
      <sheetData sheetId="7619" refreshError="1"/>
      <sheetData sheetId="7620" refreshError="1"/>
      <sheetData sheetId="7621" refreshError="1"/>
      <sheetData sheetId="7622" refreshError="1"/>
      <sheetData sheetId="7623" refreshError="1"/>
      <sheetData sheetId="7624" refreshError="1"/>
      <sheetData sheetId="7625" refreshError="1"/>
      <sheetData sheetId="7626" refreshError="1"/>
      <sheetData sheetId="7627" refreshError="1"/>
      <sheetData sheetId="7628" refreshError="1"/>
      <sheetData sheetId="7629" refreshError="1"/>
      <sheetData sheetId="7630" refreshError="1"/>
      <sheetData sheetId="7631" refreshError="1"/>
      <sheetData sheetId="7632" refreshError="1"/>
      <sheetData sheetId="7633" refreshError="1"/>
      <sheetData sheetId="7634" refreshError="1"/>
      <sheetData sheetId="7635" refreshError="1"/>
      <sheetData sheetId="7636" refreshError="1"/>
      <sheetData sheetId="7637" refreshError="1"/>
      <sheetData sheetId="7638" refreshError="1"/>
      <sheetData sheetId="7639" refreshError="1"/>
      <sheetData sheetId="7640" refreshError="1"/>
      <sheetData sheetId="7641" refreshError="1"/>
      <sheetData sheetId="7642" refreshError="1"/>
      <sheetData sheetId="7643" refreshError="1"/>
      <sheetData sheetId="7644" refreshError="1"/>
      <sheetData sheetId="7645" refreshError="1"/>
      <sheetData sheetId="7646" refreshError="1"/>
      <sheetData sheetId="7647" refreshError="1"/>
      <sheetData sheetId="7648" refreshError="1"/>
      <sheetData sheetId="7649" refreshError="1"/>
      <sheetData sheetId="7650" refreshError="1"/>
      <sheetData sheetId="7651" refreshError="1"/>
      <sheetData sheetId="7652" refreshError="1"/>
      <sheetData sheetId="7653" refreshError="1"/>
      <sheetData sheetId="7654" refreshError="1"/>
      <sheetData sheetId="7655" refreshError="1"/>
      <sheetData sheetId="7656" refreshError="1"/>
      <sheetData sheetId="7657" refreshError="1"/>
      <sheetData sheetId="7658" refreshError="1"/>
      <sheetData sheetId="7659" refreshError="1"/>
      <sheetData sheetId="7660" refreshError="1"/>
      <sheetData sheetId="7661" refreshError="1"/>
      <sheetData sheetId="7662" refreshError="1"/>
      <sheetData sheetId="7663" refreshError="1"/>
      <sheetData sheetId="7664" refreshError="1"/>
      <sheetData sheetId="7665" refreshError="1"/>
      <sheetData sheetId="7666" refreshError="1"/>
      <sheetData sheetId="7667" refreshError="1"/>
      <sheetData sheetId="7668" refreshError="1"/>
      <sheetData sheetId="7669" refreshError="1"/>
      <sheetData sheetId="7670" refreshError="1"/>
      <sheetData sheetId="7671" refreshError="1"/>
      <sheetData sheetId="7672" refreshError="1"/>
      <sheetData sheetId="7673" refreshError="1"/>
      <sheetData sheetId="7674" refreshError="1"/>
      <sheetData sheetId="7675" refreshError="1"/>
      <sheetData sheetId="7676" refreshError="1"/>
      <sheetData sheetId="7677" refreshError="1"/>
      <sheetData sheetId="7678" refreshError="1"/>
      <sheetData sheetId="7679" refreshError="1"/>
      <sheetData sheetId="7680" refreshError="1"/>
      <sheetData sheetId="7681" refreshError="1"/>
      <sheetData sheetId="7682" refreshError="1"/>
      <sheetData sheetId="7683" refreshError="1"/>
      <sheetData sheetId="7684" refreshError="1"/>
      <sheetData sheetId="7685" refreshError="1"/>
      <sheetData sheetId="7686" refreshError="1"/>
      <sheetData sheetId="7687" refreshError="1"/>
      <sheetData sheetId="7688" refreshError="1"/>
      <sheetData sheetId="7689" refreshError="1"/>
      <sheetData sheetId="7690" refreshError="1"/>
      <sheetData sheetId="7691" refreshError="1"/>
      <sheetData sheetId="7692" refreshError="1"/>
      <sheetData sheetId="7693" refreshError="1"/>
      <sheetData sheetId="7694" refreshError="1"/>
      <sheetData sheetId="7695" refreshError="1"/>
      <sheetData sheetId="7696" refreshError="1"/>
      <sheetData sheetId="7697" refreshError="1"/>
      <sheetData sheetId="7698" refreshError="1"/>
      <sheetData sheetId="7699" refreshError="1"/>
      <sheetData sheetId="7700" refreshError="1"/>
      <sheetData sheetId="7701" refreshError="1"/>
      <sheetData sheetId="7702" refreshError="1"/>
      <sheetData sheetId="7703" refreshError="1"/>
      <sheetData sheetId="7704" refreshError="1"/>
      <sheetData sheetId="7705" refreshError="1"/>
      <sheetData sheetId="7706" refreshError="1"/>
      <sheetData sheetId="7707" refreshError="1"/>
      <sheetData sheetId="7708" refreshError="1"/>
      <sheetData sheetId="7709" refreshError="1"/>
      <sheetData sheetId="7710" refreshError="1"/>
      <sheetData sheetId="7711" refreshError="1"/>
      <sheetData sheetId="7712" refreshError="1"/>
      <sheetData sheetId="7713" refreshError="1"/>
      <sheetData sheetId="7714" refreshError="1"/>
      <sheetData sheetId="7715" refreshError="1"/>
      <sheetData sheetId="7716" refreshError="1"/>
      <sheetData sheetId="7717" refreshError="1"/>
      <sheetData sheetId="7718" refreshError="1"/>
      <sheetData sheetId="7719" refreshError="1"/>
      <sheetData sheetId="7720" refreshError="1"/>
      <sheetData sheetId="7721" refreshError="1"/>
      <sheetData sheetId="7722" refreshError="1"/>
      <sheetData sheetId="7723" refreshError="1"/>
      <sheetData sheetId="7724" refreshError="1"/>
      <sheetData sheetId="7725" refreshError="1"/>
      <sheetData sheetId="7726" refreshError="1"/>
      <sheetData sheetId="7727" refreshError="1"/>
      <sheetData sheetId="7728" refreshError="1"/>
      <sheetData sheetId="7729" refreshError="1"/>
      <sheetData sheetId="7730" refreshError="1"/>
      <sheetData sheetId="7731" refreshError="1"/>
      <sheetData sheetId="7732" refreshError="1"/>
      <sheetData sheetId="7733" refreshError="1"/>
      <sheetData sheetId="7734" refreshError="1"/>
      <sheetData sheetId="7735" refreshError="1"/>
      <sheetData sheetId="7736" refreshError="1"/>
      <sheetData sheetId="7737" refreshError="1"/>
      <sheetData sheetId="7738" refreshError="1"/>
      <sheetData sheetId="7739" refreshError="1"/>
      <sheetData sheetId="7740" refreshError="1"/>
      <sheetData sheetId="7741" refreshError="1"/>
      <sheetData sheetId="7742" refreshError="1"/>
      <sheetData sheetId="7743" refreshError="1"/>
      <sheetData sheetId="7744" refreshError="1"/>
      <sheetData sheetId="7745" refreshError="1"/>
      <sheetData sheetId="7746" refreshError="1"/>
      <sheetData sheetId="7747" refreshError="1"/>
      <sheetData sheetId="7748" refreshError="1"/>
      <sheetData sheetId="7749" refreshError="1"/>
      <sheetData sheetId="7750" refreshError="1"/>
      <sheetData sheetId="7751" refreshError="1"/>
      <sheetData sheetId="7752" refreshError="1"/>
      <sheetData sheetId="7753" refreshError="1"/>
      <sheetData sheetId="7754" refreshError="1"/>
      <sheetData sheetId="7755" refreshError="1"/>
      <sheetData sheetId="7756" refreshError="1"/>
      <sheetData sheetId="7757" refreshError="1"/>
      <sheetData sheetId="7758" refreshError="1"/>
      <sheetData sheetId="7759" refreshError="1"/>
      <sheetData sheetId="7760" refreshError="1"/>
      <sheetData sheetId="7761" refreshError="1"/>
      <sheetData sheetId="7762" refreshError="1"/>
      <sheetData sheetId="7763" refreshError="1"/>
      <sheetData sheetId="7764" refreshError="1"/>
      <sheetData sheetId="7765" refreshError="1"/>
      <sheetData sheetId="7766" refreshError="1"/>
      <sheetData sheetId="7767" refreshError="1"/>
      <sheetData sheetId="7768" refreshError="1"/>
      <sheetData sheetId="7769" refreshError="1"/>
      <sheetData sheetId="7770" refreshError="1"/>
      <sheetData sheetId="7771" refreshError="1"/>
      <sheetData sheetId="7772" refreshError="1"/>
      <sheetData sheetId="7773" refreshError="1"/>
      <sheetData sheetId="7774" refreshError="1"/>
      <sheetData sheetId="7775" refreshError="1"/>
      <sheetData sheetId="7776" refreshError="1"/>
      <sheetData sheetId="7777" refreshError="1"/>
      <sheetData sheetId="7778" refreshError="1"/>
      <sheetData sheetId="7779" refreshError="1"/>
      <sheetData sheetId="7780" refreshError="1"/>
      <sheetData sheetId="7781" refreshError="1"/>
      <sheetData sheetId="7782" refreshError="1"/>
      <sheetData sheetId="7783" refreshError="1"/>
      <sheetData sheetId="7784" refreshError="1"/>
      <sheetData sheetId="7785" refreshError="1"/>
      <sheetData sheetId="7786" refreshError="1"/>
      <sheetData sheetId="7787" refreshError="1"/>
      <sheetData sheetId="7788" refreshError="1"/>
      <sheetData sheetId="7789" refreshError="1"/>
      <sheetData sheetId="7790" refreshError="1"/>
      <sheetData sheetId="7791" refreshError="1"/>
      <sheetData sheetId="7792" refreshError="1"/>
      <sheetData sheetId="7793" refreshError="1"/>
      <sheetData sheetId="7794" refreshError="1"/>
      <sheetData sheetId="7795" refreshError="1"/>
      <sheetData sheetId="7796" refreshError="1"/>
      <sheetData sheetId="7797" refreshError="1"/>
      <sheetData sheetId="7798" refreshError="1"/>
      <sheetData sheetId="7799" refreshError="1"/>
      <sheetData sheetId="7800" refreshError="1"/>
      <sheetData sheetId="7801" refreshError="1"/>
      <sheetData sheetId="7802" refreshError="1"/>
      <sheetData sheetId="7803" refreshError="1"/>
      <sheetData sheetId="7804" refreshError="1"/>
      <sheetData sheetId="7805" refreshError="1"/>
      <sheetData sheetId="7806" refreshError="1"/>
      <sheetData sheetId="7807" refreshError="1"/>
      <sheetData sheetId="7808" refreshError="1"/>
      <sheetData sheetId="7809" refreshError="1"/>
      <sheetData sheetId="7810" refreshError="1"/>
      <sheetData sheetId="7811" refreshError="1"/>
      <sheetData sheetId="7812" refreshError="1"/>
      <sheetData sheetId="7813" refreshError="1"/>
      <sheetData sheetId="7814" refreshError="1"/>
      <sheetData sheetId="7815" refreshError="1"/>
      <sheetData sheetId="7816" refreshError="1"/>
      <sheetData sheetId="7817" refreshError="1"/>
      <sheetData sheetId="7818" refreshError="1"/>
      <sheetData sheetId="7819" refreshError="1"/>
      <sheetData sheetId="7820" refreshError="1"/>
      <sheetData sheetId="7821" refreshError="1"/>
      <sheetData sheetId="7822" refreshError="1"/>
      <sheetData sheetId="7823" refreshError="1"/>
      <sheetData sheetId="7824" refreshError="1"/>
      <sheetData sheetId="7825" refreshError="1"/>
      <sheetData sheetId="7826" refreshError="1"/>
      <sheetData sheetId="7827" refreshError="1"/>
      <sheetData sheetId="7828" refreshError="1"/>
      <sheetData sheetId="7829" refreshError="1"/>
      <sheetData sheetId="7830" refreshError="1"/>
      <sheetData sheetId="7831" refreshError="1"/>
      <sheetData sheetId="7832" refreshError="1"/>
      <sheetData sheetId="7833" refreshError="1"/>
      <sheetData sheetId="7834" refreshError="1"/>
      <sheetData sheetId="7835" refreshError="1"/>
      <sheetData sheetId="7836" refreshError="1"/>
      <sheetData sheetId="7837" refreshError="1"/>
      <sheetData sheetId="7838" refreshError="1"/>
      <sheetData sheetId="7839" refreshError="1"/>
      <sheetData sheetId="7840" refreshError="1"/>
      <sheetData sheetId="7841" refreshError="1"/>
      <sheetData sheetId="7842" refreshError="1"/>
      <sheetData sheetId="7843" refreshError="1"/>
      <sheetData sheetId="7844" refreshError="1"/>
      <sheetData sheetId="7845" refreshError="1"/>
      <sheetData sheetId="7846" refreshError="1"/>
      <sheetData sheetId="7847" refreshError="1"/>
      <sheetData sheetId="7848" refreshError="1"/>
      <sheetData sheetId="7849" refreshError="1"/>
      <sheetData sheetId="7850" refreshError="1"/>
      <sheetData sheetId="7851" refreshError="1"/>
      <sheetData sheetId="7852" refreshError="1"/>
      <sheetData sheetId="7853" refreshError="1"/>
      <sheetData sheetId="7854" refreshError="1"/>
      <sheetData sheetId="7855" refreshError="1"/>
      <sheetData sheetId="7856" refreshError="1"/>
      <sheetData sheetId="7857" refreshError="1"/>
      <sheetData sheetId="7858" refreshError="1"/>
      <sheetData sheetId="7859" refreshError="1"/>
      <sheetData sheetId="7860" refreshError="1"/>
      <sheetData sheetId="7861" refreshError="1"/>
      <sheetData sheetId="7862" refreshError="1"/>
      <sheetData sheetId="7863" refreshError="1"/>
      <sheetData sheetId="7864" refreshError="1"/>
      <sheetData sheetId="7865" refreshError="1"/>
      <sheetData sheetId="7866" refreshError="1"/>
      <sheetData sheetId="7867" refreshError="1"/>
      <sheetData sheetId="7868" refreshError="1"/>
      <sheetData sheetId="7869" refreshError="1"/>
      <sheetData sheetId="7870" refreshError="1"/>
      <sheetData sheetId="7871" refreshError="1"/>
      <sheetData sheetId="7872" refreshError="1"/>
      <sheetData sheetId="7873" refreshError="1"/>
      <sheetData sheetId="7874" refreshError="1"/>
      <sheetData sheetId="7875" refreshError="1"/>
      <sheetData sheetId="7876" refreshError="1"/>
      <sheetData sheetId="7877" refreshError="1"/>
      <sheetData sheetId="7878" refreshError="1"/>
      <sheetData sheetId="7879" refreshError="1"/>
      <sheetData sheetId="7880" refreshError="1"/>
      <sheetData sheetId="7881" refreshError="1"/>
      <sheetData sheetId="7882" refreshError="1"/>
      <sheetData sheetId="7883" refreshError="1"/>
      <sheetData sheetId="7884" refreshError="1"/>
      <sheetData sheetId="7885" refreshError="1"/>
      <sheetData sheetId="7886" refreshError="1"/>
      <sheetData sheetId="7887" refreshError="1"/>
      <sheetData sheetId="7888" refreshError="1"/>
      <sheetData sheetId="7889" refreshError="1"/>
      <sheetData sheetId="7890" refreshError="1"/>
      <sheetData sheetId="7891" refreshError="1"/>
      <sheetData sheetId="7892" refreshError="1"/>
      <sheetData sheetId="7893" refreshError="1"/>
      <sheetData sheetId="7894" refreshError="1"/>
      <sheetData sheetId="7895" refreshError="1"/>
      <sheetData sheetId="7896" refreshError="1"/>
      <sheetData sheetId="7897" refreshError="1"/>
      <sheetData sheetId="7898" refreshError="1"/>
      <sheetData sheetId="7899" refreshError="1"/>
      <sheetData sheetId="7900" refreshError="1"/>
      <sheetData sheetId="7901" refreshError="1"/>
      <sheetData sheetId="7902" refreshError="1"/>
      <sheetData sheetId="7903" refreshError="1"/>
      <sheetData sheetId="7904" refreshError="1"/>
      <sheetData sheetId="7905" refreshError="1"/>
      <sheetData sheetId="7906" refreshError="1"/>
      <sheetData sheetId="7907" refreshError="1"/>
      <sheetData sheetId="7908" refreshError="1"/>
      <sheetData sheetId="7909" refreshError="1"/>
      <sheetData sheetId="7910" refreshError="1"/>
      <sheetData sheetId="7911" refreshError="1"/>
      <sheetData sheetId="7912" refreshError="1"/>
      <sheetData sheetId="7913" refreshError="1"/>
      <sheetData sheetId="7914" refreshError="1"/>
      <sheetData sheetId="7915" refreshError="1"/>
      <sheetData sheetId="7916" refreshError="1"/>
      <sheetData sheetId="7917" refreshError="1"/>
      <sheetData sheetId="7918" refreshError="1"/>
      <sheetData sheetId="7919" refreshError="1"/>
      <sheetData sheetId="7920" refreshError="1"/>
      <sheetData sheetId="7921" refreshError="1"/>
      <sheetData sheetId="7922" refreshError="1"/>
      <sheetData sheetId="7923" refreshError="1"/>
      <sheetData sheetId="7924" refreshError="1"/>
      <sheetData sheetId="7925" refreshError="1"/>
      <sheetData sheetId="7926" refreshError="1"/>
      <sheetData sheetId="7927" refreshError="1"/>
      <sheetData sheetId="7928" refreshError="1"/>
      <sheetData sheetId="7929" refreshError="1"/>
      <sheetData sheetId="7930" refreshError="1"/>
      <sheetData sheetId="7931" refreshError="1"/>
      <sheetData sheetId="7932" refreshError="1"/>
      <sheetData sheetId="7933" refreshError="1"/>
      <sheetData sheetId="7934" refreshError="1"/>
      <sheetData sheetId="7935" refreshError="1"/>
      <sheetData sheetId="7936" refreshError="1"/>
      <sheetData sheetId="7937" refreshError="1"/>
      <sheetData sheetId="7938" refreshError="1"/>
      <sheetData sheetId="7939" refreshError="1"/>
      <sheetData sheetId="7940" refreshError="1"/>
      <sheetData sheetId="7941" refreshError="1"/>
      <sheetData sheetId="7942" refreshError="1"/>
      <sheetData sheetId="7943" refreshError="1"/>
      <sheetData sheetId="7944" refreshError="1"/>
      <sheetData sheetId="7945" refreshError="1"/>
      <sheetData sheetId="7946" refreshError="1"/>
      <sheetData sheetId="7947" refreshError="1"/>
      <sheetData sheetId="7948" refreshError="1"/>
      <sheetData sheetId="7949" refreshError="1"/>
      <sheetData sheetId="7950" refreshError="1"/>
      <sheetData sheetId="7951" refreshError="1"/>
      <sheetData sheetId="7952" refreshError="1"/>
      <sheetData sheetId="7953" refreshError="1"/>
      <sheetData sheetId="7954" refreshError="1"/>
      <sheetData sheetId="7955" refreshError="1"/>
      <sheetData sheetId="7956" refreshError="1"/>
      <sheetData sheetId="7957" refreshError="1"/>
      <sheetData sheetId="7958" refreshError="1"/>
      <sheetData sheetId="7959" refreshError="1"/>
      <sheetData sheetId="7960" refreshError="1"/>
      <sheetData sheetId="7961" refreshError="1"/>
      <sheetData sheetId="7962" refreshError="1"/>
      <sheetData sheetId="7963" refreshError="1"/>
      <sheetData sheetId="7964" refreshError="1"/>
      <sheetData sheetId="7965" refreshError="1"/>
      <sheetData sheetId="7966" refreshError="1"/>
      <sheetData sheetId="7967" refreshError="1"/>
      <sheetData sheetId="7968" refreshError="1"/>
      <sheetData sheetId="7969" refreshError="1"/>
      <sheetData sheetId="7970" refreshError="1"/>
      <sheetData sheetId="7971" refreshError="1"/>
      <sheetData sheetId="7972" refreshError="1"/>
      <sheetData sheetId="7973" refreshError="1"/>
      <sheetData sheetId="7974" refreshError="1"/>
      <sheetData sheetId="7975" refreshError="1"/>
      <sheetData sheetId="7976" refreshError="1"/>
      <sheetData sheetId="7977" refreshError="1"/>
      <sheetData sheetId="7978" refreshError="1"/>
      <sheetData sheetId="7979" refreshError="1"/>
      <sheetData sheetId="7980" refreshError="1"/>
      <sheetData sheetId="7981" refreshError="1"/>
      <sheetData sheetId="7982" refreshError="1"/>
      <sheetData sheetId="7983" refreshError="1"/>
      <sheetData sheetId="7984" refreshError="1"/>
      <sheetData sheetId="7985" refreshError="1"/>
      <sheetData sheetId="7986" refreshError="1"/>
      <sheetData sheetId="7987" refreshError="1"/>
      <sheetData sheetId="7988" refreshError="1"/>
      <sheetData sheetId="7989" refreshError="1"/>
      <sheetData sheetId="7990" refreshError="1"/>
      <sheetData sheetId="7991" refreshError="1"/>
      <sheetData sheetId="7992" refreshError="1"/>
      <sheetData sheetId="7993" refreshError="1"/>
      <sheetData sheetId="7994" refreshError="1"/>
      <sheetData sheetId="7995" refreshError="1"/>
      <sheetData sheetId="7996" refreshError="1"/>
      <sheetData sheetId="7997" refreshError="1"/>
      <sheetData sheetId="7998" refreshError="1"/>
      <sheetData sheetId="7999" refreshError="1"/>
      <sheetData sheetId="8000" refreshError="1"/>
      <sheetData sheetId="8001" refreshError="1"/>
      <sheetData sheetId="8002" refreshError="1"/>
      <sheetData sheetId="8003" refreshError="1"/>
      <sheetData sheetId="8004" refreshError="1"/>
      <sheetData sheetId="8005" refreshError="1"/>
      <sheetData sheetId="8006" refreshError="1"/>
      <sheetData sheetId="8007" refreshError="1"/>
      <sheetData sheetId="8008" refreshError="1"/>
      <sheetData sheetId="8009" refreshError="1"/>
      <sheetData sheetId="8010" refreshError="1"/>
      <sheetData sheetId="8011" refreshError="1"/>
      <sheetData sheetId="8012" refreshError="1"/>
      <sheetData sheetId="8013" refreshError="1"/>
      <sheetData sheetId="8014" refreshError="1"/>
      <sheetData sheetId="8015" refreshError="1"/>
      <sheetData sheetId="8016" refreshError="1"/>
      <sheetData sheetId="8017" refreshError="1"/>
      <sheetData sheetId="8018" refreshError="1"/>
      <sheetData sheetId="8019" refreshError="1"/>
      <sheetData sheetId="8020" refreshError="1"/>
      <sheetData sheetId="8021" refreshError="1"/>
      <sheetData sheetId="8022" refreshError="1"/>
      <sheetData sheetId="8023" refreshError="1"/>
      <sheetData sheetId="8024" refreshError="1"/>
      <sheetData sheetId="8025" refreshError="1"/>
      <sheetData sheetId="8026" refreshError="1"/>
      <sheetData sheetId="8027" refreshError="1"/>
      <sheetData sheetId="8028" refreshError="1"/>
      <sheetData sheetId="8029" refreshError="1"/>
      <sheetData sheetId="8030" refreshError="1"/>
      <sheetData sheetId="8031" refreshError="1"/>
      <sheetData sheetId="8032" refreshError="1"/>
      <sheetData sheetId="8033" refreshError="1"/>
      <sheetData sheetId="8034" refreshError="1"/>
      <sheetData sheetId="8035" refreshError="1"/>
      <sheetData sheetId="8036" refreshError="1"/>
      <sheetData sheetId="8037" refreshError="1"/>
      <sheetData sheetId="8038" refreshError="1"/>
      <sheetData sheetId="8039" refreshError="1"/>
      <sheetData sheetId="8040" refreshError="1"/>
      <sheetData sheetId="8041" refreshError="1"/>
      <sheetData sheetId="8042" refreshError="1"/>
      <sheetData sheetId="8043" refreshError="1"/>
      <sheetData sheetId="8044" refreshError="1"/>
      <sheetData sheetId="8045" refreshError="1"/>
      <sheetData sheetId="8046" refreshError="1"/>
      <sheetData sheetId="8047" refreshError="1"/>
      <sheetData sheetId="8048" refreshError="1"/>
      <sheetData sheetId="8049" refreshError="1"/>
      <sheetData sheetId="8050" refreshError="1"/>
      <sheetData sheetId="8051" refreshError="1"/>
      <sheetData sheetId="8052" refreshError="1"/>
      <sheetData sheetId="8053" refreshError="1"/>
      <sheetData sheetId="8054" refreshError="1"/>
      <sheetData sheetId="8055" refreshError="1"/>
      <sheetData sheetId="8056" refreshError="1"/>
      <sheetData sheetId="8057" refreshError="1"/>
      <sheetData sheetId="8058" refreshError="1"/>
      <sheetData sheetId="8059" refreshError="1"/>
      <sheetData sheetId="8060" refreshError="1"/>
      <sheetData sheetId="8061" refreshError="1"/>
      <sheetData sheetId="8062" refreshError="1"/>
      <sheetData sheetId="8063" refreshError="1"/>
      <sheetData sheetId="8064" refreshError="1"/>
      <sheetData sheetId="8065" refreshError="1"/>
      <sheetData sheetId="8066" refreshError="1"/>
      <sheetData sheetId="8067" refreshError="1"/>
      <sheetData sheetId="8068" refreshError="1"/>
      <sheetData sheetId="8069" refreshError="1"/>
      <sheetData sheetId="8070" refreshError="1"/>
      <sheetData sheetId="8071" refreshError="1"/>
      <sheetData sheetId="8072" refreshError="1"/>
      <sheetData sheetId="8073" refreshError="1"/>
      <sheetData sheetId="8074" refreshError="1"/>
      <sheetData sheetId="8075" refreshError="1"/>
      <sheetData sheetId="8076" refreshError="1"/>
      <sheetData sheetId="8077" refreshError="1"/>
      <sheetData sheetId="8078" refreshError="1"/>
      <sheetData sheetId="8079" refreshError="1"/>
      <sheetData sheetId="8080" refreshError="1"/>
      <sheetData sheetId="8081" refreshError="1"/>
      <sheetData sheetId="8082" refreshError="1"/>
      <sheetData sheetId="8083" refreshError="1"/>
      <sheetData sheetId="8084" refreshError="1"/>
      <sheetData sheetId="8085" refreshError="1"/>
      <sheetData sheetId="8086" refreshError="1"/>
      <sheetData sheetId="8087" refreshError="1"/>
      <sheetData sheetId="8088" refreshError="1"/>
      <sheetData sheetId="8089" refreshError="1"/>
      <sheetData sheetId="8090" refreshError="1"/>
      <sheetData sheetId="8091" refreshError="1"/>
      <sheetData sheetId="8092" refreshError="1"/>
      <sheetData sheetId="8093" refreshError="1"/>
      <sheetData sheetId="8094" refreshError="1"/>
      <sheetData sheetId="8095" refreshError="1"/>
      <sheetData sheetId="8096" refreshError="1"/>
      <sheetData sheetId="8097" refreshError="1"/>
      <sheetData sheetId="8098" refreshError="1"/>
      <sheetData sheetId="8099" refreshError="1"/>
      <sheetData sheetId="8100" refreshError="1"/>
      <sheetData sheetId="8101" refreshError="1"/>
      <sheetData sheetId="8102" refreshError="1"/>
      <sheetData sheetId="8103" refreshError="1"/>
      <sheetData sheetId="8104" refreshError="1"/>
      <sheetData sheetId="8105" refreshError="1"/>
      <sheetData sheetId="8106" refreshError="1"/>
      <sheetData sheetId="8107" refreshError="1"/>
      <sheetData sheetId="8108" refreshError="1"/>
      <sheetData sheetId="8109" refreshError="1"/>
      <sheetData sheetId="8110" refreshError="1"/>
      <sheetData sheetId="8111" refreshError="1"/>
      <sheetData sheetId="8112" refreshError="1"/>
      <sheetData sheetId="8113" refreshError="1"/>
      <sheetData sheetId="8114" refreshError="1"/>
      <sheetData sheetId="8115" refreshError="1"/>
      <sheetData sheetId="8116" refreshError="1"/>
      <sheetData sheetId="8117" refreshError="1"/>
      <sheetData sheetId="8118" refreshError="1"/>
      <sheetData sheetId="8119" refreshError="1"/>
      <sheetData sheetId="8120" refreshError="1"/>
      <sheetData sheetId="8121" refreshError="1"/>
      <sheetData sheetId="8122" refreshError="1"/>
      <sheetData sheetId="8123" refreshError="1"/>
      <sheetData sheetId="8124" refreshError="1"/>
      <sheetData sheetId="8125" refreshError="1"/>
      <sheetData sheetId="8126" refreshError="1"/>
      <sheetData sheetId="8127" refreshError="1"/>
      <sheetData sheetId="8128" refreshError="1"/>
      <sheetData sheetId="8129" refreshError="1"/>
      <sheetData sheetId="8130" refreshError="1"/>
      <sheetData sheetId="8131" refreshError="1"/>
      <sheetData sheetId="8132" refreshError="1"/>
      <sheetData sheetId="8133" refreshError="1"/>
      <sheetData sheetId="8134" refreshError="1"/>
      <sheetData sheetId="8135" refreshError="1"/>
      <sheetData sheetId="8136" refreshError="1"/>
      <sheetData sheetId="8137" refreshError="1"/>
      <sheetData sheetId="8138" refreshError="1"/>
      <sheetData sheetId="8139" refreshError="1"/>
      <sheetData sheetId="8140" refreshError="1"/>
      <sheetData sheetId="8141" refreshError="1"/>
      <sheetData sheetId="8142" refreshError="1"/>
      <sheetData sheetId="8143" refreshError="1"/>
      <sheetData sheetId="8144" refreshError="1"/>
      <sheetData sheetId="8145" refreshError="1"/>
      <sheetData sheetId="8146" refreshError="1"/>
      <sheetData sheetId="8147" refreshError="1"/>
      <sheetData sheetId="8148" refreshError="1"/>
      <sheetData sheetId="8149" refreshError="1"/>
      <sheetData sheetId="8150" refreshError="1"/>
      <sheetData sheetId="8151" refreshError="1"/>
      <sheetData sheetId="8152" refreshError="1"/>
      <sheetData sheetId="8153" refreshError="1"/>
      <sheetData sheetId="8154" refreshError="1"/>
      <sheetData sheetId="8155" refreshError="1"/>
      <sheetData sheetId="8156" refreshError="1"/>
      <sheetData sheetId="8157" refreshError="1"/>
      <sheetData sheetId="8158" refreshError="1"/>
      <sheetData sheetId="8159" refreshError="1"/>
      <sheetData sheetId="8160" refreshError="1"/>
      <sheetData sheetId="8161" refreshError="1"/>
      <sheetData sheetId="8162" refreshError="1"/>
      <sheetData sheetId="8163" refreshError="1"/>
      <sheetData sheetId="8164" refreshError="1"/>
      <sheetData sheetId="8165" refreshError="1"/>
      <sheetData sheetId="8166" refreshError="1"/>
      <sheetData sheetId="8167" refreshError="1"/>
      <sheetData sheetId="8168" refreshError="1"/>
      <sheetData sheetId="8169" refreshError="1"/>
      <sheetData sheetId="8170" refreshError="1"/>
      <sheetData sheetId="8171" refreshError="1"/>
      <sheetData sheetId="8172" refreshError="1"/>
      <sheetData sheetId="8173" refreshError="1"/>
      <sheetData sheetId="8174" refreshError="1"/>
      <sheetData sheetId="8175" refreshError="1"/>
      <sheetData sheetId="8176" refreshError="1"/>
      <sheetData sheetId="8177" refreshError="1"/>
      <sheetData sheetId="8178" refreshError="1"/>
      <sheetData sheetId="8179" refreshError="1"/>
      <sheetData sheetId="8180" refreshError="1"/>
      <sheetData sheetId="8181" refreshError="1"/>
      <sheetData sheetId="8182" refreshError="1"/>
      <sheetData sheetId="8183" refreshError="1"/>
      <sheetData sheetId="8184" refreshError="1"/>
      <sheetData sheetId="8185" refreshError="1"/>
      <sheetData sheetId="8186" refreshError="1"/>
      <sheetData sheetId="8187" refreshError="1"/>
      <sheetData sheetId="8188" refreshError="1"/>
      <sheetData sheetId="8189" refreshError="1"/>
      <sheetData sheetId="8190" refreshError="1"/>
      <sheetData sheetId="8191" refreshError="1"/>
      <sheetData sheetId="8192" refreshError="1"/>
      <sheetData sheetId="8193" refreshError="1"/>
      <sheetData sheetId="8194" refreshError="1"/>
      <sheetData sheetId="8195" refreshError="1"/>
      <sheetData sheetId="8196" refreshError="1"/>
      <sheetData sheetId="8197" refreshError="1"/>
      <sheetData sheetId="8198" refreshError="1"/>
      <sheetData sheetId="8199" refreshError="1"/>
      <sheetData sheetId="8200" refreshError="1"/>
      <sheetData sheetId="8201" refreshError="1"/>
      <sheetData sheetId="8202" refreshError="1"/>
      <sheetData sheetId="8203" refreshError="1"/>
      <sheetData sheetId="8204" refreshError="1"/>
      <sheetData sheetId="8205" refreshError="1"/>
      <sheetData sheetId="8206" refreshError="1"/>
      <sheetData sheetId="8207" refreshError="1"/>
      <sheetData sheetId="8208" refreshError="1"/>
      <sheetData sheetId="8209" refreshError="1"/>
      <sheetData sheetId="8210" refreshError="1"/>
      <sheetData sheetId="8211" refreshError="1"/>
      <sheetData sheetId="8212" refreshError="1"/>
      <sheetData sheetId="8213" refreshError="1"/>
      <sheetData sheetId="8214" refreshError="1"/>
      <sheetData sheetId="8215" refreshError="1"/>
      <sheetData sheetId="8216" refreshError="1"/>
      <sheetData sheetId="8217" refreshError="1"/>
      <sheetData sheetId="8218" refreshError="1"/>
      <sheetData sheetId="8219" refreshError="1"/>
      <sheetData sheetId="8220" refreshError="1"/>
      <sheetData sheetId="8221" refreshError="1"/>
      <sheetData sheetId="8222" refreshError="1"/>
      <sheetData sheetId="8223" refreshError="1"/>
      <sheetData sheetId="8224" refreshError="1"/>
      <sheetData sheetId="8225" refreshError="1"/>
      <sheetData sheetId="8226" refreshError="1"/>
      <sheetData sheetId="8227" refreshError="1"/>
      <sheetData sheetId="8228" refreshError="1"/>
      <sheetData sheetId="8229" refreshError="1"/>
      <sheetData sheetId="8230" refreshError="1"/>
      <sheetData sheetId="8231" refreshError="1"/>
      <sheetData sheetId="8232" refreshError="1"/>
      <sheetData sheetId="8233" refreshError="1"/>
      <sheetData sheetId="8234" refreshError="1"/>
      <sheetData sheetId="8235" refreshError="1"/>
      <sheetData sheetId="8236" refreshError="1"/>
      <sheetData sheetId="8237" refreshError="1"/>
      <sheetData sheetId="8238" refreshError="1"/>
      <sheetData sheetId="8239" refreshError="1"/>
      <sheetData sheetId="8240" refreshError="1"/>
      <sheetData sheetId="8241" refreshError="1"/>
      <sheetData sheetId="8242" refreshError="1"/>
      <sheetData sheetId="8243" refreshError="1"/>
      <sheetData sheetId="8244" refreshError="1"/>
      <sheetData sheetId="8245" refreshError="1"/>
      <sheetData sheetId="8246" refreshError="1"/>
      <sheetData sheetId="8247" refreshError="1"/>
      <sheetData sheetId="8248" refreshError="1"/>
      <sheetData sheetId="8249" refreshError="1"/>
      <sheetData sheetId="8250" refreshError="1"/>
      <sheetData sheetId="8251" refreshError="1"/>
      <sheetData sheetId="8252" refreshError="1"/>
      <sheetData sheetId="8253" refreshError="1"/>
      <sheetData sheetId="8254" refreshError="1"/>
      <sheetData sheetId="8255" refreshError="1"/>
      <sheetData sheetId="8256" refreshError="1"/>
      <sheetData sheetId="8257" refreshError="1"/>
      <sheetData sheetId="8258" refreshError="1"/>
      <sheetData sheetId="8259" refreshError="1"/>
      <sheetData sheetId="8260" refreshError="1"/>
      <sheetData sheetId="8261" refreshError="1"/>
      <sheetData sheetId="8262" refreshError="1"/>
      <sheetData sheetId="8263" refreshError="1"/>
      <sheetData sheetId="8264" refreshError="1"/>
      <sheetData sheetId="8265" refreshError="1"/>
      <sheetData sheetId="8266" refreshError="1"/>
      <sheetData sheetId="8267" refreshError="1"/>
      <sheetData sheetId="8268" refreshError="1"/>
      <sheetData sheetId="8269" refreshError="1"/>
      <sheetData sheetId="8270" refreshError="1"/>
      <sheetData sheetId="8271" refreshError="1"/>
      <sheetData sheetId="8272" refreshError="1"/>
      <sheetData sheetId="8273" refreshError="1"/>
      <sheetData sheetId="8274" refreshError="1"/>
      <sheetData sheetId="8275" refreshError="1"/>
      <sheetData sheetId="8276" refreshError="1"/>
      <sheetData sheetId="8277" refreshError="1"/>
      <sheetData sheetId="8278" refreshError="1"/>
      <sheetData sheetId="8279" refreshError="1"/>
      <sheetData sheetId="8280" refreshError="1"/>
      <sheetData sheetId="8281" refreshError="1"/>
      <sheetData sheetId="8282" refreshError="1"/>
      <sheetData sheetId="8283" refreshError="1"/>
      <sheetData sheetId="8284" refreshError="1"/>
      <sheetData sheetId="8285" refreshError="1"/>
      <sheetData sheetId="8286" refreshError="1"/>
      <sheetData sheetId="8287" refreshError="1"/>
      <sheetData sheetId="8288" refreshError="1"/>
      <sheetData sheetId="8289" refreshError="1"/>
      <sheetData sheetId="8290" refreshError="1"/>
      <sheetData sheetId="8291" refreshError="1"/>
      <sheetData sheetId="8292" refreshError="1"/>
      <sheetData sheetId="8293" refreshError="1"/>
      <sheetData sheetId="8294" refreshError="1"/>
      <sheetData sheetId="8295" refreshError="1"/>
      <sheetData sheetId="8296" refreshError="1"/>
      <sheetData sheetId="8297" refreshError="1"/>
      <sheetData sheetId="8298" refreshError="1"/>
      <sheetData sheetId="8299" refreshError="1"/>
      <sheetData sheetId="8300" refreshError="1"/>
      <sheetData sheetId="8301" refreshError="1"/>
      <sheetData sheetId="8302" refreshError="1"/>
      <sheetData sheetId="8303" refreshError="1"/>
      <sheetData sheetId="8304" refreshError="1"/>
      <sheetData sheetId="8305" refreshError="1"/>
      <sheetData sheetId="8306" refreshError="1"/>
      <sheetData sheetId="8307" refreshError="1"/>
      <sheetData sheetId="8308" refreshError="1"/>
      <sheetData sheetId="8309" refreshError="1"/>
      <sheetData sheetId="8310" refreshError="1"/>
      <sheetData sheetId="8311" refreshError="1"/>
      <sheetData sheetId="8312" refreshError="1"/>
      <sheetData sheetId="8313" refreshError="1"/>
      <sheetData sheetId="8314" refreshError="1"/>
      <sheetData sheetId="8315" refreshError="1"/>
      <sheetData sheetId="8316" refreshError="1"/>
      <sheetData sheetId="8317" refreshError="1"/>
      <sheetData sheetId="8318" refreshError="1"/>
      <sheetData sheetId="8319" refreshError="1"/>
      <sheetData sheetId="8320" refreshError="1"/>
      <sheetData sheetId="8321" refreshError="1"/>
      <sheetData sheetId="8322" refreshError="1"/>
      <sheetData sheetId="8323" refreshError="1"/>
      <sheetData sheetId="8324" refreshError="1"/>
      <sheetData sheetId="8325" refreshError="1"/>
      <sheetData sheetId="8326" refreshError="1"/>
      <sheetData sheetId="8327" refreshError="1"/>
      <sheetData sheetId="8328" refreshError="1"/>
      <sheetData sheetId="8329" refreshError="1"/>
      <sheetData sheetId="8330" refreshError="1"/>
      <sheetData sheetId="8331" refreshError="1"/>
      <sheetData sheetId="8332" refreshError="1"/>
      <sheetData sheetId="8333" refreshError="1"/>
      <sheetData sheetId="8334" refreshError="1"/>
      <sheetData sheetId="8335" refreshError="1"/>
      <sheetData sheetId="8336" refreshError="1"/>
      <sheetData sheetId="8337" refreshError="1"/>
      <sheetData sheetId="8338" refreshError="1"/>
      <sheetData sheetId="8339" refreshError="1"/>
      <sheetData sheetId="8340" refreshError="1"/>
      <sheetData sheetId="8341" refreshError="1"/>
      <sheetData sheetId="8342" refreshError="1"/>
      <sheetData sheetId="8343" refreshError="1"/>
      <sheetData sheetId="8344" refreshError="1"/>
      <sheetData sheetId="8345" refreshError="1"/>
      <sheetData sheetId="8346" refreshError="1"/>
      <sheetData sheetId="8347" refreshError="1"/>
      <sheetData sheetId="8348" refreshError="1"/>
      <sheetData sheetId="8349" refreshError="1"/>
      <sheetData sheetId="8350" refreshError="1"/>
      <sheetData sheetId="8351" refreshError="1"/>
      <sheetData sheetId="8352" refreshError="1"/>
      <sheetData sheetId="8353" refreshError="1"/>
      <sheetData sheetId="8354" refreshError="1"/>
      <sheetData sheetId="8355" refreshError="1"/>
      <sheetData sheetId="8356" refreshError="1"/>
      <sheetData sheetId="8357" refreshError="1"/>
      <sheetData sheetId="8358" refreshError="1"/>
      <sheetData sheetId="8359" refreshError="1"/>
      <sheetData sheetId="8360" refreshError="1"/>
      <sheetData sheetId="8361" refreshError="1"/>
      <sheetData sheetId="8362" refreshError="1"/>
      <sheetData sheetId="8363" refreshError="1"/>
      <sheetData sheetId="8364" refreshError="1"/>
      <sheetData sheetId="8365" refreshError="1"/>
      <sheetData sheetId="8366" refreshError="1"/>
      <sheetData sheetId="8367" refreshError="1"/>
      <sheetData sheetId="8368" refreshError="1"/>
      <sheetData sheetId="8369" refreshError="1"/>
      <sheetData sheetId="8370" refreshError="1"/>
      <sheetData sheetId="8371" refreshError="1"/>
      <sheetData sheetId="8372" refreshError="1"/>
      <sheetData sheetId="8373" refreshError="1"/>
      <sheetData sheetId="8374" refreshError="1"/>
      <sheetData sheetId="8375" refreshError="1"/>
      <sheetData sheetId="8376" refreshError="1"/>
      <sheetData sheetId="8377" refreshError="1"/>
      <sheetData sheetId="8378" refreshError="1"/>
      <sheetData sheetId="8379" refreshError="1"/>
      <sheetData sheetId="8380" refreshError="1"/>
      <sheetData sheetId="8381" refreshError="1"/>
      <sheetData sheetId="8382" refreshError="1"/>
      <sheetData sheetId="8383" refreshError="1"/>
      <sheetData sheetId="8384" refreshError="1"/>
      <sheetData sheetId="8385" refreshError="1"/>
      <sheetData sheetId="8386" refreshError="1"/>
      <sheetData sheetId="8387" refreshError="1"/>
      <sheetData sheetId="8388" refreshError="1"/>
      <sheetData sheetId="8389" refreshError="1"/>
      <sheetData sheetId="8390" refreshError="1"/>
      <sheetData sheetId="8391" refreshError="1"/>
      <sheetData sheetId="8392" refreshError="1"/>
      <sheetData sheetId="8393" refreshError="1"/>
      <sheetData sheetId="8394" refreshError="1"/>
      <sheetData sheetId="8395" refreshError="1"/>
      <sheetData sheetId="8396" refreshError="1"/>
      <sheetData sheetId="8397" refreshError="1"/>
      <sheetData sheetId="8398" refreshError="1"/>
      <sheetData sheetId="8399" refreshError="1"/>
      <sheetData sheetId="8400" refreshError="1"/>
      <sheetData sheetId="8401" refreshError="1"/>
      <sheetData sheetId="8402" refreshError="1"/>
      <sheetData sheetId="8403" refreshError="1"/>
      <sheetData sheetId="8404" refreshError="1"/>
      <sheetData sheetId="8405" refreshError="1"/>
      <sheetData sheetId="8406" refreshError="1"/>
      <sheetData sheetId="8407" refreshError="1"/>
      <sheetData sheetId="8408" refreshError="1"/>
      <sheetData sheetId="8409" refreshError="1"/>
      <sheetData sheetId="8410" refreshError="1"/>
      <sheetData sheetId="8411" refreshError="1"/>
      <sheetData sheetId="8412" refreshError="1"/>
      <sheetData sheetId="8413" refreshError="1"/>
      <sheetData sheetId="8414" refreshError="1"/>
      <sheetData sheetId="8415" refreshError="1"/>
      <sheetData sheetId="8416" refreshError="1"/>
      <sheetData sheetId="8417" refreshError="1"/>
      <sheetData sheetId="8418" refreshError="1"/>
      <sheetData sheetId="8419" refreshError="1"/>
      <sheetData sheetId="8420" refreshError="1"/>
      <sheetData sheetId="8421" refreshError="1"/>
      <sheetData sheetId="8422" refreshError="1"/>
      <sheetData sheetId="8423" refreshError="1"/>
      <sheetData sheetId="8424" refreshError="1"/>
      <sheetData sheetId="8425" refreshError="1"/>
      <sheetData sheetId="8426" refreshError="1"/>
      <sheetData sheetId="8427" refreshError="1"/>
      <sheetData sheetId="8428" refreshError="1"/>
      <sheetData sheetId="8429" refreshError="1"/>
      <sheetData sheetId="8430" refreshError="1"/>
      <sheetData sheetId="8431" refreshError="1"/>
      <sheetData sheetId="8432" refreshError="1"/>
      <sheetData sheetId="8433" refreshError="1"/>
      <sheetData sheetId="8434" refreshError="1"/>
      <sheetData sheetId="8435" refreshError="1"/>
      <sheetData sheetId="8436" refreshError="1"/>
      <sheetData sheetId="8437" refreshError="1"/>
      <sheetData sheetId="8438" refreshError="1"/>
      <sheetData sheetId="8439" refreshError="1"/>
      <sheetData sheetId="8440" refreshError="1"/>
      <sheetData sheetId="8441" refreshError="1"/>
      <sheetData sheetId="8442" refreshError="1"/>
      <sheetData sheetId="8443" refreshError="1"/>
      <sheetData sheetId="8444" refreshError="1"/>
      <sheetData sheetId="8445" refreshError="1"/>
      <sheetData sheetId="8446" refreshError="1"/>
      <sheetData sheetId="8447" refreshError="1"/>
      <sheetData sheetId="8448" refreshError="1"/>
      <sheetData sheetId="8449" refreshError="1"/>
      <sheetData sheetId="8450" refreshError="1"/>
      <sheetData sheetId="8451" refreshError="1"/>
      <sheetData sheetId="8452" refreshError="1"/>
      <sheetData sheetId="8453" refreshError="1"/>
      <sheetData sheetId="8454" refreshError="1"/>
      <sheetData sheetId="8455" refreshError="1"/>
      <sheetData sheetId="8456" refreshError="1"/>
      <sheetData sheetId="8457" refreshError="1"/>
      <sheetData sheetId="8458" refreshError="1"/>
      <sheetData sheetId="8459" refreshError="1"/>
      <sheetData sheetId="8460" refreshError="1"/>
      <sheetData sheetId="8461" refreshError="1"/>
      <sheetData sheetId="8462" refreshError="1"/>
      <sheetData sheetId="8463" refreshError="1"/>
      <sheetData sheetId="8464" refreshError="1"/>
      <sheetData sheetId="8465" refreshError="1"/>
      <sheetData sheetId="8466" refreshError="1"/>
      <sheetData sheetId="8467" refreshError="1"/>
      <sheetData sheetId="8468" refreshError="1"/>
      <sheetData sheetId="8469" refreshError="1"/>
      <sheetData sheetId="8470" refreshError="1"/>
      <sheetData sheetId="8471" refreshError="1"/>
      <sheetData sheetId="8472" refreshError="1"/>
      <sheetData sheetId="8473" refreshError="1"/>
      <sheetData sheetId="8474" refreshError="1"/>
      <sheetData sheetId="8475" refreshError="1"/>
      <sheetData sheetId="8476" refreshError="1"/>
      <sheetData sheetId="8477" refreshError="1"/>
      <sheetData sheetId="8478" refreshError="1"/>
      <sheetData sheetId="8479" refreshError="1"/>
      <sheetData sheetId="8480" refreshError="1"/>
      <sheetData sheetId="8481" refreshError="1"/>
      <sheetData sheetId="8482" refreshError="1"/>
      <sheetData sheetId="8483" refreshError="1"/>
      <sheetData sheetId="8484" refreshError="1"/>
      <sheetData sheetId="8485" refreshError="1"/>
      <sheetData sheetId="8486" refreshError="1"/>
      <sheetData sheetId="8487" refreshError="1"/>
      <sheetData sheetId="8488" refreshError="1"/>
      <sheetData sheetId="8489" refreshError="1"/>
      <sheetData sheetId="8490" refreshError="1"/>
      <sheetData sheetId="8491" refreshError="1"/>
      <sheetData sheetId="8492" refreshError="1"/>
      <sheetData sheetId="8493" refreshError="1"/>
      <sheetData sheetId="8494" refreshError="1"/>
      <sheetData sheetId="8495" refreshError="1"/>
      <sheetData sheetId="8496" refreshError="1"/>
      <sheetData sheetId="8497" refreshError="1"/>
      <sheetData sheetId="8498" refreshError="1"/>
      <sheetData sheetId="8499" refreshError="1"/>
      <sheetData sheetId="8500" refreshError="1"/>
      <sheetData sheetId="8501" refreshError="1"/>
      <sheetData sheetId="8502" refreshError="1"/>
      <sheetData sheetId="8503" refreshError="1"/>
      <sheetData sheetId="8504" refreshError="1"/>
      <sheetData sheetId="8505" refreshError="1"/>
      <sheetData sheetId="8506" refreshError="1"/>
      <sheetData sheetId="8507" refreshError="1"/>
      <sheetData sheetId="8508" refreshError="1"/>
      <sheetData sheetId="8509" refreshError="1"/>
      <sheetData sheetId="8510" refreshError="1"/>
      <sheetData sheetId="8511" refreshError="1"/>
      <sheetData sheetId="8512" refreshError="1"/>
      <sheetData sheetId="8513" refreshError="1"/>
      <sheetData sheetId="8514" refreshError="1"/>
      <sheetData sheetId="8515" refreshError="1"/>
      <sheetData sheetId="8516" refreshError="1"/>
      <sheetData sheetId="8517" refreshError="1"/>
      <sheetData sheetId="8518" refreshError="1"/>
      <sheetData sheetId="8519" refreshError="1"/>
      <sheetData sheetId="8520" refreshError="1"/>
      <sheetData sheetId="8521" refreshError="1"/>
      <sheetData sheetId="8522" refreshError="1"/>
      <sheetData sheetId="8523" refreshError="1"/>
      <sheetData sheetId="8524" refreshError="1"/>
      <sheetData sheetId="8525" refreshError="1"/>
      <sheetData sheetId="8526" refreshError="1"/>
      <sheetData sheetId="8527" refreshError="1"/>
      <sheetData sheetId="8528" refreshError="1"/>
      <sheetData sheetId="8529" refreshError="1"/>
      <sheetData sheetId="8530" refreshError="1"/>
      <sheetData sheetId="8531" refreshError="1"/>
      <sheetData sheetId="8532" refreshError="1"/>
      <sheetData sheetId="8533" refreshError="1"/>
      <sheetData sheetId="8534" refreshError="1"/>
      <sheetData sheetId="8535" refreshError="1"/>
      <sheetData sheetId="8536" refreshError="1"/>
      <sheetData sheetId="8537" refreshError="1"/>
      <sheetData sheetId="8538" refreshError="1"/>
      <sheetData sheetId="8539" refreshError="1"/>
      <sheetData sheetId="8540" refreshError="1"/>
      <sheetData sheetId="8541" refreshError="1"/>
      <sheetData sheetId="8542" refreshError="1"/>
      <sheetData sheetId="8543" refreshError="1"/>
      <sheetData sheetId="8544" refreshError="1"/>
      <sheetData sheetId="8545" refreshError="1"/>
      <sheetData sheetId="8546" refreshError="1"/>
      <sheetData sheetId="8547" refreshError="1"/>
      <sheetData sheetId="8548" refreshError="1"/>
      <sheetData sheetId="8549" refreshError="1"/>
      <sheetData sheetId="8550" refreshError="1"/>
      <sheetData sheetId="8551" refreshError="1"/>
      <sheetData sheetId="8552" refreshError="1"/>
      <sheetData sheetId="8553" refreshError="1"/>
      <sheetData sheetId="8554" refreshError="1"/>
      <sheetData sheetId="8555" refreshError="1"/>
      <sheetData sheetId="8556" refreshError="1"/>
      <sheetData sheetId="8557" refreshError="1"/>
      <sheetData sheetId="8558" refreshError="1"/>
      <sheetData sheetId="8559" refreshError="1"/>
      <sheetData sheetId="8560" refreshError="1"/>
      <sheetData sheetId="8561" refreshError="1"/>
      <sheetData sheetId="8562" refreshError="1"/>
      <sheetData sheetId="8563" refreshError="1"/>
      <sheetData sheetId="8564" refreshError="1"/>
      <sheetData sheetId="8565" refreshError="1"/>
      <sheetData sheetId="8566" refreshError="1"/>
      <sheetData sheetId="8567" refreshError="1"/>
      <sheetData sheetId="8568" refreshError="1"/>
      <sheetData sheetId="8569" refreshError="1"/>
      <sheetData sheetId="8570" refreshError="1"/>
      <sheetData sheetId="8571" refreshError="1"/>
      <sheetData sheetId="8572" refreshError="1"/>
      <sheetData sheetId="8573" refreshError="1"/>
      <sheetData sheetId="8574" refreshError="1"/>
      <sheetData sheetId="8575" refreshError="1"/>
      <sheetData sheetId="8576" refreshError="1"/>
      <sheetData sheetId="8577" refreshError="1"/>
      <sheetData sheetId="8578" refreshError="1"/>
      <sheetData sheetId="8579" refreshError="1"/>
      <sheetData sheetId="8580" refreshError="1"/>
      <sheetData sheetId="8581" refreshError="1"/>
      <sheetData sheetId="8582" refreshError="1"/>
      <sheetData sheetId="8583" refreshError="1"/>
      <sheetData sheetId="8584" refreshError="1"/>
      <sheetData sheetId="8585" refreshError="1"/>
      <sheetData sheetId="8586" refreshError="1"/>
      <sheetData sheetId="8587" refreshError="1"/>
      <sheetData sheetId="8588" refreshError="1"/>
      <sheetData sheetId="8589" refreshError="1"/>
      <sheetData sheetId="8590" refreshError="1"/>
      <sheetData sheetId="8591" refreshError="1"/>
      <sheetData sheetId="8592" refreshError="1"/>
      <sheetData sheetId="8593" refreshError="1"/>
      <sheetData sheetId="8594" refreshError="1"/>
      <sheetData sheetId="8595" refreshError="1"/>
      <sheetData sheetId="8596" refreshError="1"/>
      <sheetData sheetId="8597" refreshError="1"/>
      <sheetData sheetId="8598" refreshError="1"/>
      <sheetData sheetId="8599" refreshError="1"/>
      <sheetData sheetId="8600" refreshError="1"/>
      <sheetData sheetId="8601" refreshError="1"/>
      <sheetData sheetId="8602" refreshError="1"/>
      <sheetData sheetId="8603" refreshError="1"/>
      <sheetData sheetId="8604" refreshError="1"/>
      <sheetData sheetId="8605" refreshError="1"/>
      <sheetData sheetId="8606" refreshError="1"/>
      <sheetData sheetId="8607" refreshError="1"/>
      <sheetData sheetId="8608" refreshError="1"/>
      <sheetData sheetId="8609" refreshError="1"/>
      <sheetData sheetId="8610" refreshError="1"/>
      <sheetData sheetId="8611" refreshError="1"/>
      <sheetData sheetId="8612" refreshError="1"/>
      <sheetData sheetId="8613" refreshError="1"/>
      <sheetData sheetId="8614" refreshError="1"/>
      <sheetData sheetId="8615" refreshError="1"/>
      <sheetData sheetId="8616" refreshError="1"/>
      <sheetData sheetId="8617" refreshError="1"/>
      <sheetData sheetId="8618" refreshError="1"/>
      <sheetData sheetId="8619" refreshError="1"/>
      <sheetData sheetId="8620" refreshError="1"/>
      <sheetData sheetId="8621" refreshError="1"/>
      <sheetData sheetId="8622" refreshError="1"/>
      <sheetData sheetId="8623" refreshError="1"/>
      <sheetData sheetId="8624" refreshError="1"/>
      <sheetData sheetId="8625" refreshError="1"/>
      <sheetData sheetId="8626" refreshError="1"/>
      <sheetData sheetId="8627" refreshError="1"/>
      <sheetData sheetId="8628" refreshError="1"/>
      <sheetData sheetId="8629" refreshError="1"/>
      <sheetData sheetId="8630" refreshError="1"/>
      <sheetData sheetId="8631" refreshError="1"/>
      <sheetData sheetId="8632" refreshError="1"/>
      <sheetData sheetId="8633" refreshError="1"/>
      <sheetData sheetId="8634" refreshError="1"/>
      <sheetData sheetId="8635" refreshError="1"/>
      <sheetData sheetId="8636" refreshError="1"/>
      <sheetData sheetId="8637" refreshError="1"/>
      <sheetData sheetId="8638" refreshError="1"/>
      <sheetData sheetId="8639" refreshError="1"/>
      <sheetData sheetId="8640" refreshError="1"/>
      <sheetData sheetId="8641" refreshError="1"/>
      <sheetData sheetId="8642" refreshError="1"/>
      <sheetData sheetId="8643" refreshError="1"/>
      <sheetData sheetId="8644" refreshError="1"/>
      <sheetData sheetId="8645" refreshError="1"/>
      <sheetData sheetId="8646" refreshError="1"/>
      <sheetData sheetId="8647" refreshError="1"/>
      <sheetData sheetId="8648" refreshError="1"/>
      <sheetData sheetId="8649" refreshError="1"/>
      <sheetData sheetId="8650" refreshError="1"/>
      <sheetData sheetId="8651" refreshError="1"/>
      <sheetData sheetId="8652" refreshError="1"/>
      <sheetData sheetId="8653" refreshError="1"/>
      <sheetData sheetId="8654" refreshError="1"/>
      <sheetData sheetId="8655" refreshError="1"/>
      <sheetData sheetId="8656" refreshError="1"/>
      <sheetData sheetId="8657" refreshError="1"/>
      <sheetData sheetId="8658" refreshError="1"/>
      <sheetData sheetId="8659" refreshError="1"/>
      <sheetData sheetId="8660" refreshError="1"/>
      <sheetData sheetId="8661" refreshError="1"/>
      <sheetData sheetId="8662" refreshError="1"/>
      <sheetData sheetId="8663" refreshError="1"/>
      <sheetData sheetId="8664" refreshError="1"/>
      <sheetData sheetId="8665" refreshError="1"/>
      <sheetData sheetId="8666" refreshError="1"/>
      <sheetData sheetId="8667" refreshError="1"/>
      <sheetData sheetId="8668" refreshError="1"/>
      <sheetData sheetId="8669" refreshError="1"/>
      <sheetData sheetId="8670" refreshError="1"/>
      <sheetData sheetId="8671" refreshError="1"/>
      <sheetData sheetId="8672" refreshError="1"/>
      <sheetData sheetId="8673" refreshError="1"/>
      <sheetData sheetId="8674" refreshError="1"/>
      <sheetData sheetId="8675" refreshError="1"/>
      <sheetData sheetId="8676" refreshError="1"/>
      <sheetData sheetId="8677" refreshError="1"/>
      <sheetData sheetId="8678" refreshError="1"/>
      <sheetData sheetId="8679" refreshError="1"/>
      <sheetData sheetId="8680" refreshError="1"/>
      <sheetData sheetId="8681" refreshError="1"/>
      <sheetData sheetId="8682" refreshError="1"/>
      <sheetData sheetId="8683" refreshError="1"/>
      <sheetData sheetId="8684" refreshError="1"/>
      <sheetData sheetId="8685" refreshError="1"/>
      <sheetData sheetId="8686" refreshError="1"/>
      <sheetData sheetId="8687" refreshError="1"/>
      <sheetData sheetId="8688" refreshError="1"/>
      <sheetData sheetId="8689" refreshError="1"/>
      <sheetData sheetId="8690" refreshError="1"/>
      <sheetData sheetId="8691" refreshError="1"/>
      <sheetData sheetId="8692" refreshError="1"/>
      <sheetData sheetId="8693" refreshError="1"/>
      <sheetData sheetId="8694" refreshError="1"/>
      <sheetData sheetId="8695" refreshError="1"/>
      <sheetData sheetId="8696" refreshError="1"/>
      <sheetData sheetId="8697" refreshError="1"/>
      <sheetData sheetId="8698" refreshError="1"/>
      <sheetData sheetId="8699" refreshError="1"/>
      <sheetData sheetId="8700" refreshError="1"/>
      <sheetData sheetId="8701" refreshError="1"/>
      <sheetData sheetId="8702" refreshError="1"/>
      <sheetData sheetId="8703" refreshError="1"/>
      <sheetData sheetId="8704" refreshError="1"/>
      <sheetData sheetId="8705" refreshError="1"/>
      <sheetData sheetId="8706" refreshError="1"/>
      <sheetData sheetId="8707" refreshError="1"/>
      <sheetData sheetId="8708" refreshError="1"/>
      <sheetData sheetId="8709" refreshError="1"/>
      <sheetData sheetId="8710" refreshError="1"/>
      <sheetData sheetId="8711" refreshError="1"/>
      <sheetData sheetId="8712" refreshError="1"/>
      <sheetData sheetId="8713" refreshError="1"/>
      <sheetData sheetId="8714" refreshError="1"/>
      <sheetData sheetId="8715" refreshError="1"/>
      <sheetData sheetId="8716" refreshError="1"/>
      <sheetData sheetId="8717" refreshError="1"/>
      <sheetData sheetId="8718" refreshError="1"/>
      <sheetData sheetId="8719" refreshError="1"/>
      <sheetData sheetId="8720" refreshError="1"/>
      <sheetData sheetId="8721" refreshError="1"/>
      <sheetData sheetId="8722" refreshError="1"/>
      <sheetData sheetId="8723" refreshError="1"/>
      <sheetData sheetId="8724" refreshError="1"/>
      <sheetData sheetId="8725" refreshError="1"/>
      <sheetData sheetId="8726" refreshError="1"/>
      <sheetData sheetId="8727" refreshError="1"/>
      <sheetData sheetId="8728" refreshError="1"/>
      <sheetData sheetId="8729" refreshError="1"/>
      <sheetData sheetId="8730" refreshError="1"/>
      <sheetData sheetId="8731" refreshError="1"/>
      <sheetData sheetId="8732" refreshError="1"/>
      <sheetData sheetId="8733" refreshError="1"/>
      <sheetData sheetId="8734" refreshError="1"/>
      <sheetData sheetId="8735" refreshError="1"/>
      <sheetData sheetId="8736" refreshError="1"/>
      <sheetData sheetId="8737" refreshError="1"/>
      <sheetData sheetId="8738" refreshError="1"/>
      <sheetData sheetId="8739" refreshError="1"/>
      <sheetData sheetId="8740" refreshError="1"/>
      <sheetData sheetId="8741" refreshError="1"/>
      <sheetData sheetId="8742" refreshError="1"/>
      <sheetData sheetId="8743" refreshError="1"/>
      <sheetData sheetId="8744" refreshError="1"/>
      <sheetData sheetId="8745" refreshError="1"/>
      <sheetData sheetId="8746" refreshError="1"/>
      <sheetData sheetId="8747" refreshError="1"/>
      <sheetData sheetId="8748" refreshError="1"/>
      <sheetData sheetId="8749" refreshError="1"/>
      <sheetData sheetId="8750" refreshError="1"/>
      <sheetData sheetId="8751" refreshError="1"/>
      <sheetData sheetId="8752" refreshError="1"/>
      <sheetData sheetId="8753" refreshError="1"/>
      <sheetData sheetId="8754" refreshError="1"/>
      <sheetData sheetId="8755" refreshError="1"/>
      <sheetData sheetId="8756" refreshError="1"/>
      <sheetData sheetId="8757" refreshError="1"/>
      <sheetData sheetId="8758" refreshError="1"/>
      <sheetData sheetId="8759" refreshError="1"/>
      <sheetData sheetId="8760" refreshError="1"/>
      <sheetData sheetId="8761" refreshError="1"/>
      <sheetData sheetId="8762" refreshError="1"/>
      <sheetData sheetId="8763" refreshError="1"/>
      <sheetData sheetId="8764" refreshError="1"/>
      <sheetData sheetId="8765" refreshError="1"/>
      <sheetData sheetId="8766" refreshError="1"/>
      <sheetData sheetId="8767" refreshError="1"/>
      <sheetData sheetId="8768" refreshError="1"/>
      <sheetData sheetId="8769" refreshError="1"/>
      <sheetData sheetId="8770" refreshError="1"/>
      <sheetData sheetId="8771" refreshError="1"/>
      <sheetData sheetId="8772" refreshError="1"/>
      <sheetData sheetId="8773" refreshError="1"/>
      <sheetData sheetId="8774" refreshError="1"/>
      <sheetData sheetId="8775" refreshError="1"/>
      <sheetData sheetId="8776" refreshError="1"/>
      <sheetData sheetId="8777" refreshError="1"/>
      <sheetData sheetId="8778" refreshError="1"/>
      <sheetData sheetId="8779" refreshError="1"/>
      <sheetData sheetId="8780" refreshError="1"/>
      <sheetData sheetId="8781" refreshError="1"/>
      <sheetData sheetId="8782" refreshError="1"/>
      <sheetData sheetId="8783" refreshError="1"/>
      <sheetData sheetId="8784" refreshError="1"/>
      <sheetData sheetId="8785" refreshError="1"/>
      <sheetData sheetId="8786" refreshError="1"/>
      <sheetData sheetId="8787" refreshError="1"/>
      <sheetData sheetId="8788" refreshError="1"/>
      <sheetData sheetId="8789" refreshError="1"/>
      <sheetData sheetId="8790" refreshError="1"/>
      <sheetData sheetId="8791" refreshError="1"/>
      <sheetData sheetId="8792" refreshError="1"/>
      <sheetData sheetId="8793" refreshError="1"/>
      <sheetData sheetId="8794" refreshError="1"/>
      <sheetData sheetId="8795" refreshError="1"/>
      <sheetData sheetId="8796" refreshError="1"/>
      <sheetData sheetId="8797" refreshError="1"/>
      <sheetData sheetId="8798" refreshError="1"/>
      <sheetData sheetId="8799" refreshError="1"/>
      <sheetData sheetId="8800" refreshError="1"/>
      <sheetData sheetId="8801" refreshError="1"/>
      <sheetData sheetId="8802" refreshError="1"/>
      <sheetData sheetId="8803" refreshError="1"/>
      <sheetData sheetId="8804" refreshError="1"/>
      <sheetData sheetId="8805" refreshError="1"/>
      <sheetData sheetId="8806" refreshError="1"/>
      <sheetData sheetId="8807" refreshError="1"/>
      <sheetData sheetId="8808" refreshError="1"/>
      <sheetData sheetId="8809" refreshError="1"/>
      <sheetData sheetId="8810" refreshError="1"/>
      <sheetData sheetId="8811" refreshError="1"/>
      <sheetData sheetId="8812" refreshError="1"/>
      <sheetData sheetId="8813" refreshError="1"/>
      <sheetData sheetId="8814" refreshError="1"/>
      <sheetData sheetId="8815" refreshError="1"/>
      <sheetData sheetId="8816" refreshError="1"/>
      <sheetData sheetId="8817" refreshError="1"/>
      <sheetData sheetId="8818" refreshError="1"/>
      <sheetData sheetId="8819" refreshError="1"/>
      <sheetData sheetId="8820" refreshError="1"/>
      <sheetData sheetId="8821" refreshError="1"/>
      <sheetData sheetId="8822" refreshError="1"/>
      <sheetData sheetId="8823" refreshError="1"/>
      <sheetData sheetId="8824" refreshError="1"/>
      <sheetData sheetId="8825" refreshError="1"/>
      <sheetData sheetId="8826" refreshError="1"/>
      <sheetData sheetId="8827" refreshError="1"/>
      <sheetData sheetId="8828" refreshError="1"/>
      <sheetData sheetId="8829" refreshError="1"/>
      <sheetData sheetId="8830" refreshError="1"/>
      <sheetData sheetId="8831" refreshError="1"/>
      <sheetData sheetId="8832" refreshError="1"/>
      <sheetData sheetId="8833" refreshError="1"/>
      <sheetData sheetId="8834" refreshError="1"/>
      <sheetData sheetId="8835" refreshError="1"/>
      <sheetData sheetId="8836" refreshError="1"/>
      <sheetData sheetId="8837" refreshError="1"/>
      <sheetData sheetId="8838" refreshError="1"/>
      <sheetData sheetId="8839" refreshError="1"/>
      <sheetData sheetId="8840" refreshError="1"/>
      <sheetData sheetId="8841" refreshError="1"/>
      <sheetData sheetId="8842" refreshError="1"/>
      <sheetData sheetId="8843" refreshError="1"/>
      <sheetData sheetId="8844" refreshError="1"/>
      <sheetData sheetId="8845" refreshError="1"/>
      <sheetData sheetId="8846" refreshError="1"/>
      <sheetData sheetId="8847" refreshError="1"/>
      <sheetData sheetId="8848" refreshError="1"/>
      <sheetData sheetId="8849" refreshError="1"/>
      <sheetData sheetId="8850" refreshError="1"/>
      <sheetData sheetId="8851" refreshError="1"/>
      <sheetData sheetId="8852" refreshError="1"/>
      <sheetData sheetId="8853" refreshError="1"/>
      <sheetData sheetId="8854" refreshError="1"/>
      <sheetData sheetId="8855" refreshError="1"/>
      <sheetData sheetId="8856" refreshError="1"/>
      <sheetData sheetId="8857" refreshError="1"/>
      <sheetData sheetId="8858" refreshError="1"/>
      <sheetData sheetId="8859" refreshError="1"/>
      <sheetData sheetId="8860" refreshError="1"/>
      <sheetData sheetId="8861" refreshError="1"/>
      <sheetData sheetId="8862" refreshError="1"/>
      <sheetData sheetId="8863" refreshError="1"/>
      <sheetData sheetId="8864" refreshError="1"/>
      <sheetData sheetId="8865" refreshError="1"/>
      <sheetData sheetId="8866" refreshError="1"/>
      <sheetData sheetId="8867" refreshError="1"/>
      <sheetData sheetId="8868" refreshError="1"/>
      <sheetData sheetId="8869" refreshError="1"/>
      <sheetData sheetId="8870" refreshError="1"/>
      <sheetData sheetId="8871" refreshError="1"/>
      <sheetData sheetId="8872" refreshError="1"/>
      <sheetData sheetId="8873" refreshError="1"/>
      <sheetData sheetId="8874" refreshError="1"/>
      <sheetData sheetId="8875" refreshError="1"/>
      <sheetData sheetId="8876" refreshError="1"/>
      <sheetData sheetId="8877" refreshError="1"/>
      <sheetData sheetId="8878" refreshError="1"/>
      <sheetData sheetId="8879" refreshError="1"/>
      <sheetData sheetId="8880" refreshError="1"/>
      <sheetData sheetId="8881" refreshError="1"/>
      <sheetData sheetId="8882" refreshError="1"/>
      <sheetData sheetId="8883" refreshError="1"/>
      <sheetData sheetId="8884" refreshError="1"/>
      <sheetData sheetId="8885" refreshError="1"/>
      <sheetData sheetId="8886" refreshError="1"/>
      <sheetData sheetId="8887" refreshError="1"/>
      <sheetData sheetId="8888" refreshError="1"/>
      <sheetData sheetId="8889" refreshError="1"/>
      <sheetData sheetId="8890" refreshError="1"/>
      <sheetData sheetId="8891" refreshError="1"/>
      <sheetData sheetId="8892" refreshError="1"/>
      <sheetData sheetId="8893" refreshError="1"/>
      <sheetData sheetId="8894" refreshError="1"/>
      <sheetData sheetId="8895" refreshError="1"/>
      <sheetData sheetId="8896" refreshError="1"/>
      <sheetData sheetId="8897" refreshError="1"/>
      <sheetData sheetId="8898" refreshError="1"/>
      <sheetData sheetId="8899" refreshError="1"/>
      <sheetData sheetId="8900" refreshError="1"/>
      <sheetData sheetId="8901" refreshError="1"/>
      <sheetData sheetId="8902" refreshError="1"/>
      <sheetData sheetId="8903" refreshError="1"/>
      <sheetData sheetId="8904" refreshError="1"/>
      <sheetData sheetId="8905" refreshError="1"/>
      <sheetData sheetId="8906" refreshError="1"/>
      <sheetData sheetId="8907" refreshError="1"/>
      <sheetData sheetId="8908" refreshError="1"/>
      <sheetData sheetId="8909" refreshError="1"/>
      <sheetData sheetId="8910" refreshError="1"/>
      <sheetData sheetId="8911" refreshError="1"/>
      <sheetData sheetId="8912" refreshError="1"/>
      <sheetData sheetId="8913" refreshError="1"/>
      <sheetData sheetId="8914" refreshError="1"/>
      <sheetData sheetId="8915" refreshError="1"/>
      <sheetData sheetId="8916" refreshError="1"/>
      <sheetData sheetId="8917" refreshError="1"/>
      <sheetData sheetId="8918" refreshError="1"/>
      <sheetData sheetId="8919" refreshError="1"/>
      <sheetData sheetId="8920" refreshError="1"/>
      <sheetData sheetId="8921" refreshError="1"/>
      <sheetData sheetId="8922" refreshError="1"/>
      <sheetData sheetId="8923" refreshError="1"/>
      <sheetData sheetId="8924" refreshError="1"/>
      <sheetData sheetId="8925" refreshError="1"/>
      <sheetData sheetId="8926" refreshError="1"/>
      <sheetData sheetId="8927" refreshError="1"/>
      <sheetData sheetId="8928" refreshError="1"/>
      <sheetData sheetId="8929" refreshError="1"/>
      <sheetData sheetId="8930" refreshError="1"/>
      <sheetData sheetId="8931" refreshError="1"/>
      <sheetData sheetId="8932" refreshError="1"/>
      <sheetData sheetId="8933" refreshError="1"/>
      <sheetData sheetId="8934" refreshError="1"/>
      <sheetData sheetId="8935" refreshError="1"/>
      <sheetData sheetId="8936" refreshError="1"/>
      <sheetData sheetId="8937" refreshError="1"/>
      <sheetData sheetId="8938" refreshError="1"/>
      <sheetData sheetId="8939" refreshError="1"/>
      <sheetData sheetId="8940" refreshError="1"/>
      <sheetData sheetId="8941" refreshError="1"/>
      <sheetData sheetId="8942" refreshError="1"/>
      <sheetData sheetId="8943" refreshError="1"/>
      <sheetData sheetId="8944" refreshError="1"/>
      <sheetData sheetId="8945" refreshError="1"/>
      <sheetData sheetId="8946" refreshError="1"/>
      <sheetData sheetId="8947" refreshError="1"/>
      <sheetData sheetId="8948" refreshError="1"/>
      <sheetData sheetId="8949" refreshError="1"/>
      <sheetData sheetId="8950" refreshError="1"/>
      <sheetData sheetId="8951" refreshError="1"/>
      <sheetData sheetId="8952" refreshError="1"/>
      <sheetData sheetId="8953" refreshError="1"/>
      <sheetData sheetId="8954" refreshError="1"/>
      <sheetData sheetId="8955" refreshError="1"/>
      <sheetData sheetId="8956" refreshError="1"/>
      <sheetData sheetId="8957" refreshError="1"/>
      <sheetData sheetId="8958" refreshError="1"/>
      <sheetData sheetId="8959" refreshError="1"/>
      <sheetData sheetId="8960" refreshError="1"/>
      <sheetData sheetId="8961" refreshError="1"/>
      <sheetData sheetId="8962" refreshError="1"/>
      <sheetData sheetId="8963" refreshError="1"/>
      <sheetData sheetId="8964" refreshError="1"/>
      <sheetData sheetId="8965" refreshError="1"/>
      <sheetData sheetId="8966" refreshError="1"/>
      <sheetData sheetId="8967" refreshError="1"/>
      <sheetData sheetId="8968" refreshError="1"/>
      <sheetData sheetId="8969" refreshError="1"/>
      <sheetData sheetId="8970" refreshError="1"/>
      <sheetData sheetId="8971" refreshError="1"/>
      <sheetData sheetId="8972" refreshError="1"/>
      <sheetData sheetId="8973" refreshError="1"/>
      <sheetData sheetId="8974" refreshError="1"/>
      <sheetData sheetId="8975" refreshError="1"/>
      <sheetData sheetId="8976" refreshError="1"/>
      <sheetData sheetId="8977" refreshError="1"/>
      <sheetData sheetId="8978" refreshError="1"/>
      <sheetData sheetId="8979" refreshError="1"/>
      <sheetData sheetId="8980" refreshError="1"/>
      <sheetData sheetId="8981" refreshError="1"/>
      <sheetData sheetId="8982" refreshError="1"/>
      <sheetData sheetId="8983" refreshError="1"/>
      <sheetData sheetId="8984" refreshError="1"/>
      <sheetData sheetId="8985" refreshError="1"/>
      <sheetData sheetId="8986" refreshError="1"/>
      <sheetData sheetId="8987" refreshError="1"/>
      <sheetData sheetId="8988" refreshError="1"/>
      <sheetData sheetId="8989" refreshError="1"/>
      <sheetData sheetId="8990" refreshError="1"/>
      <sheetData sheetId="8991" refreshError="1"/>
      <sheetData sheetId="8992" refreshError="1"/>
      <sheetData sheetId="8993" refreshError="1"/>
      <sheetData sheetId="8994" refreshError="1"/>
      <sheetData sheetId="8995" refreshError="1"/>
      <sheetData sheetId="8996" refreshError="1"/>
      <sheetData sheetId="8997" refreshError="1"/>
      <sheetData sheetId="8998" refreshError="1"/>
      <sheetData sheetId="8999" refreshError="1"/>
      <sheetData sheetId="9000" refreshError="1"/>
      <sheetData sheetId="9001" refreshError="1"/>
      <sheetData sheetId="9002" refreshError="1"/>
      <sheetData sheetId="9003" refreshError="1"/>
      <sheetData sheetId="9004" refreshError="1"/>
      <sheetData sheetId="9005" refreshError="1"/>
      <sheetData sheetId="9006" refreshError="1"/>
      <sheetData sheetId="9007" refreshError="1"/>
      <sheetData sheetId="9008" refreshError="1"/>
      <sheetData sheetId="9009" refreshError="1"/>
      <sheetData sheetId="9010" refreshError="1"/>
      <sheetData sheetId="9011" refreshError="1"/>
      <sheetData sheetId="9012" refreshError="1"/>
      <sheetData sheetId="9013" refreshError="1"/>
      <sheetData sheetId="9014" refreshError="1"/>
      <sheetData sheetId="9015" refreshError="1"/>
      <sheetData sheetId="9016" refreshError="1"/>
      <sheetData sheetId="9017" refreshError="1"/>
      <sheetData sheetId="9018" refreshError="1"/>
      <sheetData sheetId="9019" refreshError="1"/>
      <sheetData sheetId="9020" refreshError="1"/>
      <sheetData sheetId="9021" refreshError="1"/>
      <sheetData sheetId="9022" refreshError="1"/>
      <sheetData sheetId="9023" refreshError="1"/>
      <sheetData sheetId="9024" refreshError="1"/>
      <sheetData sheetId="9025" refreshError="1"/>
      <sheetData sheetId="9026" refreshError="1"/>
      <sheetData sheetId="9027" refreshError="1"/>
      <sheetData sheetId="9028" refreshError="1"/>
      <sheetData sheetId="9029" refreshError="1"/>
      <sheetData sheetId="9030" refreshError="1"/>
      <sheetData sheetId="9031" refreshError="1"/>
      <sheetData sheetId="9032" refreshError="1"/>
      <sheetData sheetId="9033" refreshError="1"/>
      <sheetData sheetId="9034" refreshError="1"/>
      <sheetData sheetId="9035" refreshError="1"/>
      <sheetData sheetId="9036" refreshError="1"/>
      <sheetData sheetId="9037" refreshError="1"/>
      <sheetData sheetId="9038" refreshError="1"/>
      <sheetData sheetId="9039" refreshError="1"/>
      <sheetData sheetId="9040" refreshError="1"/>
      <sheetData sheetId="9041" refreshError="1"/>
      <sheetData sheetId="9042" refreshError="1"/>
      <sheetData sheetId="9043" refreshError="1"/>
      <sheetData sheetId="9044" refreshError="1"/>
      <sheetData sheetId="9045" refreshError="1"/>
      <sheetData sheetId="9046" refreshError="1"/>
      <sheetData sheetId="9047" refreshError="1"/>
      <sheetData sheetId="9048" refreshError="1"/>
      <sheetData sheetId="9049" refreshError="1"/>
      <sheetData sheetId="9050" refreshError="1"/>
      <sheetData sheetId="9051" refreshError="1"/>
      <sheetData sheetId="9052" refreshError="1"/>
      <sheetData sheetId="9053" refreshError="1"/>
      <sheetData sheetId="9054" refreshError="1"/>
      <sheetData sheetId="9055" refreshError="1"/>
      <sheetData sheetId="9056" refreshError="1"/>
      <sheetData sheetId="9057" refreshError="1"/>
      <sheetData sheetId="9058" refreshError="1"/>
      <sheetData sheetId="9059" refreshError="1"/>
      <sheetData sheetId="9060" refreshError="1"/>
      <sheetData sheetId="9061" refreshError="1"/>
      <sheetData sheetId="9062" refreshError="1"/>
      <sheetData sheetId="9063" refreshError="1"/>
      <sheetData sheetId="9064" refreshError="1"/>
      <sheetData sheetId="9065" refreshError="1"/>
      <sheetData sheetId="9066" refreshError="1"/>
      <sheetData sheetId="9067" refreshError="1"/>
      <sheetData sheetId="9068" refreshError="1"/>
      <sheetData sheetId="9069" refreshError="1"/>
      <sheetData sheetId="9070" refreshError="1"/>
      <sheetData sheetId="9071" refreshError="1"/>
      <sheetData sheetId="9072" refreshError="1"/>
      <sheetData sheetId="9073" refreshError="1"/>
      <sheetData sheetId="9074" refreshError="1"/>
      <sheetData sheetId="9075" refreshError="1"/>
      <sheetData sheetId="9076" refreshError="1"/>
      <sheetData sheetId="9077" refreshError="1"/>
      <sheetData sheetId="9078" refreshError="1"/>
      <sheetData sheetId="9079" refreshError="1"/>
      <sheetData sheetId="9080" refreshError="1"/>
      <sheetData sheetId="9081" refreshError="1"/>
      <sheetData sheetId="9082" refreshError="1"/>
      <sheetData sheetId="9083" refreshError="1"/>
      <sheetData sheetId="9084" refreshError="1"/>
      <sheetData sheetId="9085" refreshError="1"/>
      <sheetData sheetId="9086" refreshError="1"/>
      <sheetData sheetId="9087" refreshError="1"/>
      <sheetData sheetId="9088" refreshError="1"/>
      <sheetData sheetId="9089" refreshError="1"/>
      <sheetData sheetId="9090" refreshError="1"/>
      <sheetData sheetId="9091" refreshError="1"/>
      <sheetData sheetId="9092" refreshError="1"/>
      <sheetData sheetId="9093" refreshError="1"/>
      <sheetData sheetId="9094" refreshError="1"/>
      <sheetData sheetId="9095" refreshError="1"/>
      <sheetData sheetId="9096" refreshError="1"/>
      <sheetData sheetId="9097" refreshError="1"/>
      <sheetData sheetId="9098" refreshError="1"/>
      <sheetData sheetId="9099" refreshError="1"/>
      <sheetData sheetId="9100" refreshError="1"/>
      <sheetData sheetId="9101" refreshError="1"/>
      <sheetData sheetId="9102" refreshError="1"/>
      <sheetData sheetId="9103" refreshError="1"/>
      <sheetData sheetId="9104" refreshError="1"/>
      <sheetData sheetId="9105" refreshError="1"/>
      <sheetData sheetId="9106" refreshError="1"/>
      <sheetData sheetId="9107" refreshError="1"/>
      <sheetData sheetId="9108" refreshError="1"/>
      <sheetData sheetId="9109" refreshError="1"/>
      <sheetData sheetId="9110" refreshError="1"/>
      <sheetData sheetId="9111" refreshError="1"/>
      <sheetData sheetId="9112" refreshError="1"/>
      <sheetData sheetId="9113" refreshError="1"/>
      <sheetData sheetId="9114" refreshError="1"/>
      <sheetData sheetId="9115" refreshError="1"/>
      <sheetData sheetId="9116" refreshError="1"/>
      <sheetData sheetId="9117" refreshError="1"/>
      <sheetData sheetId="9118" refreshError="1"/>
      <sheetData sheetId="9119" refreshError="1"/>
      <sheetData sheetId="9120" refreshError="1"/>
      <sheetData sheetId="9121" refreshError="1"/>
      <sheetData sheetId="9122" refreshError="1"/>
      <sheetData sheetId="9123" refreshError="1"/>
      <sheetData sheetId="9124" refreshError="1"/>
      <sheetData sheetId="9125" refreshError="1"/>
      <sheetData sheetId="9126" refreshError="1"/>
      <sheetData sheetId="9127" refreshError="1"/>
      <sheetData sheetId="9128" refreshError="1"/>
      <sheetData sheetId="9129" refreshError="1"/>
      <sheetData sheetId="9130" refreshError="1"/>
      <sheetData sheetId="9131" refreshError="1"/>
      <sheetData sheetId="9132" refreshError="1"/>
      <sheetData sheetId="9133" refreshError="1"/>
      <sheetData sheetId="9134" refreshError="1"/>
      <sheetData sheetId="9135" refreshError="1"/>
      <sheetData sheetId="9136" refreshError="1"/>
      <sheetData sheetId="9137" refreshError="1"/>
      <sheetData sheetId="9138" refreshError="1"/>
      <sheetData sheetId="9139" refreshError="1"/>
      <sheetData sheetId="9140" refreshError="1"/>
      <sheetData sheetId="9141" refreshError="1"/>
      <sheetData sheetId="9142" refreshError="1"/>
      <sheetData sheetId="9143" refreshError="1"/>
      <sheetData sheetId="9144" refreshError="1"/>
      <sheetData sheetId="9145" refreshError="1"/>
      <sheetData sheetId="9146" refreshError="1"/>
      <sheetData sheetId="9147" refreshError="1"/>
      <sheetData sheetId="9148" refreshError="1"/>
      <sheetData sheetId="9149" refreshError="1"/>
      <sheetData sheetId="9150" refreshError="1"/>
      <sheetData sheetId="9151" refreshError="1"/>
      <sheetData sheetId="9152" refreshError="1"/>
      <sheetData sheetId="9153" refreshError="1"/>
      <sheetData sheetId="9154" refreshError="1"/>
      <sheetData sheetId="9155" refreshError="1"/>
      <sheetData sheetId="9156" refreshError="1"/>
      <sheetData sheetId="9157" refreshError="1"/>
      <sheetData sheetId="9158" refreshError="1"/>
      <sheetData sheetId="9159" refreshError="1"/>
      <sheetData sheetId="9160" refreshError="1"/>
      <sheetData sheetId="9161" refreshError="1"/>
      <sheetData sheetId="9162" refreshError="1"/>
      <sheetData sheetId="9163" refreshError="1"/>
      <sheetData sheetId="9164" refreshError="1"/>
      <sheetData sheetId="9165" refreshError="1"/>
      <sheetData sheetId="9166" refreshError="1"/>
      <sheetData sheetId="9167" refreshError="1"/>
      <sheetData sheetId="9168" refreshError="1"/>
      <sheetData sheetId="9169" refreshError="1"/>
      <sheetData sheetId="9170" refreshError="1"/>
      <sheetData sheetId="9171" refreshError="1"/>
      <sheetData sheetId="9172" refreshError="1"/>
      <sheetData sheetId="9173" refreshError="1"/>
      <sheetData sheetId="9174" refreshError="1"/>
      <sheetData sheetId="9175" refreshError="1"/>
      <sheetData sheetId="9176" refreshError="1"/>
      <sheetData sheetId="9177" refreshError="1"/>
      <sheetData sheetId="9178" refreshError="1"/>
      <sheetData sheetId="9179" refreshError="1"/>
      <sheetData sheetId="9180" refreshError="1"/>
      <sheetData sheetId="9181" refreshError="1"/>
      <sheetData sheetId="9182" refreshError="1"/>
      <sheetData sheetId="9183" refreshError="1"/>
      <sheetData sheetId="9184" refreshError="1"/>
      <sheetData sheetId="9185" refreshError="1"/>
      <sheetData sheetId="9186" refreshError="1"/>
      <sheetData sheetId="9187" refreshError="1"/>
      <sheetData sheetId="9188" refreshError="1"/>
      <sheetData sheetId="9189" refreshError="1"/>
      <sheetData sheetId="9190" refreshError="1"/>
      <sheetData sheetId="9191" refreshError="1"/>
      <sheetData sheetId="9192" refreshError="1"/>
      <sheetData sheetId="9193" refreshError="1"/>
      <sheetData sheetId="9194" refreshError="1"/>
      <sheetData sheetId="9195" refreshError="1"/>
      <sheetData sheetId="9196" refreshError="1"/>
      <sheetData sheetId="9197" refreshError="1"/>
      <sheetData sheetId="9198" refreshError="1"/>
      <sheetData sheetId="9199" refreshError="1"/>
      <sheetData sheetId="9200" refreshError="1"/>
      <sheetData sheetId="9201" refreshError="1"/>
      <sheetData sheetId="9202" refreshError="1"/>
      <sheetData sheetId="9203" refreshError="1"/>
      <sheetData sheetId="9204" refreshError="1"/>
      <sheetData sheetId="9205" refreshError="1"/>
      <sheetData sheetId="9206" refreshError="1"/>
      <sheetData sheetId="9207" refreshError="1"/>
      <sheetData sheetId="9208" refreshError="1"/>
      <sheetData sheetId="9209" refreshError="1"/>
      <sheetData sheetId="9210" refreshError="1"/>
      <sheetData sheetId="9211" refreshError="1"/>
      <sheetData sheetId="9212" refreshError="1"/>
      <sheetData sheetId="9213" refreshError="1"/>
      <sheetData sheetId="9214" refreshError="1"/>
      <sheetData sheetId="9215" refreshError="1"/>
      <sheetData sheetId="9216" refreshError="1"/>
      <sheetData sheetId="9217" refreshError="1"/>
      <sheetData sheetId="9218" refreshError="1"/>
      <sheetData sheetId="9219" refreshError="1"/>
      <sheetData sheetId="9220" refreshError="1"/>
      <sheetData sheetId="9221" refreshError="1"/>
      <sheetData sheetId="9222" refreshError="1"/>
      <sheetData sheetId="9223" refreshError="1"/>
      <sheetData sheetId="9224" refreshError="1"/>
      <sheetData sheetId="9225" refreshError="1"/>
      <sheetData sheetId="9226" refreshError="1"/>
      <sheetData sheetId="9227" refreshError="1"/>
      <sheetData sheetId="9228" refreshError="1"/>
      <sheetData sheetId="9229" refreshError="1"/>
      <sheetData sheetId="9230" refreshError="1"/>
      <sheetData sheetId="9231" refreshError="1"/>
      <sheetData sheetId="9232" refreshError="1"/>
      <sheetData sheetId="9233" refreshError="1"/>
      <sheetData sheetId="9234" refreshError="1"/>
      <sheetData sheetId="9235" refreshError="1"/>
      <sheetData sheetId="9236" refreshError="1"/>
      <sheetData sheetId="9237" refreshError="1"/>
      <sheetData sheetId="9238" refreshError="1"/>
      <sheetData sheetId="9239" refreshError="1"/>
      <sheetData sheetId="9240" refreshError="1"/>
      <sheetData sheetId="9241" refreshError="1"/>
      <sheetData sheetId="9242" refreshError="1"/>
      <sheetData sheetId="9243" refreshError="1"/>
      <sheetData sheetId="9244" refreshError="1"/>
      <sheetData sheetId="9245" refreshError="1"/>
      <sheetData sheetId="9246" refreshError="1"/>
      <sheetData sheetId="9247" refreshError="1"/>
      <sheetData sheetId="9248" refreshError="1"/>
      <sheetData sheetId="9249" refreshError="1"/>
      <sheetData sheetId="9250" refreshError="1"/>
      <sheetData sheetId="9251" refreshError="1"/>
      <sheetData sheetId="9252" refreshError="1"/>
      <sheetData sheetId="9253" refreshError="1"/>
      <sheetData sheetId="9254" refreshError="1"/>
      <sheetData sheetId="9255" refreshError="1"/>
      <sheetData sheetId="9256" refreshError="1"/>
      <sheetData sheetId="9257" refreshError="1"/>
      <sheetData sheetId="9258" refreshError="1"/>
      <sheetData sheetId="9259" refreshError="1"/>
      <sheetData sheetId="9260" refreshError="1"/>
      <sheetData sheetId="9261" refreshError="1"/>
      <sheetData sheetId="9262" refreshError="1"/>
      <sheetData sheetId="9263" refreshError="1"/>
      <sheetData sheetId="9264" refreshError="1"/>
      <sheetData sheetId="9265" refreshError="1"/>
      <sheetData sheetId="9266" refreshError="1"/>
      <sheetData sheetId="9267" refreshError="1"/>
      <sheetData sheetId="9268" refreshError="1"/>
      <sheetData sheetId="9269" refreshError="1"/>
      <sheetData sheetId="9270" refreshError="1"/>
      <sheetData sheetId="9271" refreshError="1"/>
      <sheetData sheetId="9272" refreshError="1"/>
      <sheetData sheetId="9273" refreshError="1"/>
      <sheetData sheetId="9274" refreshError="1"/>
      <sheetData sheetId="9275" refreshError="1"/>
      <sheetData sheetId="9276" refreshError="1"/>
      <sheetData sheetId="9277" refreshError="1"/>
      <sheetData sheetId="9278" refreshError="1"/>
      <sheetData sheetId="9279" refreshError="1"/>
      <sheetData sheetId="9280" refreshError="1"/>
      <sheetData sheetId="9281" refreshError="1"/>
      <sheetData sheetId="9282" refreshError="1"/>
      <sheetData sheetId="9283" refreshError="1"/>
      <sheetData sheetId="9284" refreshError="1"/>
      <sheetData sheetId="9285" refreshError="1"/>
      <sheetData sheetId="9286" refreshError="1"/>
      <sheetData sheetId="9287" refreshError="1"/>
      <sheetData sheetId="9288" refreshError="1"/>
      <sheetData sheetId="9289" refreshError="1"/>
      <sheetData sheetId="9290" refreshError="1"/>
      <sheetData sheetId="9291" refreshError="1"/>
      <sheetData sheetId="9292" refreshError="1"/>
      <sheetData sheetId="9293" refreshError="1"/>
      <sheetData sheetId="9294" refreshError="1"/>
      <sheetData sheetId="9295" refreshError="1"/>
      <sheetData sheetId="9296" refreshError="1"/>
      <sheetData sheetId="9297" refreshError="1"/>
      <sheetData sheetId="9298" refreshError="1"/>
      <sheetData sheetId="9299" refreshError="1"/>
      <sheetData sheetId="9300" refreshError="1"/>
      <sheetData sheetId="9301" refreshError="1"/>
      <sheetData sheetId="9302" refreshError="1"/>
      <sheetData sheetId="9303" refreshError="1"/>
      <sheetData sheetId="9304" refreshError="1"/>
      <sheetData sheetId="9305" refreshError="1"/>
      <sheetData sheetId="9306" refreshError="1"/>
      <sheetData sheetId="9307" refreshError="1"/>
      <sheetData sheetId="9308" refreshError="1"/>
      <sheetData sheetId="9309" refreshError="1"/>
      <sheetData sheetId="9310" refreshError="1"/>
      <sheetData sheetId="9311" refreshError="1"/>
      <sheetData sheetId="9312" refreshError="1"/>
      <sheetData sheetId="9313" refreshError="1"/>
      <sheetData sheetId="9314" refreshError="1"/>
      <sheetData sheetId="9315" refreshError="1"/>
      <sheetData sheetId="9316" refreshError="1"/>
      <sheetData sheetId="9317" refreshError="1"/>
      <sheetData sheetId="9318" refreshError="1"/>
      <sheetData sheetId="9319" refreshError="1"/>
      <sheetData sheetId="9320" refreshError="1"/>
      <sheetData sheetId="9321" refreshError="1"/>
      <sheetData sheetId="9322" refreshError="1"/>
      <sheetData sheetId="9323" refreshError="1"/>
      <sheetData sheetId="9324" refreshError="1"/>
      <sheetData sheetId="9325" refreshError="1"/>
      <sheetData sheetId="9326" refreshError="1"/>
      <sheetData sheetId="9327" refreshError="1"/>
      <sheetData sheetId="9328" refreshError="1"/>
      <sheetData sheetId="9329" refreshError="1"/>
      <sheetData sheetId="9330" refreshError="1"/>
      <sheetData sheetId="9331" refreshError="1"/>
      <sheetData sheetId="9332" refreshError="1"/>
      <sheetData sheetId="9333" refreshError="1"/>
      <sheetData sheetId="9334" refreshError="1"/>
      <sheetData sheetId="9335" refreshError="1"/>
      <sheetData sheetId="9336" refreshError="1"/>
      <sheetData sheetId="9337" refreshError="1"/>
      <sheetData sheetId="9338" refreshError="1"/>
      <sheetData sheetId="9339" refreshError="1"/>
      <sheetData sheetId="9340" refreshError="1"/>
      <sheetData sheetId="9341" refreshError="1"/>
      <sheetData sheetId="9342" refreshError="1"/>
      <sheetData sheetId="9343" refreshError="1"/>
      <sheetData sheetId="9344" refreshError="1"/>
      <sheetData sheetId="9345" refreshError="1"/>
      <sheetData sheetId="9346" refreshError="1"/>
      <sheetData sheetId="9347" refreshError="1"/>
      <sheetData sheetId="9348" refreshError="1"/>
      <sheetData sheetId="9349" refreshError="1"/>
      <sheetData sheetId="9350" refreshError="1"/>
      <sheetData sheetId="9351" refreshError="1"/>
      <sheetData sheetId="9352" refreshError="1"/>
      <sheetData sheetId="9353" refreshError="1"/>
      <sheetData sheetId="9354" refreshError="1"/>
      <sheetData sheetId="9355" refreshError="1"/>
      <sheetData sheetId="9356" refreshError="1"/>
      <sheetData sheetId="9357" refreshError="1"/>
      <sheetData sheetId="9358" refreshError="1"/>
      <sheetData sheetId="9359" refreshError="1"/>
      <sheetData sheetId="9360" refreshError="1"/>
      <sheetData sheetId="9361" refreshError="1"/>
      <sheetData sheetId="9362" refreshError="1"/>
      <sheetData sheetId="9363" refreshError="1"/>
      <sheetData sheetId="9364" refreshError="1"/>
      <sheetData sheetId="9365" refreshError="1"/>
      <sheetData sheetId="9366" refreshError="1"/>
      <sheetData sheetId="9367" refreshError="1"/>
      <sheetData sheetId="9368" refreshError="1"/>
      <sheetData sheetId="9369" refreshError="1"/>
      <sheetData sheetId="9370" refreshError="1"/>
      <sheetData sheetId="9371" refreshError="1"/>
      <sheetData sheetId="9372" refreshError="1"/>
      <sheetData sheetId="9373" refreshError="1"/>
      <sheetData sheetId="9374" refreshError="1"/>
      <sheetData sheetId="9375" refreshError="1"/>
      <sheetData sheetId="9376" refreshError="1"/>
      <sheetData sheetId="9377" refreshError="1"/>
      <sheetData sheetId="9378" refreshError="1"/>
      <sheetData sheetId="9379" refreshError="1"/>
      <sheetData sheetId="9380" refreshError="1"/>
      <sheetData sheetId="9381" refreshError="1"/>
      <sheetData sheetId="9382" refreshError="1"/>
      <sheetData sheetId="9383" refreshError="1"/>
      <sheetData sheetId="9384" refreshError="1"/>
      <sheetData sheetId="9385" refreshError="1"/>
      <sheetData sheetId="9386" refreshError="1"/>
      <sheetData sheetId="9387" refreshError="1"/>
      <sheetData sheetId="9388" refreshError="1"/>
      <sheetData sheetId="9389" refreshError="1"/>
      <sheetData sheetId="9390" refreshError="1"/>
      <sheetData sheetId="9391" refreshError="1"/>
      <sheetData sheetId="9392" refreshError="1"/>
      <sheetData sheetId="9393" refreshError="1"/>
      <sheetData sheetId="9394" refreshError="1"/>
      <sheetData sheetId="9395" refreshError="1"/>
      <sheetData sheetId="9396" refreshError="1"/>
      <sheetData sheetId="9397" refreshError="1"/>
      <sheetData sheetId="9398" refreshError="1"/>
      <sheetData sheetId="9399" refreshError="1"/>
      <sheetData sheetId="9400" refreshError="1"/>
      <sheetData sheetId="9401" refreshError="1"/>
      <sheetData sheetId="9402" refreshError="1"/>
      <sheetData sheetId="9403" refreshError="1"/>
      <sheetData sheetId="9404" refreshError="1"/>
      <sheetData sheetId="9405" refreshError="1"/>
      <sheetData sheetId="9406" refreshError="1"/>
      <sheetData sheetId="9407" refreshError="1"/>
      <sheetData sheetId="9408" refreshError="1"/>
      <sheetData sheetId="9409" refreshError="1"/>
      <sheetData sheetId="9410" refreshError="1"/>
      <sheetData sheetId="9411" refreshError="1"/>
      <sheetData sheetId="9412" refreshError="1"/>
      <sheetData sheetId="9413" refreshError="1"/>
      <sheetData sheetId="9414" refreshError="1"/>
      <sheetData sheetId="9415" refreshError="1"/>
      <sheetData sheetId="9416" refreshError="1"/>
      <sheetData sheetId="9417" refreshError="1"/>
      <sheetData sheetId="9418" refreshError="1"/>
      <sheetData sheetId="9419" refreshError="1"/>
      <sheetData sheetId="9420" refreshError="1"/>
      <sheetData sheetId="9421" refreshError="1"/>
      <sheetData sheetId="9422" refreshError="1"/>
      <sheetData sheetId="9423" refreshError="1"/>
      <sheetData sheetId="9424" refreshError="1"/>
      <sheetData sheetId="9425" refreshError="1"/>
      <sheetData sheetId="9426" refreshError="1"/>
      <sheetData sheetId="9427" refreshError="1"/>
      <sheetData sheetId="9428" refreshError="1"/>
      <sheetData sheetId="9429" refreshError="1"/>
      <sheetData sheetId="9430" refreshError="1"/>
      <sheetData sheetId="9431" refreshError="1"/>
      <sheetData sheetId="9432" refreshError="1"/>
      <sheetData sheetId="9433" refreshError="1"/>
      <sheetData sheetId="9434" refreshError="1"/>
      <sheetData sheetId="9435" refreshError="1"/>
      <sheetData sheetId="9436" refreshError="1"/>
      <sheetData sheetId="9437" refreshError="1"/>
      <sheetData sheetId="9438" refreshError="1"/>
      <sheetData sheetId="9439" refreshError="1"/>
      <sheetData sheetId="9440" refreshError="1"/>
      <sheetData sheetId="9441" refreshError="1"/>
      <sheetData sheetId="9442" refreshError="1"/>
      <sheetData sheetId="9443" refreshError="1"/>
      <sheetData sheetId="9444" refreshError="1"/>
      <sheetData sheetId="9445" refreshError="1"/>
      <sheetData sheetId="9446" refreshError="1"/>
      <sheetData sheetId="9447" refreshError="1"/>
      <sheetData sheetId="9448" refreshError="1"/>
      <sheetData sheetId="9449" refreshError="1"/>
      <sheetData sheetId="9450" refreshError="1"/>
      <sheetData sheetId="9451" refreshError="1"/>
      <sheetData sheetId="9452" refreshError="1"/>
      <sheetData sheetId="9453" refreshError="1"/>
      <sheetData sheetId="9454" refreshError="1"/>
      <sheetData sheetId="9455" refreshError="1"/>
      <sheetData sheetId="9456" refreshError="1"/>
      <sheetData sheetId="9457" refreshError="1"/>
      <sheetData sheetId="9458" refreshError="1"/>
      <sheetData sheetId="9459" refreshError="1"/>
      <sheetData sheetId="9460" refreshError="1"/>
      <sheetData sheetId="9461" refreshError="1"/>
      <sheetData sheetId="9462" refreshError="1"/>
      <sheetData sheetId="9463" refreshError="1"/>
      <sheetData sheetId="9464" refreshError="1"/>
      <sheetData sheetId="9465" refreshError="1"/>
      <sheetData sheetId="9466" refreshError="1"/>
      <sheetData sheetId="9467" refreshError="1"/>
      <sheetData sheetId="9468" refreshError="1"/>
      <sheetData sheetId="9469" refreshError="1"/>
      <sheetData sheetId="9470" refreshError="1"/>
      <sheetData sheetId="9471" refreshError="1"/>
      <sheetData sheetId="9472" refreshError="1"/>
      <sheetData sheetId="9473" refreshError="1"/>
      <sheetData sheetId="9474" refreshError="1"/>
      <sheetData sheetId="9475" refreshError="1"/>
      <sheetData sheetId="9476" refreshError="1"/>
      <sheetData sheetId="9477" refreshError="1"/>
      <sheetData sheetId="9478" refreshError="1"/>
      <sheetData sheetId="9479" refreshError="1"/>
      <sheetData sheetId="9480" refreshError="1"/>
      <sheetData sheetId="9481" refreshError="1"/>
      <sheetData sheetId="9482" refreshError="1"/>
      <sheetData sheetId="9483" refreshError="1"/>
      <sheetData sheetId="9484" refreshError="1"/>
      <sheetData sheetId="9485" refreshError="1"/>
      <sheetData sheetId="9486" refreshError="1"/>
      <sheetData sheetId="9487" refreshError="1"/>
      <sheetData sheetId="9488" refreshError="1"/>
      <sheetData sheetId="9489" refreshError="1"/>
      <sheetData sheetId="9490" refreshError="1"/>
      <sheetData sheetId="9491" refreshError="1"/>
      <sheetData sheetId="9492" refreshError="1"/>
      <sheetData sheetId="9493" refreshError="1"/>
      <sheetData sheetId="9494" refreshError="1"/>
      <sheetData sheetId="9495" refreshError="1"/>
      <sheetData sheetId="9496" refreshError="1"/>
      <sheetData sheetId="9497" refreshError="1"/>
      <sheetData sheetId="9498" refreshError="1"/>
      <sheetData sheetId="9499" refreshError="1"/>
      <sheetData sheetId="9500" refreshError="1"/>
      <sheetData sheetId="9501" refreshError="1"/>
      <sheetData sheetId="9502" refreshError="1"/>
      <sheetData sheetId="9503" refreshError="1"/>
      <sheetData sheetId="9504" refreshError="1"/>
      <sheetData sheetId="9505" refreshError="1"/>
      <sheetData sheetId="9506" refreshError="1"/>
      <sheetData sheetId="9507" refreshError="1"/>
      <sheetData sheetId="9508" refreshError="1"/>
      <sheetData sheetId="9509" refreshError="1"/>
      <sheetData sheetId="9510" refreshError="1"/>
      <sheetData sheetId="9511" refreshError="1"/>
      <sheetData sheetId="9512" refreshError="1"/>
      <sheetData sheetId="9513" refreshError="1"/>
      <sheetData sheetId="9514" refreshError="1"/>
      <sheetData sheetId="9515" refreshError="1"/>
      <sheetData sheetId="9516" refreshError="1"/>
      <sheetData sheetId="9517" refreshError="1"/>
      <sheetData sheetId="9518" refreshError="1"/>
      <sheetData sheetId="9519" refreshError="1"/>
      <sheetData sheetId="9520" refreshError="1"/>
      <sheetData sheetId="9521" refreshError="1"/>
      <sheetData sheetId="9522" refreshError="1"/>
      <sheetData sheetId="9523" refreshError="1"/>
      <sheetData sheetId="9524" refreshError="1"/>
      <sheetData sheetId="9525" refreshError="1"/>
      <sheetData sheetId="9526" refreshError="1"/>
      <sheetData sheetId="9527" refreshError="1"/>
      <sheetData sheetId="9528" refreshError="1"/>
      <sheetData sheetId="9529" refreshError="1"/>
      <sheetData sheetId="9530" refreshError="1"/>
      <sheetData sheetId="9531" refreshError="1"/>
      <sheetData sheetId="9532" refreshError="1"/>
      <sheetData sheetId="9533" refreshError="1"/>
      <sheetData sheetId="9534" refreshError="1"/>
      <sheetData sheetId="9535" refreshError="1"/>
      <sheetData sheetId="9536" refreshError="1"/>
      <sheetData sheetId="9537" refreshError="1"/>
      <sheetData sheetId="9538" refreshError="1"/>
      <sheetData sheetId="9539" refreshError="1"/>
      <sheetData sheetId="9540" refreshError="1"/>
      <sheetData sheetId="9541" refreshError="1"/>
      <sheetData sheetId="9542" refreshError="1"/>
      <sheetData sheetId="9543" refreshError="1"/>
      <sheetData sheetId="9544" refreshError="1"/>
      <sheetData sheetId="9545" refreshError="1"/>
      <sheetData sheetId="9546" refreshError="1"/>
      <sheetData sheetId="9547" refreshError="1"/>
      <sheetData sheetId="9548" refreshError="1"/>
      <sheetData sheetId="9549" refreshError="1"/>
      <sheetData sheetId="9550" refreshError="1"/>
      <sheetData sheetId="9551" refreshError="1"/>
      <sheetData sheetId="9552" refreshError="1"/>
      <sheetData sheetId="9553" refreshError="1"/>
      <sheetData sheetId="9554" refreshError="1"/>
      <sheetData sheetId="9555" refreshError="1"/>
      <sheetData sheetId="9556" refreshError="1"/>
      <sheetData sheetId="9557" refreshError="1"/>
      <sheetData sheetId="9558" refreshError="1"/>
      <sheetData sheetId="9559" refreshError="1"/>
      <sheetData sheetId="9560" refreshError="1"/>
      <sheetData sheetId="9561" refreshError="1"/>
      <sheetData sheetId="9562" refreshError="1"/>
      <sheetData sheetId="9563" refreshError="1"/>
      <sheetData sheetId="9564" refreshError="1"/>
      <sheetData sheetId="9565" refreshError="1"/>
      <sheetData sheetId="9566" refreshError="1"/>
      <sheetData sheetId="9567" refreshError="1"/>
      <sheetData sheetId="9568" refreshError="1"/>
      <sheetData sheetId="9569" refreshError="1"/>
      <sheetData sheetId="9570" refreshError="1"/>
      <sheetData sheetId="9571" refreshError="1"/>
      <sheetData sheetId="9572" refreshError="1"/>
      <sheetData sheetId="9573" refreshError="1"/>
      <sheetData sheetId="9574" refreshError="1"/>
      <sheetData sheetId="9575" refreshError="1"/>
      <sheetData sheetId="9576" refreshError="1"/>
      <sheetData sheetId="9577" refreshError="1"/>
      <sheetData sheetId="9578" refreshError="1"/>
      <sheetData sheetId="9579" refreshError="1"/>
      <sheetData sheetId="9580" refreshError="1"/>
      <sheetData sheetId="9581" refreshError="1"/>
      <sheetData sheetId="9582" refreshError="1"/>
      <sheetData sheetId="9583" refreshError="1"/>
      <sheetData sheetId="9584" refreshError="1"/>
      <sheetData sheetId="9585" refreshError="1"/>
      <sheetData sheetId="9586" refreshError="1"/>
      <sheetData sheetId="9587" refreshError="1"/>
      <sheetData sheetId="9588" refreshError="1"/>
      <sheetData sheetId="9589" refreshError="1"/>
      <sheetData sheetId="9590" refreshError="1"/>
      <sheetData sheetId="9591" refreshError="1"/>
      <sheetData sheetId="9592" refreshError="1"/>
      <sheetData sheetId="9593" refreshError="1"/>
      <sheetData sheetId="9594" refreshError="1"/>
      <sheetData sheetId="9595" refreshError="1"/>
      <sheetData sheetId="9596" refreshError="1"/>
      <sheetData sheetId="9597" refreshError="1"/>
      <sheetData sheetId="9598" refreshError="1"/>
      <sheetData sheetId="9599" refreshError="1"/>
      <sheetData sheetId="9600" refreshError="1"/>
      <sheetData sheetId="9601" refreshError="1"/>
      <sheetData sheetId="9602" refreshError="1"/>
      <sheetData sheetId="9603" refreshError="1"/>
      <sheetData sheetId="9604" refreshError="1"/>
      <sheetData sheetId="9605" refreshError="1"/>
      <sheetData sheetId="9606" refreshError="1"/>
      <sheetData sheetId="9607" refreshError="1"/>
      <sheetData sheetId="9608" refreshError="1"/>
      <sheetData sheetId="9609" refreshError="1"/>
      <sheetData sheetId="9610" refreshError="1"/>
      <sheetData sheetId="9611" refreshError="1"/>
      <sheetData sheetId="9612" refreshError="1"/>
      <sheetData sheetId="9613" refreshError="1"/>
      <sheetData sheetId="9614" refreshError="1"/>
      <sheetData sheetId="9615" refreshError="1"/>
      <sheetData sheetId="9616" refreshError="1"/>
      <sheetData sheetId="9617" refreshError="1"/>
      <sheetData sheetId="9618" refreshError="1"/>
      <sheetData sheetId="9619" refreshError="1"/>
      <sheetData sheetId="9620" refreshError="1"/>
      <sheetData sheetId="9621" refreshError="1"/>
      <sheetData sheetId="9622" refreshError="1"/>
      <sheetData sheetId="9623" refreshError="1"/>
      <sheetData sheetId="9624" refreshError="1"/>
      <sheetData sheetId="9625" refreshError="1"/>
      <sheetData sheetId="9626" refreshError="1"/>
      <sheetData sheetId="9627" refreshError="1"/>
      <sheetData sheetId="9628" refreshError="1"/>
      <sheetData sheetId="9629" refreshError="1"/>
      <sheetData sheetId="9630" refreshError="1"/>
      <sheetData sheetId="9631" refreshError="1"/>
      <sheetData sheetId="9632" refreshError="1"/>
      <sheetData sheetId="9633" refreshError="1"/>
      <sheetData sheetId="9634" refreshError="1"/>
      <sheetData sheetId="9635" refreshError="1"/>
      <sheetData sheetId="9636" refreshError="1"/>
      <sheetData sheetId="9637" refreshError="1"/>
      <sheetData sheetId="9638" refreshError="1"/>
      <sheetData sheetId="9639" refreshError="1"/>
      <sheetData sheetId="9640" refreshError="1"/>
      <sheetData sheetId="9641" refreshError="1"/>
      <sheetData sheetId="9642" refreshError="1"/>
      <sheetData sheetId="9643" refreshError="1"/>
      <sheetData sheetId="9644" refreshError="1"/>
      <sheetData sheetId="9645" refreshError="1"/>
      <sheetData sheetId="9646" refreshError="1"/>
      <sheetData sheetId="9647" refreshError="1"/>
      <sheetData sheetId="9648" refreshError="1"/>
      <sheetData sheetId="9649" refreshError="1"/>
      <sheetData sheetId="9650" refreshError="1"/>
      <sheetData sheetId="9651" refreshError="1"/>
      <sheetData sheetId="9652" refreshError="1"/>
      <sheetData sheetId="9653" refreshError="1"/>
      <sheetData sheetId="9654" refreshError="1"/>
      <sheetData sheetId="9655" refreshError="1"/>
      <sheetData sheetId="9656" refreshError="1"/>
      <sheetData sheetId="9657" refreshError="1"/>
      <sheetData sheetId="9658" refreshError="1"/>
      <sheetData sheetId="9659" refreshError="1"/>
      <sheetData sheetId="9660" refreshError="1"/>
      <sheetData sheetId="9661" refreshError="1"/>
      <sheetData sheetId="9662" refreshError="1"/>
      <sheetData sheetId="9663" refreshError="1"/>
      <sheetData sheetId="9664" refreshError="1"/>
      <sheetData sheetId="9665" refreshError="1"/>
      <sheetData sheetId="9666" refreshError="1"/>
      <sheetData sheetId="9667" refreshError="1"/>
      <sheetData sheetId="9668" refreshError="1"/>
      <sheetData sheetId="9669" refreshError="1"/>
      <sheetData sheetId="9670" refreshError="1"/>
      <sheetData sheetId="9671" refreshError="1"/>
      <sheetData sheetId="9672" refreshError="1"/>
      <sheetData sheetId="9673" refreshError="1"/>
      <sheetData sheetId="9674" refreshError="1"/>
      <sheetData sheetId="9675" refreshError="1"/>
      <sheetData sheetId="9676" refreshError="1"/>
      <sheetData sheetId="9677" refreshError="1"/>
      <sheetData sheetId="9678" refreshError="1"/>
      <sheetData sheetId="9679" refreshError="1"/>
      <sheetData sheetId="9680" refreshError="1"/>
      <sheetData sheetId="9681" refreshError="1"/>
      <sheetData sheetId="9682" refreshError="1"/>
      <sheetData sheetId="9683" refreshError="1"/>
      <sheetData sheetId="9684" refreshError="1"/>
      <sheetData sheetId="9685" refreshError="1"/>
      <sheetData sheetId="9686" refreshError="1"/>
      <sheetData sheetId="9687" refreshError="1"/>
      <sheetData sheetId="9688" refreshError="1"/>
      <sheetData sheetId="9689" refreshError="1"/>
      <sheetData sheetId="9690" refreshError="1"/>
      <sheetData sheetId="9691" refreshError="1"/>
      <sheetData sheetId="9692" refreshError="1"/>
      <sheetData sheetId="9693" refreshError="1"/>
      <sheetData sheetId="9694" refreshError="1"/>
      <sheetData sheetId="9695" refreshError="1"/>
      <sheetData sheetId="9696" refreshError="1"/>
      <sheetData sheetId="9697" refreshError="1"/>
      <sheetData sheetId="9698" refreshError="1"/>
      <sheetData sheetId="9699" refreshError="1"/>
      <sheetData sheetId="9700" refreshError="1"/>
      <sheetData sheetId="9701" refreshError="1"/>
      <sheetData sheetId="9702" refreshError="1"/>
      <sheetData sheetId="9703" refreshError="1"/>
      <sheetData sheetId="9704" refreshError="1"/>
      <sheetData sheetId="9705" refreshError="1"/>
      <sheetData sheetId="9706" refreshError="1"/>
      <sheetData sheetId="9707" refreshError="1"/>
      <sheetData sheetId="9708" refreshError="1"/>
      <sheetData sheetId="9709" refreshError="1"/>
      <sheetData sheetId="9710" refreshError="1"/>
      <sheetData sheetId="9711" refreshError="1"/>
      <sheetData sheetId="9712" refreshError="1"/>
      <sheetData sheetId="9713" refreshError="1"/>
      <sheetData sheetId="9714" refreshError="1"/>
      <sheetData sheetId="9715" refreshError="1"/>
      <sheetData sheetId="9716" refreshError="1"/>
      <sheetData sheetId="9717" refreshError="1"/>
      <sheetData sheetId="9718" refreshError="1"/>
      <sheetData sheetId="9719" refreshError="1"/>
      <sheetData sheetId="9720" refreshError="1"/>
      <sheetData sheetId="9721" refreshError="1"/>
      <sheetData sheetId="9722" refreshError="1"/>
      <sheetData sheetId="9723" refreshError="1"/>
      <sheetData sheetId="9724" refreshError="1"/>
      <sheetData sheetId="9725" refreshError="1"/>
      <sheetData sheetId="9726" refreshError="1"/>
      <sheetData sheetId="9727" refreshError="1"/>
      <sheetData sheetId="9728" refreshError="1"/>
      <sheetData sheetId="9729" refreshError="1"/>
      <sheetData sheetId="9730" refreshError="1"/>
      <sheetData sheetId="9731" refreshError="1"/>
      <sheetData sheetId="9732" refreshError="1"/>
      <sheetData sheetId="9733" refreshError="1"/>
      <sheetData sheetId="9734" refreshError="1"/>
      <sheetData sheetId="9735" refreshError="1"/>
      <sheetData sheetId="9736" refreshError="1"/>
      <sheetData sheetId="9737" refreshError="1"/>
      <sheetData sheetId="9738" refreshError="1"/>
      <sheetData sheetId="9739" refreshError="1"/>
      <sheetData sheetId="9740" refreshError="1"/>
      <sheetData sheetId="9741" refreshError="1"/>
      <sheetData sheetId="9742" refreshError="1"/>
      <sheetData sheetId="9743" refreshError="1"/>
      <sheetData sheetId="9744" refreshError="1"/>
      <sheetData sheetId="9745" refreshError="1"/>
      <sheetData sheetId="9746" refreshError="1"/>
      <sheetData sheetId="9747" refreshError="1"/>
      <sheetData sheetId="9748" refreshError="1"/>
      <sheetData sheetId="9749" refreshError="1"/>
      <sheetData sheetId="9750" refreshError="1"/>
      <sheetData sheetId="9751" refreshError="1"/>
      <sheetData sheetId="9752" refreshError="1"/>
      <sheetData sheetId="9753" refreshError="1"/>
      <sheetData sheetId="9754" refreshError="1"/>
      <sheetData sheetId="9755" refreshError="1"/>
      <sheetData sheetId="9756" refreshError="1"/>
      <sheetData sheetId="9757" refreshError="1"/>
      <sheetData sheetId="9758" refreshError="1"/>
      <sheetData sheetId="9759" refreshError="1"/>
      <sheetData sheetId="9760" refreshError="1"/>
      <sheetData sheetId="9761" refreshError="1"/>
      <sheetData sheetId="9762" refreshError="1"/>
      <sheetData sheetId="9763" refreshError="1"/>
      <sheetData sheetId="9764" refreshError="1"/>
      <sheetData sheetId="9765" refreshError="1"/>
      <sheetData sheetId="9766" refreshError="1"/>
      <sheetData sheetId="9767" refreshError="1"/>
      <sheetData sheetId="9768" refreshError="1"/>
      <sheetData sheetId="9769" refreshError="1"/>
      <sheetData sheetId="9770" refreshError="1"/>
      <sheetData sheetId="9771" refreshError="1"/>
      <sheetData sheetId="9772" refreshError="1"/>
      <sheetData sheetId="9773" refreshError="1"/>
      <sheetData sheetId="9774" refreshError="1"/>
      <sheetData sheetId="9775" refreshError="1"/>
      <sheetData sheetId="9776" refreshError="1"/>
      <sheetData sheetId="9777" refreshError="1"/>
      <sheetData sheetId="9778" refreshError="1"/>
      <sheetData sheetId="9779" refreshError="1"/>
      <sheetData sheetId="9780" refreshError="1"/>
      <sheetData sheetId="9781" refreshError="1"/>
      <sheetData sheetId="9782" refreshError="1"/>
      <sheetData sheetId="9783" refreshError="1"/>
      <sheetData sheetId="9784" refreshError="1"/>
      <sheetData sheetId="9785" refreshError="1"/>
      <sheetData sheetId="9786" refreshError="1"/>
      <sheetData sheetId="9787" refreshError="1"/>
      <sheetData sheetId="9788" refreshError="1"/>
      <sheetData sheetId="9789" refreshError="1"/>
      <sheetData sheetId="9790" refreshError="1"/>
      <sheetData sheetId="9791" refreshError="1"/>
      <sheetData sheetId="9792" refreshError="1"/>
      <sheetData sheetId="9793" refreshError="1"/>
      <sheetData sheetId="9794" refreshError="1"/>
      <sheetData sheetId="9795" refreshError="1"/>
      <sheetData sheetId="9796" refreshError="1"/>
      <sheetData sheetId="9797" refreshError="1"/>
      <sheetData sheetId="9798" refreshError="1"/>
      <sheetData sheetId="9799" refreshError="1"/>
      <sheetData sheetId="9800" refreshError="1"/>
      <sheetData sheetId="9801" refreshError="1"/>
      <sheetData sheetId="9802" refreshError="1"/>
      <sheetData sheetId="9803" refreshError="1"/>
      <sheetData sheetId="9804" refreshError="1"/>
      <sheetData sheetId="9805" refreshError="1"/>
      <sheetData sheetId="9806" refreshError="1"/>
      <sheetData sheetId="9807" refreshError="1"/>
      <sheetData sheetId="9808" refreshError="1"/>
      <sheetData sheetId="9809" refreshError="1"/>
      <sheetData sheetId="9810" refreshError="1"/>
      <sheetData sheetId="9811" refreshError="1"/>
      <sheetData sheetId="9812" refreshError="1"/>
      <sheetData sheetId="9813" refreshError="1"/>
      <sheetData sheetId="9814" refreshError="1"/>
      <sheetData sheetId="9815" refreshError="1"/>
      <sheetData sheetId="9816" refreshError="1"/>
      <sheetData sheetId="9817" refreshError="1"/>
      <sheetData sheetId="9818" refreshError="1"/>
      <sheetData sheetId="9819" refreshError="1"/>
      <sheetData sheetId="9820" refreshError="1"/>
      <sheetData sheetId="9821" refreshError="1"/>
      <sheetData sheetId="9822" refreshError="1"/>
      <sheetData sheetId="9823" refreshError="1"/>
      <sheetData sheetId="9824" refreshError="1"/>
      <sheetData sheetId="9825" refreshError="1"/>
      <sheetData sheetId="9826" refreshError="1"/>
      <sheetData sheetId="9827" refreshError="1"/>
      <sheetData sheetId="9828" refreshError="1"/>
      <sheetData sheetId="9829" refreshError="1"/>
      <sheetData sheetId="9830" refreshError="1"/>
      <sheetData sheetId="9831" refreshError="1"/>
      <sheetData sheetId="9832" refreshError="1"/>
      <sheetData sheetId="9833" refreshError="1"/>
      <sheetData sheetId="9834" refreshError="1"/>
      <sheetData sheetId="9835" refreshError="1"/>
      <sheetData sheetId="9836" refreshError="1"/>
      <sheetData sheetId="9837" refreshError="1"/>
      <sheetData sheetId="9838" refreshError="1"/>
      <sheetData sheetId="9839" refreshError="1"/>
      <sheetData sheetId="9840" refreshError="1"/>
      <sheetData sheetId="9841" refreshError="1"/>
      <sheetData sheetId="9842" refreshError="1"/>
      <sheetData sheetId="9843" refreshError="1"/>
      <sheetData sheetId="9844" refreshError="1"/>
      <sheetData sheetId="9845" refreshError="1"/>
      <sheetData sheetId="9846" refreshError="1"/>
      <sheetData sheetId="9847" refreshError="1"/>
      <sheetData sheetId="9848" refreshError="1"/>
      <sheetData sheetId="9849" refreshError="1"/>
      <sheetData sheetId="9850" refreshError="1"/>
      <sheetData sheetId="9851" refreshError="1"/>
      <sheetData sheetId="9852" refreshError="1"/>
      <sheetData sheetId="9853" refreshError="1"/>
      <sheetData sheetId="9854" refreshError="1"/>
      <sheetData sheetId="9855" refreshError="1"/>
      <sheetData sheetId="9856" refreshError="1"/>
      <sheetData sheetId="9857" refreshError="1"/>
      <sheetData sheetId="9858" refreshError="1"/>
      <sheetData sheetId="9859" refreshError="1"/>
      <sheetData sheetId="9860" refreshError="1"/>
      <sheetData sheetId="9861" refreshError="1"/>
      <sheetData sheetId="9862" refreshError="1"/>
      <sheetData sheetId="9863" refreshError="1"/>
      <sheetData sheetId="9864" refreshError="1"/>
      <sheetData sheetId="9865" refreshError="1"/>
      <sheetData sheetId="9866" refreshError="1"/>
      <sheetData sheetId="9867" refreshError="1"/>
      <sheetData sheetId="9868" refreshError="1"/>
      <sheetData sheetId="9869" refreshError="1"/>
      <sheetData sheetId="9870" refreshError="1"/>
      <sheetData sheetId="9871" refreshError="1"/>
      <sheetData sheetId="9872" refreshError="1"/>
      <sheetData sheetId="9873" refreshError="1"/>
      <sheetData sheetId="9874" refreshError="1"/>
      <sheetData sheetId="9875" refreshError="1"/>
      <sheetData sheetId="9876" refreshError="1"/>
      <sheetData sheetId="9877" refreshError="1"/>
      <sheetData sheetId="9878" refreshError="1"/>
      <sheetData sheetId="9879" refreshError="1"/>
      <sheetData sheetId="9880" refreshError="1"/>
      <sheetData sheetId="9881" refreshError="1"/>
      <sheetData sheetId="9882" refreshError="1"/>
      <sheetData sheetId="9883" refreshError="1"/>
      <sheetData sheetId="9884" refreshError="1"/>
      <sheetData sheetId="9885" refreshError="1"/>
      <sheetData sheetId="9886" refreshError="1"/>
      <sheetData sheetId="9887" refreshError="1"/>
      <sheetData sheetId="9888" refreshError="1"/>
      <sheetData sheetId="9889" refreshError="1"/>
      <sheetData sheetId="9890" refreshError="1"/>
      <sheetData sheetId="9891" refreshError="1"/>
      <sheetData sheetId="9892" refreshError="1"/>
      <sheetData sheetId="9893" refreshError="1"/>
      <sheetData sheetId="9894" refreshError="1"/>
      <sheetData sheetId="9895" refreshError="1"/>
      <sheetData sheetId="9896" refreshError="1"/>
      <sheetData sheetId="9897" refreshError="1"/>
      <sheetData sheetId="9898" refreshError="1"/>
      <sheetData sheetId="9899" refreshError="1"/>
      <sheetData sheetId="9900" refreshError="1"/>
      <sheetData sheetId="9901" refreshError="1"/>
      <sheetData sheetId="9902" refreshError="1"/>
      <sheetData sheetId="9903" refreshError="1"/>
      <sheetData sheetId="9904" refreshError="1"/>
      <sheetData sheetId="9905" refreshError="1"/>
      <sheetData sheetId="9906" refreshError="1"/>
      <sheetData sheetId="9907" refreshError="1"/>
      <sheetData sheetId="9908" refreshError="1"/>
      <sheetData sheetId="9909" refreshError="1"/>
      <sheetData sheetId="9910" refreshError="1"/>
      <sheetData sheetId="9911" refreshError="1"/>
      <sheetData sheetId="9912" refreshError="1"/>
      <sheetData sheetId="9913" refreshError="1"/>
      <sheetData sheetId="9914" refreshError="1"/>
      <sheetData sheetId="9915" refreshError="1"/>
      <sheetData sheetId="9916" refreshError="1"/>
      <sheetData sheetId="9917" refreshError="1"/>
      <sheetData sheetId="9918" refreshError="1"/>
      <sheetData sheetId="9919" refreshError="1"/>
      <sheetData sheetId="9920" refreshError="1"/>
      <sheetData sheetId="9921" refreshError="1"/>
      <sheetData sheetId="9922" refreshError="1"/>
      <sheetData sheetId="9923" refreshError="1"/>
      <sheetData sheetId="9924" refreshError="1"/>
      <sheetData sheetId="9925" refreshError="1"/>
      <sheetData sheetId="9926" refreshError="1"/>
      <sheetData sheetId="9927" refreshError="1"/>
      <sheetData sheetId="9928" refreshError="1"/>
      <sheetData sheetId="9929" refreshError="1"/>
      <sheetData sheetId="9930" refreshError="1"/>
      <sheetData sheetId="9931" refreshError="1"/>
      <sheetData sheetId="9932" refreshError="1"/>
      <sheetData sheetId="9933" refreshError="1"/>
      <sheetData sheetId="9934" refreshError="1"/>
      <sheetData sheetId="9935" refreshError="1"/>
      <sheetData sheetId="9936" refreshError="1"/>
      <sheetData sheetId="9937" refreshError="1"/>
      <sheetData sheetId="9938" refreshError="1"/>
      <sheetData sheetId="9939" refreshError="1"/>
      <sheetData sheetId="9940" refreshError="1"/>
      <sheetData sheetId="9941" refreshError="1"/>
      <sheetData sheetId="9942" refreshError="1"/>
      <sheetData sheetId="9943" refreshError="1"/>
      <sheetData sheetId="9944" refreshError="1"/>
      <sheetData sheetId="9945" refreshError="1"/>
      <sheetData sheetId="9946" refreshError="1"/>
      <sheetData sheetId="9947" refreshError="1"/>
      <sheetData sheetId="9948" refreshError="1"/>
      <sheetData sheetId="9949" refreshError="1"/>
      <sheetData sheetId="9950" refreshError="1"/>
      <sheetData sheetId="9951" refreshError="1"/>
      <sheetData sheetId="9952" refreshError="1"/>
      <sheetData sheetId="9953" refreshError="1"/>
      <sheetData sheetId="9954" refreshError="1"/>
      <sheetData sheetId="9955" refreshError="1"/>
      <sheetData sheetId="9956" refreshError="1"/>
      <sheetData sheetId="9957" refreshError="1"/>
      <sheetData sheetId="9958" refreshError="1"/>
      <sheetData sheetId="9959" refreshError="1"/>
      <sheetData sheetId="9960" refreshError="1"/>
      <sheetData sheetId="9961" refreshError="1"/>
      <sheetData sheetId="9962" refreshError="1"/>
      <sheetData sheetId="9963" refreshError="1"/>
      <sheetData sheetId="9964" refreshError="1"/>
      <sheetData sheetId="9965" refreshError="1"/>
      <sheetData sheetId="9966" refreshError="1"/>
      <sheetData sheetId="9967" refreshError="1"/>
      <sheetData sheetId="9968" refreshError="1"/>
      <sheetData sheetId="9969" refreshError="1"/>
      <sheetData sheetId="9970" refreshError="1"/>
      <sheetData sheetId="9971" refreshError="1"/>
      <sheetData sheetId="9972" refreshError="1"/>
      <sheetData sheetId="9973" refreshError="1"/>
      <sheetData sheetId="9974" refreshError="1"/>
      <sheetData sheetId="9975" refreshError="1"/>
      <sheetData sheetId="9976" refreshError="1"/>
      <sheetData sheetId="9977" refreshError="1"/>
      <sheetData sheetId="9978" refreshError="1"/>
      <sheetData sheetId="9979" refreshError="1"/>
      <sheetData sheetId="9980" refreshError="1"/>
      <sheetData sheetId="9981" refreshError="1"/>
      <sheetData sheetId="9982" refreshError="1"/>
      <sheetData sheetId="9983" refreshError="1"/>
      <sheetData sheetId="9984" refreshError="1"/>
      <sheetData sheetId="9985" refreshError="1"/>
      <sheetData sheetId="9986" refreshError="1"/>
      <sheetData sheetId="9987" refreshError="1"/>
      <sheetData sheetId="9988" refreshError="1"/>
      <sheetData sheetId="9989" refreshError="1"/>
      <sheetData sheetId="9990" refreshError="1"/>
      <sheetData sheetId="9991" refreshError="1"/>
      <sheetData sheetId="9992" refreshError="1"/>
      <sheetData sheetId="9993" refreshError="1"/>
      <sheetData sheetId="9994" refreshError="1"/>
      <sheetData sheetId="9995" refreshError="1"/>
      <sheetData sheetId="9996" refreshError="1"/>
      <sheetData sheetId="9997" refreshError="1"/>
      <sheetData sheetId="9998" refreshError="1"/>
      <sheetData sheetId="9999" refreshError="1"/>
      <sheetData sheetId="10000" refreshError="1"/>
      <sheetData sheetId="10001" refreshError="1"/>
      <sheetData sheetId="10002" refreshError="1"/>
      <sheetData sheetId="10003" refreshError="1"/>
      <sheetData sheetId="10004" refreshError="1"/>
      <sheetData sheetId="10005" refreshError="1"/>
      <sheetData sheetId="10006" refreshError="1"/>
      <sheetData sheetId="10007" refreshError="1"/>
      <sheetData sheetId="10008" refreshError="1"/>
      <sheetData sheetId="10009" refreshError="1"/>
      <sheetData sheetId="10010" refreshError="1"/>
      <sheetData sheetId="10011" refreshError="1"/>
      <sheetData sheetId="10012" refreshError="1"/>
      <sheetData sheetId="10013" refreshError="1"/>
      <sheetData sheetId="10014" refreshError="1"/>
      <sheetData sheetId="10015" refreshError="1"/>
      <sheetData sheetId="10016" refreshError="1"/>
      <sheetData sheetId="10017" refreshError="1"/>
      <sheetData sheetId="10018" refreshError="1"/>
      <sheetData sheetId="10019" refreshError="1"/>
      <sheetData sheetId="10020" refreshError="1"/>
      <sheetData sheetId="10021" refreshError="1"/>
      <sheetData sheetId="10022" refreshError="1"/>
      <sheetData sheetId="10023" refreshError="1"/>
      <sheetData sheetId="10024" refreshError="1"/>
      <sheetData sheetId="10025" refreshError="1"/>
      <sheetData sheetId="10026" refreshError="1"/>
      <sheetData sheetId="10027" refreshError="1"/>
      <sheetData sheetId="10028" refreshError="1"/>
      <sheetData sheetId="10029" refreshError="1"/>
      <sheetData sheetId="10030" refreshError="1"/>
      <sheetData sheetId="10031" refreshError="1"/>
      <sheetData sheetId="10032" refreshError="1"/>
      <sheetData sheetId="10033" refreshError="1"/>
      <sheetData sheetId="10034" refreshError="1"/>
      <sheetData sheetId="10035" refreshError="1"/>
      <sheetData sheetId="10036" refreshError="1"/>
      <sheetData sheetId="10037" refreshError="1"/>
      <sheetData sheetId="10038" refreshError="1"/>
      <sheetData sheetId="10039" refreshError="1"/>
      <sheetData sheetId="10040" refreshError="1"/>
      <sheetData sheetId="10041" refreshError="1"/>
      <sheetData sheetId="10042" refreshError="1"/>
      <sheetData sheetId="10043" refreshError="1"/>
      <sheetData sheetId="10044" refreshError="1"/>
      <sheetData sheetId="10045" refreshError="1"/>
      <sheetData sheetId="10046" refreshError="1"/>
      <sheetData sheetId="10047" refreshError="1"/>
      <sheetData sheetId="10048" refreshError="1"/>
      <sheetData sheetId="10049" refreshError="1"/>
      <sheetData sheetId="10050" refreshError="1"/>
      <sheetData sheetId="10051" refreshError="1"/>
      <sheetData sheetId="10052" refreshError="1"/>
      <sheetData sheetId="10053" refreshError="1"/>
      <sheetData sheetId="10054" refreshError="1"/>
      <sheetData sheetId="10055" refreshError="1"/>
      <sheetData sheetId="10056" refreshError="1"/>
      <sheetData sheetId="10057" refreshError="1"/>
      <sheetData sheetId="10058" refreshError="1"/>
      <sheetData sheetId="10059" refreshError="1"/>
      <sheetData sheetId="10060" refreshError="1"/>
      <sheetData sheetId="10061" refreshError="1"/>
      <sheetData sheetId="10062" refreshError="1"/>
      <sheetData sheetId="10063" refreshError="1"/>
      <sheetData sheetId="10064" refreshError="1"/>
      <sheetData sheetId="10065" refreshError="1"/>
      <sheetData sheetId="10066" refreshError="1"/>
      <sheetData sheetId="10067" refreshError="1"/>
      <sheetData sheetId="10068" refreshError="1"/>
      <sheetData sheetId="10069" refreshError="1"/>
      <sheetData sheetId="10070" refreshError="1"/>
      <sheetData sheetId="10071" refreshError="1"/>
      <sheetData sheetId="10072" refreshError="1"/>
      <sheetData sheetId="10073" refreshError="1"/>
      <sheetData sheetId="10074" refreshError="1"/>
      <sheetData sheetId="10075" refreshError="1"/>
      <sheetData sheetId="10076" refreshError="1"/>
      <sheetData sheetId="10077" refreshError="1"/>
      <sheetData sheetId="10078" refreshError="1"/>
      <sheetData sheetId="10079" refreshError="1"/>
      <sheetData sheetId="10080" refreshError="1"/>
      <sheetData sheetId="10081" refreshError="1"/>
      <sheetData sheetId="10082" refreshError="1"/>
      <sheetData sheetId="10083" refreshError="1"/>
      <sheetData sheetId="10084" refreshError="1"/>
      <sheetData sheetId="10085" refreshError="1"/>
      <sheetData sheetId="10086" refreshError="1"/>
      <sheetData sheetId="10087" refreshError="1"/>
      <sheetData sheetId="10088" refreshError="1"/>
      <sheetData sheetId="10089" refreshError="1"/>
      <sheetData sheetId="10090" refreshError="1"/>
      <sheetData sheetId="10091" refreshError="1"/>
      <sheetData sheetId="10092" refreshError="1"/>
      <sheetData sheetId="10093" refreshError="1"/>
      <sheetData sheetId="10094" refreshError="1"/>
      <sheetData sheetId="10095" refreshError="1"/>
      <sheetData sheetId="10096" refreshError="1"/>
      <sheetData sheetId="10097" refreshError="1"/>
      <sheetData sheetId="10098" refreshError="1"/>
      <sheetData sheetId="10099" refreshError="1"/>
      <sheetData sheetId="10100" refreshError="1"/>
      <sheetData sheetId="10101" refreshError="1"/>
      <sheetData sheetId="10102" refreshError="1"/>
      <sheetData sheetId="10103" refreshError="1"/>
      <sheetData sheetId="10104" refreshError="1"/>
      <sheetData sheetId="10105" refreshError="1"/>
      <sheetData sheetId="10106" refreshError="1"/>
      <sheetData sheetId="10107" refreshError="1"/>
      <sheetData sheetId="10108" refreshError="1"/>
      <sheetData sheetId="10109" refreshError="1"/>
      <sheetData sheetId="10110" refreshError="1"/>
      <sheetData sheetId="10111" refreshError="1"/>
      <sheetData sheetId="10112" refreshError="1"/>
      <sheetData sheetId="10113" refreshError="1"/>
      <sheetData sheetId="10114" refreshError="1"/>
      <sheetData sheetId="10115" refreshError="1"/>
      <sheetData sheetId="10116" refreshError="1"/>
      <sheetData sheetId="10117" refreshError="1"/>
      <sheetData sheetId="10118" refreshError="1"/>
      <sheetData sheetId="10119" refreshError="1"/>
      <sheetData sheetId="10120" refreshError="1"/>
      <sheetData sheetId="10121" refreshError="1"/>
      <sheetData sheetId="10122" refreshError="1"/>
      <sheetData sheetId="10123" refreshError="1"/>
      <sheetData sheetId="10124" refreshError="1"/>
      <sheetData sheetId="10125" refreshError="1"/>
      <sheetData sheetId="10126" refreshError="1"/>
      <sheetData sheetId="10127" refreshError="1"/>
      <sheetData sheetId="10128" refreshError="1"/>
      <sheetData sheetId="10129" refreshError="1"/>
      <sheetData sheetId="10130" refreshError="1"/>
      <sheetData sheetId="10131" refreshError="1"/>
      <sheetData sheetId="10132" refreshError="1"/>
      <sheetData sheetId="10133" refreshError="1"/>
      <sheetData sheetId="10134" refreshError="1"/>
      <sheetData sheetId="10135" refreshError="1"/>
      <sheetData sheetId="10136" refreshError="1"/>
      <sheetData sheetId="10137" refreshError="1"/>
      <sheetData sheetId="10138" refreshError="1"/>
      <sheetData sheetId="10139" refreshError="1"/>
      <sheetData sheetId="10140" refreshError="1"/>
      <sheetData sheetId="10141" refreshError="1"/>
      <sheetData sheetId="10142" refreshError="1"/>
      <sheetData sheetId="10143" refreshError="1"/>
      <sheetData sheetId="10144" refreshError="1"/>
      <sheetData sheetId="10145" refreshError="1"/>
      <sheetData sheetId="10146" refreshError="1"/>
      <sheetData sheetId="10147" refreshError="1"/>
      <sheetData sheetId="10148" refreshError="1"/>
      <sheetData sheetId="10149" refreshError="1"/>
      <sheetData sheetId="10150" refreshError="1"/>
      <sheetData sheetId="10151" refreshError="1"/>
      <sheetData sheetId="10152" refreshError="1"/>
      <sheetData sheetId="10153" refreshError="1"/>
      <sheetData sheetId="10154" refreshError="1"/>
      <sheetData sheetId="10155" refreshError="1"/>
      <sheetData sheetId="10156" refreshError="1"/>
      <sheetData sheetId="10157" refreshError="1"/>
      <sheetData sheetId="10158" refreshError="1"/>
      <sheetData sheetId="10159" refreshError="1"/>
      <sheetData sheetId="10160" refreshError="1"/>
      <sheetData sheetId="10161" refreshError="1"/>
      <sheetData sheetId="10162" refreshError="1"/>
      <sheetData sheetId="10163" refreshError="1"/>
      <sheetData sheetId="10164" refreshError="1"/>
      <sheetData sheetId="10165" refreshError="1"/>
      <sheetData sheetId="10166" refreshError="1"/>
      <sheetData sheetId="10167" refreshError="1"/>
      <sheetData sheetId="10168" refreshError="1"/>
      <sheetData sheetId="10169" refreshError="1"/>
      <sheetData sheetId="10170" refreshError="1"/>
      <sheetData sheetId="10171" refreshError="1"/>
      <sheetData sheetId="10172" refreshError="1"/>
      <sheetData sheetId="10173" refreshError="1"/>
      <sheetData sheetId="10174" refreshError="1"/>
      <sheetData sheetId="10175" refreshError="1"/>
      <sheetData sheetId="10176" refreshError="1"/>
      <sheetData sheetId="10177" refreshError="1"/>
      <sheetData sheetId="10178" refreshError="1"/>
      <sheetData sheetId="10179" refreshError="1"/>
      <sheetData sheetId="10180" refreshError="1"/>
      <sheetData sheetId="10181" refreshError="1"/>
      <sheetData sheetId="10182" refreshError="1"/>
      <sheetData sheetId="10183" refreshError="1"/>
      <sheetData sheetId="10184" refreshError="1"/>
      <sheetData sheetId="10185" refreshError="1"/>
      <sheetData sheetId="10186" refreshError="1"/>
      <sheetData sheetId="10187" refreshError="1"/>
      <sheetData sheetId="10188" refreshError="1"/>
      <sheetData sheetId="10189" refreshError="1"/>
      <sheetData sheetId="10190" refreshError="1"/>
      <sheetData sheetId="10191" refreshError="1"/>
      <sheetData sheetId="10192" refreshError="1"/>
      <sheetData sheetId="10193" refreshError="1"/>
      <sheetData sheetId="10194" refreshError="1"/>
      <sheetData sheetId="10195" refreshError="1"/>
      <sheetData sheetId="10196" refreshError="1"/>
      <sheetData sheetId="10197" refreshError="1"/>
      <sheetData sheetId="10198" refreshError="1"/>
      <sheetData sheetId="10199" refreshError="1"/>
      <sheetData sheetId="10200" refreshError="1"/>
      <sheetData sheetId="10201" refreshError="1"/>
      <sheetData sheetId="10202" refreshError="1"/>
      <sheetData sheetId="10203" refreshError="1"/>
      <sheetData sheetId="10204" refreshError="1"/>
      <sheetData sheetId="10205" refreshError="1"/>
      <sheetData sheetId="10206" refreshError="1"/>
      <sheetData sheetId="10207" refreshError="1"/>
      <sheetData sheetId="10208" refreshError="1"/>
      <sheetData sheetId="10209" refreshError="1"/>
      <sheetData sheetId="10210" refreshError="1"/>
      <sheetData sheetId="10211" refreshError="1"/>
      <sheetData sheetId="10212" refreshError="1"/>
      <sheetData sheetId="10213" refreshError="1"/>
      <sheetData sheetId="10214" refreshError="1"/>
      <sheetData sheetId="10215" refreshError="1"/>
      <sheetData sheetId="10216" refreshError="1"/>
      <sheetData sheetId="10217" refreshError="1"/>
      <sheetData sheetId="10218" refreshError="1"/>
      <sheetData sheetId="10219" refreshError="1"/>
      <sheetData sheetId="10220" refreshError="1"/>
      <sheetData sheetId="10221" refreshError="1"/>
      <sheetData sheetId="10222" refreshError="1"/>
      <sheetData sheetId="10223" refreshError="1"/>
      <sheetData sheetId="10224" refreshError="1"/>
      <sheetData sheetId="10225" refreshError="1"/>
      <sheetData sheetId="10226" refreshError="1"/>
      <sheetData sheetId="10227" refreshError="1"/>
      <sheetData sheetId="10228" refreshError="1"/>
      <sheetData sheetId="10229" refreshError="1"/>
      <sheetData sheetId="10230" refreshError="1"/>
      <sheetData sheetId="10231" refreshError="1"/>
      <sheetData sheetId="10232" refreshError="1"/>
      <sheetData sheetId="10233" refreshError="1"/>
      <sheetData sheetId="10234" refreshError="1"/>
      <sheetData sheetId="10235" refreshError="1"/>
      <sheetData sheetId="10236" refreshError="1"/>
      <sheetData sheetId="10237" refreshError="1"/>
      <sheetData sheetId="10238" refreshError="1"/>
      <sheetData sheetId="10239" refreshError="1"/>
      <sheetData sheetId="10240" refreshError="1"/>
      <sheetData sheetId="10241" refreshError="1"/>
      <sheetData sheetId="10242" refreshError="1"/>
      <sheetData sheetId="10243" refreshError="1"/>
      <sheetData sheetId="10244" refreshError="1"/>
      <sheetData sheetId="10245" refreshError="1"/>
      <sheetData sheetId="10246" refreshError="1"/>
      <sheetData sheetId="10247" refreshError="1"/>
      <sheetData sheetId="10248" refreshError="1"/>
      <sheetData sheetId="10249" refreshError="1"/>
      <sheetData sheetId="10250" refreshError="1"/>
      <sheetData sheetId="10251" refreshError="1"/>
      <sheetData sheetId="10252" refreshError="1"/>
      <sheetData sheetId="10253" refreshError="1"/>
      <sheetData sheetId="10254" refreshError="1"/>
      <sheetData sheetId="10255" refreshError="1"/>
      <sheetData sheetId="10256" refreshError="1"/>
      <sheetData sheetId="10257" refreshError="1"/>
      <sheetData sheetId="10258" refreshError="1"/>
      <sheetData sheetId="10259" refreshError="1"/>
      <sheetData sheetId="10260" refreshError="1"/>
      <sheetData sheetId="10261" refreshError="1"/>
      <sheetData sheetId="10262" refreshError="1"/>
      <sheetData sheetId="10263" refreshError="1"/>
      <sheetData sheetId="10264" refreshError="1"/>
      <sheetData sheetId="10265" refreshError="1"/>
      <sheetData sheetId="10266" refreshError="1"/>
      <sheetData sheetId="10267" refreshError="1"/>
      <sheetData sheetId="10268" refreshError="1"/>
      <sheetData sheetId="10269" refreshError="1"/>
      <sheetData sheetId="10270" refreshError="1"/>
      <sheetData sheetId="10271" refreshError="1"/>
      <sheetData sheetId="10272" refreshError="1"/>
      <sheetData sheetId="10273" refreshError="1"/>
      <sheetData sheetId="10274" refreshError="1"/>
      <sheetData sheetId="10275" refreshError="1"/>
      <sheetData sheetId="10276" refreshError="1"/>
      <sheetData sheetId="10277" refreshError="1"/>
      <sheetData sheetId="10278" refreshError="1"/>
      <sheetData sheetId="10279" refreshError="1"/>
      <sheetData sheetId="10280" refreshError="1"/>
      <sheetData sheetId="10281" refreshError="1"/>
      <sheetData sheetId="10282" refreshError="1"/>
      <sheetData sheetId="10283" refreshError="1"/>
      <sheetData sheetId="10284" refreshError="1"/>
      <sheetData sheetId="10285" refreshError="1"/>
      <sheetData sheetId="10286" refreshError="1"/>
      <sheetData sheetId="10287" refreshError="1"/>
      <sheetData sheetId="10288" refreshError="1"/>
      <sheetData sheetId="10289" refreshError="1"/>
      <sheetData sheetId="10290" refreshError="1"/>
      <sheetData sheetId="10291" refreshError="1"/>
      <sheetData sheetId="10292" refreshError="1"/>
      <sheetData sheetId="10293" refreshError="1"/>
      <sheetData sheetId="10294" refreshError="1"/>
      <sheetData sheetId="10295" refreshError="1"/>
      <sheetData sheetId="10296" refreshError="1"/>
      <sheetData sheetId="10297" refreshError="1"/>
      <sheetData sheetId="10298" refreshError="1"/>
      <sheetData sheetId="10299" refreshError="1"/>
      <sheetData sheetId="10300" refreshError="1"/>
      <sheetData sheetId="10301" refreshError="1"/>
      <sheetData sheetId="10302" refreshError="1"/>
      <sheetData sheetId="10303" refreshError="1"/>
      <sheetData sheetId="10304" refreshError="1"/>
      <sheetData sheetId="10305" refreshError="1"/>
      <sheetData sheetId="10306" refreshError="1"/>
      <sheetData sheetId="10307" refreshError="1"/>
      <sheetData sheetId="10308" refreshError="1"/>
      <sheetData sheetId="10309" refreshError="1"/>
      <sheetData sheetId="10310" refreshError="1"/>
      <sheetData sheetId="10311" refreshError="1"/>
      <sheetData sheetId="10312" refreshError="1"/>
      <sheetData sheetId="10313" refreshError="1"/>
      <sheetData sheetId="10314" refreshError="1"/>
      <sheetData sheetId="10315" refreshError="1"/>
      <sheetData sheetId="10316" refreshError="1"/>
      <sheetData sheetId="10317" refreshError="1"/>
      <sheetData sheetId="10318" refreshError="1"/>
      <sheetData sheetId="10319" refreshError="1"/>
      <sheetData sheetId="10320" refreshError="1"/>
      <sheetData sheetId="10321" refreshError="1"/>
      <sheetData sheetId="10322" refreshError="1"/>
      <sheetData sheetId="10323" refreshError="1"/>
      <sheetData sheetId="10324" refreshError="1"/>
      <sheetData sheetId="10325" refreshError="1"/>
      <sheetData sheetId="10326" refreshError="1"/>
      <sheetData sheetId="10327" refreshError="1"/>
      <sheetData sheetId="10328" refreshError="1"/>
      <sheetData sheetId="10329" refreshError="1"/>
      <sheetData sheetId="10330" refreshError="1"/>
      <sheetData sheetId="10331" refreshError="1"/>
      <sheetData sheetId="10332" refreshError="1"/>
      <sheetData sheetId="10333" refreshError="1"/>
      <sheetData sheetId="10334" refreshError="1"/>
      <sheetData sheetId="10335" refreshError="1"/>
      <sheetData sheetId="10336" refreshError="1"/>
      <sheetData sheetId="10337" refreshError="1"/>
      <sheetData sheetId="10338" refreshError="1"/>
      <sheetData sheetId="10339" refreshError="1"/>
      <sheetData sheetId="10340" refreshError="1"/>
      <sheetData sheetId="10341" refreshError="1"/>
      <sheetData sheetId="10342" refreshError="1"/>
      <sheetData sheetId="10343" refreshError="1"/>
      <sheetData sheetId="10344" refreshError="1"/>
      <sheetData sheetId="10345" refreshError="1"/>
      <sheetData sheetId="10346" refreshError="1"/>
      <sheetData sheetId="10347" refreshError="1"/>
      <sheetData sheetId="10348" refreshError="1"/>
      <sheetData sheetId="10349" refreshError="1"/>
      <sheetData sheetId="10350" refreshError="1"/>
      <sheetData sheetId="10351" refreshError="1"/>
      <sheetData sheetId="10352" refreshError="1"/>
      <sheetData sheetId="10353" refreshError="1"/>
      <sheetData sheetId="10354" refreshError="1"/>
      <sheetData sheetId="10355" refreshError="1"/>
      <sheetData sheetId="10356" refreshError="1"/>
      <sheetData sheetId="10357" refreshError="1"/>
      <sheetData sheetId="10358" refreshError="1"/>
      <sheetData sheetId="10359" refreshError="1"/>
      <sheetData sheetId="10360" refreshError="1"/>
      <sheetData sheetId="10361" refreshError="1"/>
      <sheetData sheetId="10362" refreshError="1"/>
      <sheetData sheetId="10363" refreshError="1"/>
      <sheetData sheetId="10364" refreshError="1"/>
      <sheetData sheetId="10365" refreshError="1"/>
      <sheetData sheetId="10366" refreshError="1"/>
      <sheetData sheetId="10367" refreshError="1"/>
      <sheetData sheetId="10368" refreshError="1"/>
      <sheetData sheetId="10369" refreshError="1"/>
      <sheetData sheetId="10370" refreshError="1"/>
      <sheetData sheetId="10371" refreshError="1"/>
      <sheetData sheetId="10372" refreshError="1"/>
      <sheetData sheetId="10373" refreshError="1"/>
      <sheetData sheetId="10374" refreshError="1"/>
      <sheetData sheetId="10375" refreshError="1"/>
      <sheetData sheetId="10376" refreshError="1"/>
      <sheetData sheetId="10377" refreshError="1"/>
      <sheetData sheetId="10378" refreshError="1"/>
      <sheetData sheetId="10379" refreshError="1"/>
      <sheetData sheetId="10380" refreshError="1"/>
      <sheetData sheetId="10381" refreshError="1"/>
      <sheetData sheetId="10382" refreshError="1"/>
      <sheetData sheetId="10383" refreshError="1"/>
      <sheetData sheetId="10384" refreshError="1"/>
      <sheetData sheetId="10385" refreshError="1"/>
      <sheetData sheetId="10386" refreshError="1"/>
      <sheetData sheetId="10387" refreshError="1"/>
      <sheetData sheetId="10388" refreshError="1"/>
      <sheetData sheetId="10389" refreshError="1"/>
      <sheetData sheetId="10390" refreshError="1"/>
      <sheetData sheetId="10391" refreshError="1"/>
      <sheetData sheetId="10392" refreshError="1"/>
      <sheetData sheetId="10393" refreshError="1"/>
      <sheetData sheetId="10394" refreshError="1"/>
      <sheetData sheetId="10395" refreshError="1"/>
      <sheetData sheetId="10396" refreshError="1"/>
      <sheetData sheetId="10397" refreshError="1"/>
      <sheetData sheetId="10398" refreshError="1"/>
      <sheetData sheetId="10399" refreshError="1"/>
      <sheetData sheetId="10400" refreshError="1"/>
      <sheetData sheetId="10401" refreshError="1"/>
      <sheetData sheetId="10402" refreshError="1"/>
      <sheetData sheetId="10403" refreshError="1"/>
      <sheetData sheetId="10404" refreshError="1"/>
      <sheetData sheetId="10405" refreshError="1"/>
      <sheetData sheetId="10406" refreshError="1"/>
      <sheetData sheetId="10407" refreshError="1"/>
      <sheetData sheetId="10408" refreshError="1"/>
      <sheetData sheetId="10409" refreshError="1"/>
      <sheetData sheetId="10410" refreshError="1"/>
      <sheetData sheetId="10411" refreshError="1"/>
      <sheetData sheetId="10412" refreshError="1"/>
      <sheetData sheetId="10413" refreshError="1"/>
      <sheetData sheetId="10414" refreshError="1"/>
      <sheetData sheetId="10415" refreshError="1"/>
      <sheetData sheetId="10416" refreshError="1"/>
      <sheetData sheetId="10417" refreshError="1"/>
      <sheetData sheetId="10418" refreshError="1"/>
      <sheetData sheetId="10419" refreshError="1"/>
      <sheetData sheetId="10420" refreshError="1"/>
      <sheetData sheetId="10421" refreshError="1"/>
      <sheetData sheetId="10422" refreshError="1"/>
      <sheetData sheetId="10423" refreshError="1"/>
      <sheetData sheetId="10424" refreshError="1"/>
      <sheetData sheetId="10425" refreshError="1"/>
      <sheetData sheetId="10426" refreshError="1"/>
      <sheetData sheetId="10427" refreshError="1"/>
      <sheetData sheetId="10428" refreshError="1"/>
      <sheetData sheetId="10429" refreshError="1"/>
      <sheetData sheetId="10430" refreshError="1"/>
      <sheetData sheetId="10431" refreshError="1"/>
      <sheetData sheetId="10432" refreshError="1"/>
      <sheetData sheetId="10433" refreshError="1"/>
      <sheetData sheetId="10434" refreshError="1"/>
      <sheetData sheetId="10435" refreshError="1"/>
      <sheetData sheetId="10436" refreshError="1"/>
      <sheetData sheetId="10437" refreshError="1"/>
      <sheetData sheetId="10438" refreshError="1"/>
      <sheetData sheetId="10439" refreshError="1"/>
      <sheetData sheetId="10440" refreshError="1"/>
      <sheetData sheetId="10441" refreshError="1"/>
      <sheetData sheetId="10442" refreshError="1"/>
      <sheetData sheetId="10443" refreshError="1"/>
      <sheetData sheetId="10444" refreshError="1"/>
      <sheetData sheetId="10445" refreshError="1"/>
      <sheetData sheetId="10446" refreshError="1"/>
      <sheetData sheetId="10447" refreshError="1"/>
      <sheetData sheetId="10448" refreshError="1"/>
      <sheetData sheetId="10449" refreshError="1"/>
      <sheetData sheetId="10450" refreshError="1"/>
      <sheetData sheetId="10451" refreshError="1"/>
      <sheetData sheetId="10452" refreshError="1"/>
      <sheetData sheetId="10453" refreshError="1"/>
      <sheetData sheetId="10454" refreshError="1"/>
      <sheetData sheetId="10455" refreshError="1"/>
      <sheetData sheetId="10456" refreshError="1"/>
      <sheetData sheetId="10457" refreshError="1"/>
      <sheetData sheetId="10458" refreshError="1"/>
      <sheetData sheetId="10459" refreshError="1"/>
      <sheetData sheetId="10460" refreshError="1"/>
      <sheetData sheetId="10461" refreshError="1"/>
      <sheetData sheetId="10462" refreshError="1"/>
      <sheetData sheetId="10463" refreshError="1"/>
      <sheetData sheetId="10464" refreshError="1"/>
      <sheetData sheetId="10465" refreshError="1"/>
      <sheetData sheetId="10466" refreshError="1"/>
      <sheetData sheetId="10467" refreshError="1"/>
      <sheetData sheetId="10468" refreshError="1"/>
      <sheetData sheetId="10469" refreshError="1"/>
      <sheetData sheetId="10470" refreshError="1"/>
      <sheetData sheetId="10471" refreshError="1"/>
      <sheetData sheetId="10472" refreshError="1"/>
      <sheetData sheetId="10473" refreshError="1"/>
      <sheetData sheetId="10474" refreshError="1"/>
      <sheetData sheetId="10475" refreshError="1"/>
      <sheetData sheetId="10476" refreshError="1"/>
      <sheetData sheetId="10477" refreshError="1"/>
      <sheetData sheetId="10478" refreshError="1"/>
      <sheetData sheetId="10479" refreshError="1"/>
      <sheetData sheetId="10480" refreshError="1"/>
      <sheetData sheetId="10481" refreshError="1"/>
      <sheetData sheetId="10482" refreshError="1"/>
      <sheetData sheetId="10483" refreshError="1"/>
      <sheetData sheetId="10484" refreshError="1"/>
      <sheetData sheetId="10485" refreshError="1"/>
      <sheetData sheetId="10486" refreshError="1"/>
      <sheetData sheetId="10487" refreshError="1"/>
      <sheetData sheetId="10488" refreshError="1"/>
      <sheetData sheetId="10489" refreshError="1"/>
      <sheetData sheetId="10490" refreshError="1"/>
      <sheetData sheetId="10491" refreshError="1"/>
      <sheetData sheetId="10492" refreshError="1"/>
      <sheetData sheetId="10493" refreshError="1"/>
      <sheetData sheetId="10494" refreshError="1"/>
      <sheetData sheetId="10495" refreshError="1"/>
      <sheetData sheetId="10496" refreshError="1"/>
      <sheetData sheetId="10497" refreshError="1"/>
      <sheetData sheetId="10498" refreshError="1"/>
      <sheetData sheetId="10499" refreshError="1"/>
      <sheetData sheetId="10500" refreshError="1"/>
      <sheetData sheetId="10501" refreshError="1"/>
      <sheetData sheetId="10502" refreshError="1"/>
      <sheetData sheetId="10503" refreshError="1"/>
      <sheetData sheetId="10504" refreshError="1"/>
      <sheetData sheetId="10505" refreshError="1"/>
      <sheetData sheetId="10506" refreshError="1"/>
      <sheetData sheetId="10507" refreshError="1"/>
      <sheetData sheetId="10508" refreshError="1"/>
      <sheetData sheetId="10509" refreshError="1"/>
      <sheetData sheetId="10510" refreshError="1"/>
      <sheetData sheetId="10511" refreshError="1"/>
      <sheetData sheetId="10512" refreshError="1"/>
      <sheetData sheetId="10513" refreshError="1"/>
      <sheetData sheetId="10514" refreshError="1"/>
      <sheetData sheetId="10515" refreshError="1"/>
      <sheetData sheetId="10516" refreshError="1"/>
      <sheetData sheetId="10517" refreshError="1"/>
      <sheetData sheetId="10518" refreshError="1"/>
      <sheetData sheetId="10519" refreshError="1"/>
      <sheetData sheetId="10520" refreshError="1"/>
      <sheetData sheetId="10521" refreshError="1"/>
      <sheetData sheetId="10522" refreshError="1"/>
      <sheetData sheetId="10523" refreshError="1"/>
      <sheetData sheetId="10524" refreshError="1"/>
      <sheetData sheetId="10525" refreshError="1"/>
      <sheetData sheetId="10526" refreshError="1"/>
      <sheetData sheetId="10527" refreshError="1"/>
      <sheetData sheetId="10528" refreshError="1"/>
      <sheetData sheetId="10529" refreshError="1"/>
      <sheetData sheetId="10530" refreshError="1"/>
      <sheetData sheetId="10531" refreshError="1"/>
      <sheetData sheetId="10532" refreshError="1"/>
      <sheetData sheetId="10533" refreshError="1"/>
      <sheetData sheetId="10534" refreshError="1"/>
      <sheetData sheetId="10535" refreshError="1"/>
      <sheetData sheetId="10536" refreshError="1"/>
      <sheetData sheetId="10537" refreshError="1"/>
      <sheetData sheetId="10538" refreshError="1"/>
      <sheetData sheetId="10539" refreshError="1"/>
      <sheetData sheetId="10540" refreshError="1"/>
      <sheetData sheetId="10541" refreshError="1"/>
      <sheetData sheetId="10542" refreshError="1"/>
      <sheetData sheetId="10543" refreshError="1"/>
      <sheetData sheetId="10544" refreshError="1"/>
      <sheetData sheetId="10545" refreshError="1"/>
      <sheetData sheetId="10546" refreshError="1"/>
      <sheetData sheetId="10547" refreshError="1"/>
      <sheetData sheetId="10548" refreshError="1"/>
      <sheetData sheetId="10549" refreshError="1"/>
      <sheetData sheetId="10550" refreshError="1"/>
      <sheetData sheetId="10551" refreshError="1"/>
      <sheetData sheetId="10552" refreshError="1"/>
      <sheetData sheetId="10553" refreshError="1"/>
      <sheetData sheetId="10554" refreshError="1"/>
      <sheetData sheetId="10555" refreshError="1"/>
      <sheetData sheetId="10556" refreshError="1"/>
      <sheetData sheetId="10557" refreshError="1"/>
      <sheetData sheetId="10558" refreshError="1"/>
      <sheetData sheetId="10559" refreshError="1"/>
      <sheetData sheetId="10560" refreshError="1"/>
      <sheetData sheetId="10561" refreshError="1"/>
      <sheetData sheetId="10562" refreshError="1"/>
      <sheetData sheetId="10563" refreshError="1"/>
      <sheetData sheetId="10564" refreshError="1"/>
      <sheetData sheetId="10565" refreshError="1"/>
      <sheetData sheetId="10566" refreshError="1"/>
      <sheetData sheetId="10567" refreshError="1"/>
      <sheetData sheetId="10568" refreshError="1"/>
      <sheetData sheetId="10569" refreshError="1"/>
      <sheetData sheetId="10570" refreshError="1"/>
      <sheetData sheetId="10571" refreshError="1"/>
      <sheetData sheetId="10572" refreshError="1"/>
      <sheetData sheetId="10573" refreshError="1"/>
      <sheetData sheetId="10574" refreshError="1"/>
      <sheetData sheetId="10575" refreshError="1"/>
      <sheetData sheetId="10576" refreshError="1"/>
      <sheetData sheetId="10577" refreshError="1"/>
      <sheetData sheetId="10578" refreshError="1"/>
      <sheetData sheetId="10579" refreshError="1"/>
      <sheetData sheetId="10580" refreshError="1"/>
      <sheetData sheetId="10581" refreshError="1"/>
      <sheetData sheetId="10582" refreshError="1"/>
      <sheetData sheetId="10583" refreshError="1"/>
      <sheetData sheetId="10584" refreshError="1"/>
      <sheetData sheetId="10585" refreshError="1"/>
      <sheetData sheetId="10586" refreshError="1"/>
      <sheetData sheetId="10587" refreshError="1"/>
      <sheetData sheetId="10588" refreshError="1"/>
      <sheetData sheetId="10589" refreshError="1"/>
      <sheetData sheetId="10590" refreshError="1"/>
      <sheetData sheetId="10591" refreshError="1"/>
      <sheetData sheetId="10592" refreshError="1"/>
      <sheetData sheetId="10593" refreshError="1"/>
      <sheetData sheetId="10594" refreshError="1"/>
      <sheetData sheetId="10595" refreshError="1"/>
      <sheetData sheetId="10596" refreshError="1"/>
      <sheetData sheetId="10597" refreshError="1"/>
      <sheetData sheetId="10598" refreshError="1"/>
      <sheetData sheetId="10599" refreshError="1"/>
      <sheetData sheetId="10600" refreshError="1"/>
      <sheetData sheetId="10601" refreshError="1"/>
      <sheetData sheetId="10602" refreshError="1"/>
      <sheetData sheetId="10603" refreshError="1"/>
      <sheetData sheetId="10604" refreshError="1"/>
      <sheetData sheetId="10605" refreshError="1"/>
      <sheetData sheetId="10606" refreshError="1"/>
      <sheetData sheetId="10607" refreshError="1"/>
      <sheetData sheetId="10608" refreshError="1"/>
      <sheetData sheetId="10609" refreshError="1"/>
      <sheetData sheetId="10610" refreshError="1"/>
      <sheetData sheetId="10611" refreshError="1"/>
      <sheetData sheetId="10612" refreshError="1"/>
      <sheetData sheetId="10613" refreshError="1"/>
      <sheetData sheetId="10614" refreshError="1"/>
      <sheetData sheetId="10615" refreshError="1"/>
      <sheetData sheetId="10616" refreshError="1"/>
      <sheetData sheetId="10617" refreshError="1"/>
      <sheetData sheetId="10618" refreshError="1"/>
      <sheetData sheetId="10619" refreshError="1"/>
      <sheetData sheetId="10620" refreshError="1"/>
      <sheetData sheetId="10621" refreshError="1"/>
      <sheetData sheetId="10622" refreshError="1"/>
      <sheetData sheetId="10623" refreshError="1"/>
      <sheetData sheetId="10624" refreshError="1"/>
      <sheetData sheetId="10625" refreshError="1"/>
      <sheetData sheetId="10626" refreshError="1"/>
      <sheetData sheetId="10627" refreshError="1"/>
      <sheetData sheetId="10628" refreshError="1"/>
      <sheetData sheetId="10629" refreshError="1"/>
      <sheetData sheetId="10630" refreshError="1"/>
      <sheetData sheetId="10631" refreshError="1"/>
      <sheetData sheetId="10632" refreshError="1"/>
      <sheetData sheetId="10633" refreshError="1"/>
      <sheetData sheetId="10634" refreshError="1"/>
      <sheetData sheetId="10635" refreshError="1"/>
      <sheetData sheetId="10636" refreshError="1"/>
      <sheetData sheetId="10637" refreshError="1"/>
      <sheetData sheetId="10638" refreshError="1"/>
      <sheetData sheetId="10639" refreshError="1"/>
      <sheetData sheetId="10640" refreshError="1"/>
      <sheetData sheetId="10641" refreshError="1"/>
      <sheetData sheetId="10642" refreshError="1"/>
      <sheetData sheetId="10643" refreshError="1"/>
      <sheetData sheetId="10644" refreshError="1"/>
      <sheetData sheetId="10645" refreshError="1"/>
      <sheetData sheetId="10646" refreshError="1"/>
      <sheetData sheetId="10647" refreshError="1"/>
      <sheetData sheetId="10648" refreshError="1"/>
      <sheetData sheetId="10649" refreshError="1"/>
      <sheetData sheetId="10650" refreshError="1"/>
      <sheetData sheetId="10651" refreshError="1"/>
      <sheetData sheetId="10652" refreshError="1"/>
      <sheetData sheetId="10653" refreshError="1"/>
      <sheetData sheetId="10654" refreshError="1"/>
      <sheetData sheetId="10655" refreshError="1"/>
      <sheetData sheetId="10656" refreshError="1"/>
      <sheetData sheetId="10657" refreshError="1"/>
      <sheetData sheetId="10658" refreshError="1"/>
      <sheetData sheetId="10659" refreshError="1"/>
      <sheetData sheetId="10660" refreshError="1"/>
      <sheetData sheetId="10661" refreshError="1"/>
      <sheetData sheetId="10662" refreshError="1"/>
      <sheetData sheetId="10663" refreshError="1"/>
      <sheetData sheetId="10664" refreshError="1"/>
      <sheetData sheetId="10665" refreshError="1"/>
      <sheetData sheetId="10666" refreshError="1"/>
      <sheetData sheetId="10667" refreshError="1"/>
      <sheetData sheetId="10668" refreshError="1"/>
      <sheetData sheetId="10669" refreshError="1"/>
      <sheetData sheetId="10670" refreshError="1"/>
      <sheetData sheetId="10671" refreshError="1"/>
      <sheetData sheetId="10672" refreshError="1"/>
      <sheetData sheetId="10673" refreshError="1"/>
      <sheetData sheetId="10674" refreshError="1"/>
      <sheetData sheetId="10675" refreshError="1"/>
      <sheetData sheetId="10676" refreshError="1"/>
      <sheetData sheetId="10677" refreshError="1"/>
      <sheetData sheetId="10678" refreshError="1"/>
      <sheetData sheetId="10679" refreshError="1"/>
      <sheetData sheetId="10680" refreshError="1"/>
      <sheetData sheetId="10681" refreshError="1"/>
      <sheetData sheetId="10682" refreshError="1"/>
      <sheetData sheetId="10683" refreshError="1"/>
      <sheetData sheetId="10684" refreshError="1"/>
      <sheetData sheetId="10685" refreshError="1"/>
      <sheetData sheetId="10686" refreshError="1"/>
      <sheetData sheetId="10687" refreshError="1"/>
      <sheetData sheetId="10688" refreshError="1"/>
      <sheetData sheetId="10689" refreshError="1"/>
      <sheetData sheetId="10690" refreshError="1"/>
      <sheetData sheetId="10691" refreshError="1"/>
      <sheetData sheetId="10692" refreshError="1"/>
      <sheetData sheetId="10693" refreshError="1"/>
      <sheetData sheetId="10694" refreshError="1"/>
      <sheetData sheetId="10695" refreshError="1"/>
      <sheetData sheetId="10696" refreshError="1"/>
      <sheetData sheetId="10697" refreshError="1"/>
      <sheetData sheetId="10698" refreshError="1"/>
      <sheetData sheetId="10699" refreshError="1"/>
      <sheetData sheetId="10700" refreshError="1"/>
      <sheetData sheetId="10701" refreshError="1"/>
      <sheetData sheetId="10702" refreshError="1"/>
      <sheetData sheetId="10703" refreshError="1"/>
      <sheetData sheetId="10704" refreshError="1"/>
      <sheetData sheetId="10705" refreshError="1"/>
      <sheetData sheetId="10706" refreshError="1"/>
      <sheetData sheetId="10707" refreshError="1"/>
      <sheetData sheetId="10708" refreshError="1"/>
      <sheetData sheetId="10709" refreshError="1"/>
      <sheetData sheetId="10710" refreshError="1"/>
      <sheetData sheetId="10711" refreshError="1"/>
      <sheetData sheetId="10712" refreshError="1"/>
      <sheetData sheetId="10713" refreshError="1"/>
      <sheetData sheetId="10714" refreshError="1"/>
      <sheetData sheetId="10715" refreshError="1"/>
      <sheetData sheetId="10716" refreshError="1"/>
      <sheetData sheetId="10717" refreshError="1"/>
      <sheetData sheetId="10718" refreshError="1"/>
      <sheetData sheetId="10719" refreshError="1"/>
      <sheetData sheetId="10720" refreshError="1"/>
      <sheetData sheetId="10721" refreshError="1"/>
      <sheetData sheetId="10722" refreshError="1"/>
      <sheetData sheetId="10723" refreshError="1"/>
      <sheetData sheetId="10724" refreshError="1"/>
      <sheetData sheetId="10725" refreshError="1"/>
      <sheetData sheetId="10726" refreshError="1"/>
      <sheetData sheetId="10727" refreshError="1"/>
      <sheetData sheetId="10728" refreshError="1"/>
      <sheetData sheetId="10729" refreshError="1"/>
      <sheetData sheetId="10730" refreshError="1"/>
      <sheetData sheetId="10731" refreshError="1"/>
      <sheetData sheetId="10732" refreshError="1"/>
      <sheetData sheetId="10733" refreshError="1"/>
      <sheetData sheetId="10734" refreshError="1"/>
      <sheetData sheetId="10735" refreshError="1"/>
      <sheetData sheetId="10736" refreshError="1"/>
      <sheetData sheetId="10737" refreshError="1"/>
      <sheetData sheetId="10738" refreshError="1"/>
      <sheetData sheetId="10739" refreshError="1"/>
      <sheetData sheetId="10740" refreshError="1"/>
      <sheetData sheetId="10741" refreshError="1"/>
      <sheetData sheetId="10742" refreshError="1"/>
      <sheetData sheetId="10743" refreshError="1"/>
      <sheetData sheetId="10744" refreshError="1"/>
      <sheetData sheetId="10745" refreshError="1"/>
      <sheetData sheetId="10746" refreshError="1"/>
      <sheetData sheetId="10747" refreshError="1"/>
      <sheetData sheetId="10748" refreshError="1"/>
      <sheetData sheetId="10749" refreshError="1"/>
      <sheetData sheetId="10750" refreshError="1"/>
      <sheetData sheetId="10751" refreshError="1"/>
      <sheetData sheetId="10752" refreshError="1"/>
      <sheetData sheetId="10753" refreshError="1"/>
      <sheetData sheetId="10754" refreshError="1"/>
      <sheetData sheetId="10755" refreshError="1"/>
      <sheetData sheetId="10756" refreshError="1"/>
      <sheetData sheetId="10757" refreshError="1"/>
      <sheetData sheetId="10758" refreshError="1"/>
      <sheetData sheetId="10759" refreshError="1"/>
      <sheetData sheetId="10760" refreshError="1"/>
      <sheetData sheetId="10761" refreshError="1"/>
      <sheetData sheetId="10762" refreshError="1"/>
      <sheetData sheetId="10763" refreshError="1"/>
      <sheetData sheetId="10764" refreshError="1"/>
      <sheetData sheetId="10765" refreshError="1"/>
      <sheetData sheetId="10766" refreshError="1"/>
      <sheetData sheetId="10767" refreshError="1"/>
      <sheetData sheetId="10768" refreshError="1"/>
      <sheetData sheetId="10769" refreshError="1"/>
      <sheetData sheetId="10770" refreshError="1"/>
      <sheetData sheetId="10771" refreshError="1"/>
      <sheetData sheetId="10772" refreshError="1"/>
      <sheetData sheetId="10773" refreshError="1"/>
      <sheetData sheetId="10774" refreshError="1"/>
      <sheetData sheetId="10775" refreshError="1"/>
      <sheetData sheetId="10776" refreshError="1"/>
      <sheetData sheetId="10777" refreshError="1"/>
      <sheetData sheetId="10778" refreshError="1"/>
      <sheetData sheetId="10779" refreshError="1"/>
      <sheetData sheetId="10780" refreshError="1"/>
      <sheetData sheetId="10781" refreshError="1"/>
      <sheetData sheetId="10782" refreshError="1"/>
      <sheetData sheetId="10783" refreshError="1"/>
      <sheetData sheetId="10784" refreshError="1"/>
      <sheetData sheetId="10785" refreshError="1"/>
      <sheetData sheetId="10786" refreshError="1"/>
      <sheetData sheetId="10787" refreshError="1"/>
      <sheetData sheetId="10788" refreshError="1"/>
      <sheetData sheetId="10789" refreshError="1"/>
      <sheetData sheetId="10790" refreshError="1"/>
      <sheetData sheetId="10791" refreshError="1"/>
      <sheetData sheetId="10792" refreshError="1"/>
      <sheetData sheetId="10793" refreshError="1"/>
      <sheetData sheetId="10794" refreshError="1"/>
      <sheetData sheetId="10795" refreshError="1"/>
      <sheetData sheetId="10796" refreshError="1"/>
      <sheetData sheetId="10797" refreshError="1"/>
      <sheetData sheetId="10798" refreshError="1"/>
      <sheetData sheetId="10799" refreshError="1"/>
      <sheetData sheetId="10800" refreshError="1"/>
      <sheetData sheetId="10801" refreshError="1"/>
      <sheetData sheetId="10802" refreshError="1"/>
      <sheetData sheetId="10803" refreshError="1"/>
      <sheetData sheetId="10804" refreshError="1"/>
      <sheetData sheetId="10805" refreshError="1"/>
      <sheetData sheetId="10806" refreshError="1"/>
      <sheetData sheetId="10807" refreshError="1"/>
      <sheetData sheetId="10808" refreshError="1"/>
      <sheetData sheetId="10809" refreshError="1"/>
      <sheetData sheetId="10810" refreshError="1"/>
      <sheetData sheetId="10811" refreshError="1"/>
      <sheetData sheetId="10812" refreshError="1"/>
      <sheetData sheetId="10813" refreshError="1"/>
      <sheetData sheetId="10814" refreshError="1"/>
      <sheetData sheetId="10815" refreshError="1"/>
      <sheetData sheetId="10816" refreshError="1"/>
      <sheetData sheetId="10817" refreshError="1"/>
      <sheetData sheetId="10818" refreshError="1"/>
      <sheetData sheetId="10819" refreshError="1"/>
      <sheetData sheetId="10820" refreshError="1"/>
      <sheetData sheetId="10821" refreshError="1"/>
      <sheetData sheetId="10822" refreshError="1"/>
      <sheetData sheetId="10823" refreshError="1"/>
      <sheetData sheetId="10824" refreshError="1"/>
      <sheetData sheetId="10825" refreshError="1"/>
      <sheetData sheetId="10826" refreshError="1"/>
      <sheetData sheetId="10827" refreshError="1"/>
      <sheetData sheetId="10828" refreshError="1"/>
      <sheetData sheetId="10829" refreshError="1"/>
      <sheetData sheetId="10830" refreshError="1"/>
      <sheetData sheetId="10831" refreshError="1"/>
      <sheetData sheetId="10832" refreshError="1"/>
      <sheetData sheetId="10833" refreshError="1"/>
      <sheetData sheetId="10834" refreshError="1"/>
      <sheetData sheetId="10835" refreshError="1"/>
      <sheetData sheetId="10836" refreshError="1"/>
      <sheetData sheetId="10837" refreshError="1"/>
      <sheetData sheetId="10838" refreshError="1"/>
      <sheetData sheetId="10839" refreshError="1"/>
      <sheetData sheetId="10840" refreshError="1"/>
      <sheetData sheetId="10841" refreshError="1"/>
      <sheetData sheetId="10842" refreshError="1"/>
      <sheetData sheetId="10843" refreshError="1"/>
      <sheetData sheetId="10844" refreshError="1"/>
      <sheetData sheetId="10845" refreshError="1"/>
      <sheetData sheetId="10846" refreshError="1"/>
      <sheetData sheetId="10847" refreshError="1"/>
      <sheetData sheetId="10848" refreshError="1"/>
      <sheetData sheetId="10849" refreshError="1"/>
      <sheetData sheetId="10850" refreshError="1"/>
      <sheetData sheetId="10851" refreshError="1"/>
      <sheetData sheetId="10852" refreshError="1"/>
      <sheetData sheetId="10853" refreshError="1"/>
      <sheetData sheetId="10854" refreshError="1"/>
      <sheetData sheetId="10855" refreshError="1"/>
      <sheetData sheetId="10856" refreshError="1"/>
      <sheetData sheetId="10857" refreshError="1"/>
      <sheetData sheetId="10858" refreshError="1"/>
      <sheetData sheetId="10859" refreshError="1"/>
      <sheetData sheetId="10860" refreshError="1"/>
      <sheetData sheetId="10861" refreshError="1"/>
      <sheetData sheetId="10862" refreshError="1"/>
      <sheetData sheetId="10863" refreshError="1"/>
      <sheetData sheetId="10864" refreshError="1"/>
      <sheetData sheetId="10865" refreshError="1"/>
      <sheetData sheetId="10866" refreshError="1"/>
      <sheetData sheetId="10867" refreshError="1"/>
      <sheetData sheetId="10868" refreshError="1"/>
      <sheetData sheetId="10869" refreshError="1"/>
      <sheetData sheetId="10870" refreshError="1"/>
      <sheetData sheetId="10871" refreshError="1"/>
      <sheetData sheetId="10872" refreshError="1"/>
      <sheetData sheetId="10873" refreshError="1"/>
      <sheetData sheetId="10874" refreshError="1"/>
      <sheetData sheetId="10875" refreshError="1"/>
      <sheetData sheetId="10876" refreshError="1"/>
      <sheetData sheetId="10877" refreshError="1"/>
      <sheetData sheetId="10878" refreshError="1"/>
      <sheetData sheetId="10879" refreshError="1"/>
      <sheetData sheetId="10880" refreshError="1"/>
      <sheetData sheetId="10881" refreshError="1"/>
      <sheetData sheetId="10882" refreshError="1"/>
      <sheetData sheetId="10883" refreshError="1"/>
      <sheetData sheetId="10884" refreshError="1"/>
      <sheetData sheetId="10885" refreshError="1"/>
      <sheetData sheetId="10886" refreshError="1"/>
      <sheetData sheetId="10887" refreshError="1"/>
      <sheetData sheetId="10888" refreshError="1"/>
      <sheetData sheetId="10889" refreshError="1"/>
      <sheetData sheetId="10890" refreshError="1"/>
      <sheetData sheetId="10891" refreshError="1"/>
      <sheetData sheetId="10892" refreshError="1"/>
      <sheetData sheetId="10893" refreshError="1"/>
      <sheetData sheetId="10894" refreshError="1"/>
      <sheetData sheetId="10895" refreshError="1"/>
      <sheetData sheetId="10896" refreshError="1"/>
      <sheetData sheetId="10897" refreshError="1"/>
      <sheetData sheetId="10898" refreshError="1"/>
      <sheetData sheetId="10899" refreshError="1"/>
      <sheetData sheetId="10900" refreshError="1"/>
      <sheetData sheetId="10901" refreshError="1"/>
      <sheetData sheetId="10902" refreshError="1"/>
      <sheetData sheetId="10903" refreshError="1"/>
      <sheetData sheetId="10904" refreshError="1"/>
      <sheetData sheetId="10905" refreshError="1"/>
      <sheetData sheetId="10906" refreshError="1"/>
      <sheetData sheetId="10907" refreshError="1"/>
      <sheetData sheetId="10908" refreshError="1"/>
      <sheetData sheetId="10909" refreshError="1"/>
      <sheetData sheetId="10910" refreshError="1"/>
      <sheetData sheetId="10911" refreshError="1"/>
      <sheetData sheetId="10912" refreshError="1"/>
      <sheetData sheetId="10913" refreshError="1"/>
      <sheetData sheetId="10914" refreshError="1"/>
      <sheetData sheetId="10915" refreshError="1"/>
      <sheetData sheetId="10916" refreshError="1"/>
      <sheetData sheetId="10917" refreshError="1"/>
      <sheetData sheetId="10918" refreshError="1"/>
      <sheetData sheetId="10919" refreshError="1"/>
      <sheetData sheetId="10920" refreshError="1"/>
      <sheetData sheetId="10921" refreshError="1"/>
      <sheetData sheetId="10922" refreshError="1"/>
      <sheetData sheetId="10923" refreshError="1"/>
      <sheetData sheetId="10924" refreshError="1"/>
      <sheetData sheetId="10925" refreshError="1"/>
      <sheetData sheetId="10926" refreshError="1"/>
      <sheetData sheetId="10927" refreshError="1"/>
      <sheetData sheetId="10928" refreshError="1"/>
      <sheetData sheetId="10929" refreshError="1"/>
      <sheetData sheetId="10930" refreshError="1"/>
      <sheetData sheetId="10931" refreshError="1"/>
      <sheetData sheetId="10932" refreshError="1"/>
      <sheetData sheetId="10933" refreshError="1"/>
      <sheetData sheetId="10934" refreshError="1"/>
      <sheetData sheetId="10935" refreshError="1"/>
      <sheetData sheetId="10936" refreshError="1"/>
      <sheetData sheetId="10937" refreshError="1"/>
      <sheetData sheetId="10938" refreshError="1"/>
      <sheetData sheetId="10939" refreshError="1"/>
      <sheetData sheetId="10940" refreshError="1"/>
      <sheetData sheetId="10941" refreshError="1"/>
      <sheetData sheetId="10942" refreshError="1"/>
      <sheetData sheetId="10943" refreshError="1"/>
      <sheetData sheetId="10944" refreshError="1"/>
      <sheetData sheetId="10945" refreshError="1"/>
      <sheetData sheetId="10946" refreshError="1"/>
      <sheetData sheetId="10947" refreshError="1"/>
      <sheetData sheetId="10948" refreshError="1"/>
      <sheetData sheetId="10949" refreshError="1"/>
      <sheetData sheetId="10950" refreshError="1"/>
      <sheetData sheetId="10951" refreshError="1"/>
      <sheetData sheetId="10952" refreshError="1"/>
      <sheetData sheetId="10953" refreshError="1"/>
      <sheetData sheetId="10954" refreshError="1"/>
      <sheetData sheetId="10955" refreshError="1"/>
      <sheetData sheetId="10956" refreshError="1"/>
      <sheetData sheetId="10957" refreshError="1"/>
      <sheetData sheetId="10958" refreshError="1"/>
      <sheetData sheetId="10959" refreshError="1"/>
      <sheetData sheetId="10960" refreshError="1"/>
      <sheetData sheetId="10961" refreshError="1"/>
      <sheetData sheetId="10962" refreshError="1"/>
      <sheetData sheetId="10963" refreshError="1"/>
      <sheetData sheetId="10964" refreshError="1"/>
      <sheetData sheetId="10965" refreshError="1"/>
      <sheetData sheetId="10966" refreshError="1"/>
      <sheetData sheetId="10967" refreshError="1"/>
      <sheetData sheetId="10968" refreshError="1"/>
      <sheetData sheetId="10969" refreshError="1"/>
      <sheetData sheetId="10970" refreshError="1"/>
      <sheetData sheetId="10971" refreshError="1"/>
      <sheetData sheetId="10972" refreshError="1"/>
      <sheetData sheetId="10973" refreshError="1"/>
      <sheetData sheetId="10974" refreshError="1"/>
      <sheetData sheetId="10975" refreshError="1"/>
      <sheetData sheetId="10976" refreshError="1"/>
      <sheetData sheetId="10977" refreshError="1"/>
      <sheetData sheetId="10978" refreshError="1"/>
      <sheetData sheetId="10979" refreshError="1"/>
      <sheetData sheetId="10980" refreshError="1"/>
      <sheetData sheetId="10981" refreshError="1"/>
      <sheetData sheetId="10982" refreshError="1"/>
      <sheetData sheetId="10983" refreshError="1"/>
      <sheetData sheetId="10984" refreshError="1"/>
      <sheetData sheetId="10985" refreshError="1"/>
      <sheetData sheetId="10986" refreshError="1"/>
      <sheetData sheetId="10987" refreshError="1"/>
      <sheetData sheetId="10988" refreshError="1"/>
      <sheetData sheetId="10989" refreshError="1"/>
      <sheetData sheetId="10990" refreshError="1"/>
      <sheetData sheetId="10991" refreshError="1"/>
      <sheetData sheetId="10992" refreshError="1"/>
      <sheetData sheetId="10993" refreshError="1"/>
      <sheetData sheetId="10994" refreshError="1"/>
      <sheetData sheetId="10995" refreshError="1"/>
      <sheetData sheetId="10996" refreshError="1"/>
      <sheetData sheetId="10997" refreshError="1"/>
      <sheetData sheetId="10998" refreshError="1"/>
      <sheetData sheetId="10999" refreshError="1"/>
      <sheetData sheetId="11000" refreshError="1"/>
      <sheetData sheetId="11001" refreshError="1"/>
      <sheetData sheetId="11002" refreshError="1"/>
      <sheetData sheetId="11003" refreshError="1"/>
      <sheetData sheetId="11004" refreshError="1"/>
      <sheetData sheetId="11005" refreshError="1"/>
      <sheetData sheetId="11006" refreshError="1"/>
      <sheetData sheetId="11007" refreshError="1"/>
      <sheetData sheetId="11008" refreshError="1"/>
      <sheetData sheetId="11009" refreshError="1"/>
      <sheetData sheetId="11010" refreshError="1"/>
      <sheetData sheetId="11011" refreshError="1"/>
      <sheetData sheetId="11012" refreshError="1"/>
      <sheetData sheetId="11013" refreshError="1"/>
      <sheetData sheetId="11014" refreshError="1"/>
      <sheetData sheetId="11015" refreshError="1"/>
      <sheetData sheetId="11016" refreshError="1"/>
      <sheetData sheetId="11017" refreshError="1"/>
      <sheetData sheetId="11018" refreshError="1"/>
      <sheetData sheetId="11019" refreshError="1"/>
      <sheetData sheetId="11020" refreshError="1"/>
      <sheetData sheetId="11021" refreshError="1"/>
      <sheetData sheetId="11022" refreshError="1"/>
      <sheetData sheetId="11023" refreshError="1"/>
      <sheetData sheetId="11024" refreshError="1"/>
      <sheetData sheetId="11025" refreshError="1"/>
      <sheetData sheetId="11026" refreshError="1"/>
      <sheetData sheetId="11027" refreshError="1"/>
      <sheetData sheetId="11028" refreshError="1"/>
      <sheetData sheetId="11029" refreshError="1"/>
      <sheetData sheetId="11030" refreshError="1"/>
      <sheetData sheetId="11031" refreshError="1"/>
      <sheetData sheetId="11032" refreshError="1"/>
      <sheetData sheetId="11033" refreshError="1"/>
      <sheetData sheetId="11034" refreshError="1"/>
      <sheetData sheetId="11035" refreshError="1"/>
      <sheetData sheetId="11036" refreshError="1"/>
      <sheetData sheetId="11037" refreshError="1"/>
      <sheetData sheetId="11038" refreshError="1"/>
      <sheetData sheetId="11039" refreshError="1"/>
      <sheetData sheetId="11040" refreshError="1"/>
      <sheetData sheetId="11041" refreshError="1"/>
      <sheetData sheetId="11042" refreshError="1"/>
      <sheetData sheetId="11043" refreshError="1"/>
      <sheetData sheetId="11044" refreshError="1"/>
      <sheetData sheetId="11045" refreshError="1"/>
      <sheetData sheetId="11046" refreshError="1"/>
      <sheetData sheetId="11047" refreshError="1"/>
      <sheetData sheetId="11048" refreshError="1"/>
      <sheetData sheetId="11049" refreshError="1"/>
      <sheetData sheetId="11050" refreshError="1"/>
      <sheetData sheetId="11051" refreshError="1"/>
      <sheetData sheetId="11052" refreshError="1"/>
      <sheetData sheetId="11053" refreshError="1"/>
      <sheetData sheetId="11054" refreshError="1"/>
      <sheetData sheetId="11055" refreshError="1"/>
      <sheetData sheetId="11056" refreshError="1"/>
      <sheetData sheetId="11057" refreshError="1"/>
      <sheetData sheetId="11058" refreshError="1"/>
      <sheetData sheetId="11059" refreshError="1"/>
      <sheetData sheetId="11060" refreshError="1"/>
      <sheetData sheetId="11061" refreshError="1"/>
      <sheetData sheetId="11062" refreshError="1"/>
      <sheetData sheetId="11063" refreshError="1"/>
      <sheetData sheetId="11064" refreshError="1"/>
      <sheetData sheetId="11065" refreshError="1"/>
      <sheetData sheetId="11066" refreshError="1"/>
      <sheetData sheetId="11067" refreshError="1"/>
      <sheetData sheetId="11068" refreshError="1"/>
      <sheetData sheetId="11069" refreshError="1"/>
      <sheetData sheetId="11070" refreshError="1"/>
      <sheetData sheetId="11071" refreshError="1"/>
      <sheetData sheetId="11072" refreshError="1"/>
      <sheetData sheetId="11073" refreshError="1"/>
      <sheetData sheetId="11074" refreshError="1"/>
      <sheetData sheetId="11075" refreshError="1"/>
      <sheetData sheetId="11076" refreshError="1"/>
      <sheetData sheetId="11077" refreshError="1"/>
      <sheetData sheetId="11078" refreshError="1"/>
      <sheetData sheetId="11079" refreshError="1"/>
      <sheetData sheetId="11080" refreshError="1"/>
      <sheetData sheetId="11081" refreshError="1"/>
      <sheetData sheetId="11082" refreshError="1"/>
      <sheetData sheetId="11083" refreshError="1"/>
      <sheetData sheetId="11084" refreshError="1"/>
      <sheetData sheetId="11085" refreshError="1"/>
      <sheetData sheetId="11086" refreshError="1"/>
      <sheetData sheetId="11087" refreshError="1"/>
      <sheetData sheetId="11088" refreshError="1"/>
      <sheetData sheetId="11089" refreshError="1"/>
      <sheetData sheetId="11090" refreshError="1"/>
      <sheetData sheetId="11091" refreshError="1"/>
      <sheetData sheetId="11092" refreshError="1"/>
      <sheetData sheetId="11093" refreshError="1"/>
      <sheetData sheetId="11094" refreshError="1"/>
      <sheetData sheetId="11095" refreshError="1"/>
      <sheetData sheetId="11096" refreshError="1"/>
      <sheetData sheetId="11097" refreshError="1"/>
      <sheetData sheetId="11098" refreshError="1"/>
      <sheetData sheetId="11099" refreshError="1"/>
      <sheetData sheetId="11100" refreshError="1"/>
      <sheetData sheetId="11101" refreshError="1"/>
      <sheetData sheetId="11102" refreshError="1"/>
      <sheetData sheetId="11103" refreshError="1"/>
      <sheetData sheetId="11104" refreshError="1"/>
      <sheetData sheetId="11105" refreshError="1"/>
      <sheetData sheetId="11106" refreshError="1"/>
      <sheetData sheetId="11107" refreshError="1"/>
      <sheetData sheetId="11108" refreshError="1"/>
      <sheetData sheetId="11109" refreshError="1"/>
      <sheetData sheetId="11110" refreshError="1"/>
      <sheetData sheetId="11111" refreshError="1"/>
      <sheetData sheetId="11112" refreshError="1"/>
      <sheetData sheetId="11113" refreshError="1"/>
      <sheetData sheetId="11114" refreshError="1"/>
      <sheetData sheetId="11115" refreshError="1"/>
      <sheetData sheetId="11116" refreshError="1"/>
      <sheetData sheetId="11117" refreshError="1"/>
      <sheetData sheetId="11118" refreshError="1"/>
      <sheetData sheetId="11119" refreshError="1"/>
      <sheetData sheetId="11120" refreshError="1"/>
      <sheetData sheetId="11121" refreshError="1"/>
      <sheetData sheetId="11122" refreshError="1"/>
      <sheetData sheetId="11123" refreshError="1"/>
      <sheetData sheetId="11124" refreshError="1"/>
      <sheetData sheetId="11125" refreshError="1"/>
      <sheetData sheetId="11126" refreshError="1"/>
      <sheetData sheetId="11127" refreshError="1"/>
      <sheetData sheetId="11128" refreshError="1"/>
      <sheetData sheetId="11129" refreshError="1"/>
      <sheetData sheetId="11130" refreshError="1"/>
      <sheetData sheetId="11131" refreshError="1"/>
      <sheetData sheetId="11132" refreshError="1"/>
      <sheetData sheetId="11133" refreshError="1"/>
      <sheetData sheetId="11134" refreshError="1"/>
      <sheetData sheetId="11135" refreshError="1"/>
      <sheetData sheetId="11136" refreshError="1"/>
      <sheetData sheetId="11137" refreshError="1"/>
      <sheetData sheetId="11138" refreshError="1"/>
      <sheetData sheetId="11139" refreshError="1"/>
      <sheetData sheetId="11140" refreshError="1"/>
      <sheetData sheetId="11141" refreshError="1"/>
      <sheetData sheetId="11142" refreshError="1"/>
      <sheetData sheetId="11143" refreshError="1"/>
      <sheetData sheetId="11144" refreshError="1"/>
      <sheetData sheetId="11145" refreshError="1"/>
      <sheetData sheetId="11146" refreshError="1"/>
      <sheetData sheetId="11147" refreshError="1"/>
      <sheetData sheetId="11148" refreshError="1"/>
      <sheetData sheetId="11149" refreshError="1"/>
      <sheetData sheetId="11150" refreshError="1"/>
      <sheetData sheetId="11151" refreshError="1"/>
      <sheetData sheetId="11152" refreshError="1"/>
      <sheetData sheetId="11153" refreshError="1"/>
      <sheetData sheetId="11154" refreshError="1"/>
      <sheetData sheetId="11155" refreshError="1"/>
      <sheetData sheetId="11156" refreshError="1"/>
      <sheetData sheetId="11157" refreshError="1"/>
      <sheetData sheetId="11158" refreshError="1"/>
      <sheetData sheetId="11159" refreshError="1"/>
      <sheetData sheetId="11160" refreshError="1"/>
      <sheetData sheetId="11161" refreshError="1"/>
      <sheetData sheetId="11162" refreshError="1"/>
      <sheetData sheetId="11163" refreshError="1"/>
      <sheetData sheetId="11164" refreshError="1"/>
      <sheetData sheetId="11165" refreshError="1"/>
      <sheetData sheetId="11166" refreshError="1"/>
      <sheetData sheetId="11167" refreshError="1"/>
      <sheetData sheetId="11168" refreshError="1"/>
      <sheetData sheetId="11169" refreshError="1"/>
      <sheetData sheetId="11170" refreshError="1"/>
      <sheetData sheetId="11171" refreshError="1"/>
      <sheetData sheetId="11172" refreshError="1"/>
      <sheetData sheetId="11173" refreshError="1"/>
      <sheetData sheetId="11174" refreshError="1"/>
      <sheetData sheetId="11175" refreshError="1"/>
      <sheetData sheetId="11176" refreshError="1"/>
      <sheetData sheetId="11177" refreshError="1"/>
      <sheetData sheetId="11178" refreshError="1"/>
      <sheetData sheetId="11179" refreshError="1"/>
      <sheetData sheetId="11180" refreshError="1"/>
      <sheetData sheetId="11181" refreshError="1"/>
      <sheetData sheetId="11182" refreshError="1"/>
      <sheetData sheetId="11183" refreshError="1"/>
      <sheetData sheetId="11184" refreshError="1"/>
      <sheetData sheetId="11185" refreshError="1"/>
      <sheetData sheetId="11186" refreshError="1"/>
      <sheetData sheetId="11187" refreshError="1"/>
      <sheetData sheetId="11188" refreshError="1"/>
      <sheetData sheetId="11189" refreshError="1"/>
      <sheetData sheetId="11190" refreshError="1"/>
      <sheetData sheetId="11191" refreshError="1"/>
      <sheetData sheetId="11192" refreshError="1"/>
      <sheetData sheetId="11193" refreshError="1"/>
      <sheetData sheetId="11194" refreshError="1"/>
      <sheetData sheetId="11195" refreshError="1"/>
      <sheetData sheetId="11196" refreshError="1"/>
      <sheetData sheetId="11197" refreshError="1"/>
      <sheetData sheetId="11198" refreshError="1"/>
      <sheetData sheetId="11199" refreshError="1"/>
      <sheetData sheetId="11200" refreshError="1"/>
      <sheetData sheetId="11201" refreshError="1"/>
      <sheetData sheetId="11202" refreshError="1"/>
      <sheetData sheetId="11203" refreshError="1"/>
      <sheetData sheetId="11204" refreshError="1"/>
      <sheetData sheetId="11205" refreshError="1"/>
      <sheetData sheetId="11206" refreshError="1"/>
      <sheetData sheetId="11207" refreshError="1"/>
      <sheetData sheetId="11208" refreshError="1"/>
      <sheetData sheetId="11209" refreshError="1"/>
      <sheetData sheetId="11210" refreshError="1"/>
      <sheetData sheetId="11211" refreshError="1"/>
      <sheetData sheetId="11212" refreshError="1"/>
      <sheetData sheetId="11213" refreshError="1"/>
      <sheetData sheetId="11214" refreshError="1"/>
      <sheetData sheetId="11215" refreshError="1"/>
      <sheetData sheetId="11216" refreshError="1"/>
      <sheetData sheetId="11217" refreshError="1"/>
      <sheetData sheetId="11218" refreshError="1"/>
      <sheetData sheetId="11219" refreshError="1"/>
      <sheetData sheetId="11220" refreshError="1"/>
      <sheetData sheetId="11221" refreshError="1"/>
      <sheetData sheetId="11222" refreshError="1"/>
      <sheetData sheetId="11223" refreshError="1"/>
      <sheetData sheetId="11224" refreshError="1"/>
      <sheetData sheetId="11225" refreshError="1"/>
      <sheetData sheetId="11226" refreshError="1"/>
      <sheetData sheetId="11227" refreshError="1"/>
      <sheetData sheetId="11228" refreshError="1"/>
      <sheetData sheetId="11229" refreshError="1"/>
      <sheetData sheetId="11230" refreshError="1"/>
      <sheetData sheetId="11231" refreshError="1"/>
      <sheetData sheetId="11232" refreshError="1"/>
      <sheetData sheetId="11233" refreshError="1"/>
      <sheetData sheetId="11234" refreshError="1"/>
      <sheetData sheetId="11235" refreshError="1"/>
      <sheetData sheetId="11236" refreshError="1"/>
      <sheetData sheetId="11237" refreshError="1"/>
      <sheetData sheetId="11238" refreshError="1"/>
      <sheetData sheetId="11239" refreshError="1"/>
      <sheetData sheetId="11240" refreshError="1"/>
      <sheetData sheetId="11241" refreshError="1"/>
      <sheetData sheetId="11242" refreshError="1"/>
      <sheetData sheetId="11243" refreshError="1"/>
      <sheetData sheetId="11244" refreshError="1"/>
      <sheetData sheetId="11245" refreshError="1"/>
      <sheetData sheetId="11246" refreshError="1"/>
      <sheetData sheetId="11247" refreshError="1"/>
      <sheetData sheetId="11248" refreshError="1"/>
      <sheetData sheetId="11249" refreshError="1"/>
      <sheetData sheetId="11250" refreshError="1"/>
      <sheetData sheetId="11251" refreshError="1"/>
      <sheetData sheetId="11252" refreshError="1"/>
      <sheetData sheetId="11253" refreshError="1"/>
      <sheetData sheetId="11254" refreshError="1"/>
      <sheetData sheetId="11255" refreshError="1"/>
      <sheetData sheetId="11256" refreshError="1"/>
      <sheetData sheetId="11257" refreshError="1"/>
      <sheetData sheetId="11258" refreshError="1"/>
      <sheetData sheetId="11259" refreshError="1"/>
      <sheetData sheetId="11260" refreshError="1"/>
      <sheetData sheetId="11261" refreshError="1"/>
      <sheetData sheetId="11262" refreshError="1"/>
      <sheetData sheetId="11263" refreshError="1"/>
      <sheetData sheetId="11264" refreshError="1"/>
      <sheetData sheetId="11265" refreshError="1"/>
      <sheetData sheetId="11266" refreshError="1"/>
      <sheetData sheetId="11267" refreshError="1"/>
      <sheetData sheetId="11268" refreshError="1"/>
      <sheetData sheetId="11269" refreshError="1"/>
      <sheetData sheetId="11270" refreshError="1"/>
      <sheetData sheetId="11271" refreshError="1"/>
      <sheetData sheetId="11272" refreshError="1"/>
      <sheetData sheetId="11273" refreshError="1"/>
      <sheetData sheetId="11274" refreshError="1"/>
      <sheetData sheetId="11275" refreshError="1"/>
      <sheetData sheetId="11276" refreshError="1"/>
      <sheetData sheetId="11277" refreshError="1"/>
      <sheetData sheetId="11278" refreshError="1"/>
      <sheetData sheetId="11279" refreshError="1"/>
      <sheetData sheetId="11280" refreshError="1"/>
      <sheetData sheetId="11281" refreshError="1"/>
      <sheetData sheetId="11282" refreshError="1"/>
      <sheetData sheetId="11283" refreshError="1"/>
      <sheetData sheetId="11284" refreshError="1"/>
      <sheetData sheetId="11285" refreshError="1"/>
      <sheetData sheetId="11286" refreshError="1"/>
      <sheetData sheetId="11287" refreshError="1"/>
      <sheetData sheetId="11288" refreshError="1"/>
      <sheetData sheetId="11289" refreshError="1"/>
      <sheetData sheetId="11290" refreshError="1"/>
      <sheetData sheetId="11291" refreshError="1"/>
      <sheetData sheetId="11292" refreshError="1"/>
      <sheetData sheetId="11293" refreshError="1"/>
      <sheetData sheetId="11294" refreshError="1"/>
      <sheetData sheetId="11295" refreshError="1"/>
      <sheetData sheetId="11296" refreshError="1"/>
      <sheetData sheetId="11297" refreshError="1"/>
      <sheetData sheetId="11298" refreshError="1"/>
      <sheetData sheetId="11299" refreshError="1"/>
      <sheetData sheetId="11300" refreshError="1"/>
      <sheetData sheetId="11301" refreshError="1"/>
      <sheetData sheetId="11302" refreshError="1"/>
      <sheetData sheetId="11303" refreshError="1"/>
      <sheetData sheetId="11304" refreshError="1"/>
      <sheetData sheetId="11305" refreshError="1"/>
      <sheetData sheetId="11306" refreshError="1"/>
      <sheetData sheetId="11307" refreshError="1"/>
      <sheetData sheetId="11308" refreshError="1"/>
      <sheetData sheetId="11309" refreshError="1"/>
      <sheetData sheetId="11310" refreshError="1"/>
      <sheetData sheetId="11311" refreshError="1"/>
      <sheetData sheetId="11312" refreshError="1"/>
      <sheetData sheetId="11313" refreshError="1"/>
      <sheetData sheetId="11314" refreshError="1"/>
      <sheetData sheetId="11315" refreshError="1"/>
      <sheetData sheetId="11316" refreshError="1"/>
      <sheetData sheetId="11317" refreshError="1"/>
      <sheetData sheetId="11318" refreshError="1"/>
      <sheetData sheetId="11319" refreshError="1"/>
      <sheetData sheetId="11320" refreshError="1"/>
      <sheetData sheetId="11321" refreshError="1"/>
      <sheetData sheetId="11322" refreshError="1"/>
      <sheetData sheetId="11323" refreshError="1"/>
      <sheetData sheetId="11324" refreshError="1"/>
      <sheetData sheetId="11325" refreshError="1"/>
      <sheetData sheetId="11326" refreshError="1"/>
      <sheetData sheetId="11327" refreshError="1"/>
      <sheetData sheetId="11328" refreshError="1"/>
      <sheetData sheetId="11329" refreshError="1"/>
      <sheetData sheetId="11330" refreshError="1"/>
      <sheetData sheetId="11331" refreshError="1"/>
      <sheetData sheetId="11332" refreshError="1"/>
      <sheetData sheetId="11333" refreshError="1"/>
      <sheetData sheetId="11334" refreshError="1"/>
      <sheetData sheetId="11335" refreshError="1"/>
      <sheetData sheetId="11336" refreshError="1"/>
      <sheetData sheetId="11337" refreshError="1"/>
      <sheetData sheetId="11338" refreshError="1"/>
      <sheetData sheetId="11339" refreshError="1"/>
      <sheetData sheetId="11340" refreshError="1"/>
      <sheetData sheetId="11341" refreshError="1"/>
      <sheetData sheetId="11342" refreshError="1"/>
      <sheetData sheetId="11343" refreshError="1"/>
      <sheetData sheetId="11344" refreshError="1"/>
      <sheetData sheetId="11345" refreshError="1"/>
      <sheetData sheetId="11346" refreshError="1"/>
      <sheetData sheetId="11347" refreshError="1"/>
      <sheetData sheetId="11348" refreshError="1"/>
      <sheetData sheetId="11349" refreshError="1"/>
      <sheetData sheetId="11350" refreshError="1"/>
      <sheetData sheetId="11351" refreshError="1"/>
      <sheetData sheetId="11352" refreshError="1"/>
      <sheetData sheetId="11353" refreshError="1"/>
      <sheetData sheetId="11354" refreshError="1"/>
      <sheetData sheetId="11355" refreshError="1"/>
      <sheetData sheetId="11356" refreshError="1"/>
      <sheetData sheetId="11357" refreshError="1"/>
      <sheetData sheetId="11358" refreshError="1"/>
      <sheetData sheetId="11359" refreshError="1"/>
      <sheetData sheetId="11360" refreshError="1"/>
      <sheetData sheetId="11361" refreshError="1"/>
      <sheetData sheetId="11362" refreshError="1"/>
      <sheetData sheetId="11363" refreshError="1"/>
      <sheetData sheetId="11364" refreshError="1"/>
      <sheetData sheetId="11365" refreshError="1"/>
      <sheetData sheetId="11366" refreshError="1"/>
      <sheetData sheetId="11367" refreshError="1"/>
      <sheetData sheetId="11368" refreshError="1"/>
      <sheetData sheetId="11369" refreshError="1"/>
      <sheetData sheetId="11370" refreshError="1"/>
      <sheetData sheetId="11371" refreshError="1"/>
      <sheetData sheetId="11372" refreshError="1"/>
      <sheetData sheetId="11373" refreshError="1"/>
      <sheetData sheetId="11374" refreshError="1"/>
      <sheetData sheetId="11375" refreshError="1"/>
      <sheetData sheetId="11376" refreshError="1"/>
      <sheetData sheetId="11377" refreshError="1"/>
      <sheetData sheetId="11378" refreshError="1"/>
      <sheetData sheetId="11379" refreshError="1"/>
      <sheetData sheetId="11380" refreshError="1"/>
      <sheetData sheetId="11381" refreshError="1"/>
      <sheetData sheetId="11382" refreshError="1"/>
      <sheetData sheetId="11383" refreshError="1"/>
      <sheetData sheetId="11384" refreshError="1"/>
      <sheetData sheetId="11385" refreshError="1"/>
      <sheetData sheetId="11386" refreshError="1"/>
      <sheetData sheetId="11387" refreshError="1"/>
      <sheetData sheetId="11388" refreshError="1"/>
      <sheetData sheetId="11389" refreshError="1"/>
      <sheetData sheetId="11390" refreshError="1"/>
      <sheetData sheetId="11391" refreshError="1"/>
      <sheetData sheetId="11392" refreshError="1"/>
      <sheetData sheetId="11393" refreshError="1"/>
      <sheetData sheetId="11394" refreshError="1"/>
      <sheetData sheetId="11395" refreshError="1"/>
      <sheetData sheetId="11396" refreshError="1"/>
      <sheetData sheetId="11397" refreshError="1"/>
      <sheetData sheetId="11398" refreshError="1"/>
      <sheetData sheetId="11399" refreshError="1"/>
      <sheetData sheetId="11400" refreshError="1"/>
      <sheetData sheetId="11401" refreshError="1"/>
      <sheetData sheetId="11402" refreshError="1"/>
      <sheetData sheetId="11403" refreshError="1"/>
      <sheetData sheetId="11404" refreshError="1"/>
      <sheetData sheetId="11405" refreshError="1"/>
      <sheetData sheetId="11406" refreshError="1"/>
      <sheetData sheetId="11407" refreshError="1"/>
      <sheetData sheetId="11408" refreshError="1"/>
      <sheetData sheetId="11409" refreshError="1"/>
      <sheetData sheetId="11410" refreshError="1"/>
      <sheetData sheetId="11411" refreshError="1"/>
      <sheetData sheetId="11412" refreshError="1"/>
      <sheetData sheetId="11413" refreshError="1"/>
      <sheetData sheetId="11414" refreshError="1"/>
      <sheetData sheetId="11415" refreshError="1"/>
      <sheetData sheetId="11416" refreshError="1"/>
      <sheetData sheetId="11417" refreshError="1"/>
      <sheetData sheetId="11418" refreshError="1"/>
      <sheetData sheetId="11419" refreshError="1"/>
      <sheetData sheetId="11420" refreshError="1"/>
      <sheetData sheetId="11421" refreshError="1"/>
      <sheetData sheetId="11422" refreshError="1"/>
      <sheetData sheetId="11423" refreshError="1"/>
      <sheetData sheetId="11424" refreshError="1"/>
      <sheetData sheetId="11425" refreshError="1"/>
      <sheetData sheetId="11426" refreshError="1"/>
      <sheetData sheetId="11427" refreshError="1"/>
      <sheetData sheetId="11428" refreshError="1"/>
      <sheetData sheetId="11429" refreshError="1"/>
      <sheetData sheetId="11430" refreshError="1"/>
      <sheetData sheetId="11431" refreshError="1"/>
      <sheetData sheetId="11432" refreshError="1"/>
      <sheetData sheetId="11433" refreshError="1"/>
      <sheetData sheetId="11434" refreshError="1"/>
      <sheetData sheetId="11435" refreshError="1"/>
      <sheetData sheetId="11436" refreshError="1"/>
      <sheetData sheetId="11437" refreshError="1"/>
      <sheetData sheetId="11438" refreshError="1"/>
      <sheetData sheetId="11439" refreshError="1"/>
      <sheetData sheetId="11440" refreshError="1"/>
      <sheetData sheetId="11441" refreshError="1"/>
      <sheetData sheetId="11442" refreshError="1"/>
      <sheetData sheetId="11443" refreshError="1"/>
      <sheetData sheetId="11444" refreshError="1"/>
      <sheetData sheetId="11445" refreshError="1"/>
      <sheetData sheetId="11446" refreshError="1"/>
      <sheetData sheetId="11447" refreshError="1"/>
      <sheetData sheetId="11448" refreshError="1"/>
      <sheetData sheetId="11449" refreshError="1"/>
      <sheetData sheetId="11450" refreshError="1"/>
      <sheetData sheetId="11451" refreshError="1"/>
      <sheetData sheetId="11452" refreshError="1"/>
      <sheetData sheetId="11453" refreshError="1"/>
      <sheetData sheetId="11454" refreshError="1"/>
      <sheetData sheetId="11455" refreshError="1"/>
      <sheetData sheetId="11456" refreshError="1"/>
      <sheetData sheetId="11457" refreshError="1"/>
      <sheetData sheetId="11458" refreshError="1"/>
      <sheetData sheetId="11459" refreshError="1"/>
      <sheetData sheetId="11460" refreshError="1"/>
      <sheetData sheetId="11461" refreshError="1"/>
      <sheetData sheetId="11462" refreshError="1"/>
      <sheetData sheetId="11463" refreshError="1"/>
      <sheetData sheetId="11464" refreshError="1"/>
      <sheetData sheetId="11465" refreshError="1"/>
      <sheetData sheetId="11466" refreshError="1"/>
      <sheetData sheetId="11467" refreshError="1"/>
      <sheetData sheetId="11468" refreshError="1"/>
      <sheetData sheetId="11469" refreshError="1"/>
      <sheetData sheetId="11470" refreshError="1"/>
      <sheetData sheetId="11471" refreshError="1"/>
      <sheetData sheetId="11472" refreshError="1"/>
      <sheetData sheetId="11473" refreshError="1"/>
      <sheetData sheetId="11474" refreshError="1"/>
      <sheetData sheetId="11475" refreshError="1"/>
      <sheetData sheetId="11476" refreshError="1"/>
      <sheetData sheetId="11477" refreshError="1"/>
      <sheetData sheetId="11478" refreshError="1"/>
      <sheetData sheetId="11479" refreshError="1"/>
      <sheetData sheetId="11480" refreshError="1"/>
      <sheetData sheetId="11481" refreshError="1"/>
      <sheetData sheetId="11482" refreshError="1"/>
      <sheetData sheetId="11483" refreshError="1"/>
      <sheetData sheetId="11484" refreshError="1"/>
      <sheetData sheetId="11485" refreshError="1"/>
      <sheetData sheetId="11486" refreshError="1"/>
      <sheetData sheetId="11487" refreshError="1"/>
      <sheetData sheetId="11488" refreshError="1"/>
      <sheetData sheetId="11489" refreshError="1"/>
      <sheetData sheetId="11490" refreshError="1"/>
      <sheetData sheetId="11491" refreshError="1"/>
      <sheetData sheetId="11492" refreshError="1"/>
      <sheetData sheetId="11493" refreshError="1"/>
      <sheetData sheetId="11494" refreshError="1"/>
      <sheetData sheetId="11495" refreshError="1"/>
      <sheetData sheetId="11496" refreshError="1"/>
      <sheetData sheetId="11497" refreshError="1"/>
      <sheetData sheetId="11498" refreshError="1"/>
      <sheetData sheetId="11499" refreshError="1"/>
      <sheetData sheetId="11500" refreshError="1"/>
      <sheetData sheetId="11501" refreshError="1"/>
      <sheetData sheetId="11502" refreshError="1"/>
      <sheetData sheetId="11503" refreshError="1"/>
      <sheetData sheetId="11504" refreshError="1"/>
      <sheetData sheetId="11505" refreshError="1"/>
      <sheetData sheetId="11506" refreshError="1"/>
      <sheetData sheetId="11507" refreshError="1"/>
      <sheetData sheetId="11508" refreshError="1"/>
      <sheetData sheetId="11509" refreshError="1"/>
      <sheetData sheetId="11510" refreshError="1"/>
      <sheetData sheetId="11511" refreshError="1"/>
      <sheetData sheetId="11512" refreshError="1"/>
      <sheetData sheetId="11513" refreshError="1"/>
      <sheetData sheetId="11514" refreshError="1"/>
      <sheetData sheetId="11515" refreshError="1"/>
      <sheetData sheetId="11516" refreshError="1"/>
      <sheetData sheetId="11517" refreshError="1"/>
      <sheetData sheetId="11518" refreshError="1"/>
      <sheetData sheetId="11519" refreshError="1"/>
      <sheetData sheetId="11520" refreshError="1"/>
      <sheetData sheetId="11521" refreshError="1"/>
      <sheetData sheetId="11522" refreshError="1"/>
      <sheetData sheetId="11523" refreshError="1"/>
      <sheetData sheetId="11524" refreshError="1"/>
      <sheetData sheetId="11525" refreshError="1"/>
      <sheetData sheetId="11526" refreshError="1"/>
      <sheetData sheetId="11527" refreshError="1"/>
      <sheetData sheetId="11528" refreshError="1"/>
      <sheetData sheetId="11529" refreshError="1"/>
      <sheetData sheetId="11530" refreshError="1"/>
      <sheetData sheetId="11531" refreshError="1"/>
      <sheetData sheetId="11532" refreshError="1"/>
      <sheetData sheetId="11533" refreshError="1"/>
      <sheetData sheetId="11534" refreshError="1"/>
      <sheetData sheetId="11535" refreshError="1"/>
      <sheetData sheetId="11536" refreshError="1"/>
      <sheetData sheetId="11537" refreshError="1"/>
      <sheetData sheetId="11538" refreshError="1"/>
      <sheetData sheetId="11539" refreshError="1"/>
      <sheetData sheetId="11540" refreshError="1"/>
      <sheetData sheetId="11541" refreshError="1"/>
      <sheetData sheetId="11542" refreshError="1"/>
      <sheetData sheetId="11543" refreshError="1"/>
      <sheetData sheetId="11544" refreshError="1"/>
      <sheetData sheetId="11545" refreshError="1"/>
      <sheetData sheetId="11546" refreshError="1"/>
      <sheetData sheetId="11547" refreshError="1"/>
      <sheetData sheetId="11548" refreshError="1"/>
      <sheetData sheetId="11549" refreshError="1"/>
      <sheetData sheetId="11550" refreshError="1"/>
      <sheetData sheetId="11551" refreshError="1"/>
      <sheetData sheetId="11552" refreshError="1"/>
      <sheetData sheetId="11553" refreshError="1"/>
      <sheetData sheetId="11554" refreshError="1"/>
      <sheetData sheetId="11555" refreshError="1"/>
      <sheetData sheetId="11556" refreshError="1"/>
      <sheetData sheetId="11557" refreshError="1"/>
      <sheetData sheetId="11558" refreshError="1"/>
      <sheetData sheetId="11559" refreshError="1"/>
      <sheetData sheetId="11560" refreshError="1"/>
      <sheetData sheetId="11561" refreshError="1"/>
      <sheetData sheetId="11562" refreshError="1"/>
      <sheetData sheetId="11563" refreshError="1"/>
      <sheetData sheetId="11564" refreshError="1"/>
      <sheetData sheetId="11565" refreshError="1"/>
      <sheetData sheetId="11566" refreshError="1"/>
      <sheetData sheetId="11567" refreshError="1"/>
      <sheetData sheetId="11568" refreshError="1"/>
      <sheetData sheetId="11569" refreshError="1"/>
      <sheetData sheetId="11570" refreshError="1"/>
      <sheetData sheetId="11571" refreshError="1"/>
      <sheetData sheetId="11572" refreshError="1"/>
      <sheetData sheetId="11573" refreshError="1"/>
      <sheetData sheetId="11574" refreshError="1"/>
      <sheetData sheetId="11575" refreshError="1"/>
      <sheetData sheetId="11576" refreshError="1"/>
      <sheetData sheetId="11577" refreshError="1"/>
      <sheetData sheetId="11578" refreshError="1"/>
      <sheetData sheetId="11579" refreshError="1"/>
      <sheetData sheetId="11580" refreshError="1"/>
      <sheetData sheetId="11581" refreshError="1"/>
      <sheetData sheetId="11582" refreshError="1"/>
      <sheetData sheetId="11583" refreshError="1"/>
      <sheetData sheetId="11584" refreshError="1"/>
      <sheetData sheetId="11585" refreshError="1"/>
      <sheetData sheetId="11586" refreshError="1"/>
      <sheetData sheetId="11587" refreshError="1"/>
      <sheetData sheetId="11588" refreshError="1"/>
      <sheetData sheetId="11589" refreshError="1"/>
      <sheetData sheetId="11590" refreshError="1"/>
      <sheetData sheetId="11591" refreshError="1"/>
      <sheetData sheetId="11592" refreshError="1"/>
      <sheetData sheetId="11593" refreshError="1"/>
      <sheetData sheetId="11594" refreshError="1"/>
      <sheetData sheetId="11595" refreshError="1"/>
      <sheetData sheetId="11596" refreshError="1"/>
      <sheetData sheetId="11597" refreshError="1"/>
      <sheetData sheetId="11598" refreshError="1"/>
      <sheetData sheetId="11599" refreshError="1"/>
      <sheetData sheetId="11600" refreshError="1"/>
      <sheetData sheetId="11601" refreshError="1"/>
      <sheetData sheetId="11602" refreshError="1"/>
      <sheetData sheetId="11603" refreshError="1"/>
      <sheetData sheetId="11604" refreshError="1"/>
      <sheetData sheetId="11605" refreshError="1"/>
      <sheetData sheetId="11606" refreshError="1"/>
      <sheetData sheetId="11607" refreshError="1"/>
      <sheetData sheetId="11608" refreshError="1"/>
      <sheetData sheetId="11609" refreshError="1"/>
      <sheetData sheetId="11610" refreshError="1"/>
      <sheetData sheetId="11611" refreshError="1"/>
      <sheetData sheetId="11612" refreshError="1"/>
      <sheetData sheetId="11613" refreshError="1"/>
      <sheetData sheetId="11614" refreshError="1"/>
      <sheetData sheetId="11615" refreshError="1"/>
      <sheetData sheetId="11616" refreshError="1"/>
      <sheetData sheetId="11617" refreshError="1"/>
      <sheetData sheetId="11618" refreshError="1"/>
      <sheetData sheetId="11619" refreshError="1"/>
      <sheetData sheetId="11620" refreshError="1"/>
      <sheetData sheetId="11621" refreshError="1"/>
      <sheetData sheetId="11622" refreshError="1"/>
      <sheetData sheetId="11623" refreshError="1"/>
      <sheetData sheetId="11624" refreshError="1"/>
      <sheetData sheetId="11625" refreshError="1"/>
      <sheetData sheetId="11626" refreshError="1"/>
      <sheetData sheetId="11627" refreshError="1"/>
      <sheetData sheetId="11628" refreshError="1"/>
      <sheetData sheetId="11629" refreshError="1"/>
      <sheetData sheetId="11630" refreshError="1"/>
      <sheetData sheetId="11631" refreshError="1"/>
      <sheetData sheetId="11632" refreshError="1"/>
      <sheetData sheetId="11633" refreshError="1"/>
      <sheetData sheetId="11634" refreshError="1"/>
      <sheetData sheetId="11635" refreshError="1"/>
      <sheetData sheetId="11636" refreshError="1"/>
      <sheetData sheetId="11637" refreshError="1"/>
      <sheetData sheetId="11638" refreshError="1"/>
      <sheetData sheetId="11639" refreshError="1"/>
      <sheetData sheetId="11640" refreshError="1"/>
      <sheetData sheetId="11641" refreshError="1"/>
      <sheetData sheetId="11642" refreshError="1"/>
      <sheetData sheetId="11643" refreshError="1"/>
      <sheetData sheetId="11644" refreshError="1"/>
      <sheetData sheetId="11645" refreshError="1"/>
      <sheetData sheetId="11646" refreshError="1"/>
      <sheetData sheetId="11647" refreshError="1"/>
      <sheetData sheetId="11648" refreshError="1"/>
      <sheetData sheetId="11649" refreshError="1"/>
      <sheetData sheetId="11650" refreshError="1"/>
      <sheetData sheetId="11651" refreshError="1"/>
      <sheetData sheetId="11652" refreshError="1"/>
      <sheetData sheetId="11653" refreshError="1"/>
      <sheetData sheetId="11654" refreshError="1"/>
      <sheetData sheetId="11655" refreshError="1"/>
      <sheetData sheetId="11656" refreshError="1"/>
      <sheetData sheetId="11657" refreshError="1"/>
      <sheetData sheetId="11658" refreshError="1"/>
      <sheetData sheetId="11659" refreshError="1"/>
      <sheetData sheetId="11660" refreshError="1"/>
      <sheetData sheetId="11661" refreshError="1"/>
      <sheetData sheetId="11662" refreshError="1"/>
      <sheetData sheetId="11663" refreshError="1"/>
      <sheetData sheetId="11664" refreshError="1"/>
      <sheetData sheetId="11665" refreshError="1"/>
      <sheetData sheetId="11666" refreshError="1"/>
      <sheetData sheetId="11667" refreshError="1"/>
      <sheetData sheetId="11668" refreshError="1"/>
      <sheetData sheetId="11669" refreshError="1"/>
      <sheetData sheetId="11670" refreshError="1"/>
      <sheetData sheetId="11671" refreshError="1"/>
      <sheetData sheetId="11672" refreshError="1"/>
      <sheetData sheetId="11673" refreshError="1"/>
      <sheetData sheetId="11674" refreshError="1"/>
      <sheetData sheetId="11675" refreshError="1"/>
      <sheetData sheetId="11676" refreshError="1"/>
      <sheetData sheetId="11677" refreshError="1"/>
      <sheetData sheetId="11678" refreshError="1"/>
      <sheetData sheetId="11679" refreshError="1"/>
      <sheetData sheetId="11680" refreshError="1"/>
      <sheetData sheetId="11681" refreshError="1"/>
      <sheetData sheetId="11682" refreshError="1"/>
      <sheetData sheetId="11683" refreshError="1"/>
      <sheetData sheetId="11684" refreshError="1"/>
      <sheetData sheetId="11685" refreshError="1"/>
      <sheetData sheetId="11686" refreshError="1"/>
      <sheetData sheetId="11687" refreshError="1"/>
      <sheetData sheetId="11688" refreshError="1"/>
      <sheetData sheetId="11689" refreshError="1"/>
      <sheetData sheetId="11690" refreshError="1"/>
      <sheetData sheetId="11691" refreshError="1"/>
      <sheetData sheetId="11692" refreshError="1"/>
      <sheetData sheetId="11693" refreshError="1"/>
      <sheetData sheetId="11694" refreshError="1"/>
      <sheetData sheetId="11695" refreshError="1"/>
      <sheetData sheetId="11696" refreshError="1"/>
      <sheetData sheetId="11697" refreshError="1"/>
      <sheetData sheetId="11698" refreshError="1"/>
      <sheetData sheetId="11699" refreshError="1"/>
      <sheetData sheetId="11700" refreshError="1"/>
      <sheetData sheetId="11701" refreshError="1"/>
      <sheetData sheetId="11702" refreshError="1"/>
      <sheetData sheetId="11703" refreshError="1"/>
      <sheetData sheetId="11704" refreshError="1"/>
      <sheetData sheetId="11705" refreshError="1"/>
      <sheetData sheetId="11706" refreshError="1"/>
      <sheetData sheetId="11707" refreshError="1"/>
      <sheetData sheetId="11708" refreshError="1"/>
      <sheetData sheetId="11709" refreshError="1"/>
      <sheetData sheetId="11710" refreshError="1"/>
      <sheetData sheetId="11711" refreshError="1"/>
      <sheetData sheetId="11712" refreshError="1"/>
      <sheetData sheetId="11713" refreshError="1"/>
      <sheetData sheetId="11714" refreshError="1"/>
      <sheetData sheetId="11715" refreshError="1"/>
      <sheetData sheetId="11716" refreshError="1"/>
      <sheetData sheetId="11717" refreshError="1"/>
      <sheetData sheetId="11718" refreshError="1"/>
      <sheetData sheetId="11719" refreshError="1"/>
      <sheetData sheetId="11720" refreshError="1"/>
      <sheetData sheetId="11721" refreshError="1"/>
      <sheetData sheetId="11722" refreshError="1"/>
      <sheetData sheetId="11723" refreshError="1"/>
      <sheetData sheetId="11724" refreshError="1"/>
      <sheetData sheetId="11725" refreshError="1"/>
      <sheetData sheetId="11726" refreshError="1"/>
      <sheetData sheetId="11727" refreshError="1"/>
      <sheetData sheetId="11728" refreshError="1"/>
      <sheetData sheetId="11729" refreshError="1"/>
      <sheetData sheetId="11730" refreshError="1"/>
      <sheetData sheetId="11731" refreshError="1"/>
      <sheetData sheetId="11732" refreshError="1"/>
      <sheetData sheetId="11733" refreshError="1"/>
      <sheetData sheetId="11734" refreshError="1"/>
      <sheetData sheetId="11735" refreshError="1"/>
      <sheetData sheetId="11736" refreshError="1"/>
      <sheetData sheetId="11737" refreshError="1"/>
      <sheetData sheetId="11738" refreshError="1"/>
      <sheetData sheetId="11739" refreshError="1"/>
      <sheetData sheetId="11740" refreshError="1"/>
      <sheetData sheetId="11741" refreshError="1"/>
      <sheetData sheetId="11742" refreshError="1"/>
      <sheetData sheetId="11743" refreshError="1"/>
      <sheetData sheetId="11744" refreshError="1"/>
      <sheetData sheetId="11745" refreshError="1"/>
      <sheetData sheetId="11746" refreshError="1"/>
      <sheetData sheetId="11747" refreshError="1"/>
      <sheetData sheetId="11748" refreshError="1"/>
      <sheetData sheetId="11749" refreshError="1"/>
      <sheetData sheetId="11750" refreshError="1"/>
      <sheetData sheetId="11751" refreshError="1"/>
      <sheetData sheetId="11752" refreshError="1"/>
      <sheetData sheetId="11753" refreshError="1"/>
      <sheetData sheetId="11754" refreshError="1"/>
      <sheetData sheetId="11755" refreshError="1"/>
      <sheetData sheetId="11756" refreshError="1"/>
      <sheetData sheetId="11757" refreshError="1"/>
      <sheetData sheetId="11758" refreshError="1"/>
      <sheetData sheetId="11759" refreshError="1"/>
      <sheetData sheetId="11760" refreshError="1"/>
      <sheetData sheetId="11761" refreshError="1"/>
      <sheetData sheetId="11762" refreshError="1"/>
      <sheetData sheetId="11763" refreshError="1"/>
      <sheetData sheetId="11764" refreshError="1"/>
      <sheetData sheetId="11765" refreshError="1"/>
      <sheetData sheetId="11766" refreshError="1"/>
      <sheetData sheetId="11767" refreshError="1"/>
      <sheetData sheetId="11768" refreshError="1"/>
      <sheetData sheetId="11769" refreshError="1"/>
      <sheetData sheetId="11770" refreshError="1"/>
      <sheetData sheetId="11771" refreshError="1"/>
      <sheetData sheetId="11772" refreshError="1"/>
      <sheetData sheetId="11773" refreshError="1"/>
      <sheetData sheetId="11774" refreshError="1"/>
      <sheetData sheetId="11775" refreshError="1"/>
      <sheetData sheetId="11776" refreshError="1"/>
      <sheetData sheetId="11777" refreshError="1"/>
      <sheetData sheetId="11778" refreshError="1"/>
      <sheetData sheetId="11779" refreshError="1"/>
      <sheetData sheetId="11780" refreshError="1"/>
      <sheetData sheetId="11781" refreshError="1"/>
      <sheetData sheetId="11782" refreshError="1"/>
      <sheetData sheetId="11783" refreshError="1"/>
      <sheetData sheetId="11784" refreshError="1"/>
      <sheetData sheetId="11785" refreshError="1"/>
      <sheetData sheetId="11786" refreshError="1"/>
      <sheetData sheetId="11787" refreshError="1"/>
      <sheetData sheetId="11788" refreshError="1"/>
      <sheetData sheetId="11789" refreshError="1"/>
      <sheetData sheetId="11790" refreshError="1"/>
      <sheetData sheetId="11791" refreshError="1"/>
      <sheetData sheetId="11792" refreshError="1"/>
      <sheetData sheetId="11793" refreshError="1"/>
      <sheetData sheetId="11794" refreshError="1"/>
      <sheetData sheetId="11795" refreshError="1"/>
      <sheetData sheetId="11796" refreshError="1"/>
      <sheetData sheetId="11797" refreshError="1"/>
      <sheetData sheetId="11798" refreshError="1"/>
      <sheetData sheetId="11799" refreshError="1"/>
      <sheetData sheetId="11800" refreshError="1"/>
      <sheetData sheetId="11801" refreshError="1"/>
      <sheetData sheetId="11802" refreshError="1"/>
      <sheetData sheetId="11803" refreshError="1"/>
      <sheetData sheetId="11804" refreshError="1"/>
      <sheetData sheetId="11805" refreshError="1"/>
      <sheetData sheetId="11806" refreshError="1"/>
      <sheetData sheetId="11807" refreshError="1"/>
      <sheetData sheetId="11808" refreshError="1"/>
      <sheetData sheetId="11809" refreshError="1"/>
      <sheetData sheetId="11810" refreshError="1"/>
      <sheetData sheetId="11811" refreshError="1"/>
      <sheetData sheetId="11812" refreshError="1"/>
      <sheetData sheetId="11813" refreshError="1"/>
      <sheetData sheetId="11814" refreshError="1"/>
      <sheetData sheetId="11815" refreshError="1"/>
      <sheetData sheetId="11816" refreshError="1"/>
      <sheetData sheetId="11817" refreshError="1"/>
      <sheetData sheetId="11818" refreshError="1"/>
      <sheetData sheetId="11819" refreshError="1"/>
      <sheetData sheetId="11820" refreshError="1"/>
      <sheetData sheetId="11821" refreshError="1"/>
      <sheetData sheetId="11822" refreshError="1"/>
      <sheetData sheetId="11823" refreshError="1"/>
      <sheetData sheetId="11824" refreshError="1"/>
      <sheetData sheetId="11825" refreshError="1"/>
      <sheetData sheetId="11826" refreshError="1"/>
      <sheetData sheetId="11827" refreshError="1"/>
      <sheetData sheetId="11828" refreshError="1"/>
      <sheetData sheetId="11829" refreshError="1"/>
      <sheetData sheetId="11830" refreshError="1"/>
      <sheetData sheetId="11831" refreshError="1"/>
      <sheetData sheetId="11832" refreshError="1"/>
      <sheetData sheetId="11833" refreshError="1"/>
      <sheetData sheetId="11834" refreshError="1"/>
      <sheetData sheetId="11835" refreshError="1"/>
      <sheetData sheetId="11836" refreshError="1"/>
      <sheetData sheetId="11837" refreshError="1"/>
      <sheetData sheetId="11838" refreshError="1"/>
      <sheetData sheetId="11839" refreshError="1"/>
      <sheetData sheetId="11840" refreshError="1"/>
      <sheetData sheetId="11841" refreshError="1"/>
      <sheetData sheetId="11842" refreshError="1"/>
      <sheetData sheetId="11843" refreshError="1"/>
      <sheetData sheetId="11844" refreshError="1"/>
      <sheetData sheetId="11845" refreshError="1"/>
      <sheetData sheetId="11846" refreshError="1"/>
      <sheetData sheetId="11847" refreshError="1"/>
      <sheetData sheetId="11848" refreshError="1"/>
      <sheetData sheetId="11849" refreshError="1"/>
      <sheetData sheetId="11850" refreshError="1"/>
      <sheetData sheetId="11851" refreshError="1"/>
      <sheetData sheetId="11852" refreshError="1"/>
      <sheetData sheetId="11853" refreshError="1"/>
      <sheetData sheetId="11854" refreshError="1"/>
      <sheetData sheetId="11855" refreshError="1"/>
      <sheetData sheetId="11856" refreshError="1"/>
      <sheetData sheetId="11857" refreshError="1"/>
      <sheetData sheetId="11858" refreshError="1"/>
      <sheetData sheetId="11859" refreshError="1"/>
      <sheetData sheetId="11860" refreshError="1"/>
      <sheetData sheetId="11861" refreshError="1"/>
      <sheetData sheetId="11862" refreshError="1"/>
      <sheetData sheetId="11863" refreshError="1"/>
      <sheetData sheetId="11864" refreshError="1"/>
      <sheetData sheetId="11865" refreshError="1"/>
      <sheetData sheetId="11866" refreshError="1"/>
      <sheetData sheetId="11867" refreshError="1"/>
      <sheetData sheetId="11868" refreshError="1"/>
      <sheetData sheetId="11869" refreshError="1"/>
      <sheetData sheetId="11870" refreshError="1"/>
      <sheetData sheetId="11871" refreshError="1"/>
      <sheetData sheetId="11872" refreshError="1"/>
      <sheetData sheetId="11873" refreshError="1"/>
      <sheetData sheetId="11874" refreshError="1"/>
      <sheetData sheetId="11875" refreshError="1"/>
      <sheetData sheetId="11876" refreshError="1"/>
      <sheetData sheetId="11877" refreshError="1"/>
      <sheetData sheetId="11878" refreshError="1"/>
      <sheetData sheetId="11879" refreshError="1"/>
      <sheetData sheetId="11880" refreshError="1"/>
      <sheetData sheetId="11881" refreshError="1"/>
      <sheetData sheetId="11882" refreshError="1"/>
      <sheetData sheetId="11883" refreshError="1"/>
      <sheetData sheetId="11884" refreshError="1"/>
      <sheetData sheetId="11885" refreshError="1"/>
      <sheetData sheetId="11886" refreshError="1"/>
      <sheetData sheetId="11887" refreshError="1"/>
      <sheetData sheetId="11888" refreshError="1"/>
      <sheetData sheetId="11889" refreshError="1"/>
      <sheetData sheetId="11890" refreshError="1"/>
      <sheetData sheetId="11891" refreshError="1"/>
      <sheetData sheetId="11892" refreshError="1"/>
      <sheetData sheetId="11893" refreshError="1"/>
      <sheetData sheetId="11894" refreshError="1"/>
      <sheetData sheetId="11895" refreshError="1"/>
      <sheetData sheetId="11896" refreshError="1"/>
      <sheetData sheetId="11897" refreshError="1"/>
      <sheetData sheetId="11898" refreshError="1"/>
      <sheetData sheetId="11899" refreshError="1"/>
      <sheetData sheetId="11900" refreshError="1"/>
      <sheetData sheetId="11901" refreshError="1"/>
      <sheetData sheetId="11902" refreshError="1"/>
      <sheetData sheetId="11903" refreshError="1"/>
      <sheetData sheetId="11904" refreshError="1"/>
      <sheetData sheetId="11905" refreshError="1"/>
      <sheetData sheetId="11906" refreshError="1"/>
      <sheetData sheetId="11907" refreshError="1"/>
      <sheetData sheetId="11908" refreshError="1"/>
      <sheetData sheetId="11909" refreshError="1"/>
      <sheetData sheetId="11910" refreshError="1"/>
      <sheetData sheetId="11911" refreshError="1"/>
      <sheetData sheetId="11912" refreshError="1"/>
      <sheetData sheetId="11913" refreshError="1"/>
      <sheetData sheetId="11914" refreshError="1"/>
      <sheetData sheetId="11915" refreshError="1"/>
      <sheetData sheetId="11916" refreshError="1"/>
      <sheetData sheetId="11917" refreshError="1"/>
      <sheetData sheetId="11918" refreshError="1"/>
      <sheetData sheetId="11919" refreshError="1"/>
      <sheetData sheetId="11920" refreshError="1"/>
      <sheetData sheetId="11921" refreshError="1"/>
      <sheetData sheetId="11922" refreshError="1"/>
      <sheetData sheetId="11923" refreshError="1"/>
      <sheetData sheetId="11924" refreshError="1"/>
      <sheetData sheetId="11925" refreshError="1"/>
      <sheetData sheetId="11926" refreshError="1"/>
      <sheetData sheetId="11927" refreshError="1"/>
      <sheetData sheetId="11928" refreshError="1"/>
      <sheetData sheetId="11929" refreshError="1"/>
      <sheetData sheetId="11930" refreshError="1"/>
      <sheetData sheetId="11931" refreshError="1"/>
      <sheetData sheetId="11932" refreshError="1"/>
      <sheetData sheetId="11933" refreshError="1"/>
      <sheetData sheetId="11934" refreshError="1"/>
      <sheetData sheetId="11935" refreshError="1"/>
      <sheetData sheetId="11936" refreshError="1"/>
      <sheetData sheetId="11937" refreshError="1"/>
      <sheetData sheetId="11938" refreshError="1"/>
      <sheetData sheetId="11939" refreshError="1"/>
      <sheetData sheetId="11940" refreshError="1"/>
      <sheetData sheetId="11941" refreshError="1"/>
      <sheetData sheetId="11942" refreshError="1"/>
      <sheetData sheetId="11943" refreshError="1"/>
      <sheetData sheetId="11944" refreshError="1"/>
      <sheetData sheetId="11945" refreshError="1"/>
      <sheetData sheetId="11946" refreshError="1"/>
      <sheetData sheetId="11947" refreshError="1"/>
      <sheetData sheetId="11948" refreshError="1"/>
      <sheetData sheetId="11949" refreshError="1"/>
      <sheetData sheetId="11950" refreshError="1"/>
      <sheetData sheetId="11951" refreshError="1"/>
      <sheetData sheetId="11952" refreshError="1"/>
      <sheetData sheetId="11953" refreshError="1"/>
      <sheetData sheetId="11954" refreshError="1"/>
      <sheetData sheetId="11955" refreshError="1"/>
      <sheetData sheetId="11956" refreshError="1"/>
      <sheetData sheetId="11957" refreshError="1"/>
      <sheetData sheetId="11958" refreshError="1"/>
      <sheetData sheetId="11959" refreshError="1"/>
      <sheetData sheetId="11960" refreshError="1"/>
      <sheetData sheetId="11961" refreshError="1"/>
      <sheetData sheetId="11962" refreshError="1"/>
      <sheetData sheetId="11963" refreshError="1"/>
      <sheetData sheetId="11964" refreshError="1"/>
      <sheetData sheetId="11965" refreshError="1"/>
      <sheetData sheetId="11966" refreshError="1"/>
      <sheetData sheetId="11967" refreshError="1"/>
      <sheetData sheetId="11968" refreshError="1"/>
      <sheetData sheetId="11969" refreshError="1"/>
      <sheetData sheetId="11970" refreshError="1"/>
      <sheetData sheetId="11971" refreshError="1"/>
      <sheetData sheetId="11972" refreshError="1"/>
      <sheetData sheetId="11973" refreshError="1"/>
      <sheetData sheetId="11974" refreshError="1"/>
      <sheetData sheetId="11975" refreshError="1"/>
      <sheetData sheetId="11976" refreshError="1"/>
      <sheetData sheetId="11977" refreshError="1"/>
      <sheetData sheetId="11978" refreshError="1"/>
      <sheetData sheetId="11979" refreshError="1"/>
      <sheetData sheetId="11980" refreshError="1"/>
      <sheetData sheetId="11981" refreshError="1"/>
      <sheetData sheetId="11982" refreshError="1"/>
      <sheetData sheetId="11983" refreshError="1"/>
      <sheetData sheetId="11984" refreshError="1"/>
      <sheetData sheetId="11985" refreshError="1"/>
      <sheetData sheetId="11986" refreshError="1"/>
      <sheetData sheetId="11987" refreshError="1"/>
      <sheetData sheetId="11988" refreshError="1"/>
      <sheetData sheetId="11989" refreshError="1"/>
      <sheetData sheetId="11990" refreshError="1"/>
      <sheetData sheetId="11991" refreshError="1"/>
      <sheetData sheetId="11992" refreshError="1"/>
      <sheetData sheetId="11993" refreshError="1"/>
      <sheetData sheetId="11994" refreshError="1"/>
      <sheetData sheetId="11995" refreshError="1"/>
      <sheetData sheetId="11996" refreshError="1"/>
      <sheetData sheetId="11997" refreshError="1"/>
      <sheetData sheetId="11998" refreshError="1"/>
      <sheetData sheetId="11999" refreshError="1"/>
      <sheetData sheetId="12000" refreshError="1"/>
      <sheetData sheetId="12001" refreshError="1"/>
      <sheetData sheetId="12002" refreshError="1"/>
      <sheetData sheetId="12003" refreshError="1"/>
      <sheetData sheetId="12004" refreshError="1"/>
      <sheetData sheetId="12005" refreshError="1"/>
      <sheetData sheetId="12006" refreshError="1"/>
      <sheetData sheetId="12007" refreshError="1"/>
      <sheetData sheetId="12008" refreshError="1"/>
      <sheetData sheetId="12009" refreshError="1"/>
      <sheetData sheetId="12010" refreshError="1"/>
      <sheetData sheetId="12011" refreshError="1"/>
      <sheetData sheetId="12012" refreshError="1"/>
      <sheetData sheetId="12013" refreshError="1"/>
      <sheetData sheetId="12014" refreshError="1"/>
      <sheetData sheetId="12015" refreshError="1"/>
      <sheetData sheetId="12016" refreshError="1"/>
      <sheetData sheetId="12017" refreshError="1"/>
      <sheetData sheetId="12018" refreshError="1"/>
      <sheetData sheetId="12019" refreshError="1"/>
      <sheetData sheetId="12020" refreshError="1"/>
      <sheetData sheetId="12021" refreshError="1"/>
      <sheetData sheetId="12022" refreshError="1"/>
      <sheetData sheetId="12023" refreshError="1"/>
      <sheetData sheetId="12024" refreshError="1"/>
      <sheetData sheetId="12025" refreshError="1"/>
      <sheetData sheetId="12026" refreshError="1"/>
      <sheetData sheetId="12027" refreshError="1"/>
      <sheetData sheetId="12028" refreshError="1"/>
      <sheetData sheetId="12029" refreshError="1"/>
      <sheetData sheetId="12030" refreshError="1"/>
      <sheetData sheetId="12031" refreshError="1"/>
      <sheetData sheetId="12032" refreshError="1"/>
      <sheetData sheetId="12033" refreshError="1"/>
      <sheetData sheetId="12034" refreshError="1"/>
      <sheetData sheetId="12035" refreshError="1"/>
      <sheetData sheetId="12036" refreshError="1"/>
      <sheetData sheetId="12037" refreshError="1"/>
      <sheetData sheetId="12038" refreshError="1"/>
      <sheetData sheetId="12039" refreshError="1"/>
      <sheetData sheetId="12040" refreshError="1"/>
      <sheetData sheetId="12041" refreshError="1"/>
      <sheetData sheetId="12042" refreshError="1"/>
      <sheetData sheetId="12043" refreshError="1"/>
      <sheetData sheetId="12044" refreshError="1"/>
      <sheetData sheetId="12045" refreshError="1"/>
      <sheetData sheetId="12046" refreshError="1"/>
      <sheetData sheetId="12047" refreshError="1"/>
      <sheetData sheetId="12048" refreshError="1"/>
      <sheetData sheetId="12049" refreshError="1"/>
      <sheetData sheetId="12050" refreshError="1"/>
      <sheetData sheetId="12051" refreshError="1"/>
      <sheetData sheetId="12052" refreshError="1"/>
      <sheetData sheetId="12053" refreshError="1"/>
      <sheetData sheetId="12054" refreshError="1"/>
      <sheetData sheetId="12055" refreshError="1"/>
      <sheetData sheetId="12056" refreshError="1"/>
      <sheetData sheetId="12057" refreshError="1"/>
      <sheetData sheetId="12058" refreshError="1"/>
      <sheetData sheetId="12059" refreshError="1"/>
      <sheetData sheetId="12060" refreshError="1"/>
      <sheetData sheetId="12061" refreshError="1"/>
      <sheetData sheetId="12062" refreshError="1"/>
      <sheetData sheetId="12063" refreshError="1"/>
      <sheetData sheetId="12064" refreshError="1"/>
      <sheetData sheetId="12065" refreshError="1"/>
      <sheetData sheetId="12066" refreshError="1"/>
      <sheetData sheetId="12067" refreshError="1"/>
      <sheetData sheetId="12068" refreshError="1"/>
      <sheetData sheetId="12069" refreshError="1"/>
      <sheetData sheetId="12070" refreshError="1"/>
      <sheetData sheetId="12071" refreshError="1"/>
      <sheetData sheetId="12072" refreshError="1"/>
      <sheetData sheetId="12073" refreshError="1"/>
      <sheetData sheetId="12074" refreshError="1"/>
      <sheetData sheetId="12075" refreshError="1"/>
      <sheetData sheetId="12076" refreshError="1"/>
      <sheetData sheetId="12077" refreshError="1"/>
      <sheetData sheetId="12078" refreshError="1"/>
      <sheetData sheetId="12079" refreshError="1"/>
      <sheetData sheetId="12080" refreshError="1"/>
      <sheetData sheetId="12081" refreshError="1"/>
      <sheetData sheetId="12082" refreshError="1"/>
      <sheetData sheetId="12083" refreshError="1"/>
      <sheetData sheetId="12084" refreshError="1"/>
      <sheetData sheetId="12085" refreshError="1"/>
      <sheetData sheetId="12086" refreshError="1"/>
      <sheetData sheetId="12087" refreshError="1"/>
      <sheetData sheetId="12088" refreshError="1"/>
      <sheetData sheetId="12089" refreshError="1"/>
      <sheetData sheetId="12090" refreshError="1"/>
      <sheetData sheetId="12091" refreshError="1"/>
      <sheetData sheetId="12092" refreshError="1"/>
      <sheetData sheetId="12093" refreshError="1"/>
      <sheetData sheetId="12094" refreshError="1"/>
      <sheetData sheetId="12095" refreshError="1"/>
      <sheetData sheetId="12096" refreshError="1"/>
      <sheetData sheetId="12097" refreshError="1"/>
      <sheetData sheetId="12098" refreshError="1"/>
      <sheetData sheetId="12099" refreshError="1"/>
      <sheetData sheetId="12100" refreshError="1"/>
      <sheetData sheetId="12101" refreshError="1"/>
      <sheetData sheetId="12102" refreshError="1"/>
      <sheetData sheetId="12103" refreshError="1"/>
      <sheetData sheetId="12104" refreshError="1"/>
      <sheetData sheetId="12105" refreshError="1"/>
      <sheetData sheetId="12106" refreshError="1"/>
      <sheetData sheetId="12107" refreshError="1"/>
      <sheetData sheetId="12108" refreshError="1"/>
      <sheetData sheetId="12109" refreshError="1"/>
      <sheetData sheetId="12110" refreshError="1"/>
      <sheetData sheetId="12111" refreshError="1"/>
      <sheetData sheetId="12112" refreshError="1"/>
      <sheetData sheetId="12113" refreshError="1"/>
      <sheetData sheetId="12114" refreshError="1"/>
      <sheetData sheetId="12115" refreshError="1"/>
      <sheetData sheetId="12116" refreshError="1"/>
      <sheetData sheetId="12117" refreshError="1"/>
      <sheetData sheetId="12118" refreshError="1"/>
      <sheetData sheetId="12119" refreshError="1"/>
      <sheetData sheetId="12120" refreshError="1"/>
      <sheetData sheetId="12121" refreshError="1"/>
      <sheetData sheetId="12122" refreshError="1"/>
      <sheetData sheetId="12123" refreshError="1"/>
      <sheetData sheetId="12124" refreshError="1"/>
      <sheetData sheetId="12125" refreshError="1"/>
      <sheetData sheetId="12126" refreshError="1"/>
      <sheetData sheetId="12127" refreshError="1"/>
      <sheetData sheetId="12128" refreshError="1"/>
      <sheetData sheetId="12129" refreshError="1"/>
      <sheetData sheetId="12130" refreshError="1"/>
      <sheetData sheetId="12131" refreshError="1"/>
      <sheetData sheetId="12132" refreshError="1"/>
      <sheetData sheetId="12133" refreshError="1"/>
      <sheetData sheetId="12134" refreshError="1"/>
      <sheetData sheetId="12135" refreshError="1"/>
      <sheetData sheetId="12136" refreshError="1"/>
      <sheetData sheetId="12137" refreshError="1"/>
      <sheetData sheetId="12138" refreshError="1"/>
      <sheetData sheetId="12139" refreshError="1"/>
      <sheetData sheetId="12140" refreshError="1"/>
      <sheetData sheetId="12141" refreshError="1"/>
      <sheetData sheetId="12142" refreshError="1"/>
      <sheetData sheetId="12143" refreshError="1"/>
      <sheetData sheetId="12144" refreshError="1"/>
      <sheetData sheetId="12145" refreshError="1"/>
      <sheetData sheetId="12146" refreshError="1"/>
      <sheetData sheetId="12147" refreshError="1"/>
      <sheetData sheetId="12148" refreshError="1"/>
      <sheetData sheetId="12149" refreshError="1"/>
      <sheetData sheetId="12150" refreshError="1"/>
      <sheetData sheetId="12151" refreshError="1"/>
      <sheetData sheetId="12152" refreshError="1"/>
      <sheetData sheetId="12153" refreshError="1"/>
      <sheetData sheetId="12154" refreshError="1"/>
      <sheetData sheetId="12155" refreshError="1"/>
      <sheetData sheetId="12156" refreshError="1"/>
      <sheetData sheetId="12157" refreshError="1"/>
      <sheetData sheetId="12158" refreshError="1"/>
      <sheetData sheetId="12159" refreshError="1"/>
      <sheetData sheetId="12160" refreshError="1"/>
      <sheetData sheetId="12161" refreshError="1"/>
      <sheetData sheetId="12162" refreshError="1"/>
      <sheetData sheetId="12163" refreshError="1"/>
      <sheetData sheetId="12164" refreshError="1"/>
      <sheetData sheetId="12165" refreshError="1"/>
      <sheetData sheetId="12166" refreshError="1"/>
      <sheetData sheetId="12167" refreshError="1"/>
      <sheetData sheetId="12168" refreshError="1"/>
      <sheetData sheetId="12169" refreshError="1"/>
      <sheetData sheetId="12170" refreshError="1"/>
      <sheetData sheetId="12171" refreshError="1"/>
      <sheetData sheetId="12172" refreshError="1"/>
      <sheetData sheetId="12173" refreshError="1"/>
      <sheetData sheetId="12174" refreshError="1"/>
      <sheetData sheetId="12175" refreshError="1"/>
      <sheetData sheetId="12176" refreshError="1"/>
      <sheetData sheetId="12177" refreshError="1"/>
      <sheetData sheetId="12178" refreshError="1"/>
      <sheetData sheetId="12179" refreshError="1"/>
      <sheetData sheetId="12180" refreshError="1"/>
      <sheetData sheetId="12181" refreshError="1"/>
      <sheetData sheetId="12182" refreshError="1"/>
      <sheetData sheetId="12183" refreshError="1"/>
      <sheetData sheetId="12184" refreshError="1"/>
      <sheetData sheetId="12185" refreshError="1"/>
      <sheetData sheetId="12186" refreshError="1"/>
      <sheetData sheetId="12187" refreshError="1"/>
      <sheetData sheetId="12188" refreshError="1"/>
      <sheetData sheetId="12189" refreshError="1"/>
      <sheetData sheetId="12190" refreshError="1"/>
      <sheetData sheetId="12191" refreshError="1"/>
      <sheetData sheetId="12192" refreshError="1"/>
      <sheetData sheetId="12193" refreshError="1"/>
      <sheetData sheetId="12194" refreshError="1"/>
      <sheetData sheetId="12195" refreshError="1"/>
      <sheetData sheetId="12196" refreshError="1"/>
      <sheetData sheetId="12197" refreshError="1"/>
      <sheetData sheetId="12198" refreshError="1"/>
      <sheetData sheetId="12199" refreshError="1"/>
      <sheetData sheetId="12200" refreshError="1"/>
      <sheetData sheetId="12201" refreshError="1"/>
      <sheetData sheetId="12202" refreshError="1"/>
      <sheetData sheetId="12203" refreshError="1"/>
      <sheetData sheetId="12204" refreshError="1"/>
      <sheetData sheetId="12205" refreshError="1"/>
      <sheetData sheetId="12206" refreshError="1"/>
      <sheetData sheetId="12207" refreshError="1"/>
      <sheetData sheetId="12208" refreshError="1"/>
      <sheetData sheetId="12209" refreshError="1"/>
      <sheetData sheetId="12210" refreshError="1"/>
      <sheetData sheetId="12211" refreshError="1"/>
      <sheetData sheetId="12212" refreshError="1"/>
      <sheetData sheetId="12213" refreshError="1"/>
      <sheetData sheetId="12214" refreshError="1"/>
      <sheetData sheetId="12215" refreshError="1"/>
      <sheetData sheetId="12216" refreshError="1"/>
      <sheetData sheetId="12217" refreshError="1"/>
      <sheetData sheetId="12218" refreshError="1"/>
      <sheetData sheetId="12219" refreshError="1"/>
      <sheetData sheetId="12220" refreshError="1"/>
      <sheetData sheetId="12221" refreshError="1"/>
      <sheetData sheetId="12222" refreshError="1"/>
      <sheetData sheetId="12223" refreshError="1"/>
      <sheetData sheetId="12224" refreshError="1"/>
      <sheetData sheetId="12225" refreshError="1"/>
      <sheetData sheetId="12226" refreshError="1"/>
      <sheetData sheetId="12227" refreshError="1"/>
      <sheetData sheetId="12228" refreshError="1"/>
      <sheetData sheetId="12229" refreshError="1"/>
      <sheetData sheetId="12230" refreshError="1"/>
      <sheetData sheetId="12231" refreshError="1"/>
      <sheetData sheetId="12232" refreshError="1"/>
      <sheetData sheetId="12233" refreshError="1"/>
      <sheetData sheetId="12234" refreshError="1"/>
      <sheetData sheetId="12235" refreshError="1"/>
      <sheetData sheetId="12236" refreshError="1"/>
      <sheetData sheetId="12237" refreshError="1"/>
      <sheetData sheetId="12238" refreshError="1"/>
      <sheetData sheetId="12239" refreshError="1"/>
      <sheetData sheetId="12240" refreshError="1"/>
      <sheetData sheetId="12241" refreshError="1"/>
      <sheetData sheetId="12242" refreshError="1"/>
      <sheetData sheetId="12243" refreshError="1"/>
      <sheetData sheetId="12244" refreshError="1"/>
      <sheetData sheetId="12245" refreshError="1"/>
      <sheetData sheetId="12246" refreshError="1"/>
      <sheetData sheetId="12247" refreshError="1"/>
      <sheetData sheetId="12248" refreshError="1"/>
      <sheetData sheetId="12249" refreshError="1"/>
      <sheetData sheetId="12250" refreshError="1"/>
      <sheetData sheetId="12251" refreshError="1"/>
      <sheetData sheetId="12252" refreshError="1"/>
      <sheetData sheetId="12253" refreshError="1"/>
      <sheetData sheetId="12254" refreshError="1"/>
      <sheetData sheetId="12255" refreshError="1"/>
      <sheetData sheetId="12256" refreshError="1"/>
      <sheetData sheetId="12257" refreshError="1"/>
      <sheetData sheetId="12258" refreshError="1"/>
      <sheetData sheetId="12259" refreshError="1"/>
      <sheetData sheetId="12260" refreshError="1"/>
      <sheetData sheetId="12261" refreshError="1"/>
      <sheetData sheetId="12262" refreshError="1"/>
      <sheetData sheetId="12263" refreshError="1"/>
      <sheetData sheetId="12264" refreshError="1"/>
      <sheetData sheetId="12265" refreshError="1"/>
      <sheetData sheetId="12266" refreshError="1"/>
      <sheetData sheetId="12267" refreshError="1"/>
      <sheetData sheetId="12268" refreshError="1"/>
      <sheetData sheetId="12269" refreshError="1"/>
      <sheetData sheetId="12270" refreshError="1"/>
      <sheetData sheetId="12271" refreshError="1"/>
      <sheetData sheetId="12272" refreshError="1"/>
      <sheetData sheetId="12273" refreshError="1"/>
      <sheetData sheetId="12274" refreshError="1"/>
      <sheetData sheetId="12275" refreshError="1"/>
      <sheetData sheetId="12276" refreshError="1"/>
      <sheetData sheetId="12277" refreshError="1"/>
      <sheetData sheetId="12278" refreshError="1"/>
      <sheetData sheetId="12279" refreshError="1"/>
      <sheetData sheetId="12280" refreshError="1"/>
      <sheetData sheetId="12281" refreshError="1"/>
      <sheetData sheetId="12282" refreshError="1"/>
      <sheetData sheetId="12283" refreshError="1"/>
      <sheetData sheetId="12284" refreshError="1"/>
      <sheetData sheetId="12285" refreshError="1"/>
      <sheetData sheetId="12286" refreshError="1"/>
      <sheetData sheetId="12287" refreshError="1"/>
      <sheetData sheetId="12288" refreshError="1"/>
      <sheetData sheetId="12289" refreshError="1"/>
      <sheetData sheetId="12290" refreshError="1"/>
      <sheetData sheetId="12291" refreshError="1"/>
      <sheetData sheetId="12292" refreshError="1"/>
      <sheetData sheetId="12293" refreshError="1"/>
      <sheetData sheetId="12294" refreshError="1"/>
      <sheetData sheetId="12295" refreshError="1"/>
      <sheetData sheetId="12296" refreshError="1"/>
      <sheetData sheetId="12297" refreshError="1"/>
      <sheetData sheetId="12298" refreshError="1"/>
      <sheetData sheetId="12299" refreshError="1"/>
      <sheetData sheetId="12300" refreshError="1"/>
      <sheetData sheetId="12301" refreshError="1"/>
      <sheetData sheetId="12302" refreshError="1"/>
      <sheetData sheetId="12303" refreshError="1"/>
      <sheetData sheetId="12304" refreshError="1"/>
      <sheetData sheetId="12305" refreshError="1"/>
      <sheetData sheetId="12306" refreshError="1"/>
      <sheetData sheetId="12307" refreshError="1"/>
      <sheetData sheetId="12308" refreshError="1"/>
      <sheetData sheetId="12309" refreshError="1"/>
      <sheetData sheetId="12310" refreshError="1"/>
      <sheetData sheetId="12311" refreshError="1"/>
      <sheetData sheetId="12312" refreshError="1"/>
      <sheetData sheetId="12313" refreshError="1"/>
      <sheetData sheetId="12314" refreshError="1"/>
      <sheetData sheetId="12315" refreshError="1"/>
      <sheetData sheetId="12316" refreshError="1"/>
      <sheetData sheetId="12317" refreshError="1"/>
      <sheetData sheetId="12318" refreshError="1"/>
      <sheetData sheetId="12319" refreshError="1"/>
      <sheetData sheetId="12320" refreshError="1"/>
      <sheetData sheetId="12321" refreshError="1"/>
      <sheetData sheetId="12322" refreshError="1"/>
      <sheetData sheetId="12323" refreshError="1"/>
      <sheetData sheetId="12324" refreshError="1"/>
      <sheetData sheetId="12325" refreshError="1"/>
      <sheetData sheetId="12326" refreshError="1"/>
      <sheetData sheetId="12327" refreshError="1"/>
      <sheetData sheetId="12328" refreshError="1"/>
      <sheetData sheetId="12329" refreshError="1"/>
      <sheetData sheetId="12330" refreshError="1"/>
      <sheetData sheetId="12331" refreshError="1"/>
      <sheetData sheetId="12332" refreshError="1"/>
      <sheetData sheetId="12333" refreshError="1"/>
      <sheetData sheetId="12334" refreshError="1"/>
      <sheetData sheetId="12335" refreshError="1"/>
      <sheetData sheetId="12336" refreshError="1"/>
      <sheetData sheetId="12337" refreshError="1"/>
      <sheetData sheetId="12338" refreshError="1"/>
      <sheetData sheetId="12339" refreshError="1"/>
      <sheetData sheetId="12340" refreshError="1"/>
      <sheetData sheetId="12341" refreshError="1"/>
      <sheetData sheetId="12342" refreshError="1"/>
      <sheetData sheetId="12343" refreshError="1"/>
      <sheetData sheetId="12344" refreshError="1"/>
      <sheetData sheetId="12345" refreshError="1"/>
      <sheetData sheetId="12346" refreshError="1"/>
      <sheetData sheetId="12347" refreshError="1"/>
      <sheetData sheetId="12348" refreshError="1"/>
      <sheetData sheetId="12349" refreshError="1"/>
      <sheetData sheetId="12350" refreshError="1"/>
      <sheetData sheetId="12351" refreshError="1"/>
      <sheetData sheetId="12352" refreshError="1"/>
      <sheetData sheetId="12353" refreshError="1"/>
      <sheetData sheetId="12354" refreshError="1"/>
      <sheetData sheetId="12355" refreshError="1"/>
      <sheetData sheetId="12356" refreshError="1"/>
      <sheetData sheetId="12357" refreshError="1"/>
      <sheetData sheetId="12358" refreshError="1"/>
      <sheetData sheetId="12359" refreshError="1"/>
      <sheetData sheetId="12360" refreshError="1"/>
      <sheetData sheetId="12361" refreshError="1"/>
      <sheetData sheetId="12362" refreshError="1"/>
      <sheetData sheetId="12363" refreshError="1"/>
      <sheetData sheetId="12364" refreshError="1"/>
      <sheetData sheetId="12365" refreshError="1"/>
      <sheetData sheetId="12366" refreshError="1"/>
      <sheetData sheetId="12367" refreshError="1"/>
      <sheetData sheetId="12368" refreshError="1"/>
      <sheetData sheetId="12369" refreshError="1"/>
      <sheetData sheetId="12370" refreshError="1"/>
      <sheetData sheetId="12371" refreshError="1"/>
      <sheetData sheetId="12372" refreshError="1"/>
      <sheetData sheetId="12373" refreshError="1"/>
      <sheetData sheetId="12374" refreshError="1"/>
      <sheetData sheetId="12375" refreshError="1"/>
      <sheetData sheetId="12376" refreshError="1"/>
      <sheetData sheetId="12377" refreshError="1"/>
      <sheetData sheetId="12378" refreshError="1"/>
      <sheetData sheetId="12379" refreshError="1"/>
      <sheetData sheetId="12380" refreshError="1"/>
      <sheetData sheetId="12381" refreshError="1"/>
      <sheetData sheetId="12382" refreshError="1"/>
      <sheetData sheetId="12383" refreshError="1"/>
      <sheetData sheetId="12384" refreshError="1"/>
      <sheetData sheetId="12385" refreshError="1"/>
      <sheetData sheetId="12386" refreshError="1"/>
      <sheetData sheetId="12387" refreshError="1"/>
      <sheetData sheetId="12388" refreshError="1"/>
      <sheetData sheetId="12389" refreshError="1"/>
      <sheetData sheetId="12390" refreshError="1"/>
      <sheetData sheetId="12391" refreshError="1"/>
      <sheetData sheetId="12392" refreshError="1"/>
      <sheetData sheetId="12393" refreshError="1"/>
      <sheetData sheetId="12394" refreshError="1"/>
      <sheetData sheetId="12395" refreshError="1"/>
      <sheetData sheetId="12396" refreshError="1"/>
      <sheetData sheetId="12397" refreshError="1"/>
      <sheetData sheetId="12398" refreshError="1"/>
      <sheetData sheetId="12399" refreshError="1"/>
      <sheetData sheetId="12400" refreshError="1"/>
      <sheetData sheetId="12401" refreshError="1"/>
      <sheetData sheetId="12402" refreshError="1"/>
      <sheetData sheetId="12403" refreshError="1"/>
      <sheetData sheetId="12404" refreshError="1"/>
      <sheetData sheetId="12405" refreshError="1"/>
      <sheetData sheetId="12406" refreshError="1"/>
      <sheetData sheetId="12407" refreshError="1"/>
      <sheetData sheetId="12408" refreshError="1"/>
      <sheetData sheetId="12409" refreshError="1"/>
      <sheetData sheetId="12410" refreshError="1"/>
      <sheetData sheetId="12411" refreshError="1"/>
      <sheetData sheetId="12412" refreshError="1"/>
      <sheetData sheetId="12413" refreshError="1"/>
      <sheetData sheetId="12414" refreshError="1"/>
      <sheetData sheetId="12415" refreshError="1"/>
      <sheetData sheetId="12416" refreshError="1"/>
      <sheetData sheetId="12417" refreshError="1"/>
      <sheetData sheetId="12418" refreshError="1"/>
      <sheetData sheetId="12419" refreshError="1"/>
      <sheetData sheetId="12420" refreshError="1"/>
      <sheetData sheetId="12421" refreshError="1"/>
      <sheetData sheetId="12422" refreshError="1"/>
      <sheetData sheetId="12423" refreshError="1"/>
      <sheetData sheetId="12424" refreshError="1"/>
      <sheetData sheetId="12425" refreshError="1"/>
      <sheetData sheetId="12426" refreshError="1"/>
      <sheetData sheetId="12427" refreshError="1"/>
      <sheetData sheetId="12428" refreshError="1"/>
      <sheetData sheetId="12429" refreshError="1"/>
      <sheetData sheetId="12430" refreshError="1"/>
      <sheetData sheetId="12431" refreshError="1"/>
      <sheetData sheetId="12432" refreshError="1"/>
      <sheetData sheetId="12433" refreshError="1"/>
      <sheetData sheetId="12434" refreshError="1"/>
      <sheetData sheetId="12435" refreshError="1"/>
      <sheetData sheetId="12436" refreshError="1"/>
      <sheetData sheetId="12437" refreshError="1"/>
      <sheetData sheetId="12438" refreshError="1"/>
      <sheetData sheetId="12439" refreshError="1"/>
      <sheetData sheetId="12440" refreshError="1"/>
      <sheetData sheetId="12441" refreshError="1"/>
      <sheetData sheetId="12442" refreshError="1"/>
      <sheetData sheetId="12443" refreshError="1"/>
      <sheetData sheetId="12444" refreshError="1"/>
      <sheetData sheetId="12445" refreshError="1"/>
      <sheetData sheetId="12446" refreshError="1"/>
      <sheetData sheetId="12447" refreshError="1"/>
      <sheetData sheetId="12448" refreshError="1"/>
      <sheetData sheetId="12449" refreshError="1"/>
      <sheetData sheetId="12450" refreshError="1"/>
      <sheetData sheetId="12451" refreshError="1"/>
      <sheetData sheetId="12452" refreshError="1"/>
      <sheetData sheetId="12453" refreshError="1"/>
      <sheetData sheetId="12454" refreshError="1"/>
      <sheetData sheetId="12455" refreshError="1"/>
      <sheetData sheetId="12456" refreshError="1"/>
      <sheetData sheetId="12457" refreshError="1"/>
      <sheetData sheetId="12458" refreshError="1"/>
      <sheetData sheetId="12459" refreshError="1"/>
      <sheetData sheetId="12460" refreshError="1"/>
      <sheetData sheetId="12461" refreshError="1"/>
      <sheetData sheetId="12462" refreshError="1"/>
      <sheetData sheetId="12463" refreshError="1"/>
      <sheetData sheetId="12464" refreshError="1"/>
      <sheetData sheetId="12465" refreshError="1"/>
      <sheetData sheetId="12466" refreshError="1"/>
      <sheetData sheetId="12467" refreshError="1"/>
      <sheetData sheetId="12468" refreshError="1"/>
      <sheetData sheetId="12469" refreshError="1"/>
      <sheetData sheetId="12470" refreshError="1"/>
      <sheetData sheetId="12471" refreshError="1"/>
      <sheetData sheetId="12472" refreshError="1"/>
      <sheetData sheetId="12473" refreshError="1"/>
      <sheetData sheetId="12474" refreshError="1"/>
      <sheetData sheetId="12475" refreshError="1"/>
      <sheetData sheetId="12476" refreshError="1"/>
      <sheetData sheetId="12477" refreshError="1"/>
      <sheetData sheetId="12478" refreshError="1"/>
      <sheetData sheetId="12479" refreshError="1"/>
      <sheetData sheetId="12480" refreshError="1"/>
      <sheetData sheetId="12481" refreshError="1"/>
      <sheetData sheetId="12482" refreshError="1"/>
      <sheetData sheetId="12483" refreshError="1"/>
      <sheetData sheetId="12484" refreshError="1"/>
      <sheetData sheetId="12485" refreshError="1"/>
      <sheetData sheetId="12486" refreshError="1"/>
      <sheetData sheetId="12487" refreshError="1"/>
      <sheetData sheetId="12488" refreshError="1"/>
      <sheetData sheetId="12489" refreshError="1"/>
      <sheetData sheetId="12490" refreshError="1"/>
      <sheetData sheetId="12491" refreshError="1"/>
      <sheetData sheetId="12492" refreshError="1"/>
      <sheetData sheetId="12493" refreshError="1"/>
      <sheetData sheetId="12494" refreshError="1"/>
      <sheetData sheetId="12495" refreshError="1"/>
      <sheetData sheetId="12496" refreshError="1"/>
      <sheetData sheetId="12497" refreshError="1"/>
      <sheetData sheetId="12498" refreshError="1"/>
      <sheetData sheetId="12499" refreshError="1"/>
      <sheetData sheetId="12500" refreshError="1"/>
      <sheetData sheetId="12501" refreshError="1"/>
      <sheetData sheetId="12502" refreshError="1"/>
      <sheetData sheetId="12503" refreshError="1"/>
      <sheetData sheetId="12504" refreshError="1"/>
      <sheetData sheetId="12505" refreshError="1"/>
      <sheetData sheetId="12506" refreshError="1"/>
      <sheetData sheetId="12507" refreshError="1"/>
      <sheetData sheetId="12508" refreshError="1"/>
      <sheetData sheetId="12509" refreshError="1"/>
      <sheetData sheetId="12510" refreshError="1"/>
      <sheetData sheetId="12511" refreshError="1"/>
      <sheetData sheetId="12512" refreshError="1"/>
      <sheetData sheetId="12513" refreshError="1"/>
      <sheetData sheetId="12514" refreshError="1"/>
      <sheetData sheetId="12515" refreshError="1"/>
      <sheetData sheetId="12516" refreshError="1"/>
      <sheetData sheetId="12517" refreshError="1"/>
      <sheetData sheetId="12518" refreshError="1"/>
      <sheetData sheetId="12519" refreshError="1"/>
      <sheetData sheetId="12520" refreshError="1"/>
      <sheetData sheetId="12521" refreshError="1"/>
      <sheetData sheetId="12522" refreshError="1"/>
      <sheetData sheetId="12523" refreshError="1"/>
      <sheetData sheetId="12524" refreshError="1"/>
      <sheetData sheetId="12525" refreshError="1"/>
      <sheetData sheetId="12526" refreshError="1"/>
      <sheetData sheetId="12527" refreshError="1"/>
      <sheetData sheetId="12528" refreshError="1"/>
      <sheetData sheetId="12529" refreshError="1"/>
      <sheetData sheetId="12530" refreshError="1"/>
      <sheetData sheetId="12531" refreshError="1"/>
      <sheetData sheetId="12532" refreshError="1"/>
      <sheetData sheetId="12533" refreshError="1"/>
      <sheetData sheetId="12534" refreshError="1"/>
      <sheetData sheetId="12535" refreshError="1"/>
      <sheetData sheetId="12536" refreshError="1"/>
      <sheetData sheetId="12537" refreshError="1"/>
      <sheetData sheetId="12538" refreshError="1"/>
      <sheetData sheetId="12539" refreshError="1"/>
      <sheetData sheetId="12540" refreshError="1"/>
      <sheetData sheetId="12541" refreshError="1"/>
      <sheetData sheetId="12542" refreshError="1"/>
      <sheetData sheetId="12543" refreshError="1"/>
      <sheetData sheetId="12544" refreshError="1"/>
      <sheetData sheetId="12545" refreshError="1"/>
      <sheetData sheetId="12546" refreshError="1"/>
      <sheetData sheetId="12547" refreshError="1"/>
      <sheetData sheetId="12548" refreshError="1"/>
      <sheetData sheetId="12549" refreshError="1"/>
      <sheetData sheetId="12550" refreshError="1"/>
      <sheetData sheetId="12551" refreshError="1"/>
      <sheetData sheetId="12552" refreshError="1"/>
      <sheetData sheetId="12553" refreshError="1"/>
      <sheetData sheetId="12554" refreshError="1"/>
      <sheetData sheetId="12555" refreshError="1"/>
      <sheetData sheetId="12556" refreshError="1"/>
      <sheetData sheetId="12557" refreshError="1"/>
      <sheetData sheetId="12558" refreshError="1"/>
      <sheetData sheetId="12559" refreshError="1"/>
      <sheetData sheetId="12560" refreshError="1"/>
      <sheetData sheetId="12561" refreshError="1"/>
      <sheetData sheetId="12562" refreshError="1"/>
      <sheetData sheetId="12563" refreshError="1"/>
      <sheetData sheetId="12564" refreshError="1"/>
      <sheetData sheetId="12565" refreshError="1"/>
      <sheetData sheetId="12566" refreshError="1"/>
      <sheetData sheetId="12567" refreshError="1"/>
      <sheetData sheetId="12568" refreshError="1"/>
      <sheetData sheetId="12569" refreshError="1"/>
      <sheetData sheetId="12570" refreshError="1"/>
      <sheetData sheetId="12571" refreshError="1"/>
      <sheetData sheetId="12572" refreshError="1"/>
      <sheetData sheetId="12573" refreshError="1"/>
      <sheetData sheetId="12574" refreshError="1"/>
      <sheetData sheetId="12575" refreshError="1"/>
      <sheetData sheetId="12576" refreshError="1"/>
      <sheetData sheetId="12577" refreshError="1"/>
      <sheetData sheetId="12578" refreshError="1"/>
      <sheetData sheetId="12579" refreshError="1"/>
      <sheetData sheetId="12580" refreshError="1"/>
      <sheetData sheetId="12581" refreshError="1"/>
      <sheetData sheetId="12582" refreshError="1"/>
      <sheetData sheetId="12583" refreshError="1"/>
      <sheetData sheetId="12584" refreshError="1"/>
      <sheetData sheetId="12585" refreshError="1"/>
      <sheetData sheetId="12586" refreshError="1"/>
      <sheetData sheetId="12587" refreshError="1"/>
      <sheetData sheetId="12588" refreshError="1"/>
      <sheetData sheetId="12589" refreshError="1"/>
      <sheetData sheetId="12590" refreshError="1"/>
      <sheetData sheetId="12591" refreshError="1"/>
      <sheetData sheetId="12592" refreshError="1"/>
      <sheetData sheetId="12593" refreshError="1"/>
      <sheetData sheetId="12594" refreshError="1"/>
      <sheetData sheetId="12595" refreshError="1"/>
      <sheetData sheetId="12596" refreshError="1"/>
      <sheetData sheetId="12597" refreshError="1"/>
      <sheetData sheetId="12598" refreshError="1"/>
      <sheetData sheetId="12599" refreshError="1"/>
      <sheetData sheetId="12600" refreshError="1"/>
      <sheetData sheetId="12601" refreshError="1"/>
      <sheetData sheetId="12602" refreshError="1"/>
      <sheetData sheetId="12603" refreshError="1"/>
      <sheetData sheetId="12604" refreshError="1"/>
      <sheetData sheetId="12605" refreshError="1"/>
      <sheetData sheetId="12606" refreshError="1"/>
      <sheetData sheetId="12607" refreshError="1"/>
      <sheetData sheetId="12608" refreshError="1"/>
      <sheetData sheetId="12609" refreshError="1"/>
      <sheetData sheetId="12610" refreshError="1"/>
      <sheetData sheetId="12611" refreshError="1"/>
      <sheetData sheetId="12612" refreshError="1"/>
      <sheetData sheetId="12613" refreshError="1"/>
      <sheetData sheetId="12614" refreshError="1"/>
      <sheetData sheetId="12615" refreshError="1"/>
      <sheetData sheetId="12616" refreshError="1"/>
      <sheetData sheetId="12617" refreshError="1"/>
      <sheetData sheetId="12618" refreshError="1"/>
      <sheetData sheetId="12619" refreshError="1"/>
      <sheetData sheetId="12620" refreshError="1"/>
      <sheetData sheetId="12621" refreshError="1"/>
      <sheetData sheetId="12622" refreshError="1"/>
      <sheetData sheetId="12623" refreshError="1"/>
      <sheetData sheetId="12624" refreshError="1"/>
      <sheetData sheetId="12625" refreshError="1"/>
      <sheetData sheetId="12626" refreshError="1"/>
      <sheetData sheetId="12627" refreshError="1"/>
      <sheetData sheetId="12628" refreshError="1"/>
      <sheetData sheetId="12629" refreshError="1"/>
      <sheetData sheetId="12630" refreshError="1"/>
      <sheetData sheetId="12631" refreshError="1"/>
      <sheetData sheetId="12632" refreshError="1"/>
      <sheetData sheetId="12633" refreshError="1"/>
      <sheetData sheetId="12634" refreshError="1"/>
      <sheetData sheetId="12635" refreshError="1"/>
      <sheetData sheetId="12636" refreshError="1"/>
      <sheetData sheetId="12637" refreshError="1"/>
      <sheetData sheetId="12638" refreshError="1"/>
      <sheetData sheetId="12639" refreshError="1"/>
      <sheetData sheetId="12640" refreshError="1"/>
      <sheetData sheetId="12641" refreshError="1"/>
      <sheetData sheetId="12642" refreshError="1"/>
      <sheetData sheetId="12643" refreshError="1"/>
      <sheetData sheetId="12644" refreshError="1"/>
      <sheetData sheetId="12645" refreshError="1"/>
      <sheetData sheetId="12646" refreshError="1"/>
      <sheetData sheetId="12647" refreshError="1"/>
      <sheetData sheetId="12648" refreshError="1"/>
      <sheetData sheetId="12649" refreshError="1"/>
      <sheetData sheetId="12650" refreshError="1"/>
      <sheetData sheetId="12651" refreshError="1"/>
      <sheetData sheetId="12652" refreshError="1"/>
      <sheetData sheetId="12653" refreshError="1"/>
      <sheetData sheetId="12654" refreshError="1"/>
      <sheetData sheetId="12655" refreshError="1"/>
      <sheetData sheetId="12656" refreshError="1"/>
      <sheetData sheetId="12657" refreshError="1"/>
      <sheetData sheetId="12658" refreshError="1"/>
      <sheetData sheetId="12659" refreshError="1"/>
      <sheetData sheetId="12660" refreshError="1"/>
      <sheetData sheetId="12661" refreshError="1"/>
      <sheetData sheetId="12662" refreshError="1"/>
      <sheetData sheetId="12663" refreshError="1"/>
      <sheetData sheetId="12664" refreshError="1"/>
      <sheetData sheetId="12665" refreshError="1"/>
      <sheetData sheetId="12666" refreshError="1"/>
      <sheetData sheetId="12667" refreshError="1"/>
      <sheetData sheetId="12668" refreshError="1"/>
      <sheetData sheetId="12669" refreshError="1"/>
      <sheetData sheetId="12670" refreshError="1"/>
      <sheetData sheetId="12671" refreshError="1"/>
      <sheetData sheetId="12672" refreshError="1"/>
      <sheetData sheetId="12673" refreshError="1"/>
      <sheetData sheetId="12674" refreshError="1"/>
      <sheetData sheetId="12675" refreshError="1"/>
      <sheetData sheetId="12676" refreshError="1"/>
      <sheetData sheetId="12677" refreshError="1"/>
      <sheetData sheetId="12678" refreshError="1"/>
      <sheetData sheetId="12679" refreshError="1"/>
      <sheetData sheetId="12680" refreshError="1"/>
      <sheetData sheetId="12681" refreshError="1"/>
      <sheetData sheetId="12682" refreshError="1"/>
      <sheetData sheetId="12683" refreshError="1"/>
      <sheetData sheetId="12684" refreshError="1"/>
      <sheetData sheetId="12685" refreshError="1"/>
      <sheetData sheetId="12686" refreshError="1"/>
      <sheetData sheetId="12687" refreshError="1"/>
      <sheetData sheetId="12688" refreshError="1"/>
      <sheetData sheetId="12689" refreshError="1"/>
      <sheetData sheetId="12690" refreshError="1"/>
      <sheetData sheetId="12691" refreshError="1"/>
      <sheetData sheetId="12692" refreshError="1"/>
      <sheetData sheetId="12693" refreshError="1"/>
      <sheetData sheetId="12694" refreshError="1"/>
      <sheetData sheetId="12695" refreshError="1"/>
      <sheetData sheetId="12696" refreshError="1"/>
      <sheetData sheetId="12697" refreshError="1"/>
      <sheetData sheetId="12698" refreshError="1"/>
      <sheetData sheetId="12699" refreshError="1"/>
      <sheetData sheetId="12700" refreshError="1"/>
      <sheetData sheetId="12701" refreshError="1"/>
      <sheetData sheetId="12702" refreshError="1"/>
      <sheetData sheetId="12703" refreshError="1"/>
      <sheetData sheetId="12704" refreshError="1"/>
      <sheetData sheetId="12705" refreshError="1"/>
      <sheetData sheetId="12706" refreshError="1"/>
      <sheetData sheetId="12707" refreshError="1"/>
      <sheetData sheetId="12708" refreshError="1"/>
      <sheetData sheetId="12709" refreshError="1"/>
      <sheetData sheetId="12710" refreshError="1"/>
      <sheetData sheetId="12711" refreshError="1"/>
      <sheetData sheetId="12712" refreshError="1"/>
      <sheetData sheetId="12713" refreshError="1"/>
      <sheetData sheetId="12714" refreshError="1"/>
      <sheetData sheetId="12715" refreshError="1"/>
      <sheetData sheetId="12716" refreshError="1"/>
      <sheetData sheetId="12717" refreshError="1"/>
      <sheetData sheetId="12718" refreshError="1"/>
      <sheetData sheetId="12719" refreshError="1"/>
      <sheetData sheetId="12720" refreshError="1"/>
      <sheetData sheetId="12721" refreshError="1"/>
      <sheetData sheetId="12722" refreshError="1"/>
      <sheetData sheetId="12723" refreshError="1"/>
      <sheetData sheetId="12724" refreshError="1"/>
      <sheetData sheetId="12725" refreshError="1"/>
      <sheetData sheetId="12726" refreshError="1"/>
      <sheetData sheetId="12727" refreshError="1"/>
      <sheetData sheetId="12728" refreshError="1"/>
      <sheetData sheetId="12729" refreshError="1"/>
      <sheetData sheetId="12730" refreshError="1"/>
      <sheetData sheetId="12731" refreshError="1"/>
      <sheetData sheetId="12732" refreshError="1"/>
      <sheetData sheetId="12733" refreshError="1"/>
      <sheetData sheetId="12734" refreshError="1"/>
      <sheetData sheetId="12735" refreshError="1"/>
      <sheetData sheetId="12736" refreshError="1"/>
      <sheetData sheetId="12737" refreshError="1"/>
      <sheetData sheetId="12738" refreshError="1"/>
      <sheetData sheetId="12739" refreshError="1"/>
      <sheetData sheetId="12740" refreshError="1"/>
      <sheetData sheetId="12741" refreshError="1"/>
      <sheetData sheetId="12742" refreshError="1"/>
      <sheetData sheetId="12743" refreshError="1"/>
      <sheetData sheetId="12744" refreshError="1"/>
      <sheetData sheetId="12745" refreshError="1"/>
      <sheetData sheetId="12746" refreshError="1"/>
      <sheetData sheetId="12747" refreshError="1"/>
      <sheetData sheetId="12748" refreshError="1"/>
      <sheetData sheetId="12749" refreshError="1"/>
      <sheetData sheetId="12750" refreshError="1"/>
      <sheetData sheetId="12751" refreshError="1"/>
      <sheetData sheetId="12752" refreshError="1"/>
      <sheetData sheetId="12753" refreshError="1"/>
      <sheetData sheetId="12754" refreshError="1"/>
      <sheetData sheetId="12755" refreshError="1"/>
      <sheetData sheetId="12756" refreshError="1"/>
      <sheetData sheetId="12757" refreshError="1"/>
      <sheetData sheetId="12758" refreshError="1"/>
      <sheetData sheetId="12759" refreshError="1"/>
      <sheetData sheetId="12760" refreshError="1"/>
      <sheetData sheetId="12761" refreshError="1"/>
      <sheetData sheetId="12762" refreshError="1"/>
      <sheetData sheetId="12763" refreshError="1"/>
      <sheetData sheetId="12764" refreshError="1"/>
      <sheetData sheetId="12765" refreshError="1"/>
      <sheetData sheetId="12766" refreshError="1"/>
      <sheetData sheetId="12767" refreshError="1"/>
      <sheetData sheetId="12768" refreshError="1"/>
      <sheetData sheetId="12769" refreshError="1"/>
      <sheetData sheetId="12770" refreshError="1"/>
      <sheetData sheetId="12771" refreshError="1"/>
      <sheetData sheetId="12772" refreshError="1"/>
      <sheetData sheetId="12773" refreshError="1"/>
      <sheetData sheetId="12774" refreshError="1"/>
      <sheetData sheetId="12775" refreshError="1"/>
      <sheetData sheetId="12776" refreshError="1"/>
      <sheetData sheetId="12777" refreshError="1"/>
      <sheetData sheetId="12778" refreshError="1"/>
      <sheetData sheetId="12779" refreshError="1"/>
      <sheetData sheetId="12780" refreshError="1"/>
      <sheetData sheetId="12781" refreshError="1"/>
      <sheetData sheetId="12782" refreshError="1"/>
      <sheetData sheetId="12783" refreshError="1"/>
      <sheetData sheetId="12784" refreshError="1"/>
      <sheetData sheetId="12785" refreshError="1"/>
      <sheetData sheetId="12786" refreshError="1"/>
      <sheetData sheetId="12787" refreshError="1"/>
      <sheetData sheetId="12788" refreshError="1"/>
      <sheetData sheetId="12789" refreshError="1"/>
      <sheetData sheetId="12790" refreshError="1"/>
      <sheetData sheetId="12791" refreshError="1"/>
      <sheetData sheetId="12792" refreshError="1"/>
      <sheetData sheetId="12793" refreshError="1"/>
      <sheetData sheetId="12794" refreshError="1"/>
      <sheetData sheetId="12795" refreshError="1"/>
      <sheetData sheetId="12796" refreshError="1"/>
      <sheetData sheetId="12797" refreshError="1"/>
      <sheetData sheetId="12798" refreshError="1"/>
      <sheetData sheetId="12799" refreshError="1"/>
      <sheetData sheetId="12800" refreshError="1"/>
      <sheetData sheetId="12801" refreshError="1"/>
      <sheetData sheetId="12802" refreshError="1"/>
      <sheetData sheetId="12803" refreshError="1"/>
      <sheetData sheetId="12804" refreshError="1"/>
      <sheetData sheetId="12805" refreshError="1"/>
      <sheetData sheetId="12806" refreshError="1"/>
      <sheetData sheetId="12807" refreshError="1"/>
      <sheetData sheetId="12808" refreshError="1"/>
      <sheetData sheetId="12809" refreshError="1"/>
      <sheetData sheetId="12810" refreshError="1"/>
      <sheetData sheetId="12811" refreshError="1"/>
      <sheetData sheetId="12812" refreshError="1"/>
      <sheetData sheetId="12813" refreshError="1"/>
      <sheetData sheetId="12814" refreshError="1"/>
      <sheetData sheetId="12815" refreshError="1"/>
      <sheetData sheetId="12816" refreshError="1"/>
      <sheetData sheetId="12817" refreshError="1"/>
      <sheetData sheetId="12818" refreshError="1"/>
      <sheetData sheetId="12819" refreshError="1"/>
      <sheetData sheetId="12820" refreshError="1"/>
      <sheetData sheetId="12821" refreshError="1"/>
      <sheetData sheetId="12822" refreshError="1"/>
      <sheetData sheetId="12823" refreshError="1"/>
      <sheetData sheetId="12824" refreshError="1"/>
      <sheetData sheetId="12825" refreshError="1"/>
      <sheetData sheetId="12826" refreshError="1"/>
      <sheetData sheetId="12827" refreshError="1"/>
      <sheetData sheetId="12828" refreshError="1"/>
      <sheetData sheetId="12829" refreshError="1"/>
      <sheetData sheetId="12830" refreshError="1"/>
      <sheetData sheetId="12831" refreshError="1"/>
      <sheetData sheetId="12832" refreshError="1"/>
      <sheetData sheetId="12833" refreshError="1"/>
      <sheetData sheetId="12834" refreshError="1"/>
      <sheetData sheetId="12835" refreshError="1"/>
      <sheetData sheetId="12836" refreshError="1"/>
      <sheetData sheetId="12837" refreshError="1"/>
      <sheetData sheetId="12838" refreshError="1"/>
      <sheetData sheetId="12839" refreshError="1"/>
      <sheetData sheetId="12840" refreshError="1"/>
      <sheetData sheetId="12841" refreshError="1"/>
      <sheetData sheetId="12842" refreshError="1"/>
      <sheetData sheetId="12843" refreshError="1"/>
      <sheetData sheetId="12844" refreshError="1"/>
      <sheetData sheetId="12845" refreshError="1"/>
      <sheetData sheetId="12846" refreshError="1"/>
      <sheetData sheetId="12847" refreshError="1"/>
      <sheetData sheetId="12848" refreshError="1"/>
      <sheetData sheetId="12849" refreshError="1"/>
      <sheetData sheetId="12850" refreshError="1"/>
      <sheetData sheetId="12851" refreshError="1"/>
      <sheetData sheetId="12852" refreshError="1"/>
      <sheetData sheetId="12853" refreshError="1"/>
      <sheetData sheetId="12854" refreshError="1"/>
      <sheetData sheetId="12855" refreshError="1"/>
      <sheetData sheetId="12856" refreshError="1"/>
      <sheetData sheetId="12857" refreshError="1"/>
      <sheetData sheetId="12858" refreshError="1"/>
      <sheetData sheetId="12859" refreshError="1"/>
      <sheetData sheetId="12860" refreshError="1"/>
      <sheetData sheetId="12861" refreshError="1"/>
      <sheetData sheetId="12862" refreshError="1"/>
      <sheetData sheetId="12863" refreshError="1"/>
      <sheetData sheetId="12864" refreshError="1"/>
      <sheetData sheetId="12865" refreshError="1"/>
      <sheetData sheetId="12866" refreshError="1"/>
      <sheetData sheetId="12867" refreshError="1"/>
      <sheetData sheetId="12868" refreshError="1"/>
      <sheetData sheetId="12869" refreshError="1"/>
      <sheetData sheetId="12870" refreshError="1"/>
      <sheetData sheetId="12871" refreshError="1"/>
      <sheetData sheetId="12872" refreshError="1"/>
      <sheetData sheetId="12873" refreshError="1"/>
      <sheetData sheetId="12874" refreshError="1"/>
      <sheetData sheetId="12875" refreshError="1"/>
      <sheetData sheetId="12876" refreshError="1"/>
      <sheetData sheetId="12877" refreshError="1"/>
      <sheetData sheetId="12878" refreshError="1"/>
      <sheetData sheetId="12879" refreshError="1"/>
      <sheetData sheetId="12880" refreshError="1"/>
      <sheetData sheetId="12881" refreshError="1"/>
      <sheetData sheetId="12882" refreshError="1"/>
      <sheetData sheetId="12883" refreshError="1"/>
      <sheetData sheetId="12884" refreshError="1"/>
      <sheetData sheetId="12885" refreshError="1"/>
      <sheetData sheetId="12886" refreshError="1"/>
      <sheetData sheetId="12887" refreshError="1"/>
      <sheetData sheetId="12888" refreshError="1"/>
      <sheetData sheetId="12889" refreshError="1"/>
      <sheetData sheetId="12890" refreshError="1"/>
      <sheetData sheetId="12891" refreshError="1"/>
      <sheetData sheetId="12892" refreshError="1"/>
      <sheetData sheetId="12893" refreshError="1"/>
      <sheetData sheetId="12894" refreshError="1"/>
      <sheetData sheetId="12895" refreshError="1"/>
      <sheetData sheetId="12896" refreshError="1"/>
      <sheetData sheetId="12897" refreshError="1"/>
      <sheetData sheetId="12898" refreshError="1"/>
      <sheetData sheetId="12899" refreshError="1"/>
      <sheetData sheetId="12900" refreshError="1"/>
      <sheetData sheetId="12901" refreshError="1"/>
      <sheetData sheetId="12902" refreshError="1"/>
      <sheetData sheetId="12903" refreshError="1"/>
      <sheetData sheetId="12904" refreshError="1"/>
      <sheetData sheetId="12905" refreshError="1"/>
      <sheetData sheetId="12906" refreshError="1"/>
      <sheetData sheetId="12907" refreshError="1"/>
      <sheetData sheetId="12908" refreshError="1"/>
      <sheetData sheetId="12909" refreshError="1"/>
      <sheetData sheetId="12910" refreshError="1"/>
      <sheetData sheetId="12911" refreshError="1"/>
      <sheetData sheetId="12912" refreshError="1"/>
      <sheetData sheetId="12913" refreshError="1"/>
      <sheetData sheetId="12914" refreshError="1"/>
      <sheetData sheetId="12915" refreshError="1"/>
      <sheetData sheetId="12916" refreshError="1"/>
      <sheetData sheetId="12917" refreshError="1"/>
      <sheetData sheetId="12918" refreshError="1"/>
      <sheetData sheetId="12919" refreshError="1"/>
      <sheetData sheetId="12920" refreshError="1"/>
      <sheetData sheetId="12921" refreshError="1"/>
      <sheetData sheetId="12922" refreshError="1"/>
      <sheetData sheetId="12923" refreshError="1"/>
      <sheetData sheetId="12924" refreshError="1"/>
      <sheetData sheetId="12925" refreshError="1"/>
      <sheetData sheetId="12926" refreshError="1"/>
      <sheetData sheetId="12927" refreshError="1"/>
      <sheetData sheetId="12928" refreshError="1"/>
      <sheetData sheetId="12929" refreshError="1"/>
      <sheetData sheetId="12930" refreshError="1"/>
      <sheetData sheetId="12931" refreshError="1"/>
      <sheetData sheetId="12932" refreshError="1"/>
      <sheetData sheetId="12933" refreshError="1"/>
      <sheetData sheetId="12934" refreshError="1"/>
      <sheetData sheetId="12935" refreshError="1"/>
      <sheetData sheetId="12936" refreshError="1"/>
      <sheetData sheetId="12937" refreshError="1"/>
      <sheetData sheetId="12938" refreshError="1"/>
      <sheetData sheetId="12939" refreshError="1"/>
      <sheetData sheetId="12940" refreshError="1"/>
      <sheetData sheetId="12941" refreshError="1"/>
      <sheetData sheetId="12942" refreshError="1"/>
      <sheetData sheetId="12943" refreshError="1"/>
      <sheetData sheetId="12944" refreshError="1"/>
      <sheetData sheetId="12945" refreshError="1"/>
      <sheetData sheetId="12946" refreshError="1"/>
      <sheetData sheetId="12947" refreshError="1"/>
      <sheetData sheetId="12948" refreshError="1"/>
      <sheetData sheetId="12949" refreshError="1"/>
      <sheetData sheetId="12950" refreshError="1"/>
      <sheetData sheetId="12951" refreshError="1"/>
      <sheetData sheetId="12952" refreshError="1"/>
      <sheetData sheetId="12953" refreshError="1"/>
      <sheetData sheetId="12954" refreshError="1"/>
      <sheetData sheetId="12955" refreshError="1"/>
      <sheetData sheetId="12956" refreshError="1"/>
      <sheetData sheetId="12957" refreshError="1"/>
      <sheetData sheetId="12958" refreshError="1"/>
      <sheetData sheetId="12959" refreshError="1"/>
      <sheetData sheetId="12960" refreshError="1"/>
      <sheetData sheetId="12961" refreshError="1"/>
      <sheetData sheetId="12962" refreshError="1"/>
      <sheetData sheetId="12963" refreshError="1"/>
      <sheetData sheetId="12964" refreshError="1"/>
      <sheetData sheetId="12965" refreshError="1"/>
      <sheetData sheetId="12966" refreshError="1"/>
      <sheetData sheetId="12967" refreshError="1"/>
      <sheetData sheetId="12968" refreshError="1"/>
      <sheetData sheetId="12969" refreshError="1"/>
      <sheetData sheetId="12970" refreshError="1"/>
      <sheetData sheetId="12971" refreshError="1"/>
      <sheetData sheetId="12972" refreshError="1"/>
      <sheetData sheetId="12973" refreshError="1"/>
      <sheetData sheetId="12974" refreshError="1"/>
      <sheetData sheetId="12975" refreshError="1"/>
      <sheetData sheetId="12976" refreshError="1"/>
      <sheetData sheetId="12977" refreshError="1"/>
      <sheetData sheetId="12978" refreshError="1"/>
      <sheetData sheetId="12979" refreshError="1"/>
      <sheetData sheetId="12980" refreshError="1"/>
      <sheetData sheetId="12981" refreshError="1"/>
      <sheetData sheetId="12982" refreshError="1"/>
      <sheetData sheetId="12983" refreshError="1"/>
      <sheetData sheetId="12984" refreshError="1"/>
      <sheetData sheetId="12985" refreshError="1"/>
      <sheetData sheetId="12986" refreshError="1"/>
      <sheetData sheetId="12987" refreshError="1"/>
      <sheetData sheetId="12988" refreshError="1"/>
      <sheetData sheetId="12989" refreshError="1"/>
      <sheetData sheetId="12990" refreshError="1"/>
      <sheetData sheetId="12991" refreshError="1"/>
      <sheetData sheetId="12992" refreshError="1"/>
      <sheetData sheetId="12993" refreshError="1"/>
      <sheetData sheetId="12994" refreshError="1"/>
      <sheetData sheetId="12995" refreshError="1"/>
      <sheetData sheetId="12996" refreshError="1"/>
      <sheetData sheetId="12997" refreshError="1"/>
      <sheetData sheetId="12998" refreshError="1"/>
      <sheetData sheetId="12999" refreshError="1"/>
      <sheetData sheetId="13000" refreshError="1"/>
      <sheetData sheetId="13001" refreshError="1"/>
      <sheetData sheetId="13002" refreshError="1"/>
      <sheetData sheetId="13003" refreshError="1"/>
      <sheetData sheetId="13004" refreshError="1"/>
      <sheetData sheetId="13005" refreshError="1"/>
      <sheetData sheetId="13006" refreshError="1"/>
      <sheetData sheetId="13007" refreshError="1"/>
      <sheetData sheetId="13008" refreshError="1"/>
      <sheetData sheetId="13009" refreshError="1"/>
      <sheetData sheetId="13010" refreshError="1"/>
      <sheetData sheetId="13011" refreshError="1"/>
      <sheetData sheetId="13012" refreshError="1"/>
      <sheetData sheetId="13013" refreshError="1"/>
      <sheetData sheetId="13014" refreshError="1"/>
      <sheetData sheetId="13015" refreshError="1"/>
      <sheetData sheetId="13016" refreshError="1"/>
      <sheetData sheetId="13017" refreshError="1"/>
      <sheetData sheetId="13018" refreshError="1"/>
      <sheetData sheetId="13019" refreshError="1"/>
      <sheetData sheetId="13020" refreshError="1"/>
      <sheetData sheetId="13021" refreshError="1"/>
      <sheetData sheetId="13022" refreshError="1"/>
      <sheetData sheetId="13023" refreshError="1"/>
      <sheetData sheetId="13024" refreshError="1"/>
      <sheetData sheetId="13025" refreshError="1"/>
      <sheetData sheetId="13026" refreshError="1"/>
      <sheetData sheetId="13027" refreshError="1"/>
      <sheetData sheetId="13028" refreshError="1"/>
      <sheetData sheetId="13029" refreshError="1"/>
      <sheetData sheetId="13030" refreshError="1"/>
      <sheetData sheetId="13031" refreshError="1"/>
      <sheetData sheetId="13032" refreshError="1"/>
      <sheetData sheetId="13033" refreshError="1"/>
      <sheetData sheetId="13034" refreshError="1"/>
      <sheetData sheetId="13035" refreshError="1"/>
      <sheetData sheetId="13036" refreshError="1"/>
      <sheetData sheetId="13037" refreshError="1"/>
      <sheetData sheetId="13038" refreshError="1"/>
      <sheetData sheetId="13039" refreshError="1"/>
      <sheetData sheetId="13040" refreshError="1"/>
      <sheetData sheetId="13041" refreshError="1"/>
      <sheetData sheetId="13042" refreshError="1"/>
      <sheetData sheetId="13043" refreshError="1"/>
      <sheetData sheetId="13044" refreshError="1"/>
      <sheetData sheetId="13045" refreshError="1"/>
      <sheetData sheetId="13046" refreshError="1"/>
      <sheetData sheetId="13047" refreshError="1"/>
      <sheetData sheetId="13048" refreshError="1"/>
      <sheetData sheetId="13049" refreshError="1"/>
      <sheetData sheetId="13050" refreshError="1"/>
      <sheetData sheetId="13051" refreshError="1"/>
      <sheetData sheetId="13052" refreshError="1"/>
      <sheetData sheetId="13053" refreshError="1"/>
      <sheetData sheetId="13054" refreshError="1"/>
      <sheetData sheetId="13055" refreshError="1"/>
      <sheetData sheetId="13056" refreshError="1"/>
      <sheetData sheetId="13057" refreshError="1"/>
      <sheetData sheetId="13058" refreshError="1"/>
      <sheetData sheetId="13059" refreshError="1"/>
      <sheetData sheetId="13060" refreshError="1"/>
      <sheetData sheetId="13061" refreshError="1"/>
      <sheetData sheetId="13062" refreshError="1"/>
      <sheetData sheetId="13063" refreshError="1"/>
      <sheetData sheetId="13064" refreshError="1"/>
      <sheetData sheetId="13065" refreshError="1"/>
      <sheetData sheetId="13066" refreshError="1"/>
      <sheetData sheetId="13067" refreshError="1"/>
      <sheetData sheetId="13068" refreshError="1"/>
      <sheetData sheetId="13069" refreshError="1"/>
      <sheetData sheetId="13070" refreshError="1"/>
      <sheetData sheetId="13071" refreshError="1"/>
      <sheetData sheetId="13072" refreshError="1"/>
      <sheetData sheetId="13073" refreshError="1"/>
      <sheetData sheetId="13074" refreshError="1"/>
      <sheetData sheetId="13075" refreshError="1"/>
      <sheetData sheetId="13076" refreshError="1"/>
      <sheetData sheetId="13077" refreshError="1"/>
      <sheetData sheetId="13078" refreshError="1"/>
      <sheetData sheetId="13079" refreshError="1"/>
      <sheetData sheetId="13080" refreshError="1"/>
      <sheetData sheetId="13081" refreshError="1"/>
      <sheetData sheetId="13082" refreshError="1"/>
      <sheetData sheetId="13083" refreshError="1"/>
      <sheetData sheetId="13084" refreshError="1"/>
      <sheetData sheetId="13085" refreshError="1"/>
      <sheetData sheetId="13086" refreshError="1"/>
      <sheetData sheetId="13087" refreshError="1"/>
      <sheetData sheetId="13088" refreshError="1"/>
      <sheetData sheetId="13089" refreshError="1"/>
      <sheetData sheetId="13090" refreshError="1"/>
      <sheetData sheetId="13091" refreshError="1"/>
      <sheetData sheetId="13092" refreshError="1"/>
      <sheetData sheetId="13093" refreshError="1"/>
      <sheetData sheetId="13094" refreshError="1"/>
      <sheetData sheetId="13095" refreshError="1"/>
      <sheetData sheetId="13096" refreshError="1"/>
      <sheetData sheetId="13097" refreshError="1"/>
      <sheetData sheetId="13098" refreshError="1"/>
      <sheetData sheetId="13099" refreshError="1"/>
      <sheetData sheetId="13100" refreshError="1"/>
      <sheetData sheetId="13101" refreshError="1"/>
      <sheetData sheetId="13102" refreshError="1"/>
      <sheetData sheetId="13103" refreshError="1"/>
      <sheetData sheetId="13104" refreshError="1"/>
      <sheetData sheetId="13105" refreshError="1"/>
      <sheetData sheetId="13106" refreshError="1"/>
      <sheetData sheetId="13107" refreshError="1"/>
      <sheetData sheetId="13108" refreshError="1"/>
      <sheetData sheetId="13109" refreshError="1"/>
      <sheetData sheetId="13110" refreshError="1"/>
      <sheetData sheetId="13111" refreshError="1"/>
      <sheetData sheetId="13112" refreshError="1"/>
      <sheetData sheetId="13113" refreshError="1"/>
      <sheetData sheetId="13114" refreshError="1"/>
      <sheetData sheetId="13115" refreshError="1"/>
      <sheetData sheetId="13116" refreshError="1"/>
      <sheetData sheetId="13117" refreshError="1"/>
      <sheetData sheetId="13118" refreshError="1"/>
      <sheetData sheetId="13119" refreshError="1"/>
      <sheetData sheetId="13120" refreshError="1"/>
      <sheetData sheetId="13121" refreshError="1"/>
      <sheetData sheetId="13122" refreshError="1"/>
      <sheetData sheetId="13123" refreshError="1"/>
      <sheetData sheetId="13124" refreshError="1"/>
      <sheetData sheetId="13125" refreshError="1"/>
      <sheetData sheetId="13126" refreshError="1"/>
      <sheetData sheetId="13127" refreshError="1"/>
      <sheetData sheetId="13128" refreshError="1"/>
      <sheetData sheetId="13129" refreshError="1"/>
      <sheetData sheetId="13130" refreshError="1"/>
      <sheetData sheetId="13131" refreshError="1"/>
      <sheetData sheetId="13132" refreshError="1"/>
      <sheetData sheetId="13133" refreshError="1"/>
      <sheetData sheetId="13134" refreshError="1"/>
      <sheetData sheetId="13135" refreshError="1"/>
      <sheetData sheetId="13136" refreshError="1"/>
      <sheetData sheetId="13137" refreshError="1"/>
      <sheetData sheetId="13138" refreshError="1"/>
      <sheetData sheetId="13139" refreshError="1"/>
      <sheetData sheetId="13140" refreshError="1"/>
      <sheetData sheetId="13141" refreshError="1"/>
      <sheetData sheetId="13142" refreshError="1"/>
      <sheetData sheetId="13143" refreshError="1"/>
      <sheetData sheetId="13144" refreshError="1"/>
      <sheetData sheetId="13145" refreshError="1"/>
      <sheetData sheetId="13146" refreshError="1"/>
      <sheetData sheetId="13147" refreshError="1"/>
      <sheetData sheetId="13148" refreshError="1"/>
      <sheetData sheetId="13149" refreshError="1"/>
      <sheetData sheetId="13150" refreshError="1"/>
      <sheetData sheetId="13151" refreshError="1"/>
      <sheetData sheetId="13152" refreshError="1"/>
      <sheetData sheetId="13153" refreshError="1"/>
      <sheetData sheetId="13154" refreshError="1"/>
      <sheetData sheetId="13155" refreshError="1"/>
      <sheetData sheetId="13156" refreshError="1"/>
      <sheetData sheetId="13157" refreshError="1"/>
      <sheetData sheetId="13158" refreshError="1"/>
      <sheetData sheetId="13159" refreshError="1"/>
      <sheetData sheetId="13160" refreshError="1"/>
      <sheetData sheetId="13161" refreshError="1"/>
      <sheetData sheetId="13162" refreshError="1"/>
      <sheetData sheetId="13163" refreshError="1"/>
      <sheetData sheetId="13164" refreshError="1"/>
      <sheetData sheetId="13165" refreshError="1"/>
      <sheetData sheetId="13166"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Inspection chambers"/>
      <sheetName val="NP 3 450 mm dia (2)"/>
      <sheetName val="Man Hole data 0.75m-0.90m1.20m"/>
      <sheetName val="Cover"/>
      <sheetName val="Laying Jointing of RCC SS pipe "/>
      <sheetName val="Cov"/>
      <sheetName val="Inspection Report"/>
      <sheetName val="Key Map"/>
      <sheetName val="Long Sect"/>
      <sheetName val="LS 2"/>
      <sheetName val="Spec Report"/>
      <sheetName val="Final Estimate"/>
      <sheetName val="Seignorage Calculation"/>
      <sheetName val=" Estimate"/>
      <sheetName val="Man hole with 2nd Class  Bricks"/>
      <sheetName val=" Brickwork Manhole "/>
      <sheetName val="Lead"/>
      <sheetName val="Conveyance"/>
      <sheetName val="SPC"/>
      <sheetName val="EXTRA SHEET"/>
      <sheetName val="Sheet2"/>
      <sheetName val="Sheet1"/>
      <sheetName val=" Conv 19_20"/>
      <sheetName val="Datas P7"/>
      <sheetName val="Cost of RCC NP2-NP3 SS pipes "/>
      <sheetName val="pipes"/>
      <sheetName val="stoneware pipes"/>
      <sheetName val="Lead Chart 24-25"/>
      <sheetName val="Sheet4"/>
      <sheetName val="NP 3 800 mm dia (3)"/>
      <sheetName val="NP 3 1000 mm dia (4)"/>
      <sheetName val="NP 3 300"/>
      <sheetName val="NP 3 450 mm dia"/>
      <sheetName val="Abst Sht"/>
      <sheetName val="Lead 20-21"/>
      <sheetName val="Lead 20-21 P7"/>
      <sheetName val="NP 3 600"/>
      <sheetName val="BOQ"/>
      <sheetName val="Sheet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ow r="315">
          <cell r="C315" t="str">
            <v>Construction of  un-reinforced, dowel jointed at expansion and construction joint only, plain cement concrete pavement, thickness as per design, over a prepared sub base, with 43 grade cement or any other type as per Clause 1501.2.2 M20 (Grade), coarse and fine aggregates conforming to IS : 383, maximum in a concrete mixer of not less than 0.2 cum capacity and appropeiate weigh batcher using approved mix design, laid in approved fixed side formwork (steel channel, laying and fixing of 125 mictron thick polythene film, wedges, steel plates including levelling the formwork as per drawing), spreading the concrete with sholvels, rakes, compacted using needle, scareed and plate vibrators and finished in continuous operation including provision of contraction and expansion, construction joints, applying debonding strips, primer, sealant, dowel bars, near approaches to bridge / culvert and construction joints, admixtures as approved, curing of concrete slabs for 14- days, curing compound (where specified) and water finishing to lines and grade as per drawing  and Technical Specification Clause 1501 MORD.</v>
          </cell>
        </row>
      </sheetData>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0000000000000"/>
      <sheetName val="1000000000000"/>
      <sheetName val="VUP Data"/>
      <sheetName val="temp-calculations"/>
      <sheetName val="KEY MAP1"/>
      <sheetName val="Input Data"/>
      <sheetName val="Cover (2)"/>
      <sheetName val="NOTE File1"/>
      <sheetName val="GA"/>
      <sheetName val="Road Estimate"/>
      <sheetName val="Road &amp; MTC data "/>
      <sheetName val="Road-furniture "/>
      <sheetName val="RF-Data"/>
      <sheetName val="CD Abs"/>
      <sheetName val="1V 0.9m dia PC "/>
      <sheetName val="1V 1m dia PC"/>
      <sheetName val="2V 1m dia PC"/>
      <sheetName val="3V 1m dia PC"/>
      <sheetName val="Drain "/>
      <sheetName val="Road dam "/>
      <sheetName val="Ret wall"/>
      <sheetName val="seigneorage charges"/>
      <sheetName val="Schedule-A"/>
      <sheetName val="Schedule-A (Part-B)"/>
      <sheetName val="pkg 1 GA "/>
      <sheetName val="Pkg1 Schedule-Final"/>
      <sheetName val="Schedule-A (Part-B) (2)"/>
      <sheetName val="TRAFF-Count-ESAL-Cal"/>
      <sheetName val="SPR"/>
      <sheetName val="IR-P ee"/>
      <sheetName val="IR-P"/>
      <sheetName val="SSR-rates"/>
      <sheetName val="Lead"/>
      <sheetName val="Pipe culvert data"/>
      <sheetName val="Slab-Culverts Data"/>
      <sheetName val="Seigneorage"/>
      <sheetName val="KEY MAP"/>
      <sheetName val="ESAL-result"/>
      <sheetName val="ESAL-calculation "/>
      <sheetName val="ESAL-Data"/>
      <sheetName val="LS_2LS"/>
      <sheetName val="Cover"/>
      <sheetName val="google-map"/>
      <sheetName val="Mtc-Abs"/>
      <sheetName val="MTS Esti"/>
      <sheetName val="Slab Culvert 1V 6m x 2m spa"/>
      <sheetName val="Slab Culvert 2V 6m x 2m spa"/>
      <sheetName val="Slab Culvert 1V 5m x 2m span"/>
      <sheetName val="Road-Marks"/>
      <sheetName val="TENDER-NF"/>
      <sheetName val="NP4 pipes"/>
      <sheetName val="NP4 collars"/>
      <sheetName val="Sheet1"/>
      <sheetName val="not req"/>
      <sheetName val="not req1"/>
      <sheetName val="not req 2"/>
      <sheetName val="not req 3"/>
      <sheetName val="not req 4"/>
      <sheetName val="DI-K7 &amp; K9 (2010-11)"/>
      <sheetName val="DI SPECIALS"/>
      <sheetName val="DI-C-L-J (2010-11)O.D-450MM dia"/>
      <sheetName val="DI Specials (2010-11)"/>
      <sheetName val="CI Specials (2010-11) (2)"/>
      <sheetName val="DI SPECIALS (2)"/>
      <sheetName val="Rubber gaskets(2010-11)"/>
      <sheetName val="Data"/>
      <sheetName val="PLANNING"/>
      <sheetName val="ACHIEVED"/>
      <sheetName val="plan-achieved"/>
      <sheetName val="INPUT SHEET"/>
      <sheetName val="RES-PLANNING"/>
      <sheetName val="SUMMARY"/>
      <sheetName val="Module1"/>
      <sheetName val="Macro1"/>
      <sheetName val="BLK2"/>
      <sheetName val="BLK3"/>
      <sheetName val="UG"/>
      <sheetName val="E &amp; R"/>
      <sheetName val="radar"/>
      <sheetName val="Module2"/>
      <sheetName val="0000000"/>
      <sheetName val="1000000"/>
      <sheetName val="CASHFLOWS"/>
      <sheetName val="Headings"/>
      <sheetName val="Site Dev BOQ"/>
      <sheetName val="boq"/>
      <sheetName val="Manpower Histogram "/>
      <sheetName val="basdat"/>
      <sheetName val="Ex Sum"/>
      <sheetName val="Detail"/>
      <sheetName val=" Graphs"/>
      <sheetName val="Data sheet"/>
      <sheetName val="HDPE"/>
      <sheetName val="DI"/>
      <sheetName val="pvc"/>
      <sheetName val="leads"/>
      <sheetName val="SPECIFICATION"/>
      <sheetName val="1m dia Pipe Culverts"/>
      <sheetName val="Road data"/>
      <sheetName val="Mtc-data"/>
      <sheetName val="Road Furniture-Data"/>
      <sheetName val="Pipe data"/>
      <sheetName val="COMP ABS  "/>
      <sheetName val="COMP EST"/>
      <sheetName val="COMP FUR"/>
      <sheetName val="1m dia Pipe Culverts-P"/>
      <sheetName val="Road dam 30m"/>
      <sheetName val="Sheet2"/>
    </sheetNames>
    <sheetDataSet>
      <sheetData sheetId="0" refreshError="1"/>
      <sheetData sheetId="1" refreshError="1"/>
      <sheetData sheetId="2" refreshError="1"/>
      <sheetData sheetId="3" refreshError="1"/>
      <sheetData sheetId="4" refreshError="1"/>
      <sheetData sheetId="5">
        <row r="23">
          <cell r="D23">
            <v>0.13614999999999999</v>
          </cell>
          <cell r="H23" t="str">
            <v>Cement, JUN,2022</v>
          </cell>
          <cell r="I23">
            <v>5600</v>
          </cell>
        </row>
        <row r="24">
          <cell r="H24" t="str">
            <v>Steel HYSD Primary producers, JUN,2022</v>
          </cell>
          <cell r="I24">
            <v>67000</v>
          </cell>
        </row>
        <row r="25">
          <cell r="H25" t="str">
            <v>Mild Steel Bars, JUN,2022</v>
          </cell>
          <cell r="I25">
            <v>65000</v>
          </cell>
        </row>
        <row r="26">
          <cell r="H26" t="str">
            <v>6mm M.S. Rods, JUN,2022</v>
          </cell>
          <cell r="I26">
            <v>70000</v>
          </cell>
        </row>
      </sheetData>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0000000000000"/>
      <sheetName val="1000000000000"/>
      <sheetName val="VUP Data"/>
      <sheetName val="temp-calculations"/>
      <sheetName val="KEY MAP1"/>
      <sheetName val="Input Data"/>
      <sheetName val="Cover (2)"/>
      <sheetName val="NOTE File1"/>
      <sheetName val="GA"/>
      <sheetName val="Road Estimate"/>
      <sheetName val="Road-furniture "/>
      <sheetName val="Schedule-A"/>
      <sheetName val="Schedule-A (Part-B)"/>
      <sheetName val="pkg 1 GA "/>
      <sheetName val="Pkg1 Schedule-Final"/>
      <sheetName val="Schedule-A (Part-B) (2)"/>
      <sheetName val="TRAFF-Count-ESAL-Cal"/>
      <sheetName val="SPR"/>
      <sheetName val="IR-P ee"/>
      <sheetName val="IR-P"/>
      <sheetName val="SSR-rates"/>
      <sheetName val="Lead"/>
      <sheetName val="Road data"/>
      <sheetName val="Mtc-data"/>
      <sheetName val="Road Furniture-Data"/>
      <sheetName val="CD Abs"/>
      <sheetName val="1m dia Pipe Culverts"/>
      <sheetName val="Pipe data"/>
      <sheetName val="Slab-Culverts Data"/>
      <sheetName val="Seigneorage"/>
      <sheetName val="KEY MAP"/>
      <sheetName val="ESAL-result"/>
      <sheetName val="ESAL-calculation "/>
      <sheetName val="ESAL-Data"/>
      <sheetName val="LS_2LS"/>
      <sheetName val="Cover"/>
      <sheetName val="google-map"/>
      <sheetName val="Mtc-Abs"/>
      <sheetName val="MTS Esti"/>
      <sheetName val="1m dia Pipe Culverts-P"/>
      <sheetName val="Drain "/>
      <sheetName val="Slab Culvert 1V 6m x 2m spa"/>
      <sheetName val="Slab Culvert 2V 6m x 2m spa"/>
      <sheetName val="Ret wall"/>
      <sheetName val="Slab Culvert 1V 5m x 2m span"/>
      <sheetName val="Road dam 30m"/>
      <sheetName val="Road-Marks"/>
      <sheetName val="TENDER-NF"/>
      <sheetName val="NP4 pipes"/>
      <sheetName val="NP4 collars"/>
      <sheetName val="Sheet2"/>
      <sheetName val="Road &amp; MTC data "/>
      <sheetName val="not req"/>
      <sheetName val="not req1"/>
      <sheetName val="not req 2"/>
      <sheetName val="not req 3"/>
      <sheetName val="not req 4"/>
      <sheetName val="DI-K7 &amp; K9 (2010-11)"/>
      <sheetName val="DI SPECIALS"/>
      <sheetName val="DI-C-L-J (2010-11)O.D-450MM dia"/>
      <sheetName val="DI Specials (2010-11)"/>
      <sheetName val="CI Specials (2010-11) (2)"/>
      <sheetName val="DI SPECIALS (2)"/>
      <sheetName val="Rubber gaskets(2010-11)"/>
      <sheetName val="ZoneIII(Pra)"/>
      <sheetName val="ZoneIII(APHB)"/>
      <sheetName val="(NSP)Table111"/>
      <sheetName val="(NSP)Table11"/>
      <sheetName val="ZoneIII(Bang)"/>
      <sheetName val="zonal wise"/>
      <sheetName val="APPENDIX-I"/>
      <sheetName val="Corr-spt"/>
      <sheetName val="Obs-spt"/>
      <sheetName val="SPT vs PHI"/>
      <sheetName val="Indices"/>
      <sheetName val="Concrete"/>
      <sheetName val="reinft"/>
      <sheetName val="glass project concrete"/>
      <sheetName val="glass project reift"/>
      <sheetName val="glass project indices"/>
      <sheetName val="Lab"/>
      <sheetName val="office"/>
      <sheetName val="Material&amp;equipment"/>
      <sheetName val="Boq"/>
      <sheetName val="SBC-BH-1"/>
      <sheetName val="gen"/>
      <sheetName val="SBC-BH 19"/>
      <sheetName val="SBC-BH-16"/>
      <sheetName val="BH-20"/>
      <sheetName val="BH-15"/>
      <sheetName val="BH-14"/>
      <sheetName val="BH-16"/>
      <sheetName val="BH-17"/>
      <sheetName val="sbc-ABH-1"/>
      <sheetName val="ABH-1"/>
      <sheetName val="BH-19"/>
      <sheetName val="BH-1"/>
      <sheetName val="SBC-BH-3"/>
      <sheetName val="BH-3"/>
      <sheetName val="Sheet4"/>
      <sheetName val="Rate Analysis"/>
      <sheetName val="sept-plan"/>
      <sheetName val="Table10"/>
      <sheetName val="Table11"/>
      <sheetName val="Table12"/>
      <sheetName val="Table9"/>
      <sheetName val="Mix Design"/>
      <sheetName val="std-rates"/>
      <sheetName val="Spt-BH"/>
      <sheetName val="Summary 0506"/>
      <sheetName val="Summary 0607- 31.MAR"/>
      <sheetName val="Civil Boq"/>
      <sheetName val="FitOutConfCentre"/>
      <sheetName val="Other"/>
      <sheetName val="Summary"/>
      <sheetName val="#REF!"/>
      <sheetName val="Qty"/>
      <sheetName val="SPT_vs_PHI"/>
      <sheetName val="glass_project_concrete"/>
      <sheetName val="glass_project_reift"/>
      <sheetName val="glass_project_indices"/>
      <sheetName val="Pile cap"/>
      <sheetName val="Sheet1"/>
      <sheetName val="BH 12-11-10-13"/>
      <sheetName val="BH 12-11-10-9"/>
      <sheetName val="BH 36-15-37"/>
      <sheetName val="BH 16-35-25-17"/>
      <sheetName val="BH 35-25-17"/>
      <sheetName val="Sheet1 (2)"/>
      <sheetName val="PRECAST lightconc-II"/>
      <sheetName val="SPT_vs_PHI1"/>
      <sheetName val="glass_project_concrete1"/>
      <sheetName val="glass_project_reift1"/>
      <sheetName val="glass_project_indices1"/>
      <sheetName val="SBC-BH_19"/>
      <sheetName val="Rate_Analysis"/>
      <sheetName val="BH_12-11-10-13"/>
      <sheetName val="BH_12-11-10-9"/>
      <sheetName val="BH_36-15-37"/>
      <sheetName val="BH_16-35-25-17"/>
      <sheetName val="BH_35-25-17"/>
      <sheetName val="Sheet1_(2)"/>
      <sheetName val="d-safe DELUXE"/>
      <sheetName val="RCC,Ret. Wall"/>
      <sheetName val="Form 6"/>
      <sheetName val="PointNo.5"/>
      <sheetName val="Design"/>
      <sheetName val="Fill this out first..."/>
      <sheetName val="LABOUR"/>
      <sheetName val="REVISED4A PROG PERF-SITE 1"/>
      <sheetName val="Legal Risk Analysis"/>
      <sheetName val="BLK2"/>
      <sheetName val="BLK3"/>
      <sheetName val="E &amp; R"/>
      <sheetName val="radar"/>
      <sheetName val="UG"/>
      <sheetName val="Break up Sheet"/>
      <sheetName val="TBAL9697 -group wise  sdpl"/>
      <sheetName val="Abstract Sheet"/>
      <sheetName val="V.O.4 - PCC Qty"/>
      <sheetName val="BOQ (2)"/>
      <sheetName val="Input"/>
      <sheetName val="Activity"/>
      <sheetName val="Staff Acco."/>
      <sheetName val="Crew"/>
      <sheetName val="Piping"/>
      <sheetName val="Pipe Supports"/>
      <sheetName val="BOQ_Direct_selling cost"/>
      <sheetName val="WWR"/>
      <sheetName val="GBW"/>
      <sheetName val="8"/>
      <sheetName val="Load Details-220kV"/>
      <sheetName val="SANJAY PAL"/>
      <sheetName val="P A SELVAM"/>
      <sheetName val="ANSARI "/>
      <sheetName val="abdesh pal"/>
      <sheetName val="sujay bagchi"/>
      <sheetName val="S.K.SINHA BASU"/>
      <sheetName val="NEDUNCHEZHIYAN"/>
      <sheetName val="RAJARAM"/>
      <sheetName val="KRISHNA PRASAD"/>
      <sheetName val="BARATH &amp; CO"/>
      <sheetName val="L B YADAV"/>
      <sheetName val="DEEPAK KUMAR"/>
      <sheetName val="MUKLAL YADAV"/>
      <sheetName val="MADHU SUDHAN"/>
      <sheetName val="SAUD ALAM "/>
      <sheetName val="RAMESH BABU"/>
      <sheetName val="SUKHENDUPAL"/>
      <sheetName val="SAILEN SARKAR"/>
      <sheetName val="elongovan"/>
      <sheetName val="SANJAY JENA1"/>
      <sheetName val="upendra saw "/>
      <sheetName val="ALLOK KUMAR "/>
      <sheetName val="analysis"/>
      <sheetName val="except wiring"/>
      <sheetName val="CABLE DATA"/>
      <sheetName val="Stock-II"/>
      <sheetName val="R20_R30_work"/>
      <sheetName val="Flight-1"/>
      <sheetName val="Publicbuilding"/>
      <sheetName val="FT-05-02IsoBOM"/>
      <sheetName val="final abstract"/>
      <sheetName val="[RecoveredExternalLink3]B_____4"/>
      <sheetName val=""/>
      <sheetName val="Rev S1 Abstract"/>
      <sheetName val="Quantity Abstract"/>
      <sheetName val="Abstract"/>
      <sheetName val="M-Book for Conc"/>
      <sheetName val="M-Book for FW"/>
      <sheetName val="BS1"/>
      <sheetName val="#REF"/>
      <sheetName val="RA"/>
      <sheetName val="11-hsd"/>
      <sheetName val="13-septic"/>
      <sheetName val="7-ug"/>
      <sheetName val="2-utility"/>
      <sheetName val="18-misc"/>
      <sheetName val="5-pipe"/>
      <sheetName val="VCH-SLC"/>
      <sheetName val="Supplier"/>
      <sheetName val="Parapet"/>
      <sheetName val="sheet6"/>
      <sheetName val="RA-markate"/>
      <sheetName val="[RecoveredExternalLink3]B_____5"/>
      <sheetName val="B@__x005f_x0000__x005f_x0004_@_x005f_x0000__x0000"/>
      <sheetName val="Project Budget Worksheet"/>
      <sheetName val="beam-reinft-IIInd floor"/>
      <sheetName val="INPUT SHEET"/>
      <sheetName val="RES-PLANNING"/>
      <sheetName val="Footings"/>
      <sheetName val="Sump"/>
      <sheetName val="COLUMN"/>
      <sheetName val="Summary_0506"/>
      <sheetName val="Summary_0607-_31_MAR"/>
      <sheetName val="Form_6"/>
      <sheetName val="B@_"/>
      <sheetName val="cubes_M20"/>
      <sheetName val="BOQ -II ph 2"/>
      <sheetName val="A-General"/>
      <sheetName val="switch"/>
      <sheetName val="B@___x0004_@_____$__"/>
      <sheetName val="Sheet3"/>
      <sheetName val="Macro1"/>
      <sheetName val="Fee Rate Summary"/>
      <sheetName val="STAFFSCHED "/>
      <sheetName val="SUMM"/>
      <sheetName val="DADAN-1"/>
      <sheetName val="dummy"/>
      <sheetName val="d-safe specs"/>
      <sheetName val="class &amp; category"/>
      <sheetName val="Rein-Final (Ph 1+Ph2)"/>
      <sheetName val="Cost_any"/>
      <sheetName val="Process"/>
      <sheetName val="pt_cw"/>
      <sheetName val="Metso - Forth &amp; Slurry 11.02.10"/>
      <sheetName val="1"/>
      <sheetName val="HDPE"/>
      <sheetName val="DI"/>
      <sheetName val="pvc"/>
      <sheetName val="impRoaddam"/>
      <sheetName val="rdamdata"/>
      <sheetName val="CDdata (2)"/>
      <sheetName val="1v600stone"/>
      <sheetName val="2v900stone"/>
      <sheetName val="3v900stone"/>
      <sheetName val="CDdata"/>
      <sheetName val="F7hp600"/>
      <sheetName val="1v900"/>
      <sheetName val="cwaydata (2)"/>
      <sheetName val="LLCWay"/>
      <sheetName val="1v900stone"/>
      <sheetName val="lead-st"/>
      <sheetName val="CDdata (3)"/>
      <sheetName val="F7hp1v900"/>
      <sheetName val="F7hp2v900"/>
      <sheetName val="F7hp3v900"/>
      <sheetName val="Hydra"/>
      <sheetName val="[RecoveredExternalLink3]B_____2"/>
      <sheetName val="[RecoveredExternalLink3]B_____3"/>
      <sheetName val="B@[_x0000__x0004_@_x0000__x0000__x0000_:/$_x0000__x0000_"/>
      <sheetName val="B@[?_x0004_@???:/$??"/>
    </sheetNames>
    <sheetDataSet>
      <sheetData sheetId="0" refreshError="1"/>
      <sheetData sheetId="1" refreshError="1"/>
      <sheetData sheetId="2" refreshError="1"/>
      <sheetData sheetId="3" refreshError="1"/>
      <sheetData sheetId="4" refreshError="1"/>
      <sheetData sheetId="5" refreshError="1">
        <row r="24">
          <cell r="D24">
            <v>0.13614999999999999</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sheetData sheetId="54"/>
      <sheetData sheetId="55"/>
      <sheetData sheetId="56"/>
      <sheetData sheetId="57"/>
      <sheetData sheetId="58"/>
      <sheetData sheetId="59"/>
      <sheetData sheetId="60"/>
      <sheetData sheetId="61"/>
      <sheetData sheetId="62"/>
      <sheetData sheetId="63"/>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sheet1.xml><?xml version="1.0" encoding="utf-8"?>
<worksheet xmlns="http://schemas.openxmlformats.org/spreadsheetml/2006/main" xmlns:r="http://schemas.openxmlformats.org/officeDocument/2006/relationships">
  <sheetPr codeName="Sheet1"/>
  <dimension ref="A1"/>
  <sheetViews>
    <sheetView showGridLines="0" showRowColHeaders="0" showZeros="0" showOutlineSymbols="0" topLeftCell="B31091" zoomScaleSheetLayoutView="68" workbookViewId="0"/>
  </sheetViews>
  <sheetFormatPr defaultColWidth="9" defaultRowHeight="12.75"/>
  <sheetData/>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sheetPr codeName="Sheet2"/>
  <dimension ref="A1"/>
  <sheetViews>
    <sheetView showGridLines="0" showRowColHeaders="0" showZeros="0" showOutlineSymbols="0" topLeftCell="B29558" zoomScaleSheetLayoutView="68" workbookViewId="0"/>
  </sheetViews>
  <sheetFormatPr defaultColWidth="9" defaultRowHeight="12.75"/>
  <sheetData/>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sheetPr codeName="Sheet30">
    <tabColor theme="6" tint="-0.249977111117893"/>
  </sheetPr>
  <dimension ref="A1:O1482"/>
  <sheetViews>
    <sheetView view="pageBreakPreview" topLeftCell="A648" zoomScale="130" zoomScaleNormal="85" workbookViewId="0">
      <selection activeCell="D699" sqref="D699:F699"/>
    </sheetView>
  </sheetViews>
  <sheetFormatPr defaultColWidth="9.140625" defaultRowHeight="15"/>
  <cols>
    <col min="1" max="1" width="7.42578125" style="2790" customWidth="1"/>
    <col min="2" max="3" width="9.5703125" style="2787" customWidth="1"/>
    <col min="4" max="4" width="9.85546875" style="2787" customWidth="1"/>
    <col min="5" max="5" width="10.85546875" style="2787" customWidth="1"/>
    <col min="6" max="6" width="8.5703125" style="2787" customWidth="1"/>
    <col min="7" max="7" width="10.28515625" style="2787" customWidth="1"/>
    <col min="8" max="8" width="13.5703125" style="2787" customWidth="1"/>
    <col min="9" max="9" width="7.28515625" style="2787" customWidth="1"/>
    <col min="10" max="10" width="13.5703125" style="2791" customWidth="1"/>
    <col min="11" max="11" width="14" style="2787" customWidth="1"/>
    <col min="12" max="14" width="9.140625" style="2787"/>
    <col min="15" max="15" width="18.42578125" style="2787" customWidth="1"/>
    <col min="16" max="16384" width="9.140625" style="2787"/>
  </cols>
  <sheetData>
    <row r="1" spans="1:15" ht="22.5" customHeight="1">
      <c r="B1" s="2995" t="s">
        <v>0</v>
      </c>
      <c r="C1" s="2996"/>
      <c r="D1" s="2996"/>
      <c r="E1" s="2996"/>
      <c r="F1" s="2996"/>
      <c r="G1" s="2996"/>
      <c r="H1" s="2996"/>
      <c r="I1" s="2996"/>
      <c r="J1" s="2996"/>
    </row>
    <row r="2" spans="1:15">
      <c r="B2" s="2792" t="s">
        <v>1</v>
      </c>
      <c r="C2" s="2793"/>
      <c r="D2" s="3063" t="e">
        <f>#REF!</f>
        <v>#REF!</v>
      </c>
      <c r="E2" s="3064"/>
      <c r="F2" s="3064"/>
      <c r="G2" s="3064"/>
      <c r="H2" s="3064"/>
      <c r="I2" s="3064"/>
      <c r="J2" s="3064"/>
    </row>
    <row r="3" spans="1:15" ht="36.75" customHeight="1">
      <c r="B3" s="2794"/>
      <c r="C3" s="2793"/>
      <c r="D3" s="3064"/>
      <c r="E3" s="3064"/>
      <c r="F3" s="3064"/>
      <c r="G3" s="3064"/>
      <c r="H3" s="3064"/>
      <c r="I3" s="3064"/>
      <c r="J3" s="3064"/>
    </row>
    <row r="4" spans="1:15" ht="45" customHeight="1">
      <c r="A4" s="2795" t="s">
        <v>2</v>
      </c>
      <c r="B4" s="2997" t="s">
        <v>3</v>
      </c>
      <c r="C4" s="2997"/>
      <c r="D4" s="2998" t="s">
        <v>4</v>
      </c>
      <c r="E4" s="2998"/>
      <c r="F4" s="2998"/>
      <c r="G4" s="2998"/>
      <c r="H4" s="471" t="s">
        <v>5</v>
      </c>
      <c r="I4" s="471" t="s">
        <v>6</v>
      </c>
      <c r="J4" s="2829" t="s">
        <v>7</v>
      </c>
      <c r="K4" s="2830"/>
    </row>
    <row r="5" spans="1:15">
      <c r="A5" s="2999"/>
      <c r="B5" s="2999"/>
      <c r="C5" s="2999"/>
      <c r="D5" s="2999"/>
      <c r="E5" s="2999"/>
      <c r="F5" s="2999"/>
      <c r="G5" s="2999"/>
      <c r="H5" s="2999"/>
      <c r="I5" s="2999"/>
      <c r="J5" s="2999"/>
    </row>
    <row r="6" spans="1:15" s="2786" customFormat="1" ht="88.5" hidden="1" customHeight="1">
      <c r="A6" s="2796">
        <v>1</v>
      </c>
      <c r="B6" s="3000" t="s">
        <v>8</v>
      </c>
      <c r="C6" s="3001"/>
      <c r="D6" s="3001"/>
      <c r="E6" s="3001"/>
      <c r="F6" s="3001"/>
      <c r="G6" s="3001"/>
      <c r="H6" s="3001"/>
      <c r="I6" s="3001"/>
      <c r="J6" s="3002"/>
    </row>
    <row r="7" spans="1:15" s="2786" customFormat="1" ht="15" hidden="1" customHeight="1">
      <c r="A7" s="2797"/>
      <c r="B7" s="2798"/>
      <c r="C7" s="2798"/>
      <c r="D7" s="3003" t="s">
        <v>9</v>
      </c>
      <c r="E7" s="3003"/>
      <c r="F7" s="3003"/>
      <c r="G7" s="3003"/>
      <c r="H7" s="2798"/>
      <c r="I7" s="2798"/>
      <c r="J7" s="2831"/>
    </row>
    <row r="8" spans="1:15" s="2786" customFormat="1" ht="15" hidden="1" customHeight="1">
      <c r="A8" s="2797"/>
      <c r="B8" s="2800" t="s">
        <v>10</v>
      </c>
      <c r="C8" s="2798"/>
      <c r="E8" s="2801"/>
      <c r="F8" s="2801"/>
      <c r="G8" s="2802"/>
      <c r="H8" s="2798"/>
      <c r="I8" s="2798"/>
      <c r="J8" s="2831"/>
    </row>
    <row r="9" spans="1:15" s="2786" customFormat="1" ht="15" hidden="1" customHeight="1">
      <c r="A9" s="2797"/>
      <c r="B9" s="2800" t="s">
        <v>11</v>
      </c>
      <c r="C9" s="2803"/>
      <c r="E9" s="2801"/>
      <c r="F9" s="2801"/>
      <c r="G9" s="2802"/>
      <c r="H9" s="2798"/>
      <c r="I9" s="2798"/>
      <c r="J9" s="2831"/>
    </row>
    <row r="10" spans="1:15" s="2786" customFormat="1" ht="15" hidden="1" customHeight="1">
      <c r="A10" s="2797"/>
      <c r="B10" s="2798"/>
      <c r="C10" s="2804"/>
      <c r="D10" s="3003" t="s">
        <v>12</v>
      </c>
      <c r="E10" s="3003"/>
      <c r="F10" s="3003"/>
      <c r="G10" s="3003"/>
      <c r="H10" s="2798"/>
      <c r="I10" s="2798"/>
      <c r="J10" s="2831"/>
    </row>
    <row r="11" spans="1:15" s="2786" customFormat="1" ht="15" hidden="1" customHeight="1">
      <c r="A11" s="2797"/>
      <c r="B11" s="2805">
        <v>0.02</v>
      </c>
      <c r="C11" s="2798" t="s">
        <v>13</v>
      </c>
      <c r="D11" s="3004" t="s">
        <v>14</v>
      </c>
      <c r="E11" s="3004"/>
      <c r="F11" s="3004"/>
      <c r="G11" s="3004"/>
      <c r="H11" s="2807">
        <f>'SSR-rates'!$I$58</f>
        <v>490</v>
      </c>
      <c r="I11" s="2813">
        <v>1</v>
      </c>
      <c r="J11" s="2832">
        <f>ROUND(B11*H11,2)</f>
        <v>9.8000000000000007</v>
      </c>
    </row>
    <row r="12" spans="1:15" s="2786" customFormat="1" ht="15" hidden="1" customHeight="1">
      <c r="A12" s="2797"/>
      <c r="B12" s="2805">
        <v>0.25</v>
      </c>
      <c r="C12" s="2798" t="s">
        <v>13</v>
      </c>
      <c r="D12" s="3004" t="s">
        <v>15</v>
      </c>
      <c r="E12" s="3004"/>
      <c r="F12" s="3004"/>
      <c r="G12" s="3004"/>
      <c r="H12" s="2807">
        <f>'SSR-rates'!$I$59</f>
        <v>524</v>
      </c>
      <c r="I12" s="2813">
        <v>1</v>
      </c>
      <c r="J12" s="2832">
        <f>ROUND(B12*H12,2)</f>
        <v>131</v>
      </c>
    </row>
    <row r="13" spans="1:15" s="2786" customFormat="1" ht="15" hidden="1" customHeight="1">
      <c r="A13" s="2797"/>
      <c r="B13" s="2805">
        <v>0.25</v>
      </c>
      <c r="C13" s="2798" t="s">
        <v>13</v>
      </c>
      <c r="D13" s="3004" t="s">
        <v>16</v>
      </c>
      <c r="E13" s="3004"/>
      <c r="F13" s="3004"/>
      <c r="G13" s="3004"/>
      <c r="H13" s="2807">
        <f>'SSR-rates'!$I$60</f>
        <v>490</v>
      </c>
      <c r="I13" s="2813">
        <v>1</v>
      </c>
      <c r="J13" s="2832">
        <f>ROUND(B13*H13,2)</f>
        <v>122.5</v>
      </c>
    </row>
    <row r="14" spans="1:15" s="2786" customFormat="1" ht="15" hidden="1" customHeight="1">
      <c r="A14" s="2797"/>
      <c r="B14" s="2808">
        <f>'Input Data'!$D$23</f>
        <v>0</v>
      </c>
      <c r="C14" s="2794"/>
      <c r="D14" s="2787" t="s">
        <v>17</v>
      </c>
      <c r="E14" s="2787"/>
      <c r="F14" s="2790"/>
      <c r="G14" s="2790"/>
      <c r="H14" s="2807">
        <f>SUM(J11:J13)</f>
        <v>263.3</v>
      </c>
      <c r="I14" s="2822"/>
      <c r="J14" s="2807">
        <f>B14*H14</f>
        <v>0</v>
      </c>
    </row>
    <row r="15" spans="1:15" s="2786" customFormat="1" ht="15" hidden="1" customHeight="1">
      <c r="A15" s="2797"/>
      <c r="B15" s="2803"/>
      <c r="C15" s="2803"/>
      <c r="D15" s="3005" t="s">
        <v>18</v>
      </c>
      <c r="E15" s="3005"/>
      <c r="F15" s="3005"/>
      <c r="G15" s="3005"/>
      <c r="H15" s="2803"/>
      <c r="I15" s="2833" t="s">
        <v>19</v>
      </c>
      <c r="J15" s="2834">
        <f>SUM(J11:J14)</f>
        <v>263.3</v>
      </c>
    </row>
    <row r="16" spans="1:15" s="2786" customFormat="1" ht="15" hidden="1" customHeight="1">
      <c r="A16" s="2797"/>
      <c r="B16" s="2803"/>
      <c r="C16" s="2804"/>
      <c r="D16" s="3003" t="s">
        <v>20</v>
      </c>
      <c r="E16" s="3003"/>
      <c r="F16" s="3003"/>
      <c r="G16" s="3003"/>
      <c r="H16" s="2803"/>
      <c r="I16" s="2803"/>
      <c r="J16" s="2832"/>
      <c r="L16" s="3006" t="s">
        <v>21</v>
      </c>
      <c r="M16" s="3006"/>
      <c r="N16" s="3006"/>
      <c r="O16" s="3006"/>
    </row>
    <row r="17" spans="1:15" s="2786" customFormat="1" ht="15" hidden="1" customHeight="1">
      <c r="A17" s="2797"/>
      <c r="B17" s="2803"/>
      <c r="C17" s="2804"/>
      <c r="D17" s="3006" t="s">
        <v>21</v>
      </c>
      <c r="E17" s="3006"/>
      <c r="F17" s="3006"/>
      <c r="G17" s="3006"/>
      <c r="H17" s="2803"/>
      <c r="I17" s="2803"/>
      <c r="J17" s="2832"/>
      <c r="L17" s="2810"/>
      <c r="M17" s="2810"/>
      <c r="N17" s="2810"/>
      <c r="O17" s="2810"/>
    </row>
    <row r="18" spans="1:15" s="2786" customFormat="1" ht="15" hidden="1" customHeight="1">
      <c r="A18" s="2797"/>
      <c r="B18" s="2803">
        <v>0.67</v>
      </c>
      <c r="C18" s="2804"/>
      <c r="D18" s="3006" t="s">
        <v>22</v>
      </c>
      <c r="E18" s="3006"/>
      <c r="F18" s="3006"/>
      <c r="G18" s="3006"/>
      <c r="H18" s="2803">
        <f>'SSR-rates'!$I$73</f>
        <v>619.5</v>
      </c>
      <c r="I18" s="2803"/>
      <c r="J18" s="2832">
        <f>ROUND(B18*H18,2)</f>
        <v>415.07</v>
      </c>
      <c r="L18" s="3006" t="s">
        <v>22</v>
      </c>
      <c r="M18" s="3006"/>
      <c r="N18" s="3006"/>
      <c r="O18" s="3006"/>
    </row>
    <row r="19" spans="1:15" s="2786" customFormat="1" ht="15" hidden="1" customHeight="1">
      <c r="A19" s="2797"/>
      <c r="B19" s="2805">
        <v>0.27</v>
      </c>
      <c r="C19" s="2798" t="s">
        <v>23</v>
      </c>
      <c r="D19" s="3004" t="s">
        <v>24</v>
      </c>
      <c r="E19" s="3004"/>
      <c r="F19" s="3004"/>
      <c r="G19" s="3004"/>
      <c r="H19" s="2803">
        <f>'SSR-rates'!$I$70</f>
        <v>465</v>
      </c>
      <c r="I19" s="2803">
        <v>1</v>
      </c>
      <c r="J19" s="2832">
        <f>ROUND(B19*H19,2)</f>
        <v>125.55</v>
      </c>
    </row>
    <row r="20" spans="1:15" s="2786" customFormat="1" ht="15" hidden="1" customHeight="1">
      <c r="A20" s="2797"/>
      <c r="B20" s="2803"/>
      <c r="C20" s="2803"/>
      <c r="D20" s="3005" t="s">
        <v>18</v>
      </c>
      <c r="E20" s="3005"/>
      <c r="F20" s="3005"/>
      <c r="G20" s="3005"/>
      <c r="H20" s="2803"/>
      <c r="I20" s="2833" t="s">
        <v>25</v>
      </c>
      <c r="J20" s="2834">
        <f>SUM(J18:J19)</f>
        <v>540.62</v>
      </c>
    </row>
    <row r="21" spans="1:15" s="2786" customFormat="1" ht="15" hidden="1" customHeight="1">
      <c r="A21" s="2797"/>
      <c r="B21" s="2803"/>
      <c r="C21" s="2798"/>
      <c r="D21" s="3003" t="s">
        <v>26</v>
      </c>
      <c r="E21" s="3003"/>
      <c r="F21" s="3003"/>
      <c r="G21" s="3003"/>
      <c r="H21" s="2803"/>
      <c r="I21" s="2803"/>
      <c r="J21" s="2834">
        <f>J15+J20</f>
        <v>803.92000000000007</v>
      </c>
    </row>
    <row r="22" spans="1:15" s="2786" customFormat="1" ht="15" hidden="1" customHeight="1">
      <c r="A22" s="2797"/>
      <c r="B22" s="2803"/>
      <c r="C22" s="2811" t="s">
        <v>27</v>
      </c>
      <c r="D22" s="3003" t="s">
        <v>28</v>
      </c>
      <c r="E22" s="3003"/>
      <c r="F22" s="3003"/>
      <c r="G22" s="3003"/>
      <c r="H22" s="2803"/>
      <c r="I22" s="2803"/>
      <c r="J22" s="2832"/>
    </row>
    <row r="23" spans="1:15" s="2786" customFormat="1" ht="15" hidden="1" customHeight="1">
      <c r="A23" s="2797"/>
      <c r="B23" s="2812">
        <f>'Input Data'!$D$24</f>
        <v>0.13614999999999999</v>
      </c>
      <c r="C23" s="2813"/>
      <c r="D23" s="3003" t="str">
        <f>"Over head charges "&amp;'Input Data'!$D$24*100&amp;"%  on (A) + (B)"</f>
        <v>Over head charges 13.615%  on (A) + (B)</v>
      </c>
      <c r="E23" s="3003"/>
      <c r="F23" s="3003"/>
      <c r="G23" s="3003"/>
      <c r="H23" s="2813">
        <f>J21</f>
        <v>803.92000000000007</v>
      </c>
      <c r="I23" s="2835"/>
      <c r="J23" s="2836">
        <f>H23*B23</f>
        <v>109.45370800000001</v>
      </c>
    </row>
    <row r="24" spans="1:15" s="2786" customFormat="1" ht="15" hidden="1" customHeight="1">
      <c r="A24" s="2797"/>
      <c r="B24" s="2813"/>
      <c r="C24" s="2813"/>
      <c r="D24" s="3003"/>
      <c r="E24" s="3003"/>
      <c r="F24" s="3003"/>
      <c r="G24" s="3003"/>
      <c r="H24" s="2813"/>
      <c r="I24" s="2835"/>
      <c r="J24" s="2836"/>
    </row>
    <row r="25" spans="1:15" s="2786" customFormat="1" ht="15" hidden="1" customHeight="1">
      <c r="A25" s="2797"/>
      <c r="B25" s="2813">
        <v>10</v>
      </c>
      <c r="C25" s="2813" t="s">
        <v>29</v>
      </c>
      <c r="D25" s="3003" t="s">
        <v>30</v>
      </c>
      <c r="E25" s="3003"/>
      <c r="F25" s="3003"/>
      <c r="G25" s="3003"/>
      <c r="H25" s="2813">
        <f>H23+J23</f>
        <v>913.37370800000008</v>
      </c>
      <c r="I25" s="2835"/>
      <c r="J25" s="2836">
        <f>ROUND(B25*H25/100,2)</f>
        <v>91.34</v>
      </c>
    </row>
    <row r="26" spans="1:15" s="2786" customFormat="1" ht="15" hidden="1" customHeight="1">
      <c r="A26" s="2797"/>
      <c r="B26" s="2813"/>
      <c r="C26" s="2813"/>
      <c r="D26" s="3003"/>
      <c r="E26" s="3003"/>
      <c r="F26" s="3003"/>
      <c r="G26" s="3003"/>
      <c r="H26" s="2813"/>
      <c r="I26" s="2835"/>
      <c r="J26" s="2837"/>
    </row>
    <row r="27" spans="1:15" s="2786" customFormat="1" ht="15" hidden="1" customHeight="1">
      <c r="A27" s="2797"/>
      <c r="B27" s="2814">
        <v>1.25</v>
      </c>
      <c r="C27" s="2813" t="s">
        <v>31</v>
      </c>
      <c r="D27" s="3005" t="str">
        <f>CONCATENATE("TOTAL Cost for ",B27,"  ",C27,"  =  (A+B+C+D)",)</f>
        <v>TOTAL Cost for 1.25  cum  =  (A+B+C+D)</v>
      </c>
      <c r="E27" s="3005"/>
      <c r="F27" s="3005"/>
      <c r="G27" s="3005"/>
      <c r="H27" s="2813"/>
      <c r="I27" s="2813"/>
      <c r="J27" s="2836">
        <f>SUM(J21:J25)</f>
        <v>1004.7137080000001</v>
      </c>
    </row>
    <row r="28" spans="1:15" s="2786" customFormat="1" ht="15" hidden="1" customHeight="1">
      <c r="A28" s="2797"/>
      <c r="B28" s="2813"/>
      <c r="C28" s="2813"/>
      <c r="D28" s="3007" t="str">
        <f>CONCATENATE("Rate per  1  ",C27)</f>
        <v>Rate per  1  cum</v>
      </c>
      <c r="E28" s="3007"/>
      <c r="F28" s="3007"/>
      <c r="G28" s="3007"/>
      <c r="H28" s="2813"/>
      <c r="I28" s="2813"/>
      <c r="J28" s="2832">
        <f>J27/B27</f>
        <v>803.77096640000013</v>
      </c>
    </row>
    <row r="29" spans="1:15" s="2786" customFormat="1" ht="15" hidden="1" customHeight="1">
      <c r="A29" s="2797"/>
      <c r="B29" s="2803"/>
      <c r="C29" s="2803"/>
      <c r="D29" s="3003" t="str">
        <f>D28</f>
        <v>Rate per  1  cum</v>
      </c>
      <c r="E29" s="3003"/>
      <c r="F29" s="3003"/>
      <c r="G29" s="3003"/>
      <c r="H29" s="2813"/>
      <c r="I29" s="2813"/>
      <c r="J29" s="2834">
        <f>ROUND(J28,0)</f>
        <v>804</v>
      </c>
    </row>
    <row r="30" spans="1:15" s="2786" customFormat="1" ht="94.5" customHeight="1">
      <c r="A30" s="2816"/>
      <c r="B30" s="3008" t="s">
        <v>32</v>
      </c>
      <c r="C30" s="3008"/>
      <c r="D30" s="3008"/>
      <c r="E30" s="3008"/>
      <c r="F30" s="3008"/>
      <c r="G30" s="3008"/>
      <c r="H30" s="3008"/>
      <c r="I30" s="3008"/>
      <c r="J30" s="3008"/>
    </row>
    <row r="31" spans="1:15" s="2786" customFormat="1" ht="15" customHeight="1">
      <c r="A31" s="2817"/>
      <c r="B31" s="3009" t="s">
        <v>33</v>
      </c>
      <c r="C31" s="3009"/>
      <c r="D31" s="2818"/>
      <c r="E31" s="2818"/>
      <c r="F31" s="2819" t="s">
        <v>34</v>
      </c>
      <c r="G31" s="2818"/>
      <c r="H31" s="2820"/>
      <c r="I31" s="2820"/>
      <c r="J31" s="2838"/>
    </row>
    <row r="32" spans="1:15" s="2786" customFormat="1" ht="15" customHeight="1">
      <c r="A32" s="2817"/>
      <c r="B32" s="3009" t="s">
        <v>35</v>
      </c>
      <c r="C32" s="3009"/>
      <c r="D32" s="3009"/>
      <c r="E32" s="3009"/>
      <c r="F32" s="2818"/>
      <c r="G32" s="2818"/>
      <c r="H32" s="2820"/>
      <c r="I32" s="2820"/>
      <c r="J32" s="2838"/>
    </row>
    <row r="33" spans="1:10" s="2786" customFormat="1" ht="15" customHeight="1">
      <c r="A33" s="2817"/>
      <c r="B33" s="2821" t="s">
        <v>36</v>
      </c>
      <c r="C33" s="2819" t="s">
        <v>37</v>
      </c>
      <c r="D33" s="2787"/>
      <c r="E33" s="2818"/>
      <c r="F33" s="2818"/>
      <c r="G33" s="2818"/>
      <c r="H33" s="2820"/>
      <c r="I33" s="2820"/>
      <c r="J33" s="2838"/>
    </row>
    <row r="34" spans="1:10" s="2786" customFormat="1" ht="15" customHeight="1">
      <c r="A34" s="2817"/>
      <c r="B34" s="2811">
        <v>0.32</v>
      </c>
      <c r="C34" s="2794" t="s">
        <v>38</v>
      </c>
      <c r="D34" s="2790" t="s">
        <v>14</v>
      </c>
      <c r="E34" s="2787"/>
      <c r="F34" s="2790"/>
      <c r="G34" s="2790"/>
      <c r="H34" s="2807">
        <f>'SSR-rates'!$I$58</f>
        <v>490</v>
      </c>
      <c r="I34" s="2822" t="s">
        <v>38</v>
      </c>
      <c r="J34" s="2811">
        <f>ROUND(B34*H34,2)</f>
        <v>156.80000000000001</v>
      </c>
    </row>
    <row r="35" spans="1:10" s="2786" customFormat="1" ht="15.75" customHeight="1">
      <c r="A35" s="2817"/>
      <c r="B35" s="2811">
        <v>8</v>
      </c>
      <c r="C35" s="2794" t="s">
        <v>38</v>
      </c>
      <c r="D35" s="2790" t="s">
        <v>16</v>
      </c>
      <c r="E35" s="2787"/>
      <c r="F35" s="2790"/>
      <c r="G35" s="2790"/>
      <c r="H35" s="2807">
        <f>'SSR-rates'!$I$60</f>
        <v>490</v>
      </c>
      <c r="I35" s="2822" t="s">
        <v>38</v>
      </c>
      <c r="J35" s="2811">
        <f>ROUND(B35*H35,2)</f>
        <v>3920</v>
      </c>
    </row>
    <row r="36" spans="1:10">
      <c r="A36" s="2819"/>
      <c r="B36" s="2808">
        <f>'Input Data'!$D$23</f>
        <v>0</v>
      </c>
      <c r="C36" s="2794"/>
      <c r="D36" s="2787" t="s">
        <v>17</v>
      </c>
      <c r="F36" s="2790"/>
      <c r="G36" s="2790"/>
      <c r="H36" s="2807">
        <f>SUM(J34:J35)</f>
        <v>4076.8</v>
      </c>
      <c r="I36" s="2822"/>
      <c r="J36" s="2807">
        <f>B36*H36</f>
        <v>0</v>
      </c>
    </row>
    <row r="37" spans="1:10" s="2786" customFormat="1" ht="15" customHeight="1">
      <c r="A37" s="2817"/>
      <c r="B37" s="2811"/>
      <c r="C37" s="2794"/>
      <c r="D37" s="2790"/>
      <c r="E37" s="2790"/>
      <c r="F37" s="2790"/>
      <c r="G37" s="2790"/>
      <c r="H37" s="2807"/>
      <c r="I37" s="2822"/>
      <c r="J37" s="2839">
        <f>SUM(J34:J36)</f>
        <v>4076.8</v>
      </c>
    </row>
    <row r="38" spans="1:10" s="2786" customFormat="1" ht="15" customHeight="1">
      <c r="A38" s="2817"/>
      <c r="B38" s="2821" t="s">
        <v>39</v>
      </c>
      <c r="C38" s="2819" t="s">
        <v>40</v>
      </c>
      <c r="D38" s="2787"/>
      <c r="E38" s="2787"/>
      <c r="F38" s="2790"/>
      <c r="G38" s="2790"/>
      <c r="H38" s="2790"/>
      <c r="I38" s="2790"/>
      <c r="J38" s="2840"/>
    </row>
    <row r="39" spans="1:10" ht="34.5" customHeight="1">
      <c r="A39" s="2822"/>
      <c r="B39" s="2823">
        <v>6</v>
      </c>
      <c r="C39" s="2824" t="s">
        <v>41</v>
      </c>
      <c r="D39" s="3010" t="s">
        <v>42</v>
      </c>
      <c r="E39" s="3011"/>
      <c r="F39" s="3011"/>
      <c r="G39" s="3012"/>
      <c r="H39" s="2825">
        <f>'SSR-rates'!$I$64</f>
        <v>3331.2</v>
      </c>
      <c r="I39" s="2825" t="s">
        <v>41</v>
      </c>
      <c r="J39" s="2825">
        <f>ROUND(B39*H39,2)</f>
        <v>19987.2</v>
      </c>
    </row>
    <row r="40" spans="1:10" s="2786" customFormat="1" ht="15" hidden="1" customHeight="1">
      <c r="A40" s="2817"/>
      <c r="B40" s="2823"/>
      <c r="C40" s="2824" t="s">
        <v>31</v>
      </c>
      <c r="D40" s="3013" t="s">
        <v>43</v>
      </c>
      <c r="E40" s="3013"/>
      <c r="F40" s="3013"/>
      <c r="G40" s="3013"/>
      <c r="H40" s="2825">
        <v>13</v>
      </c>
      <c r="I40" s="2825" t="s">
        <v>31</v>
      </c>
      <c r="J40" s="2823">
        <f>ROUND(B40*H40,2)</f>
        <v>0</v>
      </c>
    </row>
    <row r="41" spans="1:10" s="2786" customFormat="1" ht="15" customHeight="1">
      <c r="A41" s="2817"/>
      <c r="B41" s="2811"/>
      <c r="C41" s="2794"/>
      <c r="D41" s="2790"/>
      <c r="E41" s="2787"/>
      <c r="F41" s="2790"/>
      <c r="G41" s="2790"/>
      <c r="H41" s="2807"/>
      <c r="I41" s="2807"/>
      <c r="J41" s="2811"/>
    </row>
    <row r="42" spans="1:10" s="2786" customFormat="1" ht="15" customHeight="1">
      <c r="A42" s="2817"/>
      <c r="B42" s="2821" t="s">
        <v>27</v>
      </c>
      <c r="C42" s="2819" t="s">
        <v>44</v>
      </c>
      <c r="D42" s="2790"/>
      <c r="E42" s="2787"/>
      <c r="F42" s="2790"/>
      <c r="G42" s="2790"/>
      <c r="H42" s="2807"/>
      <c r="I42" s="2807"/>
      <c r="J42" s="2840"/>
    </row>
    <row r="43" spans="1:10" s="2786" customFormat="1" ht="15" customHeight="1">
      <c r="A43" s="2816"/>
      <c r="B43" s="2812">
        <f>'Input Data'!$D$25</f>
        <v>0</v>
      </c>
      <c r="C43" s="2819" t="str">
        <f>"Over head charges "&amp;'Input Data'!$D$25*100&amp;"%  on (A) + (B)"</f>
        <v>Over head charges 0%  on (A) + (B)</v>
      </c>
      <c r="D43" s="2787"/>
      <c r="E43" s="2787"/>
      <c r="F43" s="2787"/>
      <c r="G43" s="2787"/>
      <c r="H43" s="2793">
        <f>J39+J37</f>
        <v>24064</v>
      </c>
      <c r="I43" s="2787"/>
      <c r="J43" s="2811">
        <f>H43*B43</f>
        <v>0</v>
      </c>
    </row>
    <row r="44" spans="1:10" s="2786" customFormat="1" ht="15" customHeight="1">
      <c r="A44" s="2816"/>
      <c r="B44" s="2821" t="s">
        <v>45</v>
      </c>
      <c r="C44" s="2819" t="s">
        <v>46</v>
      </c>
      <c r="D44" s="2787"/>
      <c r="E44" s="2787"/>
      <c r="F44" s="2787"/>
      <c r="G44" s="2787"/>
      <c r="H44" s="2787"/>
      <c r="I44" s="2787"/>
      <c r="J44" s="2839">
        <f>J37+J40+J41+J43</f>
        <v>4076.8</v>
      </c>
    </row>
    <row r="45" spans="1:10" s="2786" customFormat="1" ht="15" customHeight="1">
      <c r="A45" s="2817"/>
      <c r="B45" s="2821" t="s">
        <v>47</v>
      </c>
      <c r="C45" s="2819" t="s">
        <v>48</v>
      </c>
      <c r="D45" s="2787"/>
      <c r="E45" s="2787"/>
      <c r="F45" s="2790"/>
      <c r="G45" s="2790"/>
      <c r="H45" s="2790"/>
      <c r="I45" s="2790"/>
      <c r="J45" s="2839">
        <f>J44*10/100</f>
        <v>407.68</v>
      </c>
    </row>
    <row r="46" spans="1:10" s="2786" customFormat="1" ht="15" customHeight="1">
      <c r="A46" s="2817"/>
      <c r="B46" s="2790"/>
      <c r="C46" s="2790"/>
      <c r="D46" s="2819" t="s">
        <v>49</v>
      </c>
      <c r="E46" s="2787"/>
      <c r="F46" s="2790"/>
      <c r="G46" s="2790"/>
      <c r="H46" s="2790"/>
      <c r="I46" s="2790"/>
      <c r="J46" s="2839">
        <f>SUM(J44:J45)</f>
        <v>4484.4800000000005</v>
      </c>
    </row>
    <row r="47" spans="1:10" s="2786" customFormat="1" ht="15" customHeight="1">
      <c r="A47" s="2816"/>
      <c r="B47" s="2787"/>
      <c r="C47" s="2787"/>
      <c r="D47" s="2787" t="s">
        <v>50</v>
      </c>
      <c r="E47" s="2787"/>
      <c r="F47" s="2787"/>
      <c r="G47" s="2787"/>
      <c r="H47" s="2822"/>
      <c r="I47" s="2822"/>
      <c r="J47" s="2811">
        <f>J46/240</f>
        <v>18.685333333333336</v>
      </c>
    </row>
    <row r="48" spans="1:10" s="2786" customFormat="1" ht="15" hidden="1" customHeight="1">
      <c r="A48" s="2817"/>
      <c r="B48" s="2827"/>
      <c r="C48" s="2827"/>
      <c r="D48" s="2827"/>
      <c r="E48" s="2827"/>
      <c r="F48" s="2827" t="s">
        <v>51</v>
      </c>
      <c r="G48" s="2827"/>
      <c r="H48" s="2827"/>
      <c r="I48" s="2827"/>
      <c r="J48" s="2841"/>
    </row>
    <row r="49" spans="1:10" s="2786" customFormat="1" ht="15" hidden="1" customHeight="1">
      <c r="A49" s="2817"/>
      <c r="B49" s="2827"/>
      <c r="C49" s="2827"/>
      <c r="D49" s="2827"/>
      <c r="E49" s="2827"/>
      <c r="F49" s="2827"/>
      <c r="G49" s="2827"/>
      <c r="H49" s="2827"/>
      <c r="I49" s="2827"/>
      <c r="J49" s="2841">
        <f>SUM(J47:J48)</f>
        <v>18.685333333333336</v>
      </c>
    </row>
    <row r="50" spans="1:10" s="2786" customFormat="1" ht="15" customHeight="1">
      <c r="A50" s="2816"/>
      <c r="B50" s="2787"/>
      <c r="C50" s="2787"/>
      <c r="D50" s="2787" t="s">
        <v>52</v>
      </c>
      <c r="E50" s="2787"/>
      <c r="F50" s="2787"/>
      <c r="G50" s="2787"/>
      <c r="H50" s="2787"/>
      <c r="I50" s="2787"/>
      <c r="J50" s="2842">
        <f>ROUND(J49,0)</f>
        <v>19</v>
      </c>
    </row>
    <row r="51" spans="1:10" s="2786" customFormat="1" ht="15" customHeight="1">
      <c r="A51" s="2816"/>
      <c r="B51" s="2787"/>
      <c r="C51" s="2787"/>
      <c r="D51" s="2787"/>
      <c r="E51" s="2787"/>
      <c r="F51" s="2787"/>
      <c r="G51" s="2787"/>
      <c r="H51" s="2787"/>
      <c r="I51" s="2787"/>
      <c r="J51" s="2843" t="s">
        <v>53</v>
      </c>
    </row>
    <row r="52" spans="1:10" s="2786" customFormat="1" ht="15" customHeight="1">
      <c r="A52" s="2816"/>
      <c r="B52" s="2787"/>
      <c r="C52" s="2787"/>
      <c r="D52" s="2787"/>
      <c r="E52" s="2787"/>
      <c r="F52" s="2787"/>
      <c r="G52" s="2787"/>
      <c r="H52" s="2787"/>
      <c r="I52" s="2787"/>
      <c r="J52" s="2843"/>
    </row>
    <row r="53" spans="1:10" ht="108" customHeight="1">
      <c r="A53" s="2816"/>
      <c r="B53" s="3008" t="s">
        <v>54</v>
      </c>
      <c r="C53" s="3008"/>
      <c r="D53" s="3008"/>
      <c r="E53" s="3008"/>
      <c r="F53" s="3008"/>
      <c r="G53" s="3008"/>
      <c r="H53" s="3008"/>
      <c r="I53" s="3008"/>
      <c r="J53" s="3008"/>
    </row>
    <row r="54" spans="1:10">
      <c r="D54" s="2793" t="s">
        <v>10</v>
      </c>
      <c r="F54" s="2819" t="s">
        <v>55</v>
      </c>
      <c r="J54" s="2787"/>
    </row>
    <row r="55" spans="1:10">
      <c r="D55" s="2793" t="s">
        <v>56</v>
      </c>
      <c r="J55" s="2787"/>
    </row>
    <row r="56" spans="1:10">
      <c r="B56" s="2821" t="s">
        <v>36</v>
      </c>
      <c r="C56" s="2828" t="s">
        <v>37</v>
      </c>
      <c r="J56" s="2787"/>
    </row>
    <row r="57" spans="1:10">
      <c r="B57" s="2811">
        <v>0.86</v>
      </c>
      <c r="C57" s="2790" t="s">
        <v>57</v>
      </c>
      <c r="D57" s="2793" t="s">
        <v>14</v>
      </c>
      <c r="H57" s="2807">
        <f>'SSR-rates'!$I$58</f>
        <v>490</v>
      </c>
      <c r="I57" s="2822" t="s">
        <v>38</v>
      </c>
      <c r="J57" s="2811">
        <f>ROUND(B57*H57,2)</f>
        <v>421.4</v>
      </c>
    </row>
    <row r="58" spans="1:10">
      <c r="B58" s="2811">
        <v>1.5</v>
      </c>
      <c r="C58" s="2790" t="s">
        <v>57</v>
      </c>
      <c r="D58" s="2793" t="s">
        <v>58</v>
      </c>
      <c r="H58" s="2807">
        <f>'SSR-rates'!$I$59</f>
        <v>524</v>
      </c>
      <c r="I58" s="2822" t="s">
        <v>38</v>
      </c>
      <c r="J58" s="2811">
        <f>ROUND(B58*H58,2)</f>
        <v>786</v>
      </c>
    </row>
    <row r="59" spans="1:10">
      <c r="B59" s="2811">
        <v>20</v>
      </c>
      <c r="C59" s="2790" t="s">
        <v>57</v>
      </c>
      <c r="D59" s="2793" t="s">
        <v>59</v>
      </c>
      <c r="H59" s="2807">
        <f>'SSR-rates'!$I$60</f>
        <v>490</v>
      </c>
      <c r="I59" s="2822" t="s">
        <v>38</v>
      </c>
      <c r="J59" s="2811">
        <f>ROUND(B59*H59,2)</f>
        <v>9800</v>
      </c>
    </row>
    <row r="60" spans="1:10">
      <c r="A60" s="2819"/>
      <c r="B60" s="2808">
        <f>'Input Data'!$D$23</f>
        <v>0</v>
      </c>
      <c r="C60" s="2794"/>
      <c r="D60" s="2787" t="s">
        <v>17</v>
      </c>
      <c r="F60" s="2790"/>
      <c r="G60" s="2790"/>
      <c r="H60" s="2807">
        <f>SUM(J57:J59)</f>
        <v>11007.4</v>
      </c>
      <c r="I60" s="2822"/>
      <c r="J60" s="2807">
        <f>B60*H60</f>
        <v>0</v>
      </c>
    </row>
    <row r="61" spans="1:10">
      <c r="B61" s="2811"/>
      <c r="C61" s="2790"/>
      <c r="D61" s="2793" t="s">
        <v>60</v>
      </c>
      <c r="H61" s="2807"/>
      <c r="I61" s="2807"/>
      <c r="J61" s="2811">
        <f>SUM(J57:J60)</f>
        <v>11007.4</v>
      </c>
    </row>
    <row r="62" spans="1:10">
      <c r="B62" s="2821" t="s">
        <v>39</v>
      </c>
      <c r="C62" s="2828" t="s">
        <v>61</v>
      </c>
      <c r="H62" s="2807"/>
      <c r="I62" s="2807"/>
      <c r="J62" s="2807"/>
    </row>
    <row r="63" spans="1:10">
      <c r="B63" s="2811">
        <v>8.1</v>
      </c>
      <c r="C63" s="2790" t="s">
        <v>31</v>
      </c>
      <c r="D63" s="2787" t="s">
        <v>62</v>
      </c>
      <c r="H63" s="2807">
        <f>lead!$J$14</f>
        <v>1706.5179333714741</v>
      </c>
      <c r="I63" s="2807" t="s">
        <v>31</v>
      </c>
      <c r="J63" s="2807">
        <f>ROUND(B63*H63,2)</f>
        <v>13822.8</v>
      </c>
    </row>
    <row r="64" spans="1:10">
      <c r="B64" s="2811">
        <v>4.05</v>
      </c>
      <c r="C64" s="2790" t="s">
        <v>31</v>
      </c>
      <c r="D64" s="2787" t="s">
        <v>63</v>
      </c>
      <c r="H64" s="2807">
        <f>lead!J16</f>
        <v>2005.5179333714741</v>
      </c>
      <c r="I64" s="2807" t="s">
        <v>31</v>
      </c>
      <c r="J64" s="2807">
        <f>ROUND(B64*H64,2)</f>
        <v>8122.35</v>
      </c>
    </row>
    <row r="65" spans="1:10">
      <c r="B65" s="2811">
        <v>1.35</v>
      </c>
      <c r="C65" s="2790" t="s">
        <v>31</v>
      </c>
      <c r="D65" s="2787" t="s">
        <v>64</v>
      </c>
      <c r="H65" s="2807">
        <f>lead!J18</f>
        <v>1754.5179333714741</v>
      </c>
      <c r="I65" s="2807" t="s">
        <v>31</v>
      </c>
      <c r="J65" s="2807">
        <f>ROUND(B65*H65,2)</f>
        <v>2368.6</v>
      </c>
    </row>
    <row r="66" spans="1:10">
      <c r="B66" s="2811">
        <v>6.75</v>
      </c>
      <c r="C66" s="2790" t="s">
        <v>31</v>
      </c>
      <c r="D66" s="2793" t="s">
        <v>65</v>
      </c>
      <c r="H66" s="2844">
        <f>lead!J12</f>
        <v>1658.7679333714741</v>
      </c>
      <c r="I66" s="2807" t="s">
        <v>31</v>
      </c>
      <c r="J66" s="2807">
        <f>ROUND(B66*H66,2)</f>
        <v>11196.68</v>
      </c>
    </row>
    <row r="67" spans="1:10">
      <c r="B67" s="2845">
        <v>4.13</v>
      </c>
      <c r="C67" s="2790" t="s">
        <v>66</v>
      </c>
      <c r="D67" s="2793" t="s">
        <v>67</v>
      </c>
      <c r="H67" s="2807">
        <f>'Input Data'!$I$24</f>
        <v>5000</v>
      </c>
      <c r="I67" s="2807" t="s">
        <v>66</v>
      </c>
      <c r="J67" s="2807">
        <f>ROUND(B67*H67,2)</f>
        <v>20650</v>
      </c>
    </row>
    <row r="68" spans="1:10">
      <c r="B68" s="2793"/>
      <c r="D68" s="2793" t="s">
        <v>60</v>
      </c>
      <c r="H68" s="2807"/>
      <c r="I68" s="2807"/>
      <c r="J68" s="2807">
        <f>SUM(J63:J67)</f>
        <v>56160.43</v>
      </c>
    </row>
    <row r="69" spans="1:10">
      <c r="B69" s="2821" t="s">
        <v>27</v>
      </c>
      <c r="C69" s="2828" t="s">
        <v>40</v>
      </c>
      <c r="H69" s="2807"/>
      <c r="I69" s="2807"/>
      <c r="J69" s="2807"/>
    </row>
    <row r="70" spans="1:10">
      <c r="B70" s="2811">
        <v>6</v>
      </c>
      <c r="C70" s="2790" t="s">
        <v>41</v>
      </c>
      <c r="D70" s="2793" t="s">
        <v>68</v>
      </c>
      <c r="H70" s="2807">
        <f>'SSR-rates'!$I$88</f>
        <v>627.6</v>
      </c>
      <c r="I70" s="2807" t="s">
        <v>41</v>
      </c>
      <c r="J70" s="2807">
        <f>ROUND(B70*H70,2)</f>
        <v>3765.6</v>
      </c>
    </row>
    <row r="71" spans="1:10">
      <c r="B71" s="2811">
        <v>6</v>
      </c>
      <c r="C71" s="2790" t="s">
        <v>41</v>
      </c>
      <c r="D71" s="2793" t="s">
        <v>69</v>
      </c>
      <c r="H71" s="2807">
        <f>'SSR-rates'!$I$87</f>
        <v>1237.4000000000001</v>
      </c>
      <c r="I71" s="2807" t="s">
        <v>41</v>
      </c>
      <c r="J71" s="2807">
        <f>ROUND(B71*H71,2)</f>
        <v>7424.4</v>
      </c>
    </row>
    <row r="72" spans="1:10">
      <c r="B72" s="2811"/>
      <c r="C72" s="2790" t="s">
        <v>41</v>
      </c>
      <c r="D72" s="2793" t="s">
        <v>70</v>
      </c>
      <c r="H72" s="2807">
        <f>'SSR-rates'!$I$69</f>
        <v>699</v>
      </c>
      <c r="I72" s="2807" t="s">
        <v>41</v>
      </c>
      <c r="J72" s="2807">
        <f>ROUND(B72*H72,2)</f>
        <v>0</v>
      </c>
    </row>
    <row r="73" spans="1:10">
      <c r="B73" s="2811"/>
      <c r="C73" s="2794"/>
      <c r="D73" s="2793" t="s">
        <v>60</v>
      </c>
      <c r="H73" s="2807"/>
      <c r="I73" s="2807"/>
      <c r="J73" s="2807">
        <f>SUM(J70:J72)</f>
        <v>11190</v>
      </c>
    </row>
    <row r="74" spans="1:10">
      <c r="B74" s="2821" t="s">
        <v>45</v>
      </c>
      <c r="C74" s="2828" t="s">
        <v>71</v>
      </c>
      <c r="H74" s="2807"/>
      <c r="I74" s="2807"/>
      <c r="J74" s="2807"/>
    </row>
    <row r="75" spans="1:10">
      <c r="B75" s="2793"/>
      <c r="C75" s="2790" t="s">
        <v>29</v>
      </c>
      <c r="D75" s="2787" t="s">
        <v>72</v>
      </c>
      <c r="H75" s="2807">
        <f>J61+J68+J73</f>
        <v>78357.83</v>
      </c>
      <c r="I75" s="2822" t="s">
        <v>73</v>
      </c>
      <c r="J75" s="2807">
        <f>H75*B75</f>
        <v>0</v>
      </c>
    </row>
    <row r="76" spans="1:10">
      <c r="A76" s="2819"/>
      <c r="B76" s="2821" t="s">
        <v>47</v>
      </c>
      <c r="C76" s="2819" t="s">
        <v>74</v>
      </c>
      <c r="F76" s="2790"/>
      <c r="G76" s="2790"/>
      <c r="H76" s="2790"/>
      <c r="I76" s="2790"/>
      <c r="J76" s="2847"/>
    </row>
    <row r="77" spans="1:10">
      <c r="A77" s="2819"/>
      <c r="B77" s="2812">
        <f>'Input Data'!$D$25</f>
        <v>0</v>
      </c>
      <c r="C77" s="3014" t="s">
        <v>75</v>
      </c>
      <c r="D77" s="3015"/>
      <c r="E77" s="3015"/>
      <c r="F77" s="3015"/>
      <c r="G77" s="3016"/>
      <c r="H77" s="2794">
        <f>J75+J73+J68+J61</f>
        <v>78357.829999999987</v>
      </c>
      <c r="I77" s="2790"/>
      <c r="J77" s="2807">
        <f>H77*B77</f>
        <v>0</v>
      </c>
    </row>
    <row r="78" spans="1:10">
      <c r="A78" s="2819"/>
      <c r="B78" s="2821" t="s">
        <v>76</v>
      </c>
      <c r="C78" s="2819" t="s">
        <v>77</v>
      </c>
      <c r="F78" s="2790"/>
      <c r="G78" s="2790"/>
      <c r="H78" s="2790"/>
      <c r="I78" s="2790"/>
      <c r="J78" s="2847">
        <f>J61+J68+J73+J75+J77</f>
        <v>78357.83</v>
      </c>
    </row>
    <row r="79" spans="1:10">
      <c r="A79" s="2819"/>
      <c r="B79" s="2821" t="s">
        <v>78</v>
      </c>
      <c r="C79" s="2819" t="s">
        <v>79</v>
      </c>
      <c r="F79" s="2790"/>
      <c r="G79" s="2790"/>
      <c r="H79" s="2790"/>
      <c r="I79" s="2790"/>
      <c r="J79" s="2847">
        <f>J78*10/100</f>
        <v>7835.7830000000004</v>
      </c>
    </row>
    <row r="80" spans="1:10">
      <c r="B80" s="2811"/>
      <c r="C80" s="2790"/>
      <c r="D80" s="2828" t="s">
        <v>80</v>
      </c>
      <c r="H80" s="2807"/>
      <c r="I80" s="2807"/>
      <c r="J80" s="2847">
        <f>SUM(J78:J79)</f>
        <v>86193.612999999998</v>
      </c>
    </row>
    <row r="81" spans="1:10">
      <c r="B81" s="2811"/>
      <c r="C81" s="2790"/>
      <c r="D81" s="2793" t="s">
        <v>81</v>
      </c>
      <c r="H81" s="2807"/>
      <c r="I81" s="2807"/>
      <c r="J81" s="2807">
        <f>ROUND(J80/15,2)</f>
        <v>5746.24</v>
      </c>
    </row>
    <row r="82" spans="1:10">
      <c r="D82" s="2793" t="s">
        <v>52</v>
      </c>
      <c r="H82" s="2807"/>
      <c r="I82" s="2807"/>
      <c r="J82" s="2848">
        <f>ROUND(J81,0)</f>
        <v>5746</v>
      </c>
    </row>
    <row r="83" spans="1:10">
      <c r="D83" s="2793"/>
      <c r="H83" s="2807"/>
      <c r="I83" s="2807"/>
      <c r="J83" s="2847" t="s">
        <v>53</v>
      </c>
    </row>
    <row r="84" spans="1:10">
      <c r="D84" s="2793"/>
      <c r="H84" s="2807"/>
      <c r="I84" s="2807"/>
      <c r="J84" s="2847"/>
    </row>
    <row r="85" spans="1:10" ht="69.75" customHeight="1">
      <c r="A85" s="2816"/>
      <c r="B85" s="3008" t="s">
        <v>82</v>
      </c>
      <c r="C85" s="3008"/>
      <c r="D85" s="3008"/>
      <c r="E85" s="3008"/>
      <c r="F85" s="3008"/>
      <c r="G85" s="3008"/>
      <c r="H85" s="3008"/>
      <c r="I85" s="3008"/>
      <c r="J85" s="3008"/>
    </row>
    <row r="86" spans="1:10">
      <c r="D86" s="2793" t="s">
        <v>10</v>
      </c>
      <c r="F86" s="2819" t="s">
        <v>83</v>
      </c>
      <c r="J86" s="2787"/>
    </row>
    <row r="87" spans="1:10">
      <c r="D87" s="2793" t="s">
        <v>84</v>
      </c>
      <c r="J87" s="2787"/>
    </row>
    <row r="88" spans="1:10">
      <c r="B88" s="2821" t="s">
        <v>36</v>
      </c>
      <c r="C88" s="2828" t="s">
        <v>37</v>
      </c>
      <c r="J88" s="2787"/>
    </row>
    <row r="89" spans="1:10">
      <c r="B89" s="2811">
        <v>0.28000000000000003</v>
      </c>
      <c r="C89" s="2790" t="s">
        <v>57</v>
      </c>
      <c r="D89" s="2793" t="s">
        <v>14</v>
      </c>
      <c r="H89" s="2807">
        <f>'SSR-rates'!$I$58</f>
        <v>490</v>
      </c>
      <c r="I89" s="2822" t="s">
        <v>38</v>
      </c>
      <c r="J89" s="2807">
        <f>ROUND(B89*H89,2)</f>
        <v>137.19999999999999</v>
      </c>
    </row>
    <row r="90" spans="1:10">
      <c r="B90" s="2811">
        <v>7</v>
      </c>
      <c r="C90" s="2790" t="s">
        <v>57</v>
      </c>
      <c r="D90" s="2793" t="s">
        <v>59</v>
      </c>
      <c r="H90" s="2807">
        <f>'SSR-rates'!$I$60</f>
        <v>490</v>
      </c>
      <c r="I90" s="2822" t="s">
        <v>38</v>
      </c>
      <c r="J90" s="2807">
        <f>ROUND(B90*H90,2)</f>
        <v>3430</v>
      </c>
    </row>
    <row r="91" spans="1:10">
      <c r="A91" s="2819"/>
      <c r="B91" s="2808">
        <f>'Input Data'!$D$23</f>
        <v>0</v>
      </c>
      <c r="C91" s="2794"/>
      <c r="D91" s="2787" t="s">
        <v>17</v>
      </c>
      <c r="F91" s="2790"/>
      <c r="G91" s="2790"/>
      <c r="H91" s="2807">
        <f>SUM(J89:$J$90)</f>
        <v>3567.2</v>
      </c>
      <c r="I91" s="2822"/>
      <c r="J91" s="2807">
        <f>B91*H91</f>
        <v>0</v>
      </c>
    </row>
    <row r="92" spans="1:10" ht="13.5" customHeight="1">
      <c r="B92" s="2793" t="s">
        <v>85</v>
      </c>
      <c r="D92" s="2793" t="s">
        <v>60</v>
      </c>
      <c r="H92" s="2807"/>
      <c r="I92" s="2822"/>
      <c r="J92" s="2807">
        <f>SUM(J89:J91)</f>
        <v>3567.2</v>
      </c>
    </row>
    <row r="93" spans="1:10" hidden="1">
      <c r="B93" s="2793"/>
      <c r="D93" s="2793"/>
      <c r="H93" s="2807"/>
      <c r="I93" s="2807"/>
      <c r="J93" s="2807"/>
    </row>
    <row r="94" spans="1:10">
      <c r="B94" s="2821" t="s">
        <v>39</v>
      </c>
      <c r="C94" s="2828" t="s">
        <v>61</v>
      </c>
      <c r="H94" s="2807"/>
      <c r="I94" s="2807"/>
      <c r="J94" s="2807"/>
    </row>
    <row r="95" spans="1:10">
      <c r="B95" s="2811">
        <v>12</v>
      </c>
      <c r="C95" s="2790" t="s">
        <v>31</v>
      </c>
      <c r="D95" s="2793" t="s">
        <v>86</v>
      </c>
      <c r="H95" s="2807">
        <f>lead!$J$34</f>
        <v>173.07604629670379</v>
      </c>
      <c r="I95" s="2807" t="s">
        <v>31</v>
      </c>
      <c r="J95" s="2807">
        <f>ROUND(B95*H95,2)</f>
        <v>2076.91</v>
      </c>
    </row>
    <row r="96" spans="1:10">
      <c r="B96" s="2793"/>
      <c r="D96" s="2793" t="s">
        <v>60</v>
      </c>
      <c r="H96" s="2807"/>
      <c r="I96" s="2807"/>
      <c r="J96" s="2807">
        <f>SUM(J95:J95)</f>
        <v>2076.91</v>
      </c>
    </row>
    <row r="97" spans="1:11">
      <c r="B97" s="2821" t="s">
        <v>87</v>
      </c>
      <c r="C97" s="2828" t="s">
        <v>40</v>
      </c>
      <c r="H97" s="2807"/>
      <c r="I97" s="2807"/>
      <c r="J97" s="2807"/>
    </row>
    <row r="98" spans="1:11" ht="30" customHeight="1">
      <c r="B98" s="2811">
        <v>2.5</v>
      </c>
      <c r="C98" s="2790" t="s">
        <v>41</v>
      </c>
      <c r="D98" s="3017" t="s">
        <v>88</v>
      </c>
      <c r="E98" s="3018"/>
      <c r="F98" s="3018"/>
      <c r="G98" s="3019"/>
      <c r="H98" s="2807">
        <f>'SSR-rates'!$I$91</f>
        <v>54</v>
      </c>
      <c r="I98" s="2807" t="s">
        <v>41</v>
      </c>
      <c r="J98" s="2807">
        <f>ROUND(B98*H98,2)</f>
        <v>135</v>
      </c>
    </row>
    <row r="99" spans="1:11">
      <c r="B99" s="2811">
        <v>0.05</v>
      </c>
      <c r="C99" s="2790" t="s">
        <v>41</v>
      </c>
      <c r="D99" s="2793" t="s">
        <v>70</v>
      </c>
      <c r="H99" s="2807">
        <f>'SSR-rates'!$I$69</f>
        <v>699</v>
      </c>
      <c r="I99" s="2807" t="s">
        <v>41</v>
      </c>
      <c r="J99" s="2807">
        <f>ROUND(B99*H99,2)</f>
        <v>34.950000000000003</v>
      </c>
    </row>
    <row r="100" spans="1:11">
      <c r="B100" s="2811"/>
      <c r="C100" s="2790"/>
      <c r="D100" s="2793" t="s">
        <v>60</v>
      </c>
      <c r="H100" s="2807"/>
      <c r="I100" s="2807"/>
      <c r="J100" s="2807">
        <f>SUM(J98:J99)</f>
        <v>169.95</v>
      </c>
    </row>
    <row r="101" spans="1:11">
      <c r="A101" s="2819"/>
      <c r="B101" s="2821" t="s">
        <v>45</v>
      </c>
      <c r="C101" s="2819" t="s">
        <v>44</v>
      </c>
      <c r="F101" s="2790"/>
      <c r="G101" s="2790"/>
      <c r="H101" s="2790"/>
      <c r="I101" s="2790"/>
      <c r="J101" s="2847"/>
    </row>
    <row r="102" spans="1:11" ht="34.5" customHeight="1">
      <c r="A102" s="2819"/>
      <c r="B102" s="2812">
        <f>'Input Data'!$D$25</f>
        <v>0</v>
      </c>
      <c r="C102" s="3017" t="str">
        <f>"Over head charges "&amp;'Input Data'!$D$25*100&amp;"%  on (A) + (B)+(C)"</f>
        <v>Over head charges 0%  on (A) + (B)+(C)</v>
      </c>
      <c r="D102" s="3018"/>
      <c r="E102" s="3018"/>
      <c r="F102" s="3018"/>
      <c r="G102" s="3019"/>
      <c r="H102" s="2794">
        <f>J100+J96+J92</f>
        <v>5814.0599999999995</v>
      </c>
      <c r="I102" s="2790"/>
      <c r="J102" s="2807">
        <f>H102*B102</f>
        <v>0</v>
      </c>
    </row>
    <row r="103" spans="1:11">
      <c r="A103" s="2819"/>
      <c r="B103" s="2821" t="s">
        <v>47</v>
      </c>
      <c r="C103" s="2819" t="s">
        <v>89</v>
      </c>
      <c r="F103" s="2790"/>
      <c r="G103" s="2790"/>
      <c r="H103" s="2790"/>
      <c r="I103" s="2790"/>
      <c r="J103" s="2847">
        <f>J92+J96+J100+J102</f>
        <v>5814.0599999999995</v>
      </c>
    </row>
    <row r="104" spans="1:11">
      <c r="A104" s="2819"/>
      <c r="B104" s="2821" t="s">
        <v>76</v>
      </c>
      <c r="C104" s="2819" t="s">
        <v>90</v>
      </c>
      <c r="F104" s="2790"/>
      <c r="G104" s="2790"/>
      <c r="H104" s="2790"/>
      <c r="I104" s="2790"/>
      <c r="J104" s="2847">
        <f>J103*10/100</f>
        <v>581.40599999999995</v>
      </c>
    </row>
    <row r="105" spans="1:11">
      <c r="B105" s="2811"/>
      <c r="C105" s="2790"/>
      <c r="D105" s="2828" t="s">
        <v>91</v>
      </c>
      <c r="H105" s="2807"/>
      <c r="I105" s="2807"/>
      <c r="J105" s="2847">
        <f>SUM(J103:J104)</f>
        <v>6395.4659999999994</v>
      </c>
    </row>
    <row r="106" spans="1:11">
      <c r="B106" s="2811"/>
      <c r="C106" s="2790"/>
      <c r="D106" s="2793" t="s">
        <v>50</v>
      </c>
      <c r="H106" s="2807"/>
      <c r="I106" s="2807"/>
      <c r="J106" s="2807">
        <f>J105/10</f>
        <v>639.5465999999999</v>
      </c>
    </row>
    <row r="107" spans="1:11">
      <c r="D107" s="2793" t="s">
        <v>52</v>
      </c>
      <c r="H107" s="2807"/>
      <c r="I107" s="2807"/>
      <c r="J107" s="2848">
        <f>ROUND(J106,0)</f>
        <v>640</v>
      </c>
      <c r="K107" s="2787">
        <v>512</v>
      </c>
    </row>
    <row r="108" spans="1:11">
      <c r="D108" s="2793"/>
      <c r="H108" s="2807"/>
      <c r="I108" s="2807"/>
      <c r="J108" s="2847" t="s">
        <v>53</v>
      </c>
    </row>
    <row r="109" spans="1:11">
      <c r="D109" s="2793"/>
      <c r="H109" s="2807"/>
      <c r="I109" s="2807"/>
      <c r="J109" s="2847"/>
    </row>
    <row r="110" spans="1:11" ht="120" customHeight="1">
      <c r="A110" s="2816"/>
      <c r="B110" s="3008" t="s">
        <v>92</v>
      </c>
      <c r="C110" s="3008"/>
      <c r="D110" s="3008"/>
      <c r="E110" s="3008"/>
      <c r="F110" s="3008"/>
      <c r="G110" s="3008"/>
      <c r="H110" s="3008"/>
      <c r="I110" s="3008"/>
      <c r="J110" s="3008"/>
    </row>
    <row r="111" spans="1:11">
      <c r="D111" s="2793" t="s">
        <v>10</v>
      </c>
      <c r="F111" s="2819" t="s">
        <v>93</v>
      </c>
      <c r="J111" s="2787"/>
    </row>
    <row r="112" spans="1:11">
      <c r="D112" s="2793" t="s">
        <v>56</v>
      </c>
      <c r="J112" s="2787"/>
    </row>
    <row r="113" spans="1:13">
      <c r="B113" s="2821" t="s">
        <v>36</v>
      </c>
      <c r="C113" s="2828" t="s">
        <v>37</v>
      </c>
      <c r="J113" s="2787"/>
    </row>
    <row r="114" spans="1:13">
      <c r="B114" s="2811">
        <v>0.86</v>
      </c>
      <c r="C114" s="2790" t="s">
        <v>57</v>
      </c>
      <c r="D114" s="2793" t="s">
        <v>14</v>
      </c>
      <c r="H114" s="2807">
        <f>'SSR-rates'!$I$58</f>
        <v>490</v>
      </c>
      <c r="I114" s="2822" t="s">
        <v>38</v>
      </c>
      <c r="J114" s="2811">
        <f>ROUND(B114*H114,2)</f>
        <v>421.4</v>
      </c>
      <c r="K114" s="2793"/>
    </row>
    <row r="115" spans="1:13">
      <c r="B115" s="2811">
        <v>1.5</v>
      </c>
      <c r="C115" s="2790" t="s">
        <v>57</v>
      </c>
      <c r="D115" s="2793" t="s">
        <v>58</v>
      </c>
      <c r="H115" s="2807">
        <f>'SSR-rates'!$I$59</f>
        <v>524</v>
      </c>
      <c r="I115" s="2822" t="s">
        <v>38</v>
      </c>
      <c r="J115" s="2811">
        <f>ROUND(B115*H115,2)</f>
        <v>786</v>
      </c>
    </row>
    <row r="116" spans="1:13">
      <c r="B116" s="2811">
        <v>20</v>
      </c>
      <c r="C116" s="2790" t="s">
        <v>57</v>
      </c>
      <c r="D116" s="2793" t="s">
        <v>59</v>
      </c>
      <c r="H116" s="2807">
        <f>'SSR-rates'!$I$60</f>
        <v>490</v>
      </c>
      <c r="I116" s="2822" t="s">
        <v>38</v>
      </c>
      <c r="J116" s="2811">
        <f>ROUND(B116*H116,2)</f>
        <v>9800</v>
      </c>
    </row>
    <row r="117" spans="1:13">
      <c r="A117" s="2819"/>
      <c r="B117" s="2808">
        <f>'Input Data'!$D$23</f>
        <v>0</v>
      </c>
      <c r="C117" s="2794"/>
      <c r="D117" s="2787" t="s">
        <v>17</v>
      </c>
      <c r="F117" s="2790"/>
      <c r="G117" s="2790"/>
      <c r="H117" s="2807">
        <f>SUM(J114:J116)</f>
        <v>11007.4</v>
      </c>
      <c r="I117" s="2822"/>
      <c r="J117" s="2807">
        <f>B117*H117</f>
        <v>0</v>
      </c>
    </row>
    <row r="118" spans="1:13" ht="15" customHeight="1">
      <c r="B118" s="2811"/>
      <c r="D118" s="2793" t="s">
        <v>60</v>
      </c>
      <c r="H118" s="2807"/>
      <c r="I118" s="2807"/>
      <c r="J118" s="2811">
        <f>SUM(J114:J117)</f>
        <v>11007.4</v>
      </c>
    </row>
    <row r="119" spans="1:13">
      <c r="B119" s="2821" t="s">
        <v>39</v>
      </c>
      <c r="C119" s="2828" t="s">
        <v>61</v>
      </c>
      <c r="H119" s="2807"/>
      <c r="I119" s="2807"/>
      <c r="J119" s="2807"/>
    </row>
    <row r="120" spans="1:13">
      <c r="B120" s="2811">
        <v>5.4</v>
      </c>
      <c r="C120" s="2790" t="s">
        <v>31</v>
      </c>
      <c r="D120" s="2793" t="s">
        <v>62</v>
      </c>
      <c r="H120" s="2807">
        <f>lead!$J$14</f>
        <v>1706.5179333714741</v>
      </c>
      <c r="I120" s="2807" t="s">
        <v>31</v>
      </c>
      <c r="J120" s="2807">
        <f>ROUND(B120*H120,2)</f>
        <v>9215.2000000000007</v>
      </c>
      <c r="K120" s="2787">
        <v>5.16</v>
      </c>
      <c r="L120" s="2787">
        <v>5.4</v>
      </c>
      <c r="M120" s="2787">
        <v>1139.82456140351</v>
      </c>
    </row>
    <row r="121" spans="1:13" ht="15" customHeight="1">
      <c r="B121" s="2811">
        <v>5.4</v>
      </c>
      <c r="C121" s="2790" t="s">
        <v>31</v>
      </c>
      <c r="D121" s="2787" t="s">
        <v>63</v>
      </c>
      <c r="H121" s="2807">
        <f>lead!$J$16</f>
        <v>2005.5179333714741</v>
      </c>
      <c r="I121" s="2807" t="s">
        <v>31</v>
      </c>
      <c r="J121" s="2807">
        <f>ROUND(B121*H121,2)</f>
        <v>10829.8</v>
      </c>
      <c r="L121" s="2787">
        <v>5.4</v>
      </c>
      <c r="M121" s="2787">
        <v>1659.82456140351</v>
      </c>
    </row>
    <row r="122" spans="1:13" ht="15" customHeight="1">
      <c r="B122" s="2811">
        <v>2.7</v>
      </c>
      <c r="C122" s="2790" t="s">
        <v>31</v>
      </c>
      <c r="D122" s="2787" t="s">
        <v>64</v>
      </c>
      <c r="H122" s="2807">
        <f>lead!$J$18</f>
        <v>1754.5179333714741</v>
      </c>
      <c r="I122" s="2807" t="s">
        <v>31</v>
      </c>
      <c r="J122" s="2807">
        <f>ROUND(B122*H122,2)</f>
        <v>4737.2</v>
      </c>
      <c r="L122" s="2787">
        <v>2.7</v>
      </c>
      <c r="M122" s="2787">
        <v>1229.82456140351</v>
      </c>
    </row>
    <row r="123" spans="1:13" ht="15" customHeight="1">
      <c r="B123" s="2811">
        <v>6.75</v>
      </c>
      <c r="C123" s="2790" t="s">
        <v>31</v>
      </c>
      <c r="D123" s="2793" t="s">
        <v>65</v>
      </c>
      <c r="H123" s="2807">
        <f>lead!J12</f>
        <v>1658.7679333714741</v>
      </c>
      <c r="I123" s="2807" t="s">
        <v>31</v>
      </c>
      <c r="J123" s="2807">
        <f>ROUND(B123*H123,2)</f>
        <v>11196.68</v>
      </c>
      <c r="L123" s="2787">
        <v>6.75</v>
      </c>
      <c r="M123" s="2787">
        <v>1207.0087719298201</v>
      </c>
    </row>
    <row r="124" spans="1:13" ht="15" customHeight="1">
      <c r="B124" s="2811">
        <v>5.16</v>
      </c>
      <c r="C124" s="2790" t="s">
        <v>66</v>
      </c>
      <c r="D124" s="2793" t="s">
        <v>67</v>
      </c>
      <c r="H124" s="2807">
        <f>lead!$J$36</f>
        <v>5000</v>
      </c>
      <c r="I124" s="2807" t="s">
        <v>66</v>
      </c>
      <c r="J124" s="2807">
        <f>ROUND(B124*H124,2)</f>
        <v>25800</v>
      </c>
      <c r="L124" s="2787">
        <v>5.16</v>
      </c>
      <c r="M124" s="2787">
        <v>6300</v>
      </c>
    </row>
    <row r="125" spans="1:13">
      <c r="B125" s="2811"/>
      <c r="C125" s="2794"/>
      <c r="D125" s="2793" t="s">
        <v>60</v>
      </c>
      <c r="H125" s="2807"/>
      <c r="I125" s="2807"/>
      <c r="J125" s="2807">
        <f>SUM(J120:J124)</f>
        <v>61778.880000000005</v>
      </c>
    </row>
    <row r="126" spans="1:13">
      <c r="B126" s="2821" t="s">
        <v>94</v>
      </c>
      <c r="C126" s="2828" t="s">
        <v>40</v>
      </c>
      <c r="H126" s="2807"/>
      <c r="I126" s="2807"/>
      <c r="J126" s="2807"/>
    </row>
    <row r="127" spans="1:13">
      <c r="B127" s="2811">
        <v>6</v>
      </c>
      <c r="C127" s="2790" t="s">
        <v>41</v>
      </c>
      <c r="D127" s="2793" t="s">
        <v>68</v>
      </c>
      <c r="H127" s="2807">
        <f>'SSR-rates'!$I$88</f>
        <v>627.6</v>
      </c>
      <c r="I127" s="2807" t="s">
        <v>41</v>
      </c>
      <c r="J127" s="2807">
        <f>ROUND(B127*H127,2)</f>
        <v>3765.6</v>
      </c>
    </row>
    <row r="128" spans="1:13">
      <c r="B128" s="2811">
        <v>6</v>
      </c>
      <c r="C128" s="2790" t="s">
        <v>41</v>
      </c>
      <c r="D128" s="2793" t="s">
        <v>69</v>
      </c>
      <c r="H128" s="2807">
        <f>'SSR-rates'!$I$87</f>
        <v>1237.4000000000001</v>
      </c>
      <c r="I128" s="2807" t="s">
        <v>41</v>
      </c>
      <c r="J128" s="2807">
        <f>ROUND(B128*H128,2)</f>
        <v>7424.4</v>
      </c>
    </row>
    <row r="129" spans="1:10">
      <c r="B129" s="2811"/>
      <c r="C129" s="2794"/>
      <c r="D129" s="2793" t="s">
        <v>60</v>
      </c>
      <c r="H129" s="2807"/>
      <c r="I129" s="2807"/>
      <c r="J129" s="2807">
        <f>SUM(J127:J128)</f>
        <v>11190</v>
      </c>
    </row>
    <row r="130" spans="1:10">
      <c r="A130" s="2819"/>
      <c r="B130" s="2821" t="s">
        <v>45</v>
      </c>
      <c r="C130" s="2819" t="s">
        <v>95</v>
      </c>
      <c r="F130" s="2790"/>
      <c r="G130" s="2790"/>
      <c r="H130" s="2790"/>
      <c r="I130" s="2790"/>
      <c r="J130" s="2847"/>
    </row>
    <row r="131" spans="1:10">
      <c r="A131" s="2819"/>
      <c r="B131" s="2811">
        <v>4</v>
      </c>
      <c r="C131" s="2794" t="s">
        <v>29</v>
      </c>
      <c r="D131" s="2793" t="s">
        <v>96</v>
      </c>
      <c r="F131" s="2790"/>
      <c r="G131" s="2790"/>
      <c r="H131" s="2790"/>
      <c r="I131" s="2790"/>
      <c r="J131" s="2807">
        <f>ROUND((J118+J125+J129)*B131/100,2)</f>
        <v>3359.05</v>
      </c>
    </row>
    <row r="132" spans="1:10">
      <c r="A132" s="2819"/>
      <c r="B132" s="2821" t="s">
        <v>47</v>
      </c>
      <c r="C132" s="2819" t="s">
        <v>97</v>
      </c>
      <c r="F132" s="2790"/>
      <c r="G132" s="2790"/>
      <c r="H132" s="2790"/>
      <c r="I132" s="2790"/>
      <c r="J132" s="2847"/>
    </row>
    <row r="133" spans="1:10">
      <c r="A133" s="2819"/>
      <c r="B133" s="2849">
        <f>'Input Data'!$D$25</f>
        <v>0</v>
      </c>
      <c r="C133" s="2794"/>
      <c r="D133" s="2793" t="str">
        <f>"Over head charges "&amp;'Input Data'!$D$25*100&amp;"%  on (A) + (B)"</f>
        <v>Over head charges 0%  on (A) + (B)</v>
      </c>
      <c r="F133" s="2790"/>
      <c r="G133" s="2790"/>
      <c r="H133" s="2794">
        <f>J131+J129+J125+J118</f>
        <v>87335.33</v>
      </c>
      <c r="I133" s="2790"/>
      <c r="J133" s="2807">
        <f>H133*B133</f>
        <v>0</v>
      </c>
    </row>
    <row r="134" spans="1:10">
      <c r="A134" s="2819"/>
      <c r="B134" s="2821" t="s">
        <v>76</v>
      </c>
      <c r="C134" s="2819" t="s">
        <v>89</v>
      </c>
      <c r="F134" s="2790"/>
      <c r="G134" s="2790"/>
      <c r="H134" s="2790"/>
      <c r="I134" s="2790"/>
      <c r="J134" s="2847">
        <f>J118+J125+J129+J133+J131</f>
        <v>87335.33</v>
      </c>
    </row>
    <row r="135" spans="1:10">
      <c r="A135" s="2819"/>
      <c r="B135" s="2821" t="s">
        <v>78</v>
      </c>
      <c r="C135" s="2819" t="s">
        <v>90</v>
      </c>
      <c r="F135" s="2790"/>
      <c r="G135" s="2790"/>
      <c r="H135" s="2790"/>
      <c r="I135" s="2790"/>
      <c r="J135" s="2847">
        <f>J134*10/100</f>
        <v>8733.5330000000013</v>
      </c>
    </row>
    <row r="136" spans="1:10">
      <c r="B136" s="2811"/>
      <c r="C136" s="2790"/>
      <c r="D136" s="2828" t="s">
        <v>98</v>
      </c>
      <c r="H136" s="2807"/>
      <c r="I136" s="2807"/>
      <c r="J136" s="2847">
        <f>SUM(J134:J135)</f>
        <v>96068.862999999998</v>
      </c>
    </row>
    <row r="137" spans="1:10">
      <c r="B137" s="2811"/>
      <c r="C137" s="2790"/>
      <c r="D137" s="2793" t="s">
        <v>81</v>
      </c>
      <c r="H137" s="2807"/>
      <c r="I137" s="2807"/>
      <c r="J137" s="2807">
        <f>ROUND(J136/15,2)</f>
        <v>6404.59</v>
      </c>
    </row>
    <row r="138" spans="1:10">
      <c r="D138" s="2793" t="s">
        <v>52</v>
      </c>
      <c r="H138" s="2807"/>
      <c r="I138" s="2807"/>
      <c r="J138" s="2848">
        <f>ROUND(J137,0)</f>
        <v>6405</v>
      </c>
    </row>
    <row r="139" spans="1:10">
      <c r="D139" s="2793"/>
      <c r="H139" s="2807"/>
      <c r="I139" s="2807"/>
      <c r="J139" s="2847" t="s">
        <v>53</v>
      </c>
    </row>
    <row r="140" spans="1:10" ht="108" hidden="1" customHeight="1">
      <c r="A140" s="2816">
        <v>3</v>
      </c>
      <c r="B140" s="3008" t="s">
        <v>99</v>
      </c>
      <c r="C140" s="3008"/>
      <c r="D140" s="3008"/>
      <c r="E140" s="3008"/>
      <c r="F140" s="3008"/>
      <c r="G140" s="3008"/>
      <c r="H140" s="3008"/>
      <c r="I140" s="3008"/>
      <c r="J140" s="3008"/>
    </row>
    <row r="141" spans="1:10" hidden="1">
      <c r="D141" s="2793" t="s">
        <v>10</v>
      </c>
      <c r="F141" s="2819" t="s">
        <v>100</v>
      </c>
      <c r="J141" s="2787"/>
    </row>
    <row r="142" spans="1:10" hidden="1">
      <c r="D142" s="2793" t="s">
        <v>56</v>
      </c>
      <c r="J142" s="2787"/>
    </row>
    <row r="143" spans="1:10" hidden="1">
      <c r="B143" s="2821" t="s">
        <v>36</v>
      </c>
      <c r="C143" s="2828" t="s">
        <v>37</v>
      </c>
      <c r="J143" s="2787"/>
    </row>
    <row r="144" spans="1:10" hidden="1">
      <c r="B144" s="2811">
        <v>0.64</v>
      </c>
      <c r="C144" s="2790" t="s">
        <v>57</v>
      </c>
      <c r="D144" s="2793" t="s">
        <v>14</v>
      </c>
      <c r="H144" s="2807">
        <f>'SSR-rates'!$I$58</f>
        <v>490</v>
      </c>
      <c r="I144" s="2822" t="s">
        <v>38</v>
      </c>
      <c r="J144" s="2811">
        <f>ROUND(B144*H144,2)</f>
        <v>313.60000000000002</v>
      </c>
    </row>
    <row r="145" spans="1:10" hidden="1">
      <c r="B145" s="2811">
        <v>1</v>
      </c>
      <c r="C145" s="2790" t="s">
        <v>57</v>
      </c>
      <c r="D145" s="2793" t="s">
        <v>58</v>
      </c>
      <c r="H145" s="2807">
        <f>'SSR-rates'!$I$59</f>
        <v>524</v>
      </c>
      <c r="I145" s="2822" t="s">
        <v>38</v>
      </c>
      <c r="J145" s="2811">
        <f>ROUND(B145*H145,2)</f>
        <v>524</v>
      </c>
    </row>
    <row r="146" spans="1:10" hidden="1">
      <c r="B146" s="2811">
        <v>15</v>
      </c>
      <c r="C146" s="2790" t="s">
        <v>57</v>
      </c>
      <c r="D146" s="2793" t="s">
        <v>59</v>
      </c>
      <c r="H146" s="2807">
        <f>'SSR-rates'!$I$60</f>
        <v>490</v>
      </c>
      <c r="I146" s="2822" t="s">
        <v>38</v>
      </c>
      <c r="J146" s="2811">
        <f>ROUND(B146*H146,2)</f>
        <v>7350</v>
      </c>
    </row>
    <row r="147" spans="1:10" hidden="1">
      <c r="A147" s="2819"/>
      <c r="B147" s="2808">
        <f>'Input Data'!$D$23</f>
        <v>0</v>
      </c>
      <c r="C147" s="2794"/>
      <c r="D147" s="2787" t="s">
        <v>17</v>
      </c>
      <c r="F147" s="2790"/>
      <c r="G147" s="2790"/>
      <c r="H147" s="2807">
        <f>SUM(J144:J146)</f>
        <v>8187.6</v>
      </c>
      <c r="I147" s="2822"/>
      <c r="J147" s="2807">
        <f>B147*H147</f>
        <v>0</v>
      </c>
    </row>
    <row r="148" spans="1:10" hidden="1">
      <c r="B148" s="2811"/>
      <c r="C148" s="2790"/>
      <c r="D148" s="2793" t="s">
        <v>60</v>
      </c>
      <c r="H148" s="2807"/>
      <c r="I148" s="2807"/>
      <c r="J148" s="2811">
        <f>SUM(J144:J147)</f>
        <v>8187.6</v>
      </c>
    </row>
    <row r="149" spans="1:10" hidden="1">
      <c r="B149" s="2821" t="s">
        <v>39</v>
      </c>
      <c r="C149" s="2828" t="s">
        <v>61</v>
      </c>
      <c r="H149" s="2807"/>
      <c r="I149" s="2807"/>
      <c r="J149" s="2807"/>
    </row>
    <row r="150" spans="1:10" hidden="1">
      <c r="B150" s="2811">
        <v>13.5</v>
      </c>
      <c r="C150" s="2790" t="s">
        <v>31</v>
      </c>
      <c r="D150" s="2787" t="s">
        <v>62</v>
      </c>
      <c r="H150" s="2807">
        <f>lead!$J$14</f>
        <v>1706.5179333714741</v>
      </c>
      <c r="I150" s="2807" t="s">
        <v>31</v>
      </c>
      <c r="J150" s="2807">
        <f>ROUND(B150*H150,2)</f>
        <v>23037.99</v>
      </c>
    </row>
    <row r="151" spans="1:10" hidden="1">
      <c r="B151" s="2811">
        <v>6.75</v>
      </c>
      <c r="C151" s="2790" t="s">
        <v>31</v>
      </c>
      <c r="D151" s="2793" t="s">
        <v>65</v>
      </c>
      <c r="H151" s="2844">
        <f>lead!J12</f>
        <v>1658.7679333714741</v>
      </c>
      <c r="I151" s="2807" t="s">
        <v>31</v>
      </c>
      <c r="J151" s="2807">
        <f>ROUND(B151*H151,2)</f>
        <v>11196.68</v>
      </c>
    </row>
    <row r="152" spans="1:10" hidden="1">
      <c r="B152" s="2845">
        <v>3.45</v>
      </c>
      <c r="C152" s="2790" t="s">
        <v>66</v>
      </c>
      <c r="D152" s="2793" t="s">
        <v>67</v>
      </c>
      <c r="H152" s="2807">
        <f>'Input Data'!$I$24</f>
        <v>5000</v>
      </c>
      <c r="I152" s="2807" t="s">
        <v>66</v>
      </c>
      <c r="J152" s="2807">
        <f>ROUND(B152*H152,2)</f>
        <v>17250</v>
      </c>
    </row>
    <row r="153" spans="1:10" hidden="1">
      <c r="B153" s="2793"/>
      <c r="D153" s="2793" t="s">
        <v>60</v>
      </c>
      <c r="H153" s="2807"/>
      <c r="I153" s="2807"/>
      <c r="J153" s="2807">
        <f>SUM(J150:J152)</f>
        <v>51484.67</v>
      </c>
    </row>
    <row r="154" spans="1:10" hidden="1">
      <c r="B154" s="2821" t="s">
        <v>27</v>
      </c>
      <c r="C154" s="2828" t="s">
        <v>40</v>
      </c>
      <c r="H154" s="2807"/>
      <c r="I154" s="2807"/>
      <c r="J154" s="2807"/>
    </row>
    <row r="155" spans="1:10" hidden="1">
      <c r="B155" s="2811">
        <v>6</v>
      </c>
      <c r="C155" s="2790" t="s">
        <v>41</v>
      </c>
      <c r="D155" s="2793" t="s">
        <v>68</v>
      </c>
      <c r="H155" s="2807">
        <f>'SSR-rates'!$I$88</f>
        <v>627.6</v>
      </c>
      <c r="I155" s="2807" t="s">
        <v>41</v>
      </c>
      <c r="J155" s="2807">
        <f>ROUND(B155*H155,2)</f>
        <v>3765.6</v>
      </c>
    </row>
    <row r="156" spans="1:10" hidden="1">
      <c r="B156" s="2811">
        <v>6</v>
      </c>
      <c r="C156" s="2790" t="s">
        <v>41</v>
      </c>
      <c r="D156" s="2793" t="s">
        <v>69</v>
      </c>
      <c r="H156" s="2807">
        <f>'SSR-rates'!$I$87</f>
        <v>1237.4000000000001</v>
      </c>
      <c r="I156" s="2807" t="s">
        <v>41</v>
      </c>
      <c r="J156" s="2807">
        <f>ROUND(B156*H156,2)</f>
        <v>7424.4</v>
      </c>
    </row>
    <row r="157" spans="1:10" hidden="1">
      <c r="B157" s="2811">
        <v>2</v>
      </c>
      <c r="C157" s="2790" t="s">
        <v>41</v>
      </c>
      <c r="D157" s="2793" t="s">
        <v>70</v>
      </c>
      <c r="H157" s="2807">
        <f>'SSR-rates'!$I$69</f>
        <v>699</v>
      </c>
      <c r="I157" s="2807" t="s">
        <v>41</v>
      </c>
      <c r="J157" s="2807">
        <f>ROUND(B157*H157,2)</f>
        <v>1398</v>
      </c>
    </row>
    <row r="158" spans="1:10" hidden="1">
      <c r="B158" s="2811"/>
      <c r="C158" s="2794"/>
      <c r="D158" s="2793" t="s">
        <v>60</v>
      </c>
      <c r="H158" s="2807"/>
      <c r="I158" s="2807"/>
      <c r="J158" s="2807">
        <f>SUM(J155:J157)</f>
        <v>12588</v>
      </c>
    </row>
    <row r="159" spans="1:10" hidden="1">
      <c r="B159" s="2821" t="s">
        <v>45</v>
      </c>
      <c r="C159" s="2828" t="s">
        <v>71</v>
      </c>
      <c r="H159" s="2807"/>
      <c r="I159" s="2807"/>
      <c r="J159" s="2807"/>
    </row>
    <row r="160" spans="1:10" hidden="1">
      <c r="B160" s="2793"/>
      <c r="C160" s="2790" t="s">
        <v>29</v>
      </c>
      <c r="D160" s="2787" t="s">
        <v>72</v>
      </c>
      <c r="H160" s="2807">
        <f>J148+J153+J158</f>
        <v>72260.26999999999</v>
      </c>
      <c r="I160" s="2822" t="s">
        <v>73</v>
      </c>
      <c r="J160" s="2807"/>
    </row>
    <row r="161" spans="1:10" hidden="1">
      <c r="A161" s="2819"/>
      <c r="B161" s="2821" t="s">
        <v>47</v>
      </c>
      <c r="C161" s="2819" t="s">
        <v>74</v>
      </c>
      <c r="F161" s="2790"/>
      <c r="G161" s="2790"/>
      <c r="H161" s="2790"/>
      <c r="I161" s="2790"/>
      <c r="J161" s="2847"/>
    </row>
    <row r="162" spans="1:10" hidden="1">
      <c r="A162" s="2819"/>
      <c r="B162" s="2812">
        <f>'Input Data'!$D$25</f>
        <v>0</v>
      </c>
      <c r="C162" s="3014" t="s">
        <v>75</v>
      </c>
      <c r="D162" s="3015"/>
      <c r="E162" s="3015"/>
      <c r="F162" s="3015"/>
      <c r="G162" s="3016"/>
      <c r="H162" s="2794">
        <f>J160+J158+J153+J148</f>
        <v>72260.27</v>
      </c>
      <c r="I162" s="2790"/>
      <c r="J162" s="2807">
        <f>H162*B162</f>
        <v>0</v>
      </c>
    </row>
    <row r="163" spans="1:10" hidden="1">
      <c r="A163" s="2819"/>
      <c r="B163" s="2821" t="s">
        <v>76</v>
      </c>
      <c r="C163" s="2819" t="s">
        <v>77</v>
      </c>
      <c r="F163" s="2790"/>
      <c r="G163" s="2790"/>
      <c r="H163" s="2790"/>
      <c r="I163" s="2790"/>
      <c r="J163" s="2847">
        <f>J148+J153+J158+J160+J162</f>
        <v>72260.26999999999</v>
      </c>
    </row>
    <row r="164" spans="1:10" hidden="1">
      <c r="A164" s="2819"/>
      <c r="B164" s="2821" t="s">
        <v>78</v>
      </c>
      <c r="C164" s="2819" t="s">
        <v>79</v>
      </c>
      <c r="F164" s="2790"/>
      <c r="G164" s="2790"/>
      <c r="H164" s="2790"/>
      <c r="I164" s="2790"/>
      <c r="J164" s="2847">
        <f>J163*10/100</f>
        <v>7226.0269999999991</v>
      </c>
    </row>
    <row r="165" spans="1:10" hidden="1">
      <c r="B165" s="2811"/>
      <c r="C165" s="2790"/>
      <c r="D165" s="2828" t="s">
        <v>80</v>
      </c>
      <c r="H165" s="2807"/>
      <c r="I165" s="2807"/>
      <c r="J165" s="2847">
        <f>SUM(J163:J164)</f>
        <v>79486.296999999991</v>
      </c>
    </row>
    <row r="166" spans="1:10" hidden="1">
      <c r="B166" s="2811"/>
      <c r="C166" s="2790"/>
      <c r="D166" s="2793" t="s">
        <v>81</v>
      </c>
      <c r="H166" s="2807"/>
      <c r="I166" s="2807"/>
      <c r="J166" s="2807">
        <f>ROUND(J165/15,2)</f>
        <v>5299.09</v>
      </c>
    </row>
    <row r="167" spans="1:10" hidden="1">
      <c r="D167" s="2793" t="s">
        <v>52</v>
      </c>
      <c r="H167" s="2807"/>
      <c r="I167" s="2807"/>
      <c r="J167" s="2848">
        <f>ROUND(J166,0)</f>
        <v>5299</v>
      </c>
    </row>
    <row r="168" spans="1:10" hidden="1">
      <c r="D168" s="2793"/>
      <c r="H168" s="2807"/>
      <c r="I168" s="2807"/>
      <c r="J168" s="2847" t="s">
        <v>53</v>
      </c>
    </row>
    <row r="169" spans="1:10" hidden="1">
      <c r="D169" s="2793"/>
      <c r="H169" s="2807"/>
      <c r="I169" s="2807"/>
      <c r="J169" s="2847"/>
    </row>
    <row r="170" spans="1:10">
      <c r="D170" s="2793"/>
      <c r="H170" s="2807"/>
      <c r="I170" s="2807"/>
      <c r="J170" s="2847"/>
    </row>
    <row r="171" spans="1:10" s="2788" customFormat="1" ht="117" customHeight="1">
      <c r="A171" s="2850"/>
      <c r="B171" s="3020" t="s">
        <v>101</v>
      </c>
      <c r="C171" s="3020"/>
      <c r="D171" s="3020"/>
      <c r="E171" s="3020"/>
      <c r="F171" s="3020"/>
      <c r="G171" s="3020"/>
      <c r="H171" s="3020"/>
      <c r="I171" s="3020"/>
      <c r="J171" s="3020"/>
    </row>
    <row r="172" spans="1:10" s="2788" customFormat="1" ht="15.75">
      <c r="A172" s="2851"/>
      <c r="D172" s="2852" t="s">
        <v>102</v>
      </c>
      <c r="F172" s="2853" t="s">
        <v>103</v>
      </c>
    </row>
    <row r="173" spans="1:10" s="2788" customFormat="1">
      <c r="A173" s="2851"/>
      <c r="D173" s="2852" t="s">
        <v>104</v>
      </c>
    </row>
    <row r="174" spans="1:10" s="2788" customFormat="1" ht="15.75">
      <c r="A174" s="2851"/>
      <c r="D174" s="2854" t="s">
        <v>105</v>
      </c>
    </row>
    <row r="175" spans="1:10" s="2788" customFormat="1" ht="15.75">
      <c r="A175" s="2851"/>
      <c r="B175" s="2855" t="s">
        <v>36</v>
      </c>
      <c r="C175" s="2856" t="s">
        <v>37</v>
      </c>
    </row>
    <row r="176" spans="1:10" s="2788" customFormat="1">
      <c r="A176" s="2851"/>
      <c r="B176" s="2857">
        <v>0.18</v>
      </c>
      <c r="C176" s="2851" t="s">
        <v>106</v>
      </c>
      <c r="D176" s="2852" t="s">
        <v>14</v>
      </c>
      <c r="H176" s="2858">
        <f>'SSR-rates'!$I$58</f>
        <v>490</v>
      </c>
      <c r="I176" s="2862" t="s">
        <v>38</v>
      </c>
      <c r="J176" s="2858">
        <f>ROUND(B176*H176,2)</f>
        <v>88.2</v>
      </c>
    </row>
    <row r="177" spans="1:12" s="2788" customFormat="1">
      <c r="A177" s="2851"/>
      <c r="B177" s="2857">
        <v>0.5</v>
      </c>
      <c r="C177" s="2851" t="s">
        <v>106</v>
      </c>
      <c r="D177" s="2852" t="s">
        <v>58</v>
      </c>
      <c r="H177" s="2858">
        <f>'SSR-rates'!$I$59</f>
        <v>524</v>
      </c>
      <c r="I177" s="2862" t="s">
        <v>38</v>
      </c>
      <c r="J177" s="2858">
        <f>ROUND(B177*H177,2)</f>
        <v>262</v>
      </c>
    </row>
    <row r="178" spans="1:12" s="2788" customFormat="1">
      <c r="A178" s="2851"/>
      <c r="B178" s="2857">
        <v>4</v>
      </c>
      <c r="C178" s="2851" t="s">
        <v>106</v>
      </c>
      <c r="D178" s="2852" t="s">
        <v>59</v>
      </c>
      <c r="H178" s="2858">
        <f>'SSR-rates'!$I$60</f>
        <v>490</v>
      </c>
      <c r="I178" s="2862" t="s">
        <v>38</v>
      </c>
      <c r="J178" s="2858">
        <f>ROUND(B178*H178,2)</f>
        <v>1960</v>
      </c>
    </row>
    <row r="179" spans="1:12" s="2788" customFormat="1" ht="15.75">
      <c r="A179" s="2853"/>
      <c r="B179" s="2859">
        <f>'Input Data'!$D$23</f>
        <v>0</v>
      </c>
      <c r="C179" s="2860"/>
      <c r="D179" s="2788" t="s">
        <v>17</v>
      </c>
      <c r="F179" s="2851"/>
      <c r="G179" s="2851"/>
      <c r="H179" s="2858">
        <f>SUM(J176:J178)</f>
        <v>2310.1999999999998</v>
      </c>
      <c r="I179" s="2862"/>
      <c r="J179" s="2858">
        <f>B179*H179</f>
        <v>0</v>
      </c>
    </row>
    <row r="180" spans="1:12" s="2788" customFormat="1">
      <c r="A180" s="2851"/>
      <c r="B180" s="2857"/>
      <c r="D180" s="2852" t="s">
        <v>60</v>
      </c>
      <c r="H180" s="2858"/>
      <c r="I180" s="2858"/>
      <c r="J180" s="2858">
        <f>SUM(J176:J179)</f>
        <v>2310.1999999999998</v>
      </c>
    </row>
    <row r="181" spans="1:12" s="2788" customFormat="1" ht="15.75">
      <c r="A181" s="2851"/>
      <c r="B181" s="2855" t="s">
        <v>39</v>
      </c>
      <c r="C181" s="2856" t="s">
        <v>61</v>
      </c>
      <c r="H181" s="2858"/>
      <c r="I181" s="2858"/>
      <c r="J181" s="2858"/>
    </row>
    <row r="182" spans="1:12" s="2788" customFormat="1">
      <c r="A182" s="2851"/>
      <c r="B182" s="2857">
        <v>12.5</v>
      </c>
      <c r="C182" s="2851" t="s">
        <v>107</v>
      </c>
      <c r="D182" s="2852" t="s">
        <v>108</v>
      </c>
      <c r="H182" s="2858">
        <f>lead!$J$44</f>
        <v>11543.485247106455</v>
      </c>
      <c r="I182" s="2858" t="s">
        <v>107</v>
      </c>
      <c r="J182" s="2858">
        <f>ROUND(B182*H182,2)</f>
        <v>144293.57</v>
      </c>
    </row>
    <row r="183" spans="1:12" s="2788" customFormat="1">
      <c r="A183" s="2851"/>
      <c r="B183" s="2857"/>
      <c r="C183" s="2860"/>
      <c r="D183" s="2852" t="s">
        <v>60</v>
      </c>
      <c r="H183" s="2858"/>
      <c r="I183" s="2858"/>
      <c r="J183" s="2858">
        <f>SUM(J182:J182)</f>
        <v>144293.57</v>
      </c>
    </row>
    <row r="184" spans="1:12" s="2788" customFormat="1" ht="15.75">
      <c r="A184" s="2853"/>
      <c r="B184" s="2855" t="s">
        <v>27</v>
      </c>
      <c r="C184" s="2853" t="s">
        <v>109</v>
      </c>
      <c r="F184" s="2851"/>
      <c r="G184" s="2851"/>
      <c r="H184" s="2851"/>
      <c r="I184" s="2851"/>
      <c r="J184" s="2863"/>
    </row>
    <row r="185" spans="1:12" s="2788" customFormat="1" ht="15.75">
      <c r="A185" s="2853"/>
      <c r="B185" s="2861">
        <f>'Input Data'!$D$25</f>
        <v>0</v>
      </c>
      <c r="C185" s="2860"/>
      <c r="D185" s="2852" t="str">
        <f>"Over head charges "&amp;'Input Data'!$D$25*100&amp;"%  on (A) + (B)"</f>
        <v>Over head charges 0%  on (A) + (B)</v>
      </c>
      <c r="F185" s="2851"/>
      <c r="G185" s="2851"/>
      <c r="H185" s="2860">
        <f>J183+J180</f>
        <v>146603.77000000002</v>
      </c>
      <c r="I185" s="2851"/>
      <c r="J185" s="2858">
        <f>H185*B185</f>
        <v>0</v>
      </c>
    </row>
    <row r="186" spans="1:12" s="2788" customFormat="1" ht="15.75">
      <c r="A186" s="2853"/>
      <c r="B186" s="2855" t="s">
        <v>45</v>
      </c>
      <c r="C186" s="2853" t="s">
        <v>46</v>
      </c>
      <c r="F186" s="2851"/>
      <c r="G186" s="2851"/>
      <c r="H186" s="2851"/>
      <c r="I186" s="2851"/>
      <c r="J186" s="2863">
        <f>J180+J183+J185</f>
        <v>146603.77000000002</v>
      </c>
    </row>
    <row r="187" spans="1:12" s="2788" customFormat="1" ht="15.75">
      <c r="A187" s="2853"/>
      <c r="B187" s="2855" t="s">
        <v>47</v>
      </c>
      <c r="C187" s="2853" t="s">
        <v>48</v>
      </c>
      <c r="F187" s="2851"/>
      <c r="G187" s="2851"/>
      <c r="H187" s="2851"/>
      <c r="I187" s="2851"/>
      <c r="J187" s="2863">
        <f>J186*10/100</f>
        <v>14660.377000000002</v>
      </c>
    </row>
    <row r="188" spans="1:12" s="2788" customFormat="1" ht="15.75">
      <c r="A188" s="2851"/>
      <c r="B188" s="2857"/>
      <c r="C188" s="2851"/>
      <c r="D188" s="2856" t="s">
        <v>110</v>
      </c>
      <c r="H188" s="2858"/>
      <c r="I188" s="2858"/>
      <c r="J188" s="2863">
        <f>SUM(J186:J187)</f>
        <v>161264.14700000003</v>
      </c>
    </row>
    <row r="189" spans="1:12" s="2788" customFormat="1">
      <c r="A189" s="2851"/>
      <c r="B189" s="2857"/>
      <c r="C189" s="2851"/>
      <c r="D189" s="2852" t="s">
        <v>111</v>
      </c>
      <c r="H189" s="2858"/>
      <c r="I189" s="2858"/>
      <c r="J189" s="2858">
        <f>ROUND(J188/12.5,2)</f>
        <v>12901.13</v>
      </c>
    </row>
    <row r="190" spans="1:12" s="2788" customFormat="1" ht="15.75">
      <c r="A190" s="2851"/>
      <c r="D190" s="2852" t="s">
        <v>52</v>
      </c>
      <c r="H190" s="2858"/>
      <c r="I190" s="2858"/>
      <c r="J190" s="2864">
        <f>ROUND(J189,0)</f>
        <v>12901</v>
      </c>
      <c r="K190" s="2788">
        <v>10089</v>
      </c>
      <c r="L190" s="2788">
        <f>J190*2</f>
        <v>25802</v>
      </c>
    </row>
    <row r="191" spans="1:12" s="2788" customFormat="1" ht="15.75">
      <c r="A191" s="2851"/>
      <c r="D191" s="2852"/>
      <c r="H191" s="2858"/>
      <c r="I191" s="2858"/>
      <c r="J191" s="2863" t="s">
        <v>112</v>
      </c>
    </row>
    <row r="192" spans="1:12" s="2788" customFormat="1" ht="15.75">
      <c r="A192" s="2851"/>
      <c r="D192" s="2852"/>
      <c r="H192" s="2858"/>
      <c r="I192" s="2858"/>
      <c r="J192" s="2863"/>
    </row>
    <row r="193" spans="1:10" ht="62.25" customHeight="1">
      <c r="A193" s="2816"/>
      <c r="B193" s="3008" t="s">
        <v>113</v>
      </c>
      <c r="C193" s="3008"/>
      <c r="D193" s="3008"/>
      <c r="E193" s="3008"/>
      <c r="F193" s="3008"/>
      <c r="G193" s="3008"/>
      <c r="H193" s="3008"/>
      <c r="I193" s="3008"/>
      <c r="J193" s="3008"/>
    </row>
    <row r="194" spans="1:10">
      <c r="D194" s="2793" t="s">
        <v>10</v>
      </c>
      <c r="F194" s="2819" t="s">
        <v>114</v>
      </c>
      <c r="J194" s="2787"/>
    </row>
    <row r="195" spans="1:10">
      <c r="D195" s="2793" t="s">
        <v>115</v>
      </c>
      <c r="J195" s="2787"/>
    </row>
    <row r="196" spans="1:10">
      <c r="B196" s="2821" t="s">
        <v>36</v>
      </c>
      <c r="C196" s="2828" t="s">
        <v>37</v>
      </c>
      <c r="J196" s="2787"/>
    </row>
    <row r="197" spans="1:10">
      <c r="B197" s="2811">
        <v>0.05</v>
      </c>
      <c r="C197" s="2790" t="s">
        <v>57</v>
      </c>
      <c r="D197" s="2793" t="s">
        <v>14</v>
      </c>
      <c r="H197" s="2807">
        <f>'SSR-rates'!I$58</f>
        <v>490</v>
      </c>
      <c r="I197" s="2822" t="s">
        <v>38</v>
      </c>
      <c r="J197" s="2807">
        <f>ROUND(B197*H197,2)</f>
        <v>24.5</v>
      </c>
    </row>
    <row r="198" spans="1:10">
      <c r="B198" s="2811">
        <v>0.25</v>
      </c>
      <c r="C198" s="2790" t="s">
        <v>57</v>
      </c>
      <c r="D198" s="2793" t="s">
        <v>15</v>
      </c>
      <c r="H198" s="2807">
        <f>'SSR-rates'!I59</f>
        <v>524</v>
      </c>
      <c r="I198" s="2822" t="s">
        <v>38</v>
      </c>
      <c r="J198" s="2807">
        <f>ROUND(B198*H198,2)</f>
        <v>131</v>
      </c>
    </row>
    <row r="199" spans="1:10">
      <c r="B199" s="2811">
        <v>1</v>
      </c>
      <c r="C199" s="2790" t="s">
        <v>57</v>
      </c>
      <c r="D199" s="2793" t="s">
        <v>59</v>
      </c>
      <c r="H199" s="2807">
        <f>'SSR-rates'!I$60</f>
        <v>490</v>
      </c>
      <c r="I199" s="2822" t="s">
        <v>38</v>
      </c>
      <c r="J199" s="2807">
        <f>ROUND(B199*H199,2)</f>
        <v>490</v>
      </c>
    </row>
    <row r="200" spans="1:10">
      <c r="A200" s="2819"/>
      <c r="B200" s="2808">
        <f>'Input Data'!$D$23</f>
        <v>0</v>
      </c>
      <c r="C200" s="2794"/>
      <c r="D200" s="2787" t="s">
        <v>17</v>
      </c>
      <c r="F200" s="2790"/>
      <c r="G200" s="2790"/>
      <c r="H200" s="2807">
        <f>SUM(J197:J199)</f>
        <v>645.5</v>
      </c>
      <c r="I200" s="2822"/>
      <c r="J200" s="2807">
        <f>B200*H200</f>
        <v>0</v>
      </c>
    </row>
    <row r="201" spans="1:10">
      <c r="B201" s="2793" t="s">
        <v>85</v>
      </c>
      <c r="D201" s="2793" t="s">
        <v>60</v>
      </c>
      <c r="H201" s="2807"/>
      <c r="I201" s="2822"/>
      <c r="J201" s="2807">
        <f>SUM(J197:J200)</f>
        <v>645.5</v>
      </c>
    </row>
    <row r="202" spans="1:10">
      <c r="B202" s="2793"/>
      <c r="D202" s="2793"/>
      <c r="H202" s="2807"/>
      <c r="I202" s="2807"/>
      <c r="J202" s="2807"/>
    </row>
    <row r="203" spans="1:10">
      <c r="B203" s="2821" t="s">
        <v>39</v>
      </c>
      <c r="C203" s="2828" t="s">
        <v>61</v>
      </c>
      <c r="H203" s="2807"/>
      <c r="I203" s="2807"/>
      <c r="J203" s="2807"/>
    </row>
    <row r="204" spans="1:10">
      <c r="B204" s="2811">
        <v>1.2</v>
      </c>
      <c r="C204" s="2790" t="s">
        <v>31</v>
      </c>
      <c r="D204" s="2793" t="s">
        <v>86</v>
      </c>
      <c r="H204" s="2807">
        <f>lead!J$34</f>
        <v>173.07604629670379</v>
      </c>
      <c r="I204" s="2807" t="s">
        <v>31</v>
      </c>
      <c r="J204" s="2807">
        <f>ROUND(B204*H204,2)</f>
        <v>207.69</v>
      </c>
    </row>
    <row r="205" spans="1:10">
      <c r="B205" s="2793"/>
      <c r="D205" s="2793" t="s">
        <v>60</v>
      </c>
      <c r="H205" s="2807"/>
      <c r="I205" s="2807"/>
      <c r="J205" s="2807">
        <f>SUM(J204:J204)</f>
        <v>207.69</v>
      </c>
    </row>
    <row r="206" spans="1:10">
      <c r="A206" s="2819"/>
      <c r="B206" s="2821" t="s">
        <v>27</v>
      </c>
      <c r="C206" s="2819" t="s">
        <v>74</v>
      </c>
      <c r="F206" s="2790"/>
      <c r="G206" s="2790"/>
      <c r="H206" s="2790"/>
      <c r="I206" s="2790"/>
      <c r="J206" s="2847"/>
    </row>
    <row r="207" spans="1:10" ht="27.75" customHeight="1">
      <c r="A207" s="2819"/>
      <c r="B207" s="2812">
        <f>'Input Data'!$D$25</f>
        <v>0</v>
      </c>
      <c r="C207" s="3017" t="str">
        <f>"Over head charges "&amp;'Input Data'!$D$25*100&amp;"%  on (A) + (B)"</f>
        <v>Over head charges 0%  on (A) + (B)</v>
      </c>
      <c r="D207" s="3018"/>
      <c r="E207" s="3018"/>
      <c r="F207" s="3018"/>
      <c r="G207" s="3019"/>
      <c r="H207" s="2794">
        <f>J205+J201</f>
        <v>853.19</v>
      </c>
      <c r="I207" s="2790"/>
      <c r="J207" s="2807">
        <f>H207*B207</f>
        <v>0</v>
      </c>
    </row>
    <row r="208" spans="1:10">
      <c r="A208" s="2819"/>
      <c r="B208" s="2821" t="s">
        <v>47</v>
      </c>
      <c r="C208" s="2819" t="s">
        <v>89</v>
      </c>
      <c r="F208" s="2790"/>
      <c r="G208" s="2790"/>
      <c r="H208" s="2790"/>
      <c r="I208" s="2790"/>
      <c r="J208" s="2847">
        <f>J201+J205+J207</f>
        <v>853.19</v>
      </c>
    </row>
    <row r="209" spans="1:10">
      <c r="A209" s="2819"/>
      <c r="B209" s="2821" t="s">
        <v>76</v>
      </c>
      <c r="C209" s="2819" t="s">
        <v>90</v>
      </c>
      <c r="F209" s="2790"/>
      <c r="G209" s="2790"/>
      <c r="H209" s="2790"/>
      <c r="I209" s="2790"/>
      <c r="J209" s="2847">
        <f>J208*10/100</f>
        <v>85.319000000000017</v>
      </c>
    </row>
    <row r="210" spans="1:10">
      <c r="B210" s="2811"/>
      <c r="C210" s="2790"/>
      <c r="D210" s="2828" t="s">
        <v>91</v>
      </c>
      <c r="H210" s="2807"/>
      <c r="I210" s="2807"/>
      <c r="J210" s="2847">
        <f>SUM(J208:J209)</f>
        <v>938.50900000000001</v>
      </c>
    </row>
    <row r="211" spans="1:10">
      <c r="B211" s="2811"/>
      <c r="C211" s="2790"/>
      <c r="D211" s="2793" t="s">
        <v>50</v>
      </c>
      <c r="H211" s="2807"/>
      <c r="I211" s="2807"/>
      <c r="J211" s="2807">
        <f>J210</f>
        <v>938.50900000000001</v>
      </c>
    </row>
    <row r="212" spans="1:10">
      <c r="D212" s="2793" t="s">
        <v>52</v>
      </c>
      <c r="H212" s="2807"/>
      <c r="I212" s="2807"/>
      <c r="J212" s="2848">
        <f>ROUND(J211,0)</f>
        <v>939</v>
      </c>
    </row>
    <row r="213" spans="1:10">
      <c r="D213" s="2793"/>
      <c r="H213" s="2807"/>
      <c r="I213" s="2807"/>
      <c r="J213" s="2847" t="s">
        <v>53</v>
      </c>
    </row>
    <row r="214" spans="1:10">
      <c r="D214" s="2793"/>
      <c r="H214" s="2807"/>
      <c r="I214" s="2807"/>
      <c r="J214" s="2847"/>
    </row>
    <row r="215" spans="1:10" ht="82.5" customHeight="1">
      <c r="A215" s="2865"/>
      <c r="B215" s="3008" t="s">
        <v>116</v>
      </c>
      <c r="C215" s="3008"/>
      <c r="D215" s="3008"/>
      <c r="E215" s="3008"/>
      <c r="F215" s="3008"/>
      <c r="G215" s="3008"/>
      <c r="H215" s="3008"/>
      <c r="I215" s="3008"/>
      <c r="J215" s="3008"/>
    </row>
    <row r="216" spans="1:10">
      <c r="D216" s="2793" t="s">
        <v>10</v>
      </c>
      <c r="F216" s="2819" t="s">
        <v>117</v>
      </c>
      <c r="J216" s="2787"/>
    </row>
    <row r="217" spans="1:10">
      <c r="D217" s="2793" t="s">
        <v>115</v>
      </c>
      <c r="J217" s="2787"/>
    </row>
    <row r="218" spans="1:10">
      <c r="B218" s="2821" t="s">
        <v>36</v>
      </c>
      <c r="C218" s="2828" t="s">
        <v>37</v>
      </c>
      <c r="J218" s="2787"/>
    </row>
    <row r="219" spans="1:10">
      <c r="B219" s="2811">
        <v>0.04</v>
      </c>
      <c r="C219" s="2790" t="s">
        <v>57</v>
      </c>
      <c r="D219" s="2793" t="s">
        <v>14</v>
      </c>
      <c r="H219" s="2807">
        <f>'SSR-rates'!I$58</f>
        <v>490</v>
      </c>
      <c r="I219" s="2822" t="s">
        <v>38</v>
      </c>
      <c r="J219" s="2807">
        <f>ROUND(B219*H219,2)</f>
        <v>19.600000000000001</v>
      </c>
    </row>
    <row r="220" spans="1:10">
      <c r="B220" s="2811">
        <v>0.35</v>
      </c>
      <c r="C220" s="2790" t="s">
        <v>57</v>
      </c>
      <c r="D220" s="2793" t="s">
        <v>58</v>
      </c>
      <c r="H220" s="2807">
        <f>'SSR-rates'!I$59</f>
        <v>524</v>
      </c>
      <c r="I220" s="2822" t="s">
        <v>38</v>
      </c>
      <c r="J220" s="2807">
        <f>ROUND(B220*H220,2)</f>
        <v>183.4</v>
      </c>
    </row>
    <row r="221" spans="1:10">
      <c r="B221" s="2811">
        <v>0.75</v>
      </c>
      <c r="C221" s="2790" t="s">
        <v>57</v>
      </c>
      <c r="D221" s="2793" t="s">
        <v>59</v>
      </c>
      <c r="H221" s="2807">
        <f>'SSR-rates'!I$60</f>
        <v>490</v>
      </c>
      <c r="I221" s="2822" t="s">
        <v>38</v>
      </c>
      <c r="J221" s="2807">
        <f>ROUND(B221*H221,2)</f>
        <v>367.5</v>
      </c>
    </row>
    <row r="222" spans="1:10">
      <c r="A222" s="2819"/>
      <c r="B222" s="2808">
        <f>'Input Data'!$D$23</f>
        <v>0</v>
      </c>
      <c r="C222" s="2794"/>
      <c r="D222" s="2787" t="s">
        <v>17</v>
      </c>
      <c r="F222" s="2790"/>
      <c r="G222" s="2790"/>
      <c r="H222" s="2807">
        <f>SUM(J219:J221)</f>
        <v>570.5</v>
      </c>
      <c r="I222" s="2822"/>
      <c r="J222" s="2807">
        <f>B222*H222</f>
        <v>0</v>
      </c>
    </row>
    <row r="223" spans="1:10">
      <c r="B223" s="2793" t="s">
        <v>85</v>
      </c>
      <c r="D223" s="2793" t="s">
        <v>60</v>
      </c>
      <c r="H223" s="2807"/>
      <c r="I223" s="2822"/>
      <c r="J223" s="2807">
        <f>SUM(J219:J222)</f>
        <v>570.5</v>
      </c>
    </row>
    <row r="224" spans="1:10">
      <c r="B224" s="2793"/>
      <c r="D224" s="2793"/>
      <c r="H224" s="2807"/>
      <c r="I224" s="2807"/>
      <c r="J224" s="2807"/>
    </row>
    <row r="225" spans="1:10">
      <c r="B225" s="2821" t="s">
        <v>39</v>
      </c>
      <c r="C225" s="2828" t="s">
        <v>61</v>
      </c>
      <c r="H225" s="2807"/>
      <c r="I225" s="2807"/>
      <c r="J225" s="2807"/>
    </row>
    <row r="226" spans="1:10">
      <c r="B226" s="2811">
        <v>1</v>
      </c>
      <c r="C226" s="2790" t="s">
        <v>31</v>
      </c>
      <c r="D226" s="2793" t="s">
        <v>118</v>
      </c>
      <c r="H226" s="2807">
        <f>lead!J$23</f>
        <v>1070.5179333714741</v>
      </c>
      <c r="I226" s="2807" t="s">
        <v>31</v>
      </c>
      <c r="J226" s="2807">
        <f>ROUND(B226*H226,2)</f>
        <v>1070.52</v>
      </c>
    </row>
    <row r="227" spans="1:10">
      <c r="B227" s="2811">
        <v>0.2</v>
      </c>
      <c r="C227" s="2790" t="s">
        <v>31</v>
      </c>
      <c r="D227" s="2793" t="s">
        <v>119</v>
      </c>
      <c r="H227" s="2807">
        <f>lead!J$25</f>
        <v>841.5179333714741</v>
      </c>
      <c r="I227" s="2807" t="s">
        <v>31</v>
      </c>
      <c r="J227" s="2807">
        <f>ROUND(B227*H227,2)</f>
        <v>168.3</v>
      </c>
    </row>
    <row r="228" spans="1:10">
      <c r="B228" s="2793"/>
      <c r="D228" s="2793" t="s">
        <v>60</v>
      </c>
      <c r="H228" s="2807"/>
      <c r="I228" s="2807"/>
      <c r="J228" s="2807">
        <f>SUM(J226:J227)</f>
        <v>1238.82</v>
      </c>
    </row>
    <row r="229" spans="1:10">
      <c r="A229" s="2819"/>
      <c r="B229" s="2821" t="s">
        <v>45</v>
      </c>
      <c r="C229" s="2819" t="s">
        <v>97</v>
      </c>
      <c r="F229" s="2790"/>
      <c r="G229" s="2790"/>
      <c r="H229" s="2790"/>
      <c r="I229" s="2790"/>
      <c r="J229" s="2847"/>
    </row>
    <row r="230" spans="1:10" ht="25.5" customHeight="1">
      <c r="A230" s="2819"/>
      <c r="B230" s="2812">
        <f>'Input Data'!$D$25</f>
        <v>0</v>
      </c>
      <c r="C230" s="3017" t="str">
        <f>"Over head charges "&amp;'Input Data'!$D$25*100&amp;"%  on (A) + (B)+(C)+(D)"</f>
        <v>Over head charges 0%  on (A) + (B)+(C)+(D)</v>
      </c>
      <c r="D230" s="3018"/>
      <c r="E230" s="3018"/>
      <c r="F230" s="3018"/>
      <c r="G230" s="3019"/>
      <c r="H230" s="2794">
        <f>J228+J223</f>
        <v>1809.32</v>
      </c>
      <c r="I230" s="2790"/>
      <c r="J230" s="2807">
        <f>H230*B230</f>
        <v>0</v>
      </c>
    </row>
    <row r="231" spans="1:10">
      <c r="A231" s="2819"/>
      <c r="B231" s="2821" t="s">
        <v>47</v>
      </c>
      <c r="C231" s="2819" t="s">
        <v>89</v>
      </c>
      <c r="F231" s="2790"/>
      <c r="G231" s="2790"/>
      <c r="H231" s="2790"/>
      <c r="I231" s="2790"/>
      <c r="J231" s="2847">
        <f>J223+J228+J230</f>
        <v>1809.32</v>
      </c>
    </row>
    <row r="232" spans="1:10">
      <c r="A232" s="2819"/>
      <c r="B232" s="2821" t="s">
        <v>76</v>
      </c>
      <c r="C232" s="2819" t="s">
        <v>90</v>
      </c>
      <c r="F232" s="2790"/>
      <c r="G232" s="2790"/>
      <c r="H232" s="2790"/>
      <c r="I232" s="2790"/>
      <c r="J232" s="2847">
        <f>J231*10/100</f>
        <v>180.93200000000002</v>
      </c>
    </row>
    <row r="233" spans="1:10">
      <c r="B233" s="2811"/>
      <c r="C233" s="2790"/>
      <c r="D233" s="2828" t="s">
        <v>120</v>
      </c>
      <c r="H233" s="2807"/>
      <c r="I233" s="2807"/>
      <c r="J233" s="2847">
        <f>SUM(J231:J232)</f>
        <v>1990.252</v>
      </c>
    </row>
    <row r="234" spans="1:10">
      <c r="D234" s="2793" t="s">
        <v>52</v>
      </c>
      <c r="H234" s="2807"/>
      <c r="I234" s="2807"/>
      <c r="J234" s="2848">
        <f>ROUND(J233,0)</f>
        <v>1990</v>
      </c>
    </row>
    <row r="235" spans="1:10">
      <c r="D235" s="2793"/>
      <c r="H235" s="2807"/>
      <c r="I235" s="2807"/>
      <c r="J235" s="2848"/>
    </row>
    <row r="236" spans="1:10" ht="113.25" customHeight="1">
      <c r="A236" s="2816"/>
      <c r="B236" s="3008" t="s">
        <v>121</v>
      </c>
      <c r="C236" s="3008"/>
      <c r="D236" s="3008"/>
      <c r="E236" s="3008"/>
      <c r="F236" s="3008"/>
      <c r="G236" s="3008"/>
      <c r="H236" s="3008"/>
      <c r="I236" s="3008"/>
      <c r="J236" s="3008"/>
    </row>
    <row r="237" spans="1:10">
      <c r="A237" s="2819"/>
      <c r="B237" s="3009" t="s">
        <v>33</v>
      </c>
      <c r="C237" s="3009"/>
      <c r="D237" s="2818"/>
      <c r="E237" s="2818"/>
      <c r="F237" s="2818"/>
      <c r="G237" s="2818"/>
      <c r="H237" s="2820"/>
      <c r="I237" s="2820"/>
      <c r="J237" s="2820"/>
    </row>
    <row r="238" spans="1:10">
      <c r="A238" s="2819"/>
      <c r="B238" s="3009" t="s">
        <v>122</v>
      </c>
      <c r="C238" s="3009"/>
      <c r="D238" s="3009"/>
      <c r="E238" s="3009"/>
      <c r="F238" s="2819" t="s">
        <v>123</v>
      </c>
      <c r="G238" s="2818"/>
      <c r="H238" s="2820"/>
      <c r="I238" s="2820"/>
      <c r="J238" s="2820"/>
    </row>
    <row r="239" spans="1:10">
      <c r="A239" s="2819"/>
      <c r="B239" s="2821" t="s">
        <v>36</v>
      </c>
      <c r="C239" s="2819" t="s">
        <v>37</v>
      </c>
      <c r="D239" s="2818"/>
      <c r="E239" s="2818"/>
      <c r="F239" s="2818"/>
      <c r="G239" s="2818"/>
      <c r="H239" s="2820"/>
      <c r="I239" s="2820"/>
      <c r="J239" s="2820"/>
    </row>
    <row r="240" spans="1:10">
      <c r="A240" s="2819"/>
      <c r="B240" s="2822">
        <v>0.04</v>
      </c>
      <c r="C240" s="2794" t="s">
        <v>38</v>
      </c>
      <c r="D240" s="2818"/>
      <c r="E240" s="2790" t="s">
        <v>14</v>
      </c>
      <c r="F240" s="2818"/>
      <c r="G240" s="2818"/>
      <c r="H240" s="2807">
        <f>'SSR-rates'!$I$58</f>
        <v>490</v>
      </c>
      <c r="I240" s="2822" t="s">
        <v>38</v>
      </c>
      <c r="J240" s="2807">
        <f>ROUND(B240*H240,2)</f>
        <v>19.600000000000001</v>
      </c>
    </row>
    <row r="241" spans="1:10">
      <c r="A241" s="2819"/>
      <c r="B241" s="2807">
        <v>0.35</v>
      </c>
      <c r="C241" s="2794" t="s">
        <v>38</v>
      </c>
      <c r="D241" s="2790"/>
      <c r="E241" s="2790" t="s">
        <v>58</v>
      </c>
      <c r="F241" s="2790"/>
      <c r="G241" s="2790"/>
      <c r="H241" s="2807">
        <f>'SSR-rates'!I59</f>
        <v>524</v>
      </c>
      <c r="I241" s="2822" t="s">
        <v>38</v>
      </c>
      <c r="J241" s="2807">
        <f>ROUND(B241*H241,2)</f>
        <v>183.4</v>
      </c>
    </row>
    <row r="242" spans="1:10">
      <c r="A242" s="2819"/>
      <c r="B242" s="2807">
        <v>0.75</v>
      </c>
      <c r="C242" s="2794" t="s">
        <v>38</v>
      </c>
      <c r="D242" s="2790"/>
      <c r="E242" s="2790" t="s">
        <v>124</v>
      </c>
      <c r="F242" s="2790"/>
      <c r="G242" s="2790"/>
      <c r="H242" s="2807">
        <f>'SSR-rates'!$I$60</f>
        <v>490</v>
      </c>
      <c r="I242" s="2822" t="s">
        <v>38</v>
      </c>
      <c r="J242" s="2807">
        <f>ROUND(B242*H242,2)</f>
        <v>367.5</v>
      </c>
    </row>
    <row r="243" spans="1:10" ht="15.75" customHeight="1">
      <c r="A243" s="2819"/>
      <c r="B243" s="2808">
        <f>'Input Data'!$D$23</f>
        <v>0</v>
      </c>
      <c r="C243" s="2794"/>
      <c r="D243" s="2787" t="s">
        <v>17</v>
      </c>
      <c r="F243" s="2790"/>
      <c r="G243" s="2790"/>
      <c r="H243" s="2807">
        <f>SUM(J240:J242)</f>
        <v>570.5</v>
      </c>
      <c r="I243" s="2822"/>
      <c r="J243" s="2807">
        <f>B243*H243</f>
        <v>0</v>
      </c>
    </row>
    <row r="244" spans="1:10">
      <c r="A244" s="2819"/>
      <c r="B244" s="2807"/>
      <c r="C244" s="2794"/>
      <c r="D244" s="2790"/>
      <c r="E244" s="2790"/>
      <c r="F244" s="2790"/>
      <c r="G244" s="2790"/>
      <c r="H244" s="2807"/>
      <c r="I244" s="2822"/>
      <c r="J244" s="2807">
        <f>SUM(J240:J243)</f>
        <v>570.5</v>
      </c>
    </row>
    <row r="245" spans="1:10">
      <c r="A245" s="2819"/>
      <c r="B245" s="2821" t="s">
        <v>39</v>
      </c>
      <c r="C245" s="2819" t="s">
        <v>61</v>
      </c>
      <c r="F245" s="2790"/>
      <c r="G245" s="2790"/>
      <c r="H245" s="2790"/>
      <c r="I245" s="2790"/>
      <c r="J245" s="2787"/>
    </row>
    <row r="246" spans="1:10">
      <c r="A246" s="2819"/>
      <c r="B246" s="2825">
        <v>1</v>
      </c>
      <c r="C246" s="2824" t="s">
        <v>31</v>
      </c>
      <c r="D246" s="3013" t="s">
        <v>118</v>
      </c>
      <c r="E246" s="3013"/>
      <c r="F246" s="3013"/>
      <c r="G246" s="3013"/>
      <c r="H246" s="2825">
        <f>lead!J23</f>
        <v>1070.5179333714741</v>
      </c>
      <c r="I246" s="2825" t="s">
        <v>31</v>
      </c>
      <c r="J246" s="2825">
        <f>ROUND(B246*H246,2)</f>
        <v>1070.52</v>
      </c>
    </row>
    <row r="247" spans="1:10">
      <c r="A247" s="2819"/>
      <c r="B247" s="2825">
        <v>0.2</v>
      </c>
      <c r="C247" s="2824"/>
      <c r="D247" s="2790" t="s">
        <v>125</v>
      </c>
      <c r="E247" s="2826"/>
      <c r="F247" s="2826"/>
      <c r="G247" s="2826"/>
      <c r="H247" s="2825">
        <f>lead!J25</f>
        <v>841.5179333714741</v>
      </c>
      <c r="I247" s="2825"/>
      <c r="J247" s="2825">
        <f>ROUND(B247*H247,2)</f>
        <v>168.3</v>
      </c>
    </row>
    <row r="248" spans="1:10">
      <c r="A248" s="2819"/>
      <c r="B248" s="2825"/>
      <c r="C248" s="2824"/>
      <c r="D248" s="2826"/>
      <c r="E248" s="2826"/>
      <c r="F248" s="2826"/>
      <c r="G248" s="2826"/>
      <c r="H248" s="2825"/>
      <c r="I248" s="2825"/>
      <c r="J248" s="2825">
        <f>SUM(J246:J247)</f>
        <v>1238.82</v>
      </c>
    </row>
    <row r="249" spans="1:10">
      <c r="A249" s="2819"/>
      <c r="B249" s="2807"/>
      <c r="C249" s="2794"/>
      <c r="D249" s="2790"/>
      <c r="F249" s="2790"/>
      <c r="G249" s="2790"/>
      <c r="H249" s="2807"/>
      <c r="I249" s="2807"/>
      <c r="J249" s="2787"/>
    </row>
    <row r="250" spans="1:10">
      <c r="B250" s="2812">
        <f>'Input Data'!$D$25</f>
        <v>0</v>
      </c>
      <c r="C250" s="2790" t="str">
        <f>"Over head charges "&amp;'Input Data'!$D$25*100&amp;"%  on (A) + (B)"</f>
        <v>Over head charges 0%  on (A) + (B)</v>
      </c>
      <c r="H250" s="2793">
        <f>J248+J244</f>
        <v>1809.32</v>
      </c>
      <c r="J250" s="2807">
        <f>H250*B250</f>
        <v>0</v>
      </c>
    </row>
    <row r="251" spans="1:10">
      <c r="A251" s="2819"/>
      <c r="B251" s="2821" t="s">
        <v>45</v>
      </c>
      <c r="C251" s="2790" t="s">
        <v>46</v>
      </c>
      <c r="F251" s="2790"/>
      <c r="G251" s="2790"/>
      <c r="H251" s="2790"/>
      <c r="I251" s="2790"/>
      <c r="J251" s="2847">
        <f>J244+J248+J250</f>
        <v>1809.32</v>
      </c>
    </row>
    <row r="252" spans="1:10">
      <c r="A252" s="2819"/>
      <c r="B252" s="2821" t="s">
        <v>47</v>
      </c>
      <c r="C252" s="2790" t="s">
        <v>48</v>
      </c>
      <c r="D252" s="2790"/>
      <c r="F252" s="2790"/>
      <c r="G252" s="2790"/>
      <c r="H252" s="2790"/>
      <c r="I252" s="2790"/>
      <c r="J252" s="2847">
        <f>J251*10/100</f>
        <v>180.93200000000002</v>
      </c>
    </row>
    <row r="253" spans="1:10">
      <c r="A253" s="2819"/>
      <c r="B253" s="2790"/>
      <c r="C253" s="2790" t="s">
        <v>126</v>
      </c>
      <c r="D253" s="2790"/>
      <c r="F253" s="2790"/>
      <c r="G253" s="2790"/>
      <c r="H253" s="2790"/>
      <c r="I253" s="2790"/>
      <c r="J253" s="2847">
        <f>SUM(J251:J252)</f>
        <v>1990.252</v>
      </c>
    </row>
    <row r="254" spans="1:10">
      <c r="A254" s="2819"/>
      <c r="B254" s="2790"/>
      <c r="C254" s="2790" t="s">
        <v>127</v>
      </c>
      <c r="D254" s="2790"/>
      <c r="F254" s="2790"/>
      <c r="G254" s="2790"/>
      <c r="H254" s="2790"/>
      <c r="I254" s="2790"/>
      <c r="J254" s="2807">
        <f>J253/1</f>
        <v>1990.252</v>
      </c>
    </row>
    <row r="255" spans="1:10">
      <c r="A255" s="2819"/>
      <c r="B255" s="2807"/>
      <c r="C255" s="2794"/>
      <c r="D255" s="3021" t="s">
        <v>128</v>
      </c>
      <c r="E255" s="3022"/>
      <c r="F255" s="2793"/>
      <c r="G255" s="2793"/>
      <c r="H255" s="2811"/>
      <c r="I255" s="2793"/>
      <c r="J255" s="2848">
        <f>ROUND(J254,0)</f>
        <v>1990</v>
      </c>
    </row>
    <row r="256" spans="1:10">
      <c r="A256" s="2819"/>
      <c r="B256" s="2807"/>
      <c r="C256" s="2794"/>
      <c r="D256" s="2866"/>
      <c r="F256" s="2793"/>
      <c r="G256" s="2793"/>
      <c r="H256" s="2811"/>
      <c r="I256" s="2793"/>
      <c r="J256" s="2847" t="s">
        <v>129</v>
      </c>
    </row>
    <row r="257" spans="1:10">
      <c r="A257" s="2819"/>
      <c r="B257" s="2807"/>
      <c r="C257" s="2794"/>
      <c r="D257" s="2866"/>
      <c r="F257" s="2793"/>
      <c r="G257" s="2793"/>
      <c r="H257" s="2811"/>
      <c r="I257" s="2793"/>
      <c r="J257" s="2847"/>
    </row>
    <row r="258" spans="1:10" ht="62.25" customHeight="1">
      <c r="A258" s="2816"/>
      <c r="B258" s="3008" t="e">
        <f>#REF!</f>
        <v>#REF!</v>
      </c>
      <c r="C258" s="3008"/>
      <c r="D258" s="3008"/>
      <c r="E258" s="3008"/>
      <c r="F258" s="3008"/>
      <c r="G258" s="3008"/>
      <c r="H258" s="3008"/>
      <c r="I258" s="3008"/>
      <c r="J258" s="3008"/>
    </row>
    <row r="259" spans="1:10">
      <c r="D259" s="2793" t="s">
        <v>130</v>
      </c>
      <c r="F259" s="2819" t="s">
        <v>131</v>
      </c>
      <c r="J259" s="2787"/>
    </row>
    <row r="260" spans="1:10">
      <c r="D260" s="2793" t="s">
        <v>132</v>
      </c>
      <c r="J260" s="2787"/>
    </row>
    <row r="261" spans="1:10">
      <c r="B261" s="2821" t="s">
        <v>36</v>
      </c>
      <c r="C261" s="2828" t="s">
        <v>37</v>
      </c>
      <c r="J261" s="2787"/>
    </row>
    <row r="262" spans="1:10">
      <c r="B262" s="2811">
        <v>0.12</v>
      </c>
      <c r="C262" s="2790" t="s">
        <v>57</v>
      </c>
      <c r="D262" s="2793" t="s">
        <v>14</v>
      </c>
      <c r="H262" s="2807">
        <f>'SSR-rates'!I$58</f>
        <v>490</v>
      </c>
      <c r="I262" s="2822" t="s">
        <v>38</v>
      </c>
      <c r="J262" s="2807">
        <f>ROUND(B262*H262,2)</f>
        <v>58.8</v>
      </c>
    </row>
    <row r="263" spans="1:10">
      <c r="B263" s="2811">
        <v>2</v>
      </c>
      <c r="C263" s="2790" t="s">
        <v>57</v>
      </c>
      <c r="D263" s="2793" t="s">
        <v>133</v>
      </c>
      <c r="H263" s="2807">
        <f>'SSR-rates'!I113</f>
        <v>625</v>
      </c>
      <c r="I263" s="2822" t="s">
        <v>38</v>
      </c>
      <c r="J263" s="2807">
        <f>ROUND(B263*H263,2)</f>
        <v>1250</v>
      </c>
    </row>
    <row r="264" spans="1:10">
      <c r="B264" s="2811">
        <v>1</v>
      </c>
      <c r="C264" s="2790" t="s">
        <v>57</v>
      </c>
      <c r="D264" s="2793" t="s">
        <v>59</v>
      </c>
      <c r="H264" s="2807">
        <f>'SSR-rates'!I$60</f>
        <v>490</v>
      </c>
      <c r="I264" s="2822" t="s">
        <v>38</v>
      </c>
      <c r="J264" s="2807">
        <f>ROUND(B264*H264,2)</f>
        <v>490</v>
      </c>
    </row>
    <row r="265" spans="1:10">
      <c r="A265" s="2819"/>
      <c r="B265" s="2808">
        <f>'Input Data'!$D$23</f>
        <v>0</v>
      </c>
      <c r="C265" s="2794"/>
      <c r="D265" s="2787" t="s">
        <v>17</v>
      </c>
      <c r="F265" s="2790"/>
      <c r="G265" s="2790"/>
      <c r="H265" s="2807">
        <f>SUM(J262:J264)</f>
        <v>1798.8</v>
      </c>
      <c r="I265" s="2822"/>
      <c r="J265" s="2807">
        <f>B265*H265</f>
        <v>0</v>
      </c>
    </row>
    <row r="266" spans="1:10">
      <c r="B266" s="2793" t="s">
        <v>85</v>
      </c>
      <c r="D266" s="2793" t="s">
        <v>60</v>
      </c>
      <c r="H266" s="2807"/>
      <c r="I266" s="2822"/>
      <c r="J266" s="2807">
        <f>SUM(J262:J265)</f>
        <v>1798.8</v>
      </c>
    </row>
    <row r="267" spans="1:10">
      <c r="B267" s="2793"/>
      <c r="D267" s="2793"/>
      <c r="H267" s="2807"/>
      <c r="I267" s="2807"/>
      <c r="J267" s="2807"/>
    </row>
    <row r="268" spans="1:10">
      <c r="B268" s="2821" t="s">
        <v>39</v>
      </c>
      <c r="C268" s="2828" t="s">
        <v>61</v>
      </c>
      <c r="H268" s="2807"/>
      <c r="I268" s="2807"/>
      <c r="J268" s="2807"/>
    </row>
    <row r="269" spans="1:10">
      <c r="B269" s="2811">
        <v>6</v>
      </c>
      <c r="C269" s="2790" t="s">
        <v>31</v>
      </c>
      <c r="D269" s="2793" t="s">
        <v>134</v>
      </c>
      <c r="H269" s="2807">
        <v>240</v>
      </c>
      <c r="I269" s="2807" t="s">
        <v>31</v>
      </c>
      <c r="J269" s="2807">
        <f>ROUND(B269*H269,2)</f>
        <v>1440</v>
      </c>
    </row>
    <row r="270" spans="1:10">
      <c r="B270" s="2793"/>
      <c r="D270" s="2793" t="s">
        <v>60</v>
      </c>
      <c r="H270" s="2807"/>
      <c r="I270" s="2807"/>
      <c r="J270" s="2807">
        <f>SUM(J269:J269)</f>
        <v>1440</v>
      </c>
    </row>
    <row r="271" spans="1:10">
      <c r="A271" s="2819"/>
      <c r="B271" s="2821" t="s">
        <v>27</v>
      </c>
      <c r="C271" s="2819" t="s">
        <v>74</v>
      </c>
      <c r="F271" s="2790"/>
      <c r="G271" s="2790"/>
      <c r="H271" s="2790"/>
      <c r="I271" s="2790"/>
      <c r="J271" s="2847"/>
    </row>
    <row r="272" spans="1:10" ht="27.75" customHeight="1">
      <c r="A272" s="2819"/>
      <c r="B272" s="2812">
        <f>'Input Data'!$D$25</f>
        <v>0</v>
      </c>
      <c r="C272" s="3017" t="str">
        <f>"Over head charges "&amp;'Input Data'!$D$25*100&amp;"%  on (A) + (B)"</f>
        <v>Over head charges 0%  on (A) + (B)</v>
      </c>
      <c r="D272" s="3018"/>
      <c r="E272" s="3018"/>
      <c r="F272" s="3018"/>
      <c r="G272" s="3019"/>
      <c r="H272" s="2794">
        <f>J270+J266</f>
        <v>3238.8</v>
      </c>
      <c r="I272" s="2790"/>
      <c r="J272" s="2807">
        <f>H272*B272</f>
        <v>0</v>
      </c>
    </row>
    <row r="273" spans="1:10">
      <c r="A273" s="2819"/>
      <c r="B273" s="2821" t="s">
        <v>47</v>
      </c>
      <c r="C273" s="2819" t="s">
        <v>89</v>
      </c>
      <c r="F273" s="2790"/>
      <c r="G273" s="2790"/>
      <c r="H273" s="2790"/>
      <c r="I273" s="2790"/>
      <c r="J273" s="2847">
        <f>J266+J270+J272</f>
        <v>3238.8</v>
      </c>
    </row>
    <row r="274" spans="1:10">
      <c r="A274" s="2819"/>
      <c r="B274" s="2821" t="s">
        <v>76</v>
      </c>
      <c r="C274" s="2819" t="s">
        <v>90</v>
      </c>
      <c r="F274" s="2790"/>
      <c r="G274" s="2790"/>
      <c r="H274" s="2790"/>
      <c r="I274" s="2790"/>
      <c r="J274" s="2847">
        <f>J273*10/100</f>
        <v>323.88</v>
      </c>
    </row>
    <row r="275" spans="1:10">
      <c r="B275" s="2811"/>
      <c r="C275" s="2790"/>
      <c r="D275" s="2828" t="s">
        <v>135</v>
      </c>
      <c r="H275" s="2807"/>
      <c r="I275" s="2807"/>
      <c r="J275" s="2847">
        <f>SUM(J273:J274)</f>
        <v>3562.6800000000003</v>
      </c>
    </row>
    <row r="276" spans="1:10">
      <c r="B276" s="2811"/>
      <c r="C276" s="2790"/>
      <c r="D276" s="2793" t="s">
        <v>136</v>
      </c>
      <c r="H276" s="2807"/>
      <c r="I276" s="2807"/>
      <c r="J276" s="2807">
        <f>J275/40</f>
        <v>89.067000000000007</v>
      </c>
    </row>
    <row r="277" spans="1:10">
      <c r="D277" s="2793" t="s">
        <v>52</v>
      </c>
      <c r="H277" s="2807"/>
      <c r="I277" s="2807"/>
      <c r="J277" s="2848">
        <f>ROUND(J276,0)</f>
        <v>89</v>
      </c>
    </row>
    <row r="278" spans="1:10">
      <c r="D278" s="2793"/>
      <c r="H278" s="2807"/>
      <c r="I278" s="2807"/>
      <c r="J278" s="2847" t="s">
        <v>137</v>
      </c>
    </row>
    <row r="279" spans="1:10">
      <c r="D279" s="2793"/>
      <c r="H279" s="2807"/>
      <c r="I279" s="2807"/>
      <c r="J279" s="2847"/>
    </row>
    <row r="280" spans="1:10">
      <c r="A280" s="2867"/>
      <c r="B280" s="2868"/>
      <c r="C280" s="2868"/>
      <c r="D280" s="2869"/>
      <c r="E280" s="2868"/>
      <c r="F280" s="2868"/>
      <c r="G280" s="2868"/>
      <c r="H280" s="2870"/>
      <c r="I280" s="2870"/>
      <c r="J280" s="2871"/>
    </row>
    <row r="281" spans="1:10" ht="69.75" customHeight="1">
      <c r="A281" s="2816"/>
      <c r="B281" s="3008" t="s">
        <v>138</v>
      </c>
      <c r="C281" s="3008"/>
      <c r="D281" s="3008"/>
      <c r="E281" s="3008"/>
      <c r="F281" s="3008"/>
      <c r="G281" s="3008"/>
      <c r="H281" s="3008"/>
      <c r="I281" s="3008"/>
      <c r="J281" s="3008"/>
    </row>
    <row r="282" spans="1:10">
      <c r="D282" s="2793" t="s">
        <v>10</v>
      </c>
      <c r="F282" s="2819" t="s">
        <v>83</v>
      </c>
      <c r="J282" s="2787"/>
    </row>
    <row r="283" spans="1:10">
      <c r="D283" s="2793" t="s">
        <v>84</v>
      </c>
      <c r="J283" s="2787"/>
    </row>
    <row r="284" spans="1:10">
      <c r="B284" s="2821" t="s">
        <v>36</v>
      </c>
      <c r="C284" s="2828" t="s">
        <v>37</v>
      </c>
      <c r="J284" s="2787"/>
    </row>
    <row r="285" spans="1:10">
      <c r="B285" s="2811">
        <v>0.28000000000000003</v>
      </c>
      <c r="C285" s="2790" t="s">
        <v>57</v>
      </c>
      <c r="D285" s="2793" t="s">
        <v>14</v>
      </c>
      <c r="H285" s="2807">
        <f>'SSR-rates'!$I$58</f>
        <v>490</v>
      </c>
      <c r="I285" s="2822" t="s">
        <v>38</v>
      </c>
      <c r="J285" s="2807">
        <f>ROUND(B285*H285,2)</f>
        <v>137.19999999999999</v>
      </c>
    </row>
    <row r="286" spans="1:10">
      <c r="B286" s="2811">
        <v>7</v>
      </c>
      <c r="C286" s="2790" t="s">
        <v>57</v>
      </c>
      <c r="D286" s="2793" t="s">
        <v>59</v>
      </c>
      <c r="H286" s="2807">
        <f>'SSR-rates'!$I$60</f>
        <v>490</v>
      </c>
      <c r="I286" s="2822" t="s">
        <v>38</v>
      </c>
      <c r="J286" s="2807">
        <f>ROUND(B286*H286,2)</f>
        <v>3430</v>
      </c>
    </row>
    <row r="287" spans="1:10">
      <c r="A287" s="2819"/>
      <c r="B287" s="2808">
        <f>'Input Data'!$D$23</f>
        <v>0</v>
      </c>
      <c r="C287" s="2794"/>
      <c r="D287" s="2787" t="s">
        <v>17</v>
      </c>
      <c r="F287" s="2790"/>
      <c r="G287" s="2790"/>
      <c r="H287" s="2807">
        <f>SUM(J$90:$J285)</f>
        <v>1397997.1866000006</v>
      </c>
      <c r="I287" s="2822"/>
      <c r="J287" s="2807">
        <f>B287*H287</f>
        <v>0</v>
      </c>
    </row>
    <row r="288" spans="1:10" ht="13.5" customHeight="1">
      <c r="B288" s="2793" t="s">
        <v>85</v>
      </c>
      <c r="D288" s="2793" t="s">
        <v>60</v>
      </c>
      <c r="H288" s="2807"/>
      <c r="I288" s="2822"/>
      <c r="J288" s="2807">
        <f>SUM(J285:J287)</f>
        <v>3567.2</v>
      </c>
    </row>
    <row r="289" spans="1:11" hidden="1">
      <c r="B289" s="2793"/>
      <c r="D289" s="2793"/>
      <c r="H289" s="2807"/>
      <c r="I289" s="2807"/>
      <c r="J289" s="2807"/>
    </row>
    <row r="290" spans="1:11">
      <c r="B290" s="2821" t="s">
        <v>39</v>
      </c>
      <c r="C290" s="2828" t="s">
        <v>61</v>
      </c>
      <c r="H290" s="2807"/>
      <c r="I290" s="2807"/>
      <c r="J290" s="2807"/>
    </row>
    <row r="291" spans="1:11">
      <c r="B291" s="2811">
        <v>12</v>
      </c>
      <c r="C291" s="2790" t="s">
        <v>31</v>
      </c>
      <c r="D291" s="2793" t="s">
        <v>86</v>
      </c>
      <c r="H291" s="2807">
        <f>lead!$J$34</f>
        <v>173.07604629670379</v>
      </c>
      <c r="I291" s="2807" t="s">
        <v>31</v>
      </c>
      <c r="J291" s="2807">
        <f>ROUND(B291*H291,2)</f>
        <v>2076.91</v>
      </c>
    </row>
    <row r="292" spans="1:11">
      <c r="B292" s="2793"/>
      <c r="D292" s="2793" t="s">
        <v>60</v>
      </c>
      <c r="H292" s="2807"/>
      <c r="I292" s="2807"/>
      <c r="J292" s="2807">
        <f>SUM(J291:J291)</f>
        <v>2076.91</v>
      </c>
    </row>
    <row r="293" spans="1:11">
      <c r="B293" s="2821" t="s">
        <v>87</v>
      </c>
      <c r="C293" s="2828" t="s">
        <v>40</v>
      </c>
      <c r="H293" s="2807"/>
      <c r="I293" s="2807"/>
      <c r="J293" s="2807"/>
    </row>
    <row r="294" spans="1:11" ht="30" customHeight="1">
      <c r="B294" s="2811">
        <v>2.5</v>
      </c>
      <c r="C294" s="2790" t="s">
        <v>41</v>
      </c>
      <c r="D294" s="3017" t="s">
        <v>88</v>
      </c>
      <c r="E294" s="3018"/>
      <c r="F294" s="3018"/>
      <c r="G294" s="3019"/>
      <c r="H294" s="2807">
        <f>'SSR-rates'!$I$91</f>
        <v>54</v>
      </c>
      <c r="I294" s="2807" t="s">
        <v>41</v>
      </c>
      <c r="J294" s="2807">
        <f>ROUND(B294*H294,2)</f>
        <v>135</v>
      </c>
    </row>
    <row r="295" spans="1:11">
      <c r="B295" s="2811">
        <v>0.05</v>
      </c>
      <c r="C295" s="2790" t="s">
        <v>41</v>
      </c>
      <c r="D295" s="2793" t="s">
        <v>70</v>
      </c>
      <c r="H295" s="2807">
        <f>'SSR-rates'!$I$69</f>
        <v>699</v>
      </c>
      <c r="I295" s="2807" t="s">
        <v>41</v>
      </c>
      <c r="J295" s="2807">
        <f>ROUND(B295*H295,2)</f>
        <v>34.950000000000003</v>
      </c>
    </row>
    <row r="296" spans="1:11">
      <c r="B296" s="2811"/>
      <c r="C296" s="2790"/>
      <c r="D296" s="2793" t="s">
        <v>60</v>
      </c>
      <c r="H296" s="2807"/>
      <c r="I296" s="2807"/>
      <c r="J296" s="2807">
        <f>SUM(J294:J295)</f>
        <v>169.95</v>
      </c>
    </row>
    <row r="297" spans="1:11">
      <c r="A297" s="2819"/>
      <c r="B297" s="2821" t="s">
        <v>45</v>
      </c>
      <c r="C297" s="2819" t="s">
        <v>44</v>
      </c>
      <c r="F297" s="2790"/>
      <c r="G297" s="2790"/>
      <c r="H297" s="2790"/>
      <c r="I297" s="2790"/>
      <c r="J297" s="2847"/>
    </row>
    <row r="298" spans="1:11" ht="34.5" customHeight="1">
      <c r="A298" s="2819"/>
      <c r="B298" s="2812">
        <f>'Input Data'!$D$25</f>
        <v>0</v>
      </c>
      <c r="C298" s="3017" t="str">
        <f>"Over head charges "&amp;'Input Data'!$D$25*100&amp;"%  on (A) + (B)+(C)"</f>
        <v>Over head charges 0%  on (A) + (B)+(C)</v>
      </c>
      <c r="D298" s="3018"/>
      <c r="E298" s="3018"/>
      <c r="F298" s="3018"/>
      <c r="G298" s="3019"/>
      <c r="H298" s="2794">
        <f>J296+J292+J288</f>
        <v>5814.0599999999995</v>
      </c>
      <c r="I298" s="2790"/>
      <c r="J298" s="2807">
        <f>H298*B298</f>
        <v>0</v>
      </c>
    </row>
    <row r="299" spans="1:11">
      <c r="A299" s="2819"/>
      <c r="B299" s="2821" t="s">
        <v>47</v>
      </c>
      <c r="C299" s="2819" t="s">
        <v>89</v>
      </c>
      <c r="F299" s="2790"/>
      <c r="G299" s="2790"/>
      <c r="H299" s="2790"/>
      <c r="I299" s="2790"/>
      <c r="J299" s="2847">
        <f>J288+J292+J296+J298</f>
        <v>5814.0599999999995</v>
      </c>
    </row>
    <row r="300" spans="1:11">
      <c r="A300" s="2819"/>
      <c r="B300" s="2821" t="s">
        <v>76</v>
      </c>
      <c r="C300" s="2819" t="s">
        <v>90</v>
      </c>
      <c r="F300" s="2790"/>
      <c r="G300" s="2790"/>
      <c r="H300" s="2790"/>
      <c r="I300" s="2790"/>
      <c r="J300" s="2847">
        <f>J299*10/100</f>
        <v>581.40599999999995</v>
      </c>
    </row>
    <row r="301" spans="1:11">
      <c r="B301" s="2811"/>
      <c r="C301" s="2790"/>
      <c r="D301" s="2828" t="s">
        <v>91</v>
      </c>
      <c r="H301" s="2807"/>
      <c r="I301" s="2807"/>
      <c r="J301" s="2847">
        <f>SUM(J299:J300)</f>
        <v>6395.4659999999994</v>
      </c>
    </row>
    <row r="302" spans="1:11">
      <c r="B302" s="2811"/>
      <c r="C302" s="2790"/>
      <c r="D302" s="2793" t="s">
        <v>50</v>
      </c>
      <c r="H302" s="2807"/>
      <c r="I302" s="2807"/>
      <c r="J302" s="2807">
        <f>J301/10</f>
        <v>639.5465999999999</v>
      </c>
    </row>
    <row r="303" spans="1:11">
      <c r="D303" s="2793" t="s">
        <v>52</v>
      </c>
      <c r="H303" s="2807"/>
      <c r="I303" s="2807"/>
      <c r="J303" s="2848">
        <f>ROUND(J302,0)</f>
        <v>640</v>
      </c>
      <c r="K303" s="2787">
        <v>512</v>
      </c>
    </row>
    <row r="304" spans="1:11">
      <c r="D304" s="2793"/>
      <c r="H304" s="2807"/>
      <c r="I304" s="2807"/>
      <c r="J304" s="2847" t="s">
        <v>53</v>
      </c>
    </row>
    <row r="305" spans="1:10">
      <c r="D305" s="2793"/>
      <c r="H305" s="2807"/>
      <c r="I305" s="2807"/>
      <c r="J305" s="2847"/>
    </row>
    <row r="306" spans="1:10" ht="138.75" customHeight="1">
      <c r="A306" s="2816"/>
      <c r="B306" s="3008" t="s">
        <v>139</v>
      </c>
      <c r="C306" s="3008"/>
      <c r="D306" s="3008"/>
      <c r="E306" s="3008"/>
      <c r="F306" s="3008"/>
      <c r="G306" s="3008"/>
      <c r="H306" s="3008"/>
      <c r="I306" s="3008"/>
      <c r="J306" s="3008"/>
    </row>
    <row r="307" spans="1:10" ht="16.5" customHeight="1">
      <c r="D307" s="2793" t="s">
        <v>10</v>
      </c>
      <c r="F307" s="2819" t="s">
        <v>140</v>
      </c>
      <c r="J307" s="2787"/>
    </row>
    <row r="308" spans="1:10" ht="16.5" customHeight="1">
      <c r="D308" s="2793" t="s">
        <v>84</v>
      </c>
      <c r="J308" s="2787"/>
    </row>
    <row r="309" spans="1:10" ht="18.75" customHeight="1">
      <c r="B309" s="2821" t="s">
        <v>36</v>
      </c>
      <c r="C309" s="2828" t="s">
        <v>37</v>
      </c>
      <c r="J309" s="2787"/>
    </row>
    <row r="310" spans="1:10" ht="18.75" customHeight="1">
      <c r="B310" s="2811">
        <v>0.32</v>
      </c>
      <c r="C310" s="2790" t="s">
        <v>57</v>
      </c>
      <c r="D310" s="2793" t="s">
        <v>14</v>
      </c>
      <c r="H310" s="2807">
        <f>'SSR-rates'!I58</f>
        <v>490</v>
      </c>
      <c r="I310" s="2822" t="s">
        <v>38</v>
      </c>
      <c r="J310" s="2811">
        <f>ROUND(B310*H310,2)</f>
        <v>156.80000000000001</v>
      </c>
    </row>
    <row r="311" spans="1:10">
      <c r="B311" s="2811">
        <v>7</v>
      </c>
      <c r="C311" s="2790" t="s">
        <v>57</v>
      </c>
      <c r="D311" s="2793" t="s">
        <v>59</v>
      </c>
      <c r="H311" s="2807">
        <f>'SSR-rates'!I60</f>
        <v>490</v>
      </c>
      <c r="I311" s="2822" t="s">
        <v>38</v>
      </c>
      <c r="J311" s="2811">
        <f>ROUND(B311*H311,2)</f>
        <v>3430</v>
      </c>
    </row>
    <row r="312" spans="1:10">
      <c r="B312" s="2811">
        <v>1</v>
      </c>
      <c r="C312" s="2790" t="s">
        <v>57</v>
      </c>
      <c r="D312" s="2793" t="s">
        <v>59</v>
      </c>
      <c r="E312" s="2787" t="s">
        <v>141</v>
      </c>
      <c r="H312" s="2807">
        <f>'SSR-rates'!$I$59</f>
        <v>524</v>
      </c>
      <c r="I312" s="2822" t="s">
        <v>38</v>
      </c>
      <c r="J312" s="2811">
        <f>ROUND(B312*H312,2)</f>
        <v>524</v>
      </c>
    </row>
    <row r="313" spans="1:10">
      <c r="A313" s="2819"/>
      <c r="B313" s="2808">
        <f>'Input Data'!$D$23</f>
        <v>0</v>
      </c>
      <c r="C313" s="2794"/>
      <c r="D313" s="2787" t="s">
        <v>17</v>
      </c>
      <c r="F313" s="2790"/>
      <c r="G313" s="2790"/>
      <c r="H313" s="2807">
        <f>SUM(J310:J312)</f>
        <v>4110.8</v>
      </c>
      <c r="I313" s="2822"/>
      <c r="J313" s="2807">
        <f>B313*H313</f>
        <v>0</v>
      </c>
    </row>
    <row r="314" spans="1:10">
      <c r="B314" s="2811"/>
      <c r="D314" s="2793" t="s">
        <v>60</v>
      </c>
      <c r="H314" s="2807"/>
      <c r="I314" s="2807"/>
      <c r="J314" s="2811">
        <f>SUM(J310:J313)</f>
        <v>4110.8</v>
      </c>
    </row>
    <row r="315" spans="1:10" ht="18.75" customHeight="1">
      <c r="B315" s="2821" t="s">
        <v>39</v>
      </c>
      <c r="C315" s="2828" t="s">
        <v>61</v>
      </c>
      <c r="H315" s="2807"/>
      <c r="I315" s="2807"/>
      <c r="J315" s="2807"/>
    </row>
    <row r="316" spans="1:10" ht="18.75" customHeight="1">
      <c r="B316" s="2811">
        <v>6</v>
      </c>
      <c r="C316" s="2790" t="s">
        <v>31</v>
      </c>
      <c r="D316" s="2793" t="s">
        <v>142</v>
      </c>
      <c r="H316" s="2807">
        <f>lead!J26</f>
        <v>997.5179333714741</v>
      </c>
      <c r="I316" s="2807" t="s">
        <v>31</v>
      </c>
      <c r="J316" s="2807">
        <f>ROUND(B316*H316,2)</f>
        <v>5985.11</v>
      </c>
    </row>
    <row r="317" spans="1:10">
      <c r="B317" s="2811">
        <v>6</v>
      </c>
      <c r="C317" s="2790" t="s">
        <v>31</v>
      </c>
      <c r="D317" s="2793" t="s">
        <v>143</v>
      </c>
      <c r="H317" s="2807">
        <f>lead!J20</f>
        <v>1706.5179333714741</v>
      </c>
      <c r="I317" s="2807" t="s">
        <v>31</v>
      </c>
      <c r="J317" s="2807">
        <f>ROUND(B317*H317,2)</f>
        <v>10239.11</v>
      </c>
    </row>
    <row r="318" spans="1:10">
      <c r="B318" s="2811"/>
      <c r="C318" s="2794"/>
      <c r="D318" s="2793" t="s">
        <v>60</v>
      </c>
      <c r="H318" s="2807"/>
      <c r="I318" s="2807"/>
      <c r="J318" s="2807">
        <f>SUM(J316:J317)</f>
        <v>16224.220000000001</v>
      </c>
    </row>
    <row r="319" spans="1:10">
      <c r="B319" s="2821" t="s">
        <v>87</v>
      </c>
      <c r="C319" s="2828" t="s">
        <v>40</v>
      </c>
      <c r="H319" s="2807"/>
      <c r="I319" s="2807"/>
      <c r="J319" s="2807"/>
    </row>
    <row r="320" spans="1:10">
      <c r="B320" s="2811">
        <v>0.06</v>
      </c>
      <c r="C320" s="2790" t="s">
        <v>41</v>
      </c>
      <c r="D320" s="2793" t="s">
        <v>70</v>
      </c>
      <c r="H320" s="2807">
        <f>'SSR-rates'!I69</f>
        <v>699</v>
      </c>
      <c r="I320" s="2807" t="s">
        <v>41</v>
      </c>
      <c r="J320" s="2807">
        <f>ROUND(B320*H320,2)</f>
        <v>41.94</v>
      </c>
    </row>
    <row r="321" spans="1:11">
      <c r="B321" s="2811"/>
      <c r="C321" s="2794"/>
      <c r="D321" s="2793" t="s">
        <v>60</v>
      </c>
      <c r="H321" s="2807"/>
      <c r="I321" s="2807"/>
      <c r="J321" s="2807">
        <f>SUM(J320:J320)</f>
        <v>41.94</v>
      </c>
    </row>
    <row r="322" spans="1:11">
      <c r="A322" s="2819"/>
      <c r="B322" s="2821" t="s">
        <v>45</v>
      </c>
      <c r="C322" s="2819" t="s">
        <v>144</v>
      </c>
      <c r="F322" s="2790"/>
      <c r="G322" s="2790"/>
      <c r="H322" s="2790"/>
      <c r="I322" s="2790"/>
      <c r="J322" s="2847"/>
    </row>
    <row r="323" spans="1:11" ht="27.75" customHeight="1">
      <c r="A323" s="2819"/>
      <c r="B323" s="2812">
        <f>'Input Data'!$D$25</f>
        <v>0</v>
      </c>
      <c r="C323" s="3017" t="str">
        <f>"Over head charges "&amp;'Input Data'!$D$25*100&amp;"%  on (A) + (B)"</f>
        <v>Over head charges 0%  on (A) + (B)</v>
      </c>
      <c r="D323" s="3018"/>
      <c r="E323" s="3018"/>
      <c r="F323" s="3018"/>
      <c r="G323" s="3019"/>
      <c r="H323" s="2794">
        <f>J321+J318+J314</f>
        <v>20376.960000000003</v>
      </c>
      <c r="I323" s="2790"/>
      <c r="J323" s="2807">
        <f>H323*B323</f>
        <v>0</v>
      </c>
    </row>
    <row r="324" spans="1:11">
      <c r="A324" s="2819"/>
      <c r="B324" s="2821" t="s">
        <v>47</v>
      </c>
      <c r="C324" s="2819" t="s">
        <v>89</v>
      </c>
      <c r="F324" s="2790"/>
      <c r="G324" s="2790"/>
      <c r="H324" s="2790"/>
      <c r="I324" s="2790"/>
      <c r="J324" s="2847">
        <f>J314+J318+J321+J323</f>
        <v>20376.96</v>
      </c>
    </row>
    <row r="325" spans="1:11">
      <c r="A325" s="2819"/>
      <c r="B325" s="2821" t="s">
        <v>76</v>
      </c>
      <c r="C325" s="2819" t="s">
        <v>90</v>
      </c>
      <c r="F325" s="2790"/>
      <c r="G325" s="2790"/>
      <c r="H325" s="2790"/>
      <c r="I325" s="2790"/>
      <c r="J325" s="2847">
        <f>J324*10/100</f>
        <v>2037.6959999999997</v>
      </c>
    </row>
    <row r="326" spans="1:11">
      <c r="B326" s="2811"/>
      <c r="C326" s="2790"/>
      <c r="D326" s="2828" t="s">
        <v>98</v>
      </c>
      <c r="H326" s="2807"/>
      <c r="I326" s="2807"/>
      <c r="J326" s="2847">
        <f>SUM(J324:J325)</f>
        <v>22414.655999999999</v>
      </c>
    </row>
    <row r="327" spans="1:11">
      <c r="B327" s="2811"/>
      <c r="C327" s="2790"/>
      <c r="D327" s="2793" t="s">
        <v>81</v>
      </c>
      <c r="H327" s="2807"/>
      <c r="I327" s="2807"/>
      <c r="J327" s="2807">
        <f>ROUND(J326/10,2)</f>
        <v>2241.4699999999998</v>
      </c>
    </row>
    <row r="328" spans="1:11">
      <c r="D328" s="2793" t="s">
        <v>52</v>
      </c>
      <c r="H328" s="2807"/>
      <c r="I328" s="2807"/>
      <c r="J328" s="2848">
        <f>ROUND(J327,0)</f>
        <v>2241</v>
      </c>
      <c r="K328" s="2787">
        <v>1199</v>
      </c>
    </row>
    <row r="329" spans="1:11">
      <c r="D329" s="2793"/>
      <c r="H329" s="2807"/>
      <c r="I329" s="2807"/>
      <c r="J329" s="2847" t="s">
        <v>53</v>
      </c>
    </row>
    <row r="330" spans="1:11">
      <c r="D330" s="2793"/>
      <c r="H330" s="2807"/>
      <c r="I330" s="2807"/>
      <c r="J330" s="2847"/>
    </row>
    <row r="331" spans="1:11" ht="116.25" customHeight="1">
      <c r="A331" s="2816"/>
      <c r="B331" s="3008" t="s">
        <v>145</v>
      </c>
      <c r="C331" s="3008"/>
      <c r="D331" s="3008"/>
      <c r="E331" s="3008"/>
      <c r="F331" s="3008"/>
      <c r="G331" s="3008"/>
      <c r="H331" s="3008"/>
      <c r="I331" s="3008"/>
      <c r="J331" s="3008"/>
    </row>
    <row r="332" spans="1:11">
      <c r="D332" s="2793" t="s">
        <v>10</v>
      </c>
      <c r="F332" s="2819" t="s">
        <v>55</v>
      </c>
      <c r="J332" s="2787"/>
    </row>
    <row r="333" spans="1:11">
      <c r="D333" s="2793" t="s">
        <v>56</v>
      </c>
      <c r="J333" s="2787"/>
    </row>
    <row r="334" spans="1:11">
      <c r="B334" s="2821" t="s">
        <v>36</v>
      </c>
      <c r="C334" s="2828" t="s">
        <v>37</v>
      </c>
      <c r="J334" s="2787"/>
    </row>
    <row r="335" spans="1:11">
      <c r="B335" s="2811">
        <v>0.86</v>
      </c>
      <c r="C335" s="2790" t="s">
        <v>57</v>
      </c>
      <c r="D335" s="2793" t="s">
        <v>14</v>
      </c>
      <c r="H335" s="2807">
        <f>'SSR-rates'!$I$58</f>
        <v>490</v>
      </c>
      <c r="I335" s="2822" t="s">
        <v>38</v>
      </c>
      <c r="J335" s="2811">
        <f>ROUND(B335*H335,2)</f>
        <v>421.4</v>
      </c>
      <c r="K335" s="2793"/>
    </row>
    <row r="336" spans="1:11">
      <c r="B336" s="2811">
        <v>1.5</v>
      </c>
      <c r="C336" s="2790" t="s">
        <v>57</v>
      </c>
      <c r="D336" s="2793" t="s">
        <v>58</v>
      </c>
      <c r="H336" s="2807">
        <f>'SSR-rates'!$I$59</f>
        <v>524</v>
      </c>
      <c r="I336" s="2822" t="s">
        <v>38</v>
      </c>
      <c r="J336" s="2811">
        <f>ROUND(B336*H336,2)</f>
        <v>786</v>
      </c>
    </row>
    <row r="337" spans="1:10">
      <c r="B337" s="2811">
        <v>20</v>
      </c>
      <c r="C337" s="2790" t="s">
        <v>57</v>
      </c>
      <c r="D337" s="2793" t="s">
        <v>59</v>
      </c>
      <c r="H337" s="2807">
        <f>'SSR-rates'!$I$60</f>
        <v>490</v>
      </c>
      <c r="I337" s="2822" t="s">
        <v>38</v>
      </c>
      <c r="J337" s="2811">
        <f>ROUND(B337*H337,2)</f>
        <v>9800</v>
      </c>
    </row>
    <row r="338" spans="1:10">
      <c r="A338" s="2819"/>
      <c r="B338" s="2808">
        <f>'Input Data'!$D$23</f>
        <v>0</v>
      </c>
      <c r="C338" s="2794"/>
      <c r="D338" s="2787" t="s">
        <v>17</v>
      </c>
      <c r="F338" s="2790"/>
      <c r="G338" s="2790"/>
      <c r="H338" s="2807">
        <f>SUM(J336:J337)</f>
        <v>10586</v>
      </c>
      <c r="I338" s="2822"/>
      <c r="J338" s="2807">
        <f>B338*H338</f>
        <v>0</v>
      </c>
    </row>
    <row r="339" spans="1:10" ht="15" customHeight="1">
      <c r="B339" s="2811"/>
      <c r="D339" s="2793" t="s">
        <v>60</v>
      </c>
      <c r="H339" s="2807"/>
      <c r="I339" s="2807"/>
      <c r="J339" s="2811">
        <f>SUM(J335:J338)</f>
        <v>11007.4</v>
      </c>
    </row>
    <row r="340" spans="1:10">
      <c r="B340" s="2821" t="s">
        <v>39</v>
      </c>
      <c r="C340" s="2828" t="s">
        <v>61</v>
      </c>
      <c r="H340" s="2807"/>
      <c r="I340" s="2807"/>
      <c r="J340" s="2807"/>
    </row>
    <row r="341" spans="1:10">
      <c r="B341" s="2811">
        <v>8.1</v>
      </c>
      <c r="C341" s="2790" t="s">
        <v>31</v>
      </c>
      <c r="D341" s="2793" t="s">
        <v>62</v>
      </c>
      <c r="H341" s="2807">
        <f>lead!$J$14</f>
        <v>1706.5179333714741</v>
      </c>
      <c r="I341" s="2807" t="s">
        <v>31</v>
      </c>
      <c r="J341" s="2807">
        <f>ROUND(B341*H341,2)</f>
        <v>13822.8</v>
      </c>
    </row>
    <row r="342" spans="1:10" ht="15" customHeight="1">
      <c r="B342" s="2811">
        <v>4.05</v>
      </c>
      <c r="C342" s="2790" t="s">
        <v>31</v>
      </c>
      <c r="D342" s="2787" t="s">
        <v>63</v>
      </c>
      <c r="H342" s="2807">
        <f>lead!$J$16</f>
        <v>2005.5179333714741</v>
      </c>
      <c r="I342" s="2807" t="s">
        <v>31</v>
      </c>
      <c r="J342" s="2807">
        <f>ROUND(B342*H342,2)</f>
        <v>8122.35</v>
      </c>
    </row>
    <row r="343" spans="1:10" ht="15" customHeight="1">
      <c r="B343" s="2811">
        <v>1.35</v>
      </c>
      <c r="C343" s="2790" t="s">
        <v>31</v>
      </c>
      <c r="D343" s="2787" t="s">
        <v>64</v>
      </c>
      <c r="H343" s="2807">
        <f>lead!$J$18</f>
        <v>1754.5179333714741</v>
      </c>
      <c r="I343" s="2807" t="s">
        <v>31</v>
      </c>
      <c r="J343" s="2807">
        <f>ROUND(B343*H343,2)</f>
        <v>2368.6</v>
      </c>
    </row>
    <row r="344" spans="1:10" ht="15" customHeight="1">
      <c r="B344" s="2811">
        <v>6.75</v>
      </c>
      <c r="C344" s="2790" t="s">
        <v>31</v>
      </c>
      <c r="D344" s="2793" t="s">
        <v>65</v>
      </c>
      <c r="H344" s="2807">
        <f>lead!J12</f>
        <v>1658.7679333714741</v>
      </c>
      <c r="I344" s="2807" t="s">
        <v>31</v>
      </c>
      <c r="J344" s="2807">
        <f>ROUND(B344*H344,2)</f>
        <v>11196.68</v>
      </c>
    </row>
    <row r="345" spans="1:10" ht="15" customHeight="1">
      <c r="B345" s="2811">
        <v>4.13</v>
      </c>
      <c r="C345" s="2790" t="s">
        <v>66</v>
      </c>
      <c r="D345" s="2793" t="s">
        <v>67</v>
      </c>
      <c r="H345" s="2807">
        <f>lead!$J$36</f>
        <v>5000</v>
      </c>
      <c r="I345" s="2807" t="s">
        <v>66</v>
      </c>
      <c r="J345" s="2807">
        <f>ROUND(B345*H345,2)</f>
        <v>20650</v>
      </c>
    </row>
    <row r="346" spans="1:10">
      <c r="B346" s="2811"/>
      <c r="C346" s="2794"/>
      <c r="D346" s="2793" t="s">
        <v>60</v>
      </c>
      <c r="H346" s="2807"/>
      <c r="I346" s="2807"/>
      <c r="J346" s="2807">
        <f>SUM(J341:J345)</f>
        <v>56160.43</v>
      </c>
    </row>
    <row r="347" spans="1:10">
      <c r="B347" s="2821" t="s">
        <v>87</v>
      </c>
      <c r="C347" s="2828" t="s">
        <v>40</v>
      </c>
      <c r="H347" s="2807"/>
      <c r="I347" s="2807"/>
      <c r="J347" s="2807"/>
    </row>
    <row r="348" spans="1:10">
      <c r="B348" s="2811">
        <v>6</v>
      </c>
      <c r="C348" s="2790" t="s">
        <v>41</v>
      </c>
      <c r="D348" s="2793" t="s">
        <v>68</v>
      </c>
      <c r="H348" s="2807">
        <f>'SSR-rates'!$I$88</f>
        <v>627.6</v>
      </c>
      <c r="I348" s="2807" t="s">
        <v>41</v>
      </c>
      <c r="J348" s="2807">
        <f>ROUND(B348*H348,2)</f>
        <v>3765.6</v>
      </c>
    </row>
    <row r="349" spans="1:10">
      <c r="B349" s="2811">
        <v>6</v>
      </c>
      <c r="C349" s="2790" t="s">
        <v>41</v>
      </c>
      <c r="D349" s="2793" t="s">
        <v>69</v>
      </c>
      <c r="H349" s="2807">
        <f>'SSR-rates'!$I$87</f>
        <v>1237.4000000000001</v>
      </c>
      <c r="I349" s="2807" t="s">
        <v>41</v>
      </c>
      <c r="J349" s="2807">
        <f>ROUND(B349*H349,2)</f>
        <v>7424.4</v>
      </c>
    </row>
    <row r="350" spans="1:10">
      <c r="B350" s="2811"/>
      <c r="C350" s="2794"/>
      <c r="D350" s="2793" t="s">
        <v>60</v>
      </c>
      <c r="H350" s="2807"/>
      <c r="I350" s="2807"/>
      <c r="J350" s="2807">
        <f>SUM(J348:J349)</f>
        <v>11190</v>
      </c>
    </row>
    <row r="351" spans="1:10">
      <c r="A351" s="2819"/>
      <c r="B351" s="2821" t="s">
        <v>45</v>
      </c>
      <c r="C351" s="2819" t="s">
        <v>95</v>
      </c>
      <c r="F351" s="2790"/>
      <c r="G351" s="2790"/>
      <c r="H351" s="2790"/>
      <c r="I351" s="2790"/>
      <c r="J351" s="2847"/>
    </row>
    <row r="352" spans="1:10">
      <c r="A352" s="2819"/>
      <c r="B352" s="2811">
        <v>4</v>
      </c>
      <c r="C352" s="2794" t="s">
        <v>29</v>
      </c>
      <c r="D352" s="2793" t="s">
        <v>146</v>
      </c>
      <c r="F352" s="2790"/>
      <c r="G352" s="2790"/>
      <c r="H352" s="2790"/>
      <c r="I352" s="2790"/>
      <c r="J352" s="2807">
        <f>ROUND((J339+J346+J350)*B352/100,2)</f>
        <v>3134.31</v>
      </c>
    </row>
    <row r="353" spans="1:10">
      <c r="A353" s="2819"/>
      <c r="B353" s="2821" t="s">
        <v>47</v>
      </c>
      <c r="C353" s="2819" t="s">
        <v>44</v>
      </c>
      <c r="F353" s="2790"/>
      <c r="G353" s="2790"/>
      <c r="H353" s="2790"/>
      <c r="I353" s="2790"/>
      <c r="J353" s="2847"/>
    </row>
    <row r="354" spans="1:10" ht="27.75" customHeight="1">
      <c r="A354" s="2819"/>
      <c r="B354" s="2812">
        <f>'Input Data'!$D$25</f>
        <v>0</v>
      </c>
      <c r="C354" s="3017" t="str">
        <f>"Over head charges "&amp;'Input Data'!$D$25*100&amp;"%  on (A) + (B)"</f>
        <v>Over head charges 0%  on (A) + (B)</v>
      </c>
      <c r="D354" s="3018"/>
      <c r="E354" s="3018"/>
      <c r="F354" s="3018"/>
      <c r="G354" s="3019"/>
      <c r="H354" s="2794">
        <f>J352+J350+J346+J339</f>
        <v>81492.14</v>
      </c>
      <c r="I354" s="2790"/>
      <c r="J354" s="2807">
        <f>H354*B354</f>
        <v>0</v>
      </c>
    </row>
    <row r="355" spans="1:10">
      <c r="A355" s="2819"/>
      <c r="B355" s="2821" t="s">
        <v>76</v>
      </c>
      <c r="C355" s="2819" t="s">
        <v>89</v>
      </c>
      <c r="F355" s="2790"/>
      <c r="G355" s="2790"/>
      <c r="H355" s="2790"/>
      <c r="I355" s="2790"/>
      <c r="J355" s="2847">
        <f>J339+J346+J350+J354+J352</f>
        <v>81492.14</v>
      </c>
    </row>
    <row r="356" spans="1:10">
      <c r="A356" s="2819"/>
      <c r="B356" s="2821" t="s">
        <v>78</v>
      </c>
      <c r="C356" s="2819" t="s">
        <v>90</v>
      </c>
      <c r="F356" s="2790"/>
      <c r="G356" s="2790"/>
      <c r="H356" s="2790"/>
      <c r="I356" s="2790"/>
      <c r="J356" s="2847">
        <f>J355*10/100</f>
        <v>8149.2139999999999</v>
      </c>
    </row>
    <row r="357" spans="1:10">
      <c r="B357" s="2811"/>
      <c r="C357" s="2790"/>
      <c r="D357" s="2828" t="s">
        <v>98</v>
      </c>
      <c r="H357" s="2807"/>
      <c r="I357" s="2807"/>
      <c r="J357" s="2847">
        <f>SUM(J355:J356)</f>
        <v>89641.353999999992</v>
      </c>
    </row>
    <row r="358" spans="1:10">
      <c r="B358" s="2811"/>
      <c r="C358" s="2790"/>
      <c r="D358" s="2793" t="s">
        <v>81</v>
      </c>
      <c r="H358" s="2807"/>
      <c r="I358" s="2807"/>
      <c r="J358" s="2807">
        <f>ROUND(J357/15,2)</f>
        <v>5976.09</v>
      </c>
    </row>
    <row r="359" spans="1:10">
      <c r="D359" s="2793" t="s">
        <v>52</v>
      </c>
      <c r="H359" s="2807"/>
      <c r="I359" s="2807"/>
      <c r="J359" s="2848">
        <f>ROUND(J358,0)</f>
        <v>5976</v>
      </c>
    </row>
    <row r="360" spans="1:10">
      <c r="D360" s="2793"/>
      <c r="H360" s="2807"/>
      <c r="I360" s="2807"/>
      <c r="J360" s="2847" t="s">
        <v>53</v>
      </c>
    </row>
    <row r="361" spans="1:10" ht="117.75" customHeight="1">
      <c r="A361" s="2816"/>
      <c r="B361" s="3008" t="s">
        <v>147</v>
      </c>
      <c r="C361" s="3008"/>
      <c r="D361" s="3008"/>
      <c r="E361" s="3008"/>
      <c r="F361" s="3008"/>
      <c r="G361" s="3008"/>
      <c r="H361" s="3008"/>
      <c r="I361" s="3008"/>
      <c r="J361" s="3008"/>
    </row>
    <row r="362" spans="1:10">
      <c r="D362" s="2793" t="s">
        <v>10</v>
      </c>
      <c r="F362" s="2819" t="s">
        <v>148</v>
      </c>
      <c r="J362" s="2787"/>
    </row>
    <row r="363" spans="1:10">
      <c r="D363" s="2793" t="s">
        <v>56</v>
      </c>
      <c r="J363" s="2787"/>
    </row>
    <row r="364" spans="1:10">
      <c r="B364" s="2821" t="s">
        <v>36</v>
      </c>
      <c r="C364" s="2828" t="s">
        <v>37</v>
      </c>
      <c r="J364" s="2787"/>
    </row>
    <row r="365" spans="1:10">
      <c r="B365" s="2811">
        <v>0.86</v>
      </c>
      <c r="C365" s="2790" t="s">
        <v>57</v>
      </c>
      <c r="D365" s="2793" t="s">
        <v>14</v>
      </c>
      <c r="H365" s="2807">
        <f>'SSR-rates'!I$58</f>
        <v>490</v>
      </c>
      <c r="I365" s="2822" t="s">
        <v>38</v>
      </c>
      <c r="J365" s="2811">
        <f>ROUND(B365*H365,2)</f>
        <v>421.4</v>
      </c>
    </row>
    <row r="366" spans="1:10">
      <c r="B366" s="2811">
        <v>1.5</v>
      </c>
      <c r="C366" s="2790" t="s">
        <v>57</v>
      </c>
      <c r="D366" s="2793" t="s">
        <v>58</v>
      </c>
      <c r="H366" s="2807">
        <f>'SSR-rates'!I$59</f>
        <v>524</v>
      </c>
      <c r="I366" s="2822" t="s">
        <v>38</v>
      </c>
      <c r="J366" s="2811">
        <f>ROUND(B366*H366,2)</f>
        <v>786</v>
      </c>
    </row>
    <row r="367" spans="1:10">
      <c r="B367" s="2811">
        <v>20</v>
      </c>
      <c r="C367" s="2790" t="s">
        <v>57</v>
      </c>
      <c r="D367" s="2793" t="s">
        <v>59</v>
      </c>
      <c r="H367" s="2807">
        <f>'SSR-rates'!I$60</f>
        <v>490</v>
      </c>
      <c r="I367" s="2822" t="s">
        <v>38</v>
      </c>
      <c r="J367" s="2811">
        <f>ROUND(B367*H367,2)</f>
        <v>9800</v>
      </c>
    </row>
    <row r="368" spans="1:10">
      <c r="A368" s="2819"/>
      <c r="B368" s="2808">
        <f>'Input Data'!$D$23</f>
        <v>0</v>
      </c>
      <c r="C368" s="2794"/>
      <c r="D368" s="2787" t="s">
        <v>17</v>
      </c>
      <c r="F368" s="2790"/>
      <c r="G368" s="2790"/>
      <c r="H368" s="2807">
        <f>SUM(J365:J367)</f>
        <v>11007.4</v>
      </c>
      <c r="I368" s="2822"/>
      <c r="J368" s="2807">
        <f>B368*H368</f>
        <v>0</v>
      </c>
    </row>
    <row r="369" spans="1:10">
      <c r="B369" s="2811"/>
      <c r="D369" s="2793" t="s">
        <v>60</v>
      </c>
      <c r="H369" s="2807"/>
      <c r="I369" s="2807"/>
      <c r="J369" s="2811">
        <f>SUM(J365:J368)</f>
        <v>11007.4</v>
      </c>
    </row>
    <row r="370" spans="1:10">
      <c r="B370" s="2821" t="s">
        <v>39</v>
      </c>
      <c r="C370" s="2828" t="s">
        <v>61</v>
      </c>
      <c r="H370" s="2807"/>
      <c r="I370" s="2807"/>
      <c r="J370" s="2807"/>
    </row>
    <row r="371" spans="1:10">
      <c r="B371" s="2811">
        <v>8.1</v>
      </c>
      <c r="C371" s="2790" t="s">
        <v>31</v>
      </c>
      <c r="D371" s="2793" t="s">
        <v>62</v>
      </c>
      <c r="H371" s="2807">
        <f>lead!$J$14</f>
        <v>1706.5179333714741</v>
      </c>
      <c r="I371" s="2807" t="s">
        <v>31</v>
      </c>
      <c r="J371" s="2807">
        <f>ROUND(B371*H371,2)</f>
        <v>13822.8</v>
      </c>
    </row>
    <row r="372" spans="1:10">
      <c r="B372" s="2811">
        <v>4.05</v>
      </c>
      <c r="C372" s="2790" t="s">
        <v>31</v>
      </c>
      <c r="D372" s="2787" t="s">
        <v>63</v>
      </c>
      <c r="H372" s="2807">
        <f>lead!$J$16</f>
        <v>2005.5179333714741</v>
      </c>
      <c r="I372" s="2807" t="s">
        <v>31</v>
      </c>
      <c r="J372" s="2807">
        <f>ROUND(B372*H372,2)</f>
        <v>8122.35</v>
      </c>
    </row>
    <row r="373" spans="1:10">
      <c r="B373" s="2811">
        <v>1.35</v>
      </c>
      <c r="C373" s="2790" t="s">
        <v>31</v>
      </c>
      <c r="D373" s="2787" t="s">
        <v>64</v>
      </c>
      <c r="H373" s="2807">
        <f>lead!$J$18</f>
        <v>1754.5179333714741</v>
      </c>
      <c r="I373" s="2807" t="s">
        <v>31</v>
      </c>
      <c r="J373" s="2807">
        <f>ROUND(B373*H373,2)</f>
        <v>2368.6</v>
      </c>
    </row>
    <row r="374" spans="1:10">
      <c r="B374" s="2811">
        <v>6.75</v>
      </c>
      <c r="C374" s="2790" t="s">
        <v>31</v>
      </c>
      <c r="D374" s="2793" t="s">
        <v>65</v>
      </c>
      <c r="H374" s="2807">
        <f>lead!J12</f>
        <v>1658.7679333714741</v>
      </c>
      <c r="I374" s="2807" t="s">
        <v>31</v>
      </c>
      <c r="J374" s="2807">
        <f>ROUND(B374*H374,2)</f>
        <v>11196.68</v>
      </c>
    </row>
    <row r="375" spans="1:10">
      <c r="B375" s="2811">
        <v>4.13</v>
      </c>
      <c r="C375" s="2790" t="s">
        <v>66</v>
      </c>
      <c r="D375" s="2793" t="s">
        <v>67</v>
      </c>
      <c r="H375" s="2807">
        <f>lead!$J$36</f>
        <v>5000</v>
      </c>
      <c r="I375" s="2807" t="s">
        <v>66</v>
      </c>
      <c r="J375" s="2807">
        <f>ROUND(B375*H375,2)</f>
        <v>20650</v>
      </c>
    </row>
    <row r="376" spans="1:10">
      <c r="B376" s="2811"/>
      <c r="C376" s="2794"/>
      <c r="D376" s="2793" t="s">
        <v>60</v>
      </c>
      <c r="H376" s="2807"/>
      <c r="I376" s="2807"/>
      <c r="J376" s="2807">
        <f>SUM(J371:J375)</f>
        <v>56160.43</v>
      </c>
    </row>
    <row r="377" spans="1:10">
      <c r="B377" s="2821" t="s">
        <v>87</v>
      </c>
      <c r="C377" s="2828" t="s">
        <v>40</v>
      </c>
      <c r="H377" s="2807"/>
      <c r="I377" s="2807"/>
      <c r="J377" s="2807"/>
    </row>
    <row r="378" spans="1:10">
      <c r="B378" s="2811">
        <v>6</v>
      </c>
      <c r="C378" s="2790" t="s">
        <v>41</v>
      </c>
      <c r="D378" s="2793" t="s">
        <v>68</v>
      </c>
      <c r="H378" s="2807">
        <f>'SSR-rates'!$I$88</f>
        <v>627.6</v>
      </c>
      <c r="I378" s="2807" t="s">
        <v>41</v>
      </c>
      <c r="J378" s="2807">
        <f>ROUND(B378*H378,2)</f>
        <v>3765.6</v>
      </c>
    </row>
    <row r="379" spans="1:10">
      <c r="B379" s="2811">
        <v>6</v>
      </c>
      <c r="C379" s="2790" t="s">
        <v>41</v>
      </c>
      <c r="D379" s="2793" t="s">
        <v>69</v>
      </c>
      <c r="H379" s="2807">
        <f>'SSR-rates'!$I$87</f>
        <v>1237.4000000000001</v>
      </c>
      <c r="I379" s="2807" t="s">
        <v>41</v>
      </c>
      <c r="J379" s="2807">
        <f>ROUND(B379*H379,2)</f>
        <v>7424.4</v>
      </c>
    </row>
    <row r="380" spans="1:10">
      <c r="B380" s="2811"/>
      <c r="C380" s="2794"/>
      <c r="D380" s="2793" t="s">
        <v>60</v>
      </c>
      <c r="H380" s="2807"/>
      <c r="I380" s="2807"/>
      <c r="J380" s="2807">
        <f>SUM(J378:J379)</f>
        <v>11190</v>
      </c>
    </row>
    <row r="381" spans="1:10">
      <c r="A381" s="2819"/>
      <c r="B381" s="2821" t="s">
        <v>45</v>
      </c>
      <c r="C381" s="2819" t="s">
        <v>149</v>
      </c>
      <c r="F381" s="2790"/>
      <c r="G381" s="2790"/>
      <c r="H381" s="2790"/>
      <c r="I381" s="2790"/>
      <c r="J381" s="2847"/>
    </row>
    <row r="382" spans="1:10">
      <c r="A382" s="2819"/>
      <c r="B382" s="2811">
        <v>10</v>
      </c>
      <c r="C382" s="2794" t="s">
        <v>29</v>
      </c>
      <c r="D382" s="2793" t="s">
        <v>146</v>
      </c>
      <c r="F382" s="2790"/>
      <c r="G382" s="2790"/>
      <c r="H382" s="2790"/>
      <c r="I382" s="2790"/>
      <c r="J382" s="2807">
        <f>ROUND((J369+J376+J380)*B382/100,2)</f>
        <v>7835.78</v>
      </c>
    </row>
    <row r="383" spans="1:10">
      <c r="A383" s="2819"/>
      <c r="B383" s="2821" t="s">
        <v>47</v>
      </c>
      <c r="C383" s="2819" t="s">
        <v>74</v>
      </c>
      <c r="F383" s="2790"/>
      <c r="G383" s="2790"/>
      <c r="H383" s="2790"/>
      <c r="I383" s="2790"/>
      <c r="J383" s="2847"/>
    </row>
    <row r="384" spans="1:10" ht="30.75" customHeight="1">
      <c r="A384" s="2819"/>
      <c r="B384" s="2812">
        <f>'Input Data'!$D$25</f>
        <v>0</v>
      </c>
      <c r="C384" s="3017" t="str">
        <f>"Over head charges "&amp;'Input Data'!$D$25*100&amp;"%  on (A) + (B)+(C)+(D)"</f>
        <v>Over head charges 0%  on (A) + (B)+(C)+(D)</v>
      </c>
      <c r="D384" s="3018"/>
      <c r="E384" s="3018"/>
      <c r="F384" s="3018"/>
      <c r="G384" s="3019"/>
      <c r="H384" s="2794">
        <f>J382+J380+J376+J369</f>
        <v>86193.609999999986</v>
      </c>
      <c r="I384" s="2790"/>
      <c r="J384" s="2807">
        <f>H384*B384</f>
        <v>0</v>
      </c>
    </row>
    <row r="385" spans="1:11">
      <c r="A385" s="2819"/>
      <c r="B385" s="2821" t="s">
        <v>76</v>
      </c>
      <c r="C385" s="2819" t="s">
        <v>89</v>
      </c>
      <c r="F385" s="2790"/>
      <c r="G385" s="2790"/>
      <c r="H385" s="2790"/>
      <c r="I385" s="2790"/>
      <c r="J385" s="2847">
        <f>J369+J376+J380+J384+J382</f>
        <v>86193.61</v>
      </c>
    </row>
    <row r="386" spans="1:11">
      <c r="A386" s="2819"/>
      <c r="B386" s="2821" t="s">
        <v>78</v>
      </c>
      <c r="C386" s="2819" t="s">
        <v>90</v>
      </c>
      <c r="F386" s="2790"/>
      <c r="G386" s="2790"/>
      <c r="H386" s="2790"/>
      <c r="I386" s="2790"/>
      <c r="J386" s="2847">
        <f>J385*10/100</f>
        <v>8619.360999999999</v>
      </c>
    </row>
    <row r="387" spans="1:11">
      <c r="B387" s="2811"/>
      <c r="C387" s="2790"/>
      <c r="D387" s="2828" t="s">
        <v>98</v>
      </c>
      <c r="H387" s="2807"/>
      <c r="I387" s="2807"/>
      <c r="J387" s="2847">
        <f>SUM(J385:J386)</f>
        <v>94812.971000000005</v>
      </c>
    </row>
    <row r="388" spans="1:11">
      <c r="B388" s="2811"/>
      <c r="C388" s="2790"/>
      <c r="D388" s="2793" t="s">
        <v>81</v>
      </c>
      <c r="H388" s="2807"/>
      <c r="I388" s="2807"/>
      <c r="J388" s="2807">
        <f>ROUND(J387/15,2)</f>
        <v>6320.86</v>
      </c>
    </row>
    <row r="389" spans="1:11">
      <c r="D389" s="2793" t="s">
        <v>52</v>
      </c>
      <c r="H389" s="2807"/>
      <c r="I389" s="2807"/>
      <c r="J389" s="2848">
        <f>ROUND(J388,0)</f>
        <v>6321</v>
      </c>
    </row>
    <row r="390" spans="1:11">
      <c r="D390" s="2793"/>
      <c r="H390" s="2807"/>
      <c r="I390" s="2807"/>
      <c r="J390" s="2847" t="s">
        <v>53</v>
      </c>
    </row>
    <row r="391" spans="1:11" ht="106.5" customHeight="1">
      <c r="A391" s="2816"/>
      <c r="B391" s="3008" t="s">
        <v>150</v>
      </c>
      <c r="C391" s="3008"/>
      <c r="D391" s="3008"/>
      <c r="E391" s="3008"/>
      <c r="F391" s="3008"/>
      <c r="G391" s="3008"/>
      <c r="H391" s="3008"/>
      <c r="I391" s="3008"/>
      <c r="J391" s="3008"/>
    </row>
    <row r="392" spans="1:11">
      <c r="D392" s="2793" t="s">
        <v>10</v>
      </c>
      <c r="F392" s="2819" t="s">
        <v>151</v>
      </c>
      <c r="J392" s="2787"/>
    </row>
    <row r="393" spans="1:11">
      <c r="D393" s="2793" t="s">
        <v>56</v>
      </c>
      <c r="J393" s="2787"/>
    </row>
    <row r="394" spans="1:11">
      <c r="B394" s="2821" t="s">
        <v>36</v>
      </c>
      <c r="C394" s="2828" t="s">
        <v>37</v>
      </c>
      <c r="J394" s="2787"/>
    </row>
    <row r="395" spans="1:11">
      <c r="B395" s="2811">
        <v>0.86</v>
      </c>
      <c r="C395" s="2790" t="s">
        <v>57</v>
      </c>
      <c r="D395" s="2793" t="s">
        <v>14</v>
      </c>
      <c r="H395" s="2807">
        <f>'SSR-rates'!$I$58</f>
        <v>490</v>
      </c>
      <c r="I395" s="2822" t="s">
        <v>38</v>
      </c>
      <c r="J395" s="2811">
        <f>ROUND(B395*H395,2)</f>
        <v>421.4</v>
      </c>
      <c r="K395" s="2793"/>
    </row>
    <row r="396" spans="1:11">
      <c r="B396" s="2811">
        <v>1.5</v>
      </c>
      <c r="C396" s="2790" t="s">
        <v>57</v>
      </c>
      <c r="D396" s="2793" t="s">
        <v>58</v>
      </c>
      <c r="H396" s="2807">
        <f>'SSR-rates'!$I$59</f>
        <v>524</v>
      </c>
      <c r="I396" s="2822" t="s">
        <v>38</v>
      </c>
      <c r="J396" s="2811">
        <f>ROUND(B396*H396,2)</f>
        <v>786</v>
      </c>
    </row>
    <row r="397" spans="1:11">
      <c r="B397" s="2811">
        <v>20</v>
      </c>
      <c r="C397" s="2790" t="s">
        <v>57</v>
      </c>
      <c r="D397" s="2793" t="s">
        <v>59</v>
      </c>
      <c r="H397" s="2807">
        <f>'SSR-rates'!$I$60</f>
        <v>490</v>
      </c>
      <c r="I397" s="2822" t="s">
        <v>38</v>
      </c>
      <c r="J397" s="2811">
        <f>ROUND(B397*H397,2)</f>
        <v>9800</v>
      </c>
    </row>
    <row r="398" spans="1:11">
      <c r="A398" s="2819"/>
      <c r="B398" s="2808">
        <f>'Input Data'!$D$23</f>
        <v>0</v>
      </c>
      <c r="C398" s="2794"/>
      <c r="D398" s="2787" t="s">
        <v>17</v>
      </c>
      <c r="F398" s="2790"/>
      <c r="G398" s="2790"/>
      <c r="H398" s="2807">
        <f>SUM(J395:J397)</f>
        <v>11007.4</v>
      </c>
      <c r="I398" s="2822"/>
      <c r="J398" s="2807">
        <f>B398*H398</f>
        <v>0</v>
      </c>
    </row>
    <row r="399" spans="1:11" ht="15" customHeight="1">
      <c r="B399" s="2811"/>
      <c r="D399" s="2793" t="s">
        <v>60</v>
      </c>
      <c r="H399" s="2807"/>
      <c r="I399" s="2807"/>
      <c r="J399" s="2811">
        <f>SUM(J395:J398)</f>
        <v>11007.4</v>
      </c>
    </row>
    <row r="400" spans="1:11">
      <c r="B400" s="2821" t="s">
        <v>39</v>
      </c>
      <c r="C400" s="2828" t="s">
        <v>61</v>
      </c>
      <c r="H400" s="2807"/>
      <c r="I400" s="2807"/>
      <c r="J400" s="2807"/>
    </row>
    <row r="401" spans="1:13">
      <c r="B401" s="2811">
        <v>0</v>
      </c>
      <c r="C401" s="2790" t="s">
        <v>31</v>
      </c>
      <c r="D401" s="2793" t="s">
        <v>62</v>
      </c>
      <c r="H401" s="2807">
        <f>lead!$J$14</f>
        <v>1706.5179333714741</v>
      </c>
      <c r="I401" s="2807" t="s">
        <v>31</v>
      </c>
      <c r="J401" s="2807">
        <f>ROUND(B401*H401,2)</f>
        <v>0</v>
      </c>
      <c r="K401" s="2787">
        <v>5.16</v>
      </c>
      <c r="L401" s="2787">
        <v>5.4</v>
      </c>
      <c r="M401" s="2787">
        <v>1139.82456140351</v>
      </c>
    </row>
    <row r="402" spans="1:13" ht="15" customHeight="1">
      <c r="B402" s="2811">
        <v>8.1</v>
      </c>
      <c r="C402" s="2790" t="s">
        <v>31</v>
      </c>
      <c r="D402" s="2787" t="s">
        <v>63</v>
      </c>
      <c r="H402" s="2807">
        <f>lead!$J$16</f>
        <v>2005.5179333714741</v>
      </c>
      <c r="I402" s="2807" t="s">
        <v>31</v>
      </c>
      <c r="J402" s="2807">
        <f>ROUND(B402*H402,2)</f>
        <v>16244.7</v>
      </c>
      <c r="L402" s="2787">
        <v>5.4</v>
      </c>
      <c r="M402" s="2787">
        <v>1659.82456140351</v>
      </c>
    </row>
    <row r="403" spans="1:13" ht="15" customHeight="1">
      <c r="B403" s="2811">
        <v>5.4</v>
      </c>
      <c r="C403" s="2790" t="s">
        <v>31</v>
      </c>
      <c r="D403" s="2787" t="s">
        <v>64</v>
      </c>
      <c r="H403" s="2807">
        <f>lead!$J$18</f>
        <v>1754.5179333714741</v>
      </c>
      <c r="I403" s="2807" t="s">
        <v>31</v>
      </c>
      <c r="J403" s="2807">
        <f>ROUND(B403*H403,2)</f>
        <v>9474.4</v>
      </c>
      <c r="L403" s="2787">
        <v>2.7</v>
      </c>
      <c r="M403" s="2787">
        <v>1229.82456140351</v>
      </c>
    </row>
    <row r="404" spans="1:13" ht="15" customHeight="1">
      <c r="B404" s="2811">
        <v>6.75</v>
      </c>
      <c r="C404" s="2790" t="s">
        <v>31</v>
      </c>
      <c r="D404" s="2793" t="s">
        <v>65</v>
      </c>
      <c r="H404" s="2807">
        <f>lead!J12</f>
        <v>1658.7679333714741</v>
      </c>
      <c r="I404" s="2807" t="s">
        <v>31</v>
      </c>
      <c r="J404" s="2807">
        <f>ROUND(B404*H404,2)</f>
        <v>11196.68</v>
      </c>
      <c r="L404" s="2787">
        <v>6.75</v>
      </c>
      <c r="M404" s="2787">
        <v>1207.0087719298201</v>
      </c>
    </row>
    <row r="405" spans="1:13" ht="15" customHeight="1">
      <c r="B405" s="2811">
        <v>5.12</v>
      </c>
      <c r="C405" s="2790" t="s">
        <v>66</v>
      </c>
      <c r="D405" s="2793" t="s">
        <v>67</v>
      </c>
      <c r="H405" s="2807">
        <f>lead!$J$36</f>
        <v>5000</v>
      </c>
      <c r="I405" s="2807" t="s">
        <v>66</v>
      </c>
      <c r="J405" s="2807">
        <f>ROUND(B405*H405,2)</f>
        <v>25600</v>
      </c>
      <c r="L405" s="2787">
        <v>5.16</v>
      </c>
      <c r="M405" s="2787">
        <v>6300</v>
      </c>
    </row>
    <row r="406" spans="1:13">
      <c r="B406" s="2811"/>
      <c r="C406" s="2794"/>
      <c r="D406" s="2793" t="s">
        <v>60</v>
      </c>
      <c r="H406" s="2807"/>
      <c r="I406" s="2807"/>
      <c r="J406" s="2807">
        <f>SUM(J401:J405)</f>
        <v>62515.78</v>
      </c>
    </row>
    <row r="407" spans="1:13">
      <c r="B407" s="2821" t="s">
        <v>94</v>
      </c>
      <c r="C407" s="2828" t="s">
        <v>40</v>
      </c>
      <c r="H407" s="2807"/>
      <c r="I407" s="2807"/>
      <c r="J407" s="2807"/>
    </row>
    <row r="408" spans="1:13">
      <c r="B408" s="2811">
        <v>6</v>
      </c>
      <c r="C408" s="2790" t="s">
        <v>41</v>
      </c>
      <c r="D408" s="2793" t="s">
        <v>68</v>
      </c>
      <c r="H408" s="2807">
        <f>'SSR-rates'!$I$88</f>
        <v>627.6</v>
      </c>
      <c r="I408" s="2807" t="s">
        <v>41</v>
      </c>
      <c r="J408" s="2807">
        <f>ROUND(B408*H408,2)</f>
        <v>3765.6</v>
      </c>
    </row>
    <row r="409" spans="1:13">
      <c r="B409" s="2811">
        <v>6</v>
      </c>
      <c r="C409" s="2790" t="s">
        <v>41</v>
      </c>
      <c r="D409" s="2793" t="s">
        <v>69</v>
      </c>
      <c r="H409" s="2807">
        <f>'SSR-rates'!$I$87</f>
        <v>1237.4000000000001</v>
      </c>
      <c r="I409" s="2807" t="s">
        <v>41</v>
      </c>
      <c r="J409" s="2807">
        <f>ROUND(B409*H409,2)</f>
        <v>7424.4</v>
      </c>
    </row>
    <row r="410" spans="1:13">
      <c r="B410" s="2811"/>
      <c r="C410" s="2794"/>
      <c r="D410" s="2793" t="s">
        <v>60</v>
      </c>
      <c r="H410" s="2807"/>
      <c r="I410" s="2807"/>
      <c r="J410" s="2807">
        <f>SUM(J408:J409)</f>
        <v>11190</v>
      </c>
    </row>
    <row r="411" spans="1:13">
      <c r="A411" s="2819"/>
      <c r="B411" s="2821" t="s">
        <v>45</v>
      </c>
      <c r="C411" s="2819" t="s">
        <v>152</v>
      </c>
      <c r="F411" s="2790"/>
      <c r="G411" s="2790"/>
      <c r="H411" s="2790"/>
      <c r="I411" s="2790"/>
      <c r="J411" s="2847"/>
    </row>
    <row r="412" spans="1:13">
      <c r="A412" s="2819"/>
      <c r="B412" s="2811">
        <v>10</v>
      </c>
      <c r="C412" s="2794" t="s">
        <v>29</v>
      </c>
      <c r="D412" s="2793" t="s">
        <v>146</v>
      </c>
      <c r="F412" s="2790"/>
      <c r="G412" s="2790"/>
      <c r="H412" s="2790"/>
      <c r="I412" s="2790"/>
      <c r="J412" s="2807">
        <f>ROUND((J399+J406+J410)*B412/100,2)</f>
        <v>8471.32</v>
      </c>
    </row>
    <row r="413" spans="1:13">
      <c r="A413" s="2819"/>
      <c r="B413" s="2821" t="s">
        <v>47</v>
      </c>
      <c r="C413" s="2819" t="s">
        <v>74</v>
      </c>
      <c r="F413" s="2790"/>
      <c r="G413" s="2790"/>
      <c r="H413" s="2790"/>
      <c r="I413" s="2790"/>
      <c r="J413" s="2847"/>
    </row>
    <row r="414" spans="1:13">
      <c r="A414" s="2819"/>
      <c r="B414" s="2849">
        <f>'Input Data'!$D$25</f>
        <v>0</v>
      </c>
      <c r="C414" s="2794"/>
      <c r="D414" s="2793" t="str">
        <f>"Over head charges "&amp;'Input Data'!$D$25*100&amp;"%  on (A) + (B)"</f>
        <v>Over head charges 0%  on (A) + (B)</v>
      </c>
      <c r="F414" s="2790"/>
      <c r="G414" s="2790"/>
      <c r="H414" s="2794">
        <f>J412+J410+J406+J399</f>
        <v>93184.5</v>
      </c>
      <c r="I414" s="2790"/>
      <c r="J414" s="2807">
        <f>H414*B414</f>
        <v>0</v>
      </c>
    </row>
    <row r="415" spans="1:13">
      <c r="A415" s="2819"/>
      <c r="B415" s="2821" t="s">
        <v>76</v>
      </c>
      <c r="C415" s="2819" t="s">
        <v>89</v>
      </c>
      <c r="F415" s="2790"/>
      <c r="G415" s="2790"/>
      <c r="H415" s="2790"/>
      <c r="I415" s="2790"/>
      <c r="J415" s="2847">
        <f>J399+J406+J410+J414+J412</f>
        <v>93184.5</v>
      </c>
    </row>
    <row r="416" spans="1:13">
      <c r="A416" s="2819"/>
      <c r="B416" s="2821" t="s">
        <v>78</v>
      </c>
      <c r="C416" s="2819" t="s">
        <v>90</v>
      </c>
      <c r="F416" s="2790"/>
      <c r="G416" s="2790"/>
      <c r="H416" s="2790"/>
      <c r="I416" s="2790"/>
      <c r="J416" s="2847">
        <f>J415*10/100</f>
        <v>9318.4500000000007</v>
      </c>
    </row>
    <row r="417" spans="1:13">
      <c r="B417" s="2811"/>
      <c r="C417" s="2790"/>
      <c r="D417" s="2828" t="s">
        <v>98</v>
      </c>
      <c r="H417" s="2807"/>
      <c r="I417" s="2807"/>
      <c r="J417" s="2847">
        <f>SUM(J415:J416)</f>
        <v>102502.95</v>
      </c>
    </row>
    <row r="418" spans="1:13">
      <c r="B418" s="2811"/>
      <c r="C418" s="2790"/>
      <c r="D418" s="2793" t="s">
        <v>81</v>
      </c>
      <c r="H418" s="2807"/>
      <c r="I418" s="2807"/>
      <c r="J418" s="2807">
        <f>ROUND(J417/15,2)</f>
        <v>6833.53</v>
      </c>
    </row>
    <row r="419" spans="1:13">
      <c r="D419" s="2793" t="s">
        <v>52</v>
      </c>
      <c r="H419" s="2807"/>
      <c r="I419" s="2807"/>
      <c r="J419" s="2848">
        <f>ROUND(J418,0)</f>
        <v>6834</v>
      </c>
    </row>
    <row r="420" spans="1:13">
      <c r="D420" s="2793"/>
      <c r="H420" s="2807"/>
      <c r="I420" s="2807"/>
      <c r="J420" s="2847" t="s">
        <v>53</v>
      </c>
    </row>
    <row r="421" spans="1:13" ht="106.5" customHeight="1">
      <c r="A421" s="2816"/>
      <c r="B421" s="3008" t="s">
        <v>153</v>
      </c>
      <c r="C421" s="3008"/>
      <c r="D421" s="3008"/>
      <c r="E421" s="3008"/>
      <c r="F421" s="3008"/>
      <c r="G421" s="3008"/>
      <c r="H421" s="3008"/>
      <c r="I421" s="3008"/>
      <c r="J421" s="3008"/>
    </row>
    <row r="422" spans="1:13">
      <c r="D422" s="2793" t="s">
        <v>10</v>
      </c>
      <c r="F422" s="2819" t="s">
        <v>151</v>
      </c>
      <c r="J422" s="2787"/>
    </row>
    <row r="423" spans="1:13">
      <c r="D423" s="2793" t="s">
        <v>56</v>
      </c>
      <c r="J423" s="2787"/>
    </row>
    <row r="424" spans="1:13">
      <c r="B424" s="2821" t="s">
        <v>36</v>
      </c>
      <c r="C424" s="2828" t="s">
        <v>37</v>
      </c>
      <c r="J424" s="2787"/>
    </row>
    <row r="425" spans="1:13">
      <c r="B425" s="2811">
        <v>0.86</v>
      </c>
      <c r="C425" s="2790" t="s">
        <v>57</v>
      </c>
      <c r="D425" s="2793" t="s">
        <v>14</v>
      </c>
      <c r="H425" s="2807">
        <f>'SSR-rates'!$I$58</f>
        <v>490</v>
      </c>
      <c r="I425" s="2822" t="s">
        <v>38</v>
      </c>
      <c r="J425" s="2811">
        <f>ROUND(B425*H425,2)</f>
        <v>421.4</v>
      </c>
      <c r="K425" s="2793"/>
    </row>
    <row r="426" spans="1:13">
      <c r="B426" s="2811">
        <v>1.5</v>
      </c>
      <c r="C426" s="2790" t="s">
        <v>57</v>
      </c>
      <c r="D426" s="2793" t="s">
        <v>58</v>
      </c>
      <c r="H426" s="2807">
        <f>'SSR-rates'!$I$59</f>
        <v>524</v>
      </c>
      <c r="I426" s="2822" t="s">
        <v>38</v>
      </c>
      <c r="J426" s="2811">
        <f>ROUND(B426*H426,2)</f>
        <v>786</v>
      </c>
    </row>
    <row r="427" spans="1:13">
      <c r="B427" s="2811">
        <v>20</v>
      </c>
      <c r="C427" s="2790" t="s">
        <v>57</v>
      </c>
      <c r="D427" s="2793" t="s">
        <v>59</v>
      </c>
      <c r="H427" s="2807">
        <f>'SSR-rates'!$I$60</f>
        <v>490</v>
      </c>
      <c r="I427" s="2822" t="s">
        <v>38</v>
      </c>
      <c r="J427" s="2811">
        <f>ROUND(B427*H427,2)</f>
        <v>9800</v>
      </c>
    </row>
    <row r="428" spans="1:13">
      <c r="A428" s="2819"/>
      <c r="B428" s="2808">
        <f>'Input Data'!$D$23</f>
        <v>0</v>
      </c>
      <c r="C428" s="2794"/>
      <c r="D428" s="2787" t="s">
        <v>17</v>
      </c>
      <c r="F428" s="2790"/>
      <c r="G428" s="2790"/>
      <c r="H428" s="2807">
        <f>SUM(J425:J427)</f>
        <v>11007.4</v>
      </c>
      <c r="I428" s="2822"/>
      <c r="J428" s="2807">
        <f>B428*H428</f>
        <v>0</v>
      </c>
    </row>
    <row r="429" spans="1:13" ht="15" customHeight="1">
      <c r="B429" s="2811"/>
      <c r="D429" s="2793" t="s">
        <v>60</v>
      </c>
      <c r="H429" s="2807"/>
      <c r="I429" s="2807"/>
      <c r="J429" s="2811">
        <f>SUM(J425:J428)</f>
        <v>11007.4</v>
      </c>
    </row>
    <row r="430" spans="1:13">
      <c r="B430" s="2821" t="s">
        <v>39</v>
      </c>
      <c r="C430" s="2828" t="s">
        <v>61</v>
      </c>
      <c r="H430" s="2807"/>
      <c r="I430" s="2807"/>
      <c r="J430" s="2807"/>
    </row>
    <row r="431" spans="1:13">
      <c r="B431" s="2811">
        <v>0</v>
      </c>
      <c r="C431" s="2790" t="s">
        <v>31</v>
      </c>
      <c r="D431" s="2793" t="s">
        <v>62</v>
      </c>
      <c r="H431" s="2807">
        <f>lead!$J$14</f>
        <v>1706.5179333714741</v>
      </c>
      <c r="I431" s="2807" t="s">
        <v>31</v>
      </c>
      <c r="J431" s="2807">
        <f>ROUND(B431*H431,2)</f>
        <v>0</v>
      </c>
      <c r="K431" s="2787">
        <v>5.16</v>
      </c>
      <c r="L431" s="2787">
        <v>5.4</v>
      </c>
      <c r="M431" s="2787">
        <v>1139.82456140351</v>
      </c>
    </row>
    <row r="432" spans="1:13" ht="15" customHeight="1">
      <c r="B432" s="2811">
        <v>8.1</v>
      </c>
      <c r="C432" s="2790" t="s">
        <v>31</v>
      </c>
      <c r="D432" s="2787" t="s">
        <v>63</v>
      </c>
      <c r="H432" s="2807">
        <f>lead!$J$16</f>
        <v>2005.5179333714741</v>
      </c>
      <c r="I432" s="2807" t="s">
        <v>31</v>
      </c>
      <c r="J432" s="2807">
        <f>ROUND(B432*H432,2)</f>
        <v>16244.7</v>
      </c>
      <c r="L432" s="2787">
        <v>5.4</v>
      </c>
      <c r="M432" s="2787">
        <v>1659.82456140351</v>
      </c>
    </row>
    <row r="433" spans="1:13" ht="15" customHeight="1">
      <c r="B433" s="2811">
        <v>5.4</v>
      </c>
      <c r="C433" s="2790" t="s">
        <v>31</v>
      </c>
      <c r="D433" s="2787" t="s">
        <v>64</v>
      </c>
      <c r="H433" s="2807">
        <f>lead!$J$18</f>
        <v>1754.5179333714741</v>
      </c>
      <c r="I433" s="2807" t="s">
        <v>31</v>
      </c>
      <c r="J433" s="2807">
        <f>ROUND(B433*H433,2)</f>
        <v>9474.4</v>
      </c>
      <c r="L433" s="2787">
        <v>2.7</v>
      </c>
      <c r="M433" s="2787">
        <v>1229.82456140351</v>
      </c>
    </row>
    <row r="434" spans="1:13" ht="15" customHeight="1">
      <c r="B434" s="2811">
        <v>6.75</v>
      </c>
      <c r="C434" s="2790" t="s">
        <v>31</v>
      </c>
      <c r="D434" s="2793" t="s">
        <v>65</v>
      </c>
      <c r="H434" s="2807">
        <f>lead!J12</f>
        <v>1658.7679333714741</v>
      </c>
      <c r="I434" s="2807" t="s">
        <v>31</v>
      </c>
      <c r="J434" s="2807">
        <f>ROUND(B434*H434,2)</f>
        <v>11196.68</v>
      </c>
      <c r="L434" s="2787">
        <v>6.75</v>
      </c>
      <c r="M434" s="2787">
        <v>1207.0087719298201</v>
      </c>
    </row>
    <row r="435" spans="1:13" ht="15" customHeight="1">
      <c r="B435" s="2811">
        <v>5.12</v>
      </c>
      <c r="C435" s="2790" t="s">
        <v>66</v>
      </c>
      <c r="D435" s="2793" t="s">
        <v>67</v>
      </c>
      <c r="H435" s="2807">
        <f>lead!$J$36</f>
        <v>5000</v>
      </c>
      <c r="I435" s="2807" t="s">
        <v>66</v>
      </c>
      <c r="J435" s="2807">
        <f>ROUND(B435*H435,2)</f>
        <v>25600</v>
      </c>
      <c r="L435" s="2787">
        <v>5.16</v>
      </c>
      <c r="M435" s="2787">
        <v>6300</v>
      </c>
    </row>
    <row r="436" spans="1:13">
      <c r="B436" s="2811"/>
      <c r="C436" s="2794"/>
      <c r="D436" s="2793" t="s">
        <v>60</v>
      </c>
      <c r="H436" s="2807"/>
      <c r="I436" s="2807"/>
      <c r="J436" s="2807">
        <f>SUM(J431:J435)</f>
        <v>62515.78</v>
      </c>
    </row>
    <row r="437" spans="1:13">
      <c r="B437" s="2821" t="s">
        <v>94</v>
      </c>
      <c r="C437" s="2828" t="s">
        <v>40</v>
      </c>
      <c r="H437" s="2807"/>
      <c r="I437" s="2807"/>
      <c r="J437" s="2807"/>
    </row>
    <row r="438" spans="1:13">
      <c r="B438" s="2811">
        <v>6</v>
      </c>
      <c r="C438" s="2790" t="s">
        <v>41</v>
      </c>
      <c r="D438" s="2793" t="s">
        <v>68</v>
      </c>
      <c r="H438" s="2807">
        <f>'SSR-rates'!$I$88</f>
        <v>627.6</v>
      </c>
      <c r="I438" s="2807" t="s">
        <v>41</v>
      </c>
      <c r="J438" s="2807">
        <f>ROUND(B438*H438,2)</f>
        <v>3765.6</v>
      </c>
    </row>
    <row r="439" spans="1:13">
      <c r="B439" s="2811">
        <v>6</v>
      </c>
      <c r="C439" s="2790" t="s">
        <v>41</v>
      </c>
      <c r="D439" s="2793" t="s">
        <v>69</v>
      </c>
      <c r="H439" s="2807">
        <f>'SSR-rates'!$I$87</f>
        <v>1237.4000000000001</v>
      </c>
      <c r="I439" s="2807" t="s">
        <v>41</v>
      </c>
      <c r="J439" s="2807">
        <f>ROUND(B439*H439,2)</f>
        <v>7424.4</v>
      </c>
    </row>
    <row r="440" spans="1:13">
      <c r="B440" s="2811"/>
      <c r="C440" s="2794"/>
      <c r="D440" s="2793" t="s">
        <v>60</v>
      </c>
      <c r="H440" s="2807"/>
      <c r="I440" s="2807"/>
      <c r="J440" s="2807">
        <f>SUM(J438:J439)</f>
        <v>11190</v>
      </c>
    </row>
    <row r="441" spans="1:13">
      <c r="A441" s="2819"/>
      <c r="B441" s="2821" t="s">
        <v>45</v>
      </c>
      <c r="C441" s="2819" t="s">
        <v>152</v>
      </c>
      <c r="F441" s="2790"/>
      <c r="G441" s="2790"/>
      <c r="H441" s="2790"/>
      <c r="I441" s="2790"/>
      <c r="J441" s="2847"/>
    </row>
    <row r="442" spans="1:13">
      <c r="A442" s="2819"/>
      <c r="B442" s="2811">
        <v>20</v>
      </c>
      <c r="C442" s="2794" t="s">
        <v>29</v>
      </c>
      <c r="D442" s="2793" t="s">
        <v>146</v>
      </c>
      <c r="F442" s="2790"/>
      <c r="G442" s="2790"/>
      <c r="H442" s="2790"/>
      <c r="I442" s="2790"/>
      <c r="J442" s="2807">
        <f>ROUND((J429+J436+J440)*B442/100,2)</f>
        <v>16942.64</v>
      </c>
    </row>
    <row r="443" spans="1:13">
      <c r="A443" s="2819"/>
      <c r="B443" s="2821" t="s">
        <v>47</v>
      </c>
      <c r="C443" s="2819" t="s">
        <v>74</v>
      </c>
      <c r="F443" s="2790"/>
      <c r="G443" s="2790"/>
      <c r="H443" s="2790"/>
      <c r="I443" s="2790"/>
      <c r="J443" s="2847"/>
    </row>
    <row r="444" spans="1:13">
      <c r="A444" s="2819"/>
      <c r="B444" s="2849">
        <f>'Input Data'!$D$25</f>
        <v>0</v>
      </c>
      <c r="C444" s="2794"/>
      <c r="D444" s="2793" t="str">
        <f>"Over head charges "&amp;'Input Data'!$D$25*100&amp;"%  on (A) + (B)"</f>
        <v>Over head charges 0%  on (A) + (B)</v>
      </c>
      <c r="F444" s="2790"/>
      <c r="G444" s="2790"/>
      <c r="H444" s="2794">
        <f>J442+J440+J436+J429</f>
        <v>101655.81999999999</v>
      </c>
      <c r="I444" s="2790"/>
      <c r="J444" s="2807">
        <f>H444*B444</f>
        <v>0</v>
      </c>
    </row>
    <row r="445" spans="1:13">
      <c r="A445" s="2819"/>
      <c r="B445" s="2821" t="s">
        <v>76</v>
      </c>
      <c r="C445" s="2819" t="s">
        <v>89</v>
      </c>
      <c r="F445" s="2790"/>
      <c r="G445" s="2790"/>
      <c r="H445" s="2790"/>
      <c r="I445" s="2790"/>
      <c r="J445" s="2847">
        <f>J429+J436+J440+J444+J442</f>
        <v>101655.81999999999</v>
      </c>
    </row>
    <row r="446" spans="1:13">
      <c r="A446" s="2819"/>
      <c r="B446" s="2821" t="s">
        <v>78</v>
      </c>
      <c r="C446" s="2819" t="s">
        <v>90</v>
      </c>
      <c r="F446" s="2790"/>
      <c r="G446" s="2790"/>
      <c r="H446" s="2790"/>
      <c r="I446" s="2790"/>
      <c r="J446" s="2847">
        <f>J445*10/100</f>
        <v>10165.582</v>
      </c>
    </row>
    <row r="447" spans="1:13">
      <c r="B447" s="2811"/>
      <c r="C447" s="2790"/>
      <c r="D447" s="2828" t="s">
        <v>98</v>
      </c>
      <c r="H447" s="2807"/>
      <c r="I447" s="2807"/>
      <c r="J447" s="2847">
        <f>SUM(J445:J446)</f>
        <v>111821.40199999999</v>
      </c>
    </row>
    <row r="448" spans="1:13">
      <c r="B448" s="2811"/>
      <c r="C448" s="2790"/>
      <c r="D448" s="2793" t="s">
        <v>81</v>
      </c>
      <c r="H448" s="2807"/>
      <c r="I448" s="2807"/>
      <c r="J448" s="2807">
        <f>ROUND(J447/15,2)</f>
        <v>7454.76</v>
      </c>
    </row>
    <row r="449" spans="1:10">
      <c r="D449" s="2793" t="s">
        <v>52</v>
      </c>
      <c r="H449" s="2807"/>
      <c r="I449" s="2807"/>
      <c r="J449" s="2848">
        <f>ROUND(J448,0)</f>
        <v>7455</v>
      </c>
    </row>
    <row r="450" spans="1:10">
      <c r="D450" s="2793"/>
      <c r="H450" s="2807"/>
      <c r="I450" s="2807"/>
      <c r="J450" s="2847" t="s">
        <v>53</v>
      </c>
    </row>
    <row r="451" spans="1:10" ht="125.25" customHeight="1">
      <c r="A451" s="2865"/>
      <c r="B451" s="3008" t="s">
        <v>154</v>
      </c>
      <c r="C451" s="3008"/>
      <c r="D451" s="3008"/>
      <c r="E451" s="3008"/>
      <c r="F451" s="3008"/>
      <c r="G451" s="3008"/>
      <c r="H451" s="3008"/>
      <c r="I451" s="3008"/>
      <c r="J451" s="3008"/>
    </row>
    <row r="452" spans="1:10">
      <c r="D452" s="2793" t="s">
        <v>10</v>
      </c>
      <c r="F452" s="2819" t="s">
        <v>155</v>
      </c>
      <c r="J452" s="2787"/>
    </row>
    <row r="453" spans="1:10">
      <c r="D453" s="2793" t="s">
        <v>56</v>
      </c>
      <c r="J453" s="2787"/>
    </row>
    <row r="454" spans="1:10">
      <c r="B454" s="2821" t="s">
        <v>36</v>
      </c>
      <c r="C454" s="2828" t="s">
        <v>37</v>
      </c>
      <c r="J454" s="2787"/>
    </row>
    <row r="455" spans="1:10">
      <c r="B455" s="2811">
        <v>0.86</v>
      </c>
      <c r="C455" s="2790" t="s">
        <v>57</v>
      </c>
      <c r="D455" s="2793" t="s">
        <v>156</v>
      </c>
      <c r="H455" s="2807">
        <f>'SSR-rates'!I$58</f>
        <v>490</v>
      </c>
      <c r="I455" s="2822" t="s">
        <v>38</v>
      </c>
      <c r="J455" s="2811">
        <f>ROUND(B455*H455,2)</f>
        <v>421.4</v>
      </c>
    </row>
    <row r="456" spans="1:10">
      <c r="B456" s="2811">
        <v>1.5</v>
      </c>
      <c r="C456" s="2790" t="s">
        <v>57</v>
      </c>
      <c r="D456" s="2793" t="s">
        <v>58</v>
      </c>
      <c r="H456" s="2807">
        <f>'SSR-rates'!I$59</f>
        <v>524</v>
      </c>
      <c r="I456" s="2822" t="s">
        <v>38</v>
      </c>
      <c r="J456" s="2811">
        <f>ROUND(B456*H456,2)</f>
        <v>786</v>
      </c>
    </row>
    <row r="457" spans="1:10">
      <c r="B457" s="2811">
        <v>20</v>
      </c>
      <c r="C457" s="2790" t="s">
        <v>57</v>
      </c>
      <c r="D457" s="2793" t="s">
        <v>59</v>
      </c>
      <c r="H457" s="2807">
        <f>'SSR-rates'!I$60</f>
        <v>490</v>
      </c>
      <c r="I457" s="2822" t="s">
        <v>38</v>
      </c>
      <c r="J457" s="2811">
        <f>ROUND(B457*H457,2)</f>
        <v>9800</v>
      </c>
    </row>
    <row r="458" spans="1:10">
      <c r="A458" s="2819"/>
      <c r="B458" s="2808">
        <f>'Input Data'!$D$23</f>
        <v>0</v>
      </c>
      <c r="C458" s="2794"/>
      <c r="D458" s="2787" t="s">
        <v>17</v>
      </c>
      <c r="F458" s="2790"/>
      <c r="G458" s="2790"/>
      <c r="H458" s="2807">
        <f>SUM(J456:J457)</f>
        <v>10586</v>
      </c>
      <c r="I458" s="2822"/>
      <c r="J458" s="2807">
        <f>B458*H458</f>
        <v>0</v>
      </c>
    </row>
    <row r="459" spans="1:10">
      <c r="B459" s="2811"/>
      <c r="C459" s="2790"/>
      <c r="D459" s="2793" t="s">
        <v>60</v>
      </c>
      <c r="H459" s="2807"/>
      <c r="I459" s="2807"/>
      <c r="J459" s="2811">
        <f>SUM(J455:J458)</f>
        <v>11007.4</v>
      </c>
    </row>
    <row r="460" spans="1:10">
      <c r="B460" s="2821" t="s">
        <v>39</v>
      </c>
      <c r="C460" s="2828" t="s">
        <v>61</v>
      </c>
      <c r="H460" s="2807"/>
      <c r="I460" s="2807"/>
      <c r="J460" s="2807"/>
    </row>
    <row r="461" spans="1:10">
      <c r="B461" s="2811">
        <v>8.1</v>
      </c>
      <c r="C461" s="2790" t="s">
        <v>31</v>
      </c>
      <c r="D461" s="2787" t="s">
        <v>63</v>
      </c>
      <c r="H461" s="2807">
        <f>lead!$J$16</f>
        <v>2005.5179333714741</v>
      </c>
      <c r="I461" s="2807" t="s">
        <v>31</v>
      </c>
      <c r="J461" s="2807">
        <f>ROUND(B461*H461,2)</f>
        <v>16244.7</v>
      </c>
    </row>
    <row r="462" spans="1:10">
      <c r="B462" s="2811">
        <v>5.4</v>
      </c>
      <c r="C462" s="2790" t="s">
        <v>31</v>
      </c>
      <c r="D462" s="2787" t="s">
        <v>64</v>
      </c>
      <c r="H462" s="2807">
        <f>lead!$J$18</f>
        <v>1754.5179333714741</v>
      </c>
      <c r="I462" s="2807" t="s">
        <v>31</v>
      </c>
      <c r="J462" s="2807">
        <f>ROUND(B462*H462,2)</f>
        <v>9474.4</v>
      </c>
    </row>
    <row r="463" spans="1:10">
      <c r="B463" s="2811">
        <v>6.75</v>
      </c>
      <c r="C463" s="2790" t="s">
        <v>31</v>
      </c>
      <c r="D463" s="2793" t="s">
        <v>65</v>
      </c>
      <c r="H463" s="2807">
        <f>lead!J12</f>
        <v>1658.7679333714741</v>
      </c>
      <c r="I463" s="2807" t="s">
        <v>31</v>
      </c>
      <c r="J463" s="2807">
        <f>ROUND(B463*H463,2)</f>
        <v>11196.68</v>
      </c>
    </row>
    <row r="464" spans="1:10">
      <c r="B464" s="2872">
        <v>6.05</v>
      </c>
      <c r="C464" s="2790" t="s">
        <v>66</v>
      </c>
      <c r="D464" s="2793" t="s">
        <v>67</v>
      </c>
      <c r="H464" s="2807">
        <f>lead!$J$36</f>
        <v>5000</v>
      </c>
      <c r="I464" s="2807" t="s">
        <v>66</v>
      </c>
      <c r="J464" s="2807">
        <f>ROUND(B464*H464,2)</f>
        <v>30250</v>
      </c>
    </row>
    <row r="465" spans="1:10">
      <c r="B465" s="2793"/>
      <c r="D465" s="2793" t="s">
        <v>60</v>
      </c>
      <c r="H465" s="2807"/>
      <c r="I465" s="2807"/>
      <c r="J465" s="2807">
        <f>SUM(J461:J464)</f>
        <v>67165.78</v>
      </c>
    </row>
    <row r="466" spans="1:10">
      <c r="B466" s="2821" t="s">
        <v>27</v>
      </c>
      <c r="C466" s="2828" t="s">
        <v>40</v>
      </c>
      <c r="H466" s="2807"/>
      <c r="I466" s="2807"/>
      <c r="J466" s="2807"/>
    </row>
    <row r="467" spans="1:10">
      <c r="B467" s="2811">
        <v>6</v>
      </c>
      <c r="C467" s="2790" t="s">
        <v>41</v>
      </c>
      <c r="D467" s="2793" t="s">
        <v>68</v>
      </c>
      <c r="H467" s="2807">
        <f>'SSR-rates'!$I$88</f>
        <v>627.6</v>
      </c>
      <c r="I467" s="2807" t="s">
        <v>41</v>
      </c>
      <c r="J467" s="2807">
        <f>ROUND(B467*H467,2)</f>
        <v>3765.6</v>
      </c>
    </row>
    <row r="468" spans="1:10">
      <c r="B468" s="2811">
        <v>6</v>
      </c>
      <c r="C468" s="2790" t="s">
        <v>41</v>
      </c>
      <c r="D468" s="2793" t="s">
        <v>69</v>
      </c>
      <c r="H468" s="2807">
        <f>'SSR-rates'!$I$87</f>
        <v>1237.4000000000001</v>
      </c>
      <c r="I468" s="2807" t="s">
        <v>41</v>
      </c>
      <c r="J468" s="2807">
        <f>ROUND(B468*H468,2)</f>
        <v>7424.4</v>
      </c>
    </row>
    <row r="469" spans="1:10">
      <c r="B469" s="2811"/>
      <c r="C469" s="2794"/>
      <c r="D469" s="2793" t="s">
        <v>60</v>
      </c>
      <c r="H469" s="2807"/>
      <c r="I469" s="2807"/>
      <c r="J469" s="2807">
        <f>SUM(J467:J468)</f>
        <v>11190</v>
      </c>
    </row>
    <row r="470" spans="1:10">
      <c r="B470" s="2821" t="s">
        <v>45</v>
      </c>
      <c r="C470" s="2828" t="s">
        <v>71</v>
      </c>
      <c r="H470" s="2807"/>
      <c r="I470" s="2807"/>
      <c r="J470" s="2807"/>
    </row>
    <row r="471" spans="1:10">
      <c r="B471" s="2793">
        <v>3.75</v>
      </c>
      <c r="C471" s="2790" t="s">
        <v>29</v>
      </c>
      <c r="D471" s="2787" t="s">
        <v>157</v>
      </c>
      <c r="H471" s="2807">
        <f>J459+J465+J469</f>
        <v>89363.18</v>
      </c>
      <c r="I471" s="2822" t="s">
        <v>73</v>
      </c>
      <c r="J471" s="2807">
        <f>ROUND(B471*H471/100,2)</f>
        <v>3351.12</v>
      </c>
    </row>
    <row r="472" spans="1:10">
      <c r="A472" s="2819"/>
      <c r="B472" s="2821" t="s">
        <v>47</v>
      </c>
      <c r="C472" s="2819" t="s">
        <v>74</v>
      </c>
      <c r="F472" s="2790"/>
      <c r="G472" s="2790"/>
      <c r="H472" s="2790"/>
      <c r="I472" s="2790"/>
      <c r="J472" s="2847"/>
    </row>
    <row r="473" spans="1:10">
      <c r="A473" s="2819"/>
      <c r="B473" s="2812">
        <f>'Input Data'!$D$25</f>
        <v>0</v>
      </c>
      <c r="C473" s="3017" t="str">
        <f>"Over head charges "&amp;'Input Data'!$D$25*100&amp;"%  on (A) + (B)+(C)+(D)"</f>
        <v>Over head charges 0%  on (A) + (B)+(C)+(D)</v>
      </c>
      <c r="D473" s="3018"/>
      <c r="E473" s="3018"/>
      <c r="F473" s="3018"/>
      <c r="G473" s="3019"/>
      <c r="H473" s="2794">
        <f>J471+J469+J465+J459</f>
        <v>92714.299999999988</v>
      </c>
      <c r="I473" s="2790"/>
      <c r="J473" s="2807">
        <f>H473*B473</f>
        <v>0</v>
      </c>
    </row>
    <row r="474" spans="1:10">
      <c r="A474" s="2819"/>
      <c r="B474" s="2821" t="s">
        <v>76</v>
      </c>
      <c r="C474" s="2819" t="s">
        <v>77</v>
      </c>
      <c r="F474" s="2790"/>
      <c r="G474" s="2790"/>
      <c r="H474" s="2790"/>
      <c r="I474" s="2790"/>
      <c r="J474" s="2847">
        <f>J459+J465+J469+J471+J473</f>
        <v>92714.299999999988</v>
      </c>
    </row>
    <row r="475" spans="1:10">
      <c r="A475" s="2819"/>
      <c r="B475" s="2821" t="s">
        <v>78</v>
      </c>
      <c r="C475" s="2819" t="s">
        <v>79</v>
      </c>
      <c r="F475" s="2790"/>
      <c r="G475" s="2790"/>
      <c r="H475" s="2790"/>
      <c r="I475" s="2790"/>
      <c r="J475" s="2847">
        <f>J474*10/100</f>
        <v>9271.4299999999985</v>
      </c>
    </row>
    <row r="476" spans="1:10">
      <c r="B476" s="2811"/>
      <c r="C476" s="2790"/>
      <c r="D476" s="2828" t="s">
        <v>158</v>
      </c>
      <c r="H476" s="2807"/>
      <c r="I476" s="2807"/>
      <c r="J476" s="2847">
        <f>SUM(J474:J475)</f>
        <v>101985.72999999998</v>
      </c>
    </row>
    <row r="477" spans="1:10">
      <c r="B477" s="2811"/>
      <c r="C477" s="2790"/>
      <c r="D477" s="2793" t="s">
        <v>81</v>
      </c>
      <c r="H477" s="2807"/>
      <c r="I477" s="2807"/>
      <c r="J477" s="2807">
        <f>ROUND(J476/15,2)</f>
        <v>6799.05</v>
      </c>
    </row>
    <row r="478" spans="1:10">
      <c r="D478" s="2793" t="s">
        <v>52</v>
      </c>
      <c r="H478" s="2807"/>
      <c r="I478" s="2807"/>
      <c r="J478" s="2848">
        <f>ROUND(J477,0)</f>
        <v>6799</v>
      </c>
    </row>
    <row r="479" spans="1:10">
      <c r="D479" s="2793"/>
      <c r="H479" s="2807"/>
      <c r="I479" s="2807"/>
      <c r="J479" s="2847" t="s">
        <v>53</v>
      </c>
    </row>
    <row r="480" spans="1:10" ht="125.25" customHeight="1">
      <c r="A480" s="2865"/>
      <c r="B480" s="3008" t="s">
        <v>159</v>
      </c>
      <c r="C480" s="3008"/>
      <c r="D480" s="3008"/>
      <c r="E480" s="3008"/>
      <c r="F480" s="3008"/>
      <c r="G480" s="3008"/>
      <c r="H480" s="3008"/>
      <c r="I480" s="3008"/>
      <c r="J480" s="3008"/>
    </row>
    <row r="481" spans="1:10">
      <c r="D481" s="2793" t="s">
        <v>10</v>
      </c>
      <c r="F481" s="2819" t="s">
        <v>160</v>
      </c>
      <c r="J481" s="2787"/>
    </row>
    <row r="482" spans="1:10">
      <c r="D482" s="2793" t="s">
        <v>56</v>
      </c>
      <c r="J482" s="2787"/>
    </row>
    <row r="483" spans="1:10">
      <c r="B483" s="2821" t="s">
        <v>36</v>
      </c>
      <c r="C483" s="2828" t="s">
        <v>37</v>
      </c>
      <c r="J483" s="2787"/>
    </row>
    <row r="484" spans="1:10">
      <c r="B484" s="2811">
        <v>0.9</v>
      </c>
      <c r="C484" s="2790" t="s">
        <v>57</v>
      </c>
      <c r="D484" s="2793" t="s">
        <v>156</v>
      </c>
      <c r="H484" s="2807">
        <f>'SSR-rates'!I$58</f>
        <v>490</v>
      </c>
      <c r="I484" s="2822" t="s">
        <v>38</v>
      </c>
      <c r="J484" s="2811">
        <f>ROUND(B484*H484,2)</f>
        <v>441</v>
      </c>
    </row>
    <row r="485" spans="1:10">
      <c r="B485" s="2811">
        <v>1.5</v>
      </c>
      <c r="C485" s="2790" t="s">
        <v>57</v>
      </c>
      <c r="D485" s="2793" t="s">
        <v>58</v>
      </c>
      <c r="H485" s="2807">
        <f>'SSR-rates'!I$59</f>
        <v>524</v>
      </c>
      <c r="I485" s="2822" t="s">
        <v>38</v>
      </c>
      <c r="J485" s="2811">
        <f>ROUND(B485*H485,2)</f>
        <v>786</v>
      </c>
    </row>
    <row r="486" spans="1:10">
      <c r="B486" s="2811">
        <v>21</v>
      </c>
      <c r="C486" s="2790" t="s">
        <v>57</v>
      </c>
      <c r="D486" s="2793" t="s">
        <v>59</v>
      </c>
      <c r="H486" s="2807">
        <f>'SSR-rates'!I$60</f>
        <v>490</v>
      </c>
      <c r="I486" s="2822" t="s">
        <v>38</v>
      </c>
      <c r="J486" s="2811">
        <f>ROUND(B486*H486,2)</f>
        <v>10290</v>
      </c>
    </row>
    <row r="487" spans="1:10">
      <c r="B487" s="2811"/>
      <c r="C487" s="2790"/>
      <c r="D487" s="2793"/>
      <c r="H487" s="2807"/>
      <c r="I487" s="2822"/>
      <c r="J487" s="2811"/>
    </row>
    <row r="488" spans="1:10">
      <c r="A488" s="2819"/>
      <c r="B488" s="2808">
        <f>'Input Data'!$D$23</f>
        <v>0</v>
      </c>
      <c r="C488" s="2794"/>
      <c r="D488" s="2787" t="s">
        <v>17</v>
      </c>
      <c r="F488" s="2790"/>
      <c r="G488" s="2790"/>
      <c r="H488" s="2807">
        <f>SUM(J485:J486)</f>
        <v>11076</v>
      </c>
      <c r="I488" s="2822"/>
      <c r="J488" s="2807">
        <f>B488*H488</f>
        <v>0</v>
      </c>
    </row>
    <row r="489" spans="1:10">
      <c r="B489" s="2811"/>
      <c r="C489" s="2790"/>
      <c r="D489" s="2793" t="s">
        <v>60</v>
      </c>
      <c r="H489" s="2807"/>
      <c r="I489" s="2807"/>
      <c r="J489" s="2811">
        <f>SUM(J484:J488)</f>
        <v>11517</v>
      </c>
    </row>
    <row r="490" spans="1:10">
      <c r="B490" s="2821" t="s">
        <v>39</v>
      </c>
      <c r="C490" s="2828" t="s">
        <v>61</v>
      </c>
      <c r="H490" s="2807"/>
      <c r="I490" s="2807"/>
      <c r="J490" s="2807"/>
    </row>
    <row r="491" spans="1:10">
      <c r="B491" s="2811">
        <v>8.1</v>
      </c>
      <c r="C491" s="2790" t="s">
        <v>31</v>
      </c>
      <c r="D491" s="2787" t="s">
        <v>63</v>
      </c>
      <c r="H491" s="2807">
        <f>lead!$J$16</f>
        <v>2005.5179333714741</v>
      </c>
      <c r="I491" s="2807" t="s">
        <v>31</v>
      </c>
      <c r="J491" s="2807">
        <f>ROUND(B491*H491,2)</f>
        <v>16244.7</v>
      </c>
    </row>
    <row r="492" spans="1:10">
      <c r="B492" s="2811">
        <v>5.4</v>
      </c>
      <c r="C492" s="2790" t="s">
        <v>31</v>
      </c>
      <c r="D492" s="2787" t="s">
        <v>64</v>
      </c>
      <c r="H492" s="2807">
        <f>lead!$J$18</f>
        <v>1754.5179333714741</v>
      </c>
      <c r="I492" s="2807" t="s">
        <v>31</v>
      </c>
      <c r="J492" s="2807">
        <f>ROUND(B492*H492,2)</f>
        <v>9474.4</v>
      </c>
    </row>
    <row r="493" spans="1:10">
      <c r="B493" s="2811">
        <v>6.75</v>
      </c>
      <c r="C493" s="2790" t="s">
        <v>31</v>
      </c>
      <c r="D493" s="2793" t="s">
        <v>65</v>
      </c>
      <c r="H493" s="2807">
        <f>lead!J12</f>
        <v>1658.7679333714741</v>
      </c>
      <c r="I493" s="2807" t="s">
        <v>31</v>
      </c>
      <c r="J493" s="2807">
        <f>ROUND(B493*H493,2)</f>
        <v>11196.68</v>
      </c>
    </row>
    <row r="494" spans="1:10">
      <c r="B494" s="2872">
        <v>6.1</v>
      </c>
      <c r="C494" s="2790" t="s">
        <v>66</v>
      </c>
      <c r="D494" s="2793" t="s">
        <v>67</v>
      </c>
      <c r="H494" s="2807">
        <f>lead!$J$36</f>
        <v>5000</v>
      </c>
      <c r="I494" s="2807" t="s">
        <v>66</v>
      </c>
      <c r="J494" s="2807">
        <f>ROUND(B494*H494,2)</f>
        <v>30500</v>
      </c>
    </row>
    <row r="495" spans="1:10">
      <c r="B495" s="2793"/>
      <c r="D495" s="2793" t="s">
        <v>60</v>
      </c>
      <c r="H495" s="2807"/>
      <c r="I495" s="2807"/>
      <c r="J495" s="2807">
        <f>SUM(J491:J494)</f>
        <v>67415.78</v>
      </c>
    </row>
    <row r="496" spans="1:10">
      <c r="B496" s="2821" t="s">
        <v>27</v>
      </c>
      <c r="C496" s="2828" t="s">
        <v>40</v>
      </c>
      <c r="H496" s="2807"/>
      <c r="I496" s="2807"/>
      <c r="J496" s="2807"/>
    </row>
    <row r="497" spans="1:10">
      <c r="B497" s="2811">
        <v>6</v>
      </c>
      <c r="C497" s="2790" t="s">
        <v>41</v>
      </c>
      <c r="D497" s="2793" t="s">
        <v>68</v>
      </c>
      <c r="H497" s="2807">
        <f>'SSR-rates'!$I$88</f>
        <v>627.6</v>
      </c>
      <c r="I497" s="2807" t="s">
        <v>41</v>
      </c>
      <c r="J497" s="2807">
        <f>ROUND(B497*H497,2)</f>
        <v>3765.6</v>
      </c>
    </row>
    <row r="498" spans="1:10">
      <c r="B498" s="2811">
        <v>6</v>
      </c>
      <c r="C498" s="2790" t="s">
        <v>41</v>
      </c>
      <c r="D498" s="2793" t="s">
        <v>69</v>
      </c>
      <c r="H498" s="2807">
        <f>'SSR-rates'!$I$87</f>
        <v>1237.4000000000001</v>
      </c>
      <c r="I498" s="2807" t="s">
        <v>41</v>
      </c>
      <c r="J498" s="2807">
        <f>ROUND(B498*H498,2)</f>
        <v>7424.4</v>
      </c>
    </row>
    <row r="499" spans="1:10">
      <c r="B499" s="2811"/>
      <c r="C499" s="2794"/>
      <c r="D499" s="2793" t="s">
        <v>60</v>
      </c>
      <c r="H499" s="2807"/>
      <c r="I499" s="2807"/>
      <c r="J499" s="2807">
        <f>SUM(J497:J498)</f>
        <v>11190</v>
      </c>
    </row>
    <row r="500" spans="1:10">
      <c r="B500" s="2821" t="s">
        <v>45</v>
      </c>
      <c r="C500" s="2828" t="s">
        <v>71</v>
      </c>
      <c r="H500" s="2807"/>
      <c r="I500" s="2807"/>
      <c r="J500" s="2807"/>
    </row>
    <row r="501" spans="1:10">
      <c r="B501" s="2793"/>
      <c r="C501" s="2790" t="s">
        <v>29</v>
      </c>
      <c r="D501" s="2787" t="s">
        <v>161</v>
      </c>
      <c r="H501" s="2807">
        <f>J489+J495+J499</f>
        <v>90122.78</v>
      </c>
      <c r="I501" s="2822" t="s">
        <v>73</v>
      </c>
      <c r="J501" s="2807">
        <f>ROUND(B501*H501/100,2)</f>
        <v>0</v>
      </c>
    </row>
    <row r="502" spans="1:10">
      <c r="A502" s="2819"/>
      <c r="B502" s="2821" t="s">
        <v>47</v>
      </c>
      <c r="C502" s="2819" t="s">
        <v>74</v>
      </c>
      <c r="F502" s="2790"/>
      <c r="G502" s="2790"/>
      <c r="H502" s="2790"/>
      <c r="I502" s="2790"/>
      <c r="J502" s="2847"/>
    </row>
    <row r="503" spans="1:10">
      <c r="A503" s="2819"/>
      <c r="B503" s="2812"/>
      <c r="C503" s="3017" t="str">
        <f>"Over head charges "&amp;'Input Data'!$D$25*100&amp;"%  on (A) + (B)+(C)+(D)"</f>
        <v>Over head charges 0%  on (A) + (B)+(C)+(D)</v>
      </c>
      <c r="D503" s="3018"/>
      <c r="E503" s="3018"/>
      <c r="F503" s="3018"/>
      <c r="G503" s="3019"/>
      <c r="H503" s="2794">
        <f>J501+J499+J495+J489</f>
        <v>90122.78</v>
      </c>
      <c r="I503" s="2790"/>
      <c r="J503" s="2807">
        <f>H503*B503</f>
        <v>0</v>
      </c>
    </row>
    <row r="504" spans="1:10">
      <c r="A504" s="2819"/>
      <c r="B504" s="2821" t="s">
        <v>76</v>
      </c>
      <c r="C504" s="2819" t="s">
        <v>77</v>
      </c>
      <c r="F504" s="2790"/>
      <c r="G504" s="2790"/>
      <c r="H504" s="2790"/>
      <c r="I504" s="2790"/>
      <c r="J504" s="2847">
        <f>J489+J495+J499+J501+J503</f>
        <v>90122.78</v>
      </c>
    </row>
    <row r="505" spans="1:10">
      <c r="A505" s="2819"/>
      <c r="B505" s="2821" t="s">
        <v>78</v>
      </c>
      <c r="C505" s="2819" t="s">
        <v>79</v>
      </c>
      <c r="F505" s="2790"/>
      <c r="G505" s="2790"/>
      <c r="H505" s="2790"/>
      <c r="I505" s="2790"/>
      <c r="J505" s="2847">
        <f>J504*10/100</f>
        <v>9012.2780000000002</v>
      </c>
    </row>
    <row r="506" spans="1:10">
      <c r="B506" s="2811"/>
      <c r="C506" s="2790"/>
      <c r="D506" s="2828" t="s">
        <v>158</v>
      </c>
      <c r="H506" s="2807"/>
      <c r="I506" s="2807"/>
      <c r="J506" s="2876">
        <f>SUM(J504:J505)</f>
        <v>99135.058000000005</v>
      </c>
    </row>
    <row r="507" spans="1:10">
      <c r="B507" s="2811"/>
      <c r="C507" s="2790"/>
      <c r="D507" s="2793" t="s">
        <v>81</v>
      </c>
      <c r="H507" s="2807"/>
      <c r="I507" s="2807"/>
      <c r="J507" s="2807">
        <f>ROUND(J506/15,2)</f>
        <v>6609</v>
      </c>
    </row>
    <row r="508" spans="1:10">
      <c r="D508" s="2793" t="s">
        <v>52</v>
      </c>
      <c r="H508" s="2807"/>
      <c r="I508" s="2807"/>
      <c r="J508" s="2848">
        <f>ROUND(J507,0)</f>
        <v>6609</v>
      </c>
    </row>
    <row r="509" spans="1:10">
      <c r="D509" s="2793"/>
      <c r="H509" s="2807"/>
      <c r="I509" s="2807"/>
      <c r="J509" s="2847" t="s">
        <v>53</v>
      </c>
    </row>
    <row r="510" spans="1:10">
      <c r="B510" s="2873"/>
      <c r="C510" s="2874" t="s">
        <v>162</v>
      </c>
      <c r="D510" s="2875"/>
      <c r="E510" s="2874"/>
      <c r="F510" s="2874"/>
      <c r="G510" s="2874"/>
      <c r="H510" s="2846"/>
      <c r="I510" s="2846"/>
      <c r="J510" s="2877"/>
    </row>
    <row r="511" spans="1:10">
      <c r="B511" s="2873"/>
      <c r="C511" s="2874" t="s">
        <v>115</v>
      </c>
      <c r="D511" s="2875"/>
      <c r="E511" s="2874"/>
      <c r="F511" s="2874"/>
      <c r="G511" s="2874"/>
      <c r="H511" s="2846"/>
      <c r="I511" s="2846"/>
      <c r="J511" s="2877"/>
    </row>
    <row r="512" spans="1:10">
      <c r="B512" s="2821" t="s">
        <v>39</v>
      </c>
      <c r="C512" s="2828" t="s">
        <v>61</v>
      </c>
      <c r="H512" s="2807"/>
      <c r="I512" s="2807"/>
      <c r="J512" s="2807"/>
    </row>
    <row r="513" spans="1:10">
      <c r="B513" s="2811">
        <v>1</v>
      </c>
      <c r="C513" s="2790" t="s">
        <v>31</v>
      </c>
      <c r="D513" s="2787" t="s">
        <v>163</v>
      </c>
      <c r="H513" s="2807">
        <f>J508</f>
        <v>6609</v>
      </c>
      <c r="I513" s="2807" t="s">
        <v>31</v>
      </c>
      <c r="J513" s="2807">
        <f>ROUND(B513*H513,2)</f>
        <v>6609</v>
      </c>
    </row>
    <row r="514" spans="1:10">
      <c r="B514" s="2811">
        <v>7.4999999999999997E-2</v>
      </c>
      <c r="C514" s="2790" t="s">
        <v>31</v>
      </c>
      <c r="D514" s="2794" t="s">
        <v>164</v>
      </c>
      <c r="H514" s="2807">
        <f>lead!J37</f>
        <v>49000</v>
      </c>
      <c r="I514" s="2807" t="s">
        <v>31</v>
      </c>
      <c r="J514" s="2807"/>
    </row>
    <row r="515" spans="1:10">
      <c r="B515" s="2811"/>
      <c r="C515" s="2790"/>
      <c r="D515" s="2794"/>
      <c r="H515" s="2807"/>
      <c r="I515" s="2807"/>
      <c r="J515" s="2807">
        <f>SUM(J513:J514)</f>
        <v>6609</v>
      </c>
    </row>
    <row r="516" spans="1:10">
      <c r="B516" s="2821" t="s">
        <v>39</v>
      </c>
      <c r="C516" s="2828" t="s">
        <v>37</v>
      </c>
      <c r="D516" s="2794"/>
      <c r="H516" s="2807"/>
      <c r="I516" s="2807"/>
      <c r="J516" s="2807"/>
    </row>
    <row r="517" spans="1:10">
      <c r="B517" s="2811">
        <v>0.15</v>
      </c>
      <c r="C517" s="2790" t="s">
        <v>38</v>
      </c>
      <c r="D517" s="2793" t="s">
        <v>165</v>
      </c>
      <c r="H517" s="2807">
        <f>H486</f>
        <v>490</v>
      </c>
      <c r="I517" s="2807" t="s">
        <v>31</v>
      </c>
      <c r="J517" s="2807">
        <f>ROUND(B517*H517,2)</f>
        <v>73.5</v>
      </c>
    </row>
    <row r="518" spans="1:10">
      <c r="B518" s="2873"/>
      <c r="C518" s="2874"/>
      <c r="D518" s="2875"/>
      <c r="E518" s="2874"/>
      <c r="F518" s="2874"/>
      <c r="G518" s="2874"/>
      <c r="H518" s="2846"/>
      <c r="I518" s="2846"/>
      <c r="J518" s="2877"/>
    </row>
    <row r="519" spans="1:10">
      <c r="A519" s="2819"/>
      <c r="B519" s="2821" t="s">
        <v>47</v>
      </c>
      <c r="C519" s="2819" t="s">
        <v>74</v>
      </c>
      <c r="F519" s="2790"/>
      <c r="G519" s="2790"/>
      <c r="H519" s="2790"/>
      <c r="I519" s="2790"/>
      <c r="J519" s="2847"/>
    </row>
    <row r="520" spans="1:10">
      <c r="A520" s="2819"/>
      <c r="B520" s="2812">
        <v>0.05</v>
      </c>
      <c r="C520" s="3017" t="str">
        <f>"Over head charges "&amp;'Input Data'!$D$25*100&amp;"%  on (A) + (B)+(C)+(D)"</f>
        <v>Over head charges 0%  on (A) + (B)+(C)+(D)</v>
      </c>
      <c r="D520" s="3018"/>
      <c r="E520" s="3018"/>
      <c r="F520" s="3018"/>
      <c r="G520" s="3019"/>
      <c r="H520" s="2794">
        <f>J515+J517</f>
        <v>6682.5</v>
      </c>
      <c r="I520" s="2790"/>
      <c r="J520" s="2807">
        <f>H520*B520</f>
        <v>334.125</v>
      </c>
    </row>
    <row r="521" spans="1:10">
      <c r="B521" s="2873"/>
      <c r="C521" s="2874"/>
      <c r="D521" s="2875"/>
      <c r="E521" s="2874"/>
      <c r="F521" s="2874"/>
      <c r="G521" s="2874"/>
      <c r="H521" s="2846"/>
      <c r="I521" s="2846"/>
      <c r="J521" s="2877">
        <f>J515+J517+J520</f>
        <v>7016.625</v>
      </c>
    </row>
    <row r="522" spans="1:10">
      <c r="B522" s="2873"/>
      <c r="C522" s="2874"/>
      <c r="D522" s="2875"/>
      <c r="E522" s="2874"/>
      <c r="F522" s="2874"/>
      <c r="G522" s="2874"/>
      <c r="H522" s="2846"/>
      <c r="I522" s="2846"/>
      <c r="J522" s="2877"/>
    </row>
    <row r="523" spans="1:10">
      <c r="B523" s="2873"/>
      <c r="C523" s="2874"/>
      <c r="D523" s="2875"/>
      <c r="E523" s="2874"/>
      <c r="F523" s="2874"/>
      <c r="G523" s="2874"/>
      <c r="H523" s="2846"/>
      <c r="I523" s="2846"/>
      <c r="J523" s="2877"/>
    </row>
    <row r="524" spans="1:10">
      <c r="B524" s="2873"/>
      <c r="C524" s="2874"/>
      <c r="D524" s="2875"/>
      <c r="E524" s="2874"/>
      <c r="F524" s="2874"/>
      <c r="G524" s="2874"/>
      <c r="H524" s="2846"/>
      <c r="I524" s="2846"/>
      <c r="J524" s="2877"/>
    </row>
    <row r="525" spans="1:10">
      <c r="B525" s="2873"/>
      <c r="C525" s="2874"/>
      <c r="D525" s="2875"/>
      <c r="E525" s="2874"/>
      <c r="F525" s="2874"/>
      <c r="G525" s="2874"/>
      <c r="H525" s="2846"/>
      <c r="I525" s="2846"/>
      <c r="J525" s="2877"/>
    </row>
    <row r="526" spans="1:10" s="2788" customFormat="1" ht="52.5" hidden="1" customHeight="1">
      <c r="A526" s="2851">
        <v>10</v>
      </c>
      <c r="B526" s="3023" t="s">
        <v>166</v>
      </c>
      <c r="C526" s="3024"/>
      <c r="D526" s="3024"/>
      <c r="E526" s="3024"/>
      <c r="F526" s="3024"/>
      <c r="G526" s="3024"/>
      <c r="H526" s="3024"/>
      <c r="I526" s="3024"/>
      <c r="J526" s="3025"/>
    </row>
    <row r="527" spans="1:10" s="2788" customFormat="1" hidden="1">
      <c r="A527" s="2851"/>
      <c r="B527" s="2862"/>
      <c r="C527" s="2860" t="s">
        <v>130</v>
      </c>
    </row>
    <row r="528" spans="1:10" s="2788" customFormat="1" ht="15.75" hidden="1">
      <c r="A528" s="2851"/>
      <c r="B528" s="2862"/>
      <c r="C528" s="2860" t="s">
        <v>167</v>
      </c>
      <c r="H528" s="2788" t="s">
        <v>130</v>
      </c>
      <c r="J528" s="2863">
        <v>991</v>
      </c>
    </row>
    <row r="529" spans="1:10" s="2788" customFormat="1" ht="15.75" hidden="1">
      <c r="A529" s="2851"/>
      <c r="B529" s="2862"/>
      <c r="C529" s="2860"/>
      <c r="J529" s="2863"/>
    </row>
    <row r="530" spans="1:10" s="2788" customFormat="1" ht="15.75" hidden="1">
      <c r="A530" s="2851"/>
      <c r="B530" s="2862"/>
      <c r="C530" s="2860"/>
      <c r="J530" s="2863"/>
    </row>
    <row r="531" spans="1:10" ht="125.25" customHeight="1">
      <c r="A531" s="2865"/>
      <c r="B531" s="3008" t="s">
        <v>168</v>
      </c>
      <c r="C531" s="3008"/>
      <c r="D531" s="3008"/>
      <c r="E531" s="3008"/>
      <c r="F531" s="3008"/>
      <c r="G531" s="3008"/>
      <c r="H531" s="3008"/>
      <c r="I531" s="3008"/>
      <c r="J531" s="3008"/>
    </row>
    <row r="532" spans="1:10">
      <c r="D532" s="2793" t="s">
        <v>10</v>
      </c>
      <c r="F532" s="2819" t="s">
        <v>169</v>
      </c>
      <c r="J532" s="2787"/>
    </row>
    <row r="533" spans="1:10">
      <c r="D533" s="2793" t="s">
        <v>170</v>
      </c>
      <c r="J533" s="2787"/>
    </row>
    <row r="534" spans="1:10">
      <c r="B534" s="2821" t="s">
        <v>36</v>
      </c>
      <c r="C534" s="2828" t="s">
        <v>37</v>
      </c>
      <c r="J534" s="2787"/>
    </row>
    <row r="535" spans="1:10">
      <c r="B535" s="2811">
        <v>0.84</v>
      </c>
      <c r="C535" s="2790" t="s">
        <v>57</v>
      </c>
      <c r="D535" s="2793" t="s">
        <v>156</v>
      </c>
      <c r="H535" s="2807">
        <f>'SSR-rates'!I$58</f>
        <v>490</v>
      </c>
      <c r="I535" s="2822" t="s">
        <v>38</v>
      </c>
      <c r="J535" s="2811">
        <f>ROUND(B535*H535,2)</f>
        <v>411.6</v>
      </c>
    </row>
    <row r="536" spans="1:10">
      <c r="B536" s="2811">
        <v>3</v>
      </c>
      <c r="C536" s="2790" t="s">
        <v>57</v>
      </c>
      <c r="D536" s="2793" t="s">
        <v>58</v>
      </c>
      <c r="H536" s="2807">
        <f>'SSR-rates'!I$59</f>
        <v>524</v>
      </c>
      <c r="I536" s="2822" t="s">
        <v>38</v>
      </c>
      <c r="J536" s="2811">
        <f>ROUND(B536*H536,2)</f>
        <v>1572</v>
      </c>
    </row>
    <row r="537" spans="1:10">
      <c r="B537" s="2811">
        <v>18</v>
      </c>
      <c r="C537" s="2790" t="s">
        <v>57</v>
      </c>
      <c r="D537" s="2793" t="s">
        <v>59</v>
      </c>
      <c r="H537" s="2807">
        <f>'SSR-rates'!I$60</f>
        <v>490</v>
      </c>
      <c r="I537" s="2822" t="s">
        <v>38</v>
      </c>
      <c r="J537" s="2811">
        <f>ROUND(B537*H537,2)</f>
        <v>8820</v>
      </c>
    </row>
    <row r="538" spans="1:10">
      <c r="A538" s="2819"/>
      <c r="B538" s="2808">
        <f>'Input Data'!$D$23</f>
        <v>0</v>
      </c>
      <c r="C538" s="2794"/>
      <c r="D538" s="2787" t="s">
        <v>17</v>
      </c>
      <c r="F538" s="2790"/>
      <c r="G538" s="2790"/>
      <c r="H538" s="2807">
        <f>SUM(J536:J537)</f>
        <v>10392</v>
      </c>
      <c r="I538" s="2822"/>
      <c r="J538" s="2807">
        <f>B538*H538</f>
        <v>0</v>
      </c>
    </row>
    <row r="539" spans="1:10">
      <c r="B539" s="2811"/>
      <c r="C539" s="2790"/>
      <c r="D539" s="2793" t="s">
        <v>60</v>
      </c>
      <c r="H539" s="2807"/>
      <c r="I539" s="2807"/>
      <c r="J539" s="2811">
        <f>SUM(J535:J538)</f>
        <v>10803.6</v>
      </c>
    </row>
    <row r="540" spans="1:10">
      <c r="B540" s="2821" t="s">
        <v>39</v>
      </c>
      <c r="C540" s="2828" t="s">
        <v>61</v>
      </c>
      <c r="H540" s="2807"/>
      <c r="I540" s="2807"/>
      <c r="J540" s="2807"/>
    </row>
    <row r="541" spans="1:10">
      <c r="B541" s="2811">
        <v>64.8</v>
      </c>
      <c r="C541" s="2790" t="s">
        <v>31</v>
      </c>
      <c r="D541" s="2787" t="s">
        <v>63</v>
      </c>
      <c r="H541" s="2807">
        <f>lead!$J$16</f>
        <v>2005.5179333714741</v>
      </c>
      <c r="I541" s="2807" t="s">
        <v>31</v>
      </c>
      <c r="J541" s="2807">
        <f>ROUND(B541*H541,2)</f>
        <v>129957.56</v>
      </c>
    </row>
    <row r="542" spans="1:10">
      <c r="B542" s="2811">
        <v>43.2</v>
      </c>
      <c r="C542" s="2790" t="s">
        <v>31</v>
      </c>
      <c r="D542" s="2787" t="s">
        <v>64</v>
      </c>
      <c r="H542" s="2807">
        <f>lead!$J$18</f>
        <v>1754.5179333714741</v>
      </c>
      <c r="I542" s="2807" t="s">
        <v>31</v>
      </c>
      <c r="J542" s="2807">
        <f>ROUND(B542*H542,2)</f>
        <v>75795.17</v>
      </c>
    </row>
    <row r="543" spans="1:10">
      <c r="B543" s="2811">
        <v>54</v>
      </c>
      <c r="C543" s="2790" t="s">
        <v>31</v>
      </c>
      <c r="D543" s="2793" t="s">
        <v>65</v>
      </c>
      <c r="H543" s="2807">
        <f>lead!J12</f>
        <v>1658.7679333714741</v>
      </c>
      <c r="I543" s="2807" t="s">
        <v>31</v>
      </c>
      <c r="J543" s="2807">
        <f>ROUND(B543*H543,2)</f>
        <v>89573.47</v>
      </c>
    </row>
    <row r="544" spans="1:10">
      <c r="B544" s="2872">
        <v>48.38</v>
      </c>
      <c r="C544" s="2790" t="s">
        <v>66</v>
      </c>
      <c r="D544" s="2793" t="s">
        <v>67</v>
      </c>
      <c r="H544" s="2807">
        <f>lead!$J$36</f>
        <v>5000</v>
      </c>
      <c r="I544" s="2807" t="s">
        <v>66</v>
      </c>
      <c r="J544" s="2807">
        <f>ROUND(B544*H544,2)</f>
        <v>241900</v>
      </c>
    </row>
    <row r="545" spans="1:10">
      <c r="B545" s="2793"/>
      <c r="D545" s="2793" t="s">
        <v>60</v>
      </c>
      <c r="H545" s="2807"/>
      <c r="I545" s="2807"/>
      <c r="J545" s="2807">
        <f>SUM(J541:J544)</f>
        <v>537226.19999999995</v>
      </c>
    </row>
    <row r="546" spans="1:10">
      <c r="B546" s="2821" t="s">
        <v>27</v>
      </c>
      <c r="C546" s="2828" t="s">
        <v>40</v>
      </c>
      <c r="H546" s="2807"/>
      <c r="I546" s="2807"/>
      <c r="J546" s="2807"/>
    </row>
    <row r="547" spans="1:10">
      <c r="B547" s="2811">
        <v>6</v>
      </c>
      <c r="C547" s="2790" t="s">
        <v>41</v>
      </c>
      <c r="D547" s="2787" t="s">
        <v>171</v>
      </c>
      <c r="H547" s="2807">
        <f>'SSR-rates'!$I$100</f>
        <v>1205.8</v>
      </c>
      <c r="I547" s="2807" t="s">
        <v>41</v>
      </c>
      <c r="J547" s="2807">
        <f t="shared" ref="J547:J552" si="0">ROUND(B547*H547,2)</f>
        <v>7234.8</v>
      </c>
    </row>
    <row r="548" spans="1:10">
      <c r="B548" s="2811">
        <v>6</v>
      </c>
      <c r="C548" s="2790" t="s">
        <v>41</v>
      </c>
      <c r="D548" s="2787" t="s">
        <v>172</v>
      </c>
      <c r="H548" s="2807">
        <f>'SSR-rates'!$I$102</f>
        <v>1261</v>
      </c>
      <c r="I548" s="2807" t="s">
        <v>41</v>
      </c>
      <c r="J548" s="2807">
        <f t="shared" si="0"/>
        <v>7566</v>
      </c>
    </row>
    <row r="549" spans="1:10">
      <c r="B549" s="2811">
        <v>6</v>
      </c>
      <c r="C549" s="2790" t="s">
        <v>41</v>
      </c>
      <c r="D549" s="2787" t="s">
        <v>173</v>
      </c>
      <c r="H549" s="2807">
        <f>'SSR-rates'!$I$65</f>
        <v>1844</v>
      </c>
      <c r="I549" s="2807" t="s">
        <v>41</v>
      </c>
      <c r="J549" s="2807">
        <f t="shared" si="0"/>
        <v>11064</v>
      </c>
    </row>
    <row r="550" spans="1:10">
      <c r="B550" s="2811">
        <v>15</v>
      </c>
      <c r="C550" s="2790" t="s">
        <v>41</v>
      </c>
      <c r="D550" s="2787" t="s">
        <v>174</v>
      </c>
      <c r="H550" s="2807">
        <f>'SSR-rates'!$I$104</f>
        <v>2532.4</v>
      </c>
      <c r="I550" s="2807" t="s">
        <v>41</v>
      </c>
      <c r="J550" s="2807">
        <f t="shared" si="0"/>
        <v>37986</v>
      </c>
    </row>
    <row r="551" spans="1:10">
      <c r="B551" s="2845">
        <v>300</v>
      </c>
      <c r="C551" s="2878" t="s">
        <v>175</v>
      </c>
      <c r="D551" s="3026" t="s">
        <v>176</v>
      </c>
      <c r="E551" s="3026"/>
      <c r="F551" s="3026"/>
      <c r="G551" s="3026"/>
      <c r="H551" s="2844">
        <v>0</v>
      </c>
      <c r="I551" s="2807" t="s">
        <v>175</v>
      </c>
      <c r="J551" s="2807">
        <f t="shared" si="0"/>
        <v>0</v>
      </c>
    </row>
    <row r="552" spans="1:10">
      <c r="B552" s="2811">
        <v>6</v>
      </c>
      <c r="C552" s="2790" t="s">
        <v>41</v>
      </c>
      <c r="D552" s="2793" t="s">
        <v>177</v>
      </c>
      <c r="H552" s="2807">
        <f>'SSR-rates'!I$106</f>
        <v>899</v>
      </c>
      <c r="I552" s="2807" t="s">
        <v>41</v>
      </c>
      <c r="J552" s="2807">
        <f t="shared" si="0"/>
        <v>5394</v>
      </c>
    </row>
    <row r="553" spans="1:10">
      <c r="B553" s="2811"/>
      <c r="C553" s="2794"/>
      <c r="D553" s="2793" t="s">
        <v>60</v>
      </c>
      <c r="H553" s="2807"/>
      <c r="I553" s="2807"/>
      <c r="J553" s="2807">
        <f>SUM(J547:J552)</f>
        <v>69244.800000000003</v>
      </c>
    </row>
    <row r="554" spans="1:10">
      <c r="B554" s="2821" t="s">
        <v>45</v>
      </c>
      <c r="C554" s="2828" t="s">
        <v>71</v>
      </c>
      <c r="H554" s="2807"/>
      <c r="I554" s="2807"/>
      <c r="J554" s="2807"/>
    </row>
    <row r="555" spans="1:10">
      <c r="B555" s="2793">
        <v>3.75</v>
      </c>
      <c r="C555" s="2790" t="s">
        <v>29</v>
      </c>
      <c r="D555" s="2787" t="s">
        <v>157</v>
      </c>
      <c r="H555" s="2807">
        <f>J539+J545+J553</f>
        <v>617274.6</v>
      </c>
      <c r="I555" s="2822" t="s">
        <v>73</v>
      </c>
      <c r="J555" s="2807">
        <f>ROUND(B555*H555/100,2)</f>
        <v>23147.8</v>
      </c>
    </row>
    <row r="556" spans="1:10">
      <c r="A556" s="2819"/>
      <c r="B556" s="2821" t="s">
        <v>47</v>
      </c>
      <c r="C556" s="2819" t="s">
        <v>74</v>
      </c>
      <c r="F556" s="2790"/>
      <c r="G556" s="2790"/>
      <c r="H556" s="2790"/>
      <c r="I556" s="2790"/>
      <c r="J556" s="2847"/>
    </row>
    <row r="557" spans="1:10">
      <c r="A557" s="2819"/>
      <c r="B557" s="2812">
        <f>'Input Data'!$D$25</f>
        <v>0</v>
      </c>
      <c r="C557" s="3017" t="str">
        <f>"Over head charges "&amp;'Input Data'!$D$25*100&amp;"%  on (A) + (B)+(C)+(D)"</f>
        <v>Over head charges 0%  on (A) + (B)+(C)+(D)</v>
      </c>
      <c r="D557" s="3018"/>
      <c r="E557" s="3018"/>
      <c r="F557" s="3018"/>
      <c r="G557" s="3019"/>
      <c r="H557" s="2794">
        <f>J555+J553+J545+J539</f>
        <v>640422.39999999991</v>
      </c>
      <c r="I557" s="2790"/>
      <c r="J557" s="2807">
        <f>H557*B557</f>
        <v>0</v>
      </c>
    </row>
    <row r="558" spans="1:10">
      <c r="A558" s="2819"/>
      <c r="B558" s="2821" t="s">
        <v>76</v>
      </c>
      <c r="C558" s="2819" t="s">
        <v>77</v>
      </c>
      <c r="F558" s="2790"/>
      <c r="G558" s="2790"/>
      <c r="H558" s="2790"/>
      <c r="I558" s="2790"/>
      <c r="J558" s="2847">
        <f>J539+J545+J553+J555+J557</f>
        <v>640422.40000000002</v>
      </c>
    </row>
    <row r="559" spans="1:10">
      <c r="A559" s="2819"/>
      <c r="B559" s="2821" t="s">
        <v>78</v>
      </c>
      <c r="C559" s="2819" t="s">
        <v>79</v>
      </c>
      <c r="F559" s="2790"/>
      <c r="G559" s="2790"/>
      <c r="H559" s="2790"/>
      <c r="I559" s="2790"/>
      <c r="J559" s="2847">
        <f>J558*10/100</f>
        <v>64042.239999999998</v>
      </c>
    </row>
    <row r="560" spans="1:10">
      <c r="B560" s="2811"/>
      <c r="C560" s="2790"/>
      <c r="D560" s="2828" t="s">
        <v>158</v>
      </c>
      <c r="H560" s="2807"/>
      <c r="I560" s="2807"/>
      <c r="J560" s="2847">
        <f>SUM(J558:J559)</f>
        <v>704464.64</v>
      </c>
    </row>
    <row r="561" spans="1:10">
      <c r="B561" s="2811"/>
      <c r="C561" s="2790"/>
      <c r="D561" s="2793" t="s">
        <v>81</v>
      </c>
      <c r="H561" s="2807"/>
      <c r="I561" s="2807"/>
      <c r="J561" s="2807">
        <f>ROUND(J560/120,2)</f>
        <v>5870.54</v>
      </c>
    </row>
    <row r="562" spans="1:10">
      <c r="D562" s="2793" t="s">
        <v>52</v>
      </c>
      <c r="H562" s="2807"/>
      <c r="I562" s="2807"/>
      <c r="J562" s="2848">
        <f>ROUND(J561,0)</f>
        <v>5871</v>
      </c>
    </row>
    <row r="563" spans="1:10">
      <c r="D563" s="2793"/>
      <c r="H563" s="2807"/>
      <c r="I563" s="2807"/>
      <c r="J563" s="2847" t="s">
        <v>53</v>
      </c>
    </row>
    <row r="564" spans="1:10" ht="125.25" customHeight="1">
      <c r="A564" s="2865"/>
      <c r="B564" s="3008" t="s">
        <v>178</v>
      </c>
      <c r="C564" s="3008"/>
      <c r="D564" s="3008"/>
      <c r="E564" s="3008"/>
      <c r="F564" s="3008"/>
      <c r="G564" s="3008"/>
      <c r="H564" s="3008"/>
      <c r="I564" s="3008"/>
      <c r="J564" s="3008"/>
    </row>
    <row r="565" spans="1:10">
      <c r="D565" s="2793" t="s">
        <v>10</v>
      </c>
      <c r="F565" s="2819" t="s">
        <v>179</v>
      </c>
      <c r="J565" s="2787"/>
    </row>
    <row r="566" spans="1:10">
      <c r="D566" s="2793" t="s">
        <v>170</v>
      </c>
      <c r="J566" s="2787"/>
    </row>
    <row r="567" spans="1:10">
      <c r="B567" s="2821" t="s">
        <v>36</v>
      </c>
      <c r="C567" s="2828" t="s">
        <v>37</v>
      </c>
      <c r="J567" s="2787"/>
    </row>
    <row r="568" spans="1:10">
      <c r="B568" s="2811">
        <v>0.84</v>
      </c>
      <c r="C568" s="2790" t="s">
        <v>57</v>
      </c>
      <c r="D568" s="2793" t="s">
        <v>156</v>
      </c>
      <c r="H568" s="2807">
        <f>'SSR-rates'!I$58</f>
        <v>490</v>
      </c>
      <c r="I568" s="2822" t="s">
        <v>38</v>
      </c>
      <c r="J568" s="2811">
        <f>ROUND(B568*H568,2)</f>
        <v>411.6</v>
      </c>
    </row>
    <row r="569" spans="1:10">
      <c r="B569" s="2811">
        <v>3</v>
      </c>
      <c r="C569" s="2790" t="s">
        <v>57</v>
      </c>
      <c r="D569" s="2793" t="s">
        <v>58</v>
      </c>
      <c r="H569" s="2807">
        <f>'SSR-rates'!I$59</f>
        <v>524</v>
      </c>
      <c r="I569" s="2822" t="s">
        <v>38</v>
      </c>
      <c r="J569" s="2811">
        <f>ROUND(B569*H569,2)</f>
        <v>1572</v>
      </c>
    </row>
    <row r="570" spans="1:10">
      <c r="B570" s="2811">
        <v>18</v>
      </c>
      <c r="C570" s="2790" t="s">
        <v>57</v>
      </c>
      <c r="D570" s="2793" t="s">
        <v>59</v>
      </c>
      <c r="H570" s="2807">
        <f>'SSR-rates'!I$60</f>
        <v>490</v>
      </c>
      <c r="I570" s="2822" t="s">
        <v>38</v>
      </c>
      <c r="J570" s="2811">
        <f>ROUND(B570*H570,2)</f>
        <v>8820</v>
      </c>
    </row>
    <row r="571" spans="1:10">
      <c r="A571" s="2819"/>
      <c r="B571" s="2808">
        <f>'Input Data'!$D$23</f>
        <v>0</v>
      </c>
      <c r="C571" s="2794"/>
      <c r="D571" s="2787" t="s">
        <v>17</v>
      </c>
      <c r="F571" s="2790"/>
      <c r="G571" s="2790"/>
      <c r="H571" s="2807">
        <f>SUM(J569:J570)</f>
        <v>10392</v>
      </c>
      <c r="I571" s="2822"/>
      <c r="J571" s="2807">
        <f>B571*H571</f>
        <v>0</v>
      </c>
    </row>
    <row r="572" spans="1:10">
      <c r="B572" s="2811"/>
      <c r="C572" s="2790"/>
      <c r="D572" s="2793" t="s">
        <v>60</v>
      </c>
      <c r="H572" s="2807"/>
      <c r="I572" s="2807"/>
      <c r="J572" s="2811">
        <f>SUM(J568:J571)</f>
        <v>10803.6</v>
      </c>
    </row>
    <row r="573" spans="1:10">
      <c r="B573" s="2821" t="s">
        <v>39</v>
      </c>
      <c r="C573" s="2828" t="s">
        <v>61</v>
      </c>
      <c r="H573" s="2807"/>
      <c r="I573" s="2807"/>
      <c r="J573" s="2807"/>
    </row>
    <row r="574" spans="1:10">
      <c r="B574" s="2811">
        <v>64.8</v>
      </c>
      <c r="C574" s="2790" t="s">
        <v>31</v>
      </c>
      <c r="D574" s="2787" t="s">
        <v>63</v>
      </c>
      <c r="H574" s="2807">
        <f>lead!$J$16</f>
        <v>2005.5179333714741</v>
      </c>
      <c r="I574" s="2807" t="s">
        <v>31</v>
      </c>
      <c r="J574" s="2807">
        <f>ROUND(B574*H574,2)</f>
        <v>129957.56</v>
      </c>
    </row>
    <row r="575" spans="1:10">
      <c r="B575" s="2811">
        <v>43.2</v>
      </c>
      <c r="C575" s="2790" t="s">
        <v>31</v>
      </c>
      <c r="D575" s="2787" t="s">
        <v>64</v>
      </c>
      <c r="H575" s="2807">
        <f>lead!$J$18</f>
        <v>1754.5179333714741</v>
      </c>
      <c r="I575" s="2807" t="s">
        <v>31</v>
      </c>
      <c r="J575" s="2807">
        <f>ROUND(B575*H575,2)</f>
        <v>75795.17</v>
      </c>
    </row>
    <row r="576" spans="1:10">
      <c r="B576" s="2811">
        <v>54</v>
      </c>
      <c r="C576" s="2790" t="s">
        <v>31</v>
      </c>
      <c r="D576" s="2793" t="s">
        <v>65</v>
      </c>
      <c r="H576" s="2807">
        <f>lead!J12</f>
        <v>1658.7679333714741</v>
      </c>
      <c r="I576" s="2807" t="s">
        <v>31</v>
      </c>
      <c r="J576" s="2807">
        <f>ROUND(B576*H576,2)</f>
        <v>89573.47</v>
      </c>
    </row>
    <row r="577" spans="1:10">
      <c r="B577" s="2872">
        <v>48.38</v>
      </c>
      <c r="C577" s="2790" t="s">
        <v>66</v>
      </c>
      <c r="D577" s="2793" t="s">
        <v>67</v>
      </c>
      <c r="H577" s="2807">
        <f>lead!$J$36</f>
        <v>5000</v>
      </c>
      <c r="I577" s="2807" t="s">
        <v>66</v>
      </c>
      <c r="J577" s="2807">
        <f>ROUND(B577*H577,2)</f>
        <v>241900</v>
      </c>
    </row>
    <row r="578" spans="1:10">
      <c r="B578" s="2793"/>
      <c r="D578" s="2793" t="s">
        <v>60</v>
      </c>
      <c r="H578" s="2807"/>
      <c r="I578" s="2807"/>
      <c r="J578" s="2807">
        <f>SUM(J574:J577)</f>
        <v>537226.19999999995</v>
      </c>
    </row>
    <row r="579" spans="1:10">
      <c r="B579" s="2821" t="s">
        <v>27</v>
      </c>
      <c r="C579" s="2828" t="s">
        <v>40</v>
      </c>
      <c r="H579" s="2807"/>
      <c r="I579" s="2807"/>
      <c r="J579" s="2807"/>
    </row>
    <row r="580" spans="1:10">
      <c r="B580" s="2811">
        <v>6</v>
      </c>
      <c r="C580" s="2790" t="s">
        <v>41</v>
      </c>
      <c r="D580" s="2787" t="s">
        <v>171</v>
      </c>
      <c r="H580" s="2807">
        <f>'SSR-rates'!$I$100</f>
        <v>1205.8</v>
      </c>
      <c r="I580" s="2807" t="s">
        <v>41</v>
      </c>
      <c r="J580" s="2807">
        <f t="shared" ref="J580:J585" si="1">ROUND(B580*H580,2)</f>
        <v>7234.8</v>
      </c>
    </row>
    <row r="581" spans="1:10">
      <c r="B581" s="2811">
        <v>6</v>
      </c>
      <c r="C581" s="2790" t="s">
        <v>41</v>
      </c>
      <c r="D581" s="2787" t="s">
        <v>172</v>
      </c>
      <c r="H581" s="2807">
        <f>'SSR-rates'!$I$102</f>
        <v>1261</v>
      </c>
      <c r="I581" s="2807" t="s">
        <v>41</v>
      </c>
      <c r="J581" s="2807">
        <f t="shared" si="1"/>
        <v>7566</v>
      </c>
    </row>
    <row r="582" spans="1:10">
      <c r="B582" s="2811">
        <v>6</v>
      </c>
      <c r="C582" s="2790" t="s">
        <v>41</v>
      </c>
      <c r="D582" s="2787" t="s">
        <v>173</v>
      </c>
      <c r="H582" s="2807">
        <f>'SSR-rates'!$I$65</f>
        <v>1844</v>
      </c>
      <c r="I582" s="2807" t="s">
        <v>41</v>
      </c>
      <c r="J582" s="2807">
        <f t="shared" si="1"/>
        <v>11064</v>
      </c>
    </row>
    <row r="583" spans="1:10">
      <c r="B583" s="2811">
        <v>15</v>
      </c>
      <c r="C583" s="2790" t="s">
        <v>41</v>
      </c>
      <c r="D583" s="2787" t="s">
        <v>174</v>
      </c>
      <c r="H583" s="2807">
        <f>'SSR-rates'!$I$104</f>
        <v>2532.4</v>
      </c>
      <c r="I583" s="2807" t="s">
        <v>41</v>
      </c>
      <c r="J583" s="2807">
        <f t="shared" si="1"/>
        <v>37986</v>
      </c>
    </row>
    <row r="584" spans="1:10">
      <c r="B584" s="2811">
        <v>300</v>
      </c>
      <c r="C584" s="2790" t="s">
        <v>180</v>
      </c>
      <c r="D584" s="3027" t="s">
        <v>176</v>
      </c>
      <c r="E584" s="3027"/>
      <c r="F584" s="3027"/>
      <c r="G584" s="3027"/>
      <c r="H584" s="2807">
        <v>0</v>
      </c>
      <c r="I584" s="2807" t="s">
        <v>41</v>
      </c>
      <c r="J584" s="2807">
        <f t="shared" si="1"/>
        <v>0</v>
      </c>
    </row>
    <row r="585" spans="1:10">
      <c r="B585" s="2811">
        <v>6</v>
      </c>
      <c r="C585" s="2790" t="s">
        <v>41</v>
      </c>
      <c r="D585" s="2793" t="s">
        <v>177</v>
      </c>
      <c r="H585" s="2807">
        <f>'SSR-rates'!I$106</f>
        <v>899</v>
      </c>
      <c r="I585" s="2807" t="s">
        <v>41</v>
      </c>
      <c r="J585" s="2807">
        <f t="shared" si="1"/>
        <v>5394</v>
      </c>
    </row>
    <row r="586" spans="1:10">
      <c r="B586" s="2811"/>
      <c r="C586" s="2794"/>
      <c r="D586" s="2793" t="s">
        <v>60</v>
      </c>
      <c r="H586" s="2807"/>
      <c r="I586" s="2807"/>
      <c r="J586" s="2807">
        <f>SUM(J580:J585)</f>
        <v>69244.800000000003</v>
      </c>
    </row>
    <row r="587" spans="1:10">
      <c r="B587" s="2821" t="s">
        <v>45</v>
      </c>
      <c r="C587" s="2828" t="s">
        <v>71</v>
      </c>
      <c r="H587" s="2807"/>
      <c r="I587" s="2807"/>
      <c r="J587" s="2807"/>
    </row>
    <row r="588" spans="1:10">
      <c r="B588" s="2793">
        <v>10</v>
      </c>
      <c r="C588" s="2790" t="s">
        <v>29</v>
      </c>
      <c r="D588" s="2787" t="s">
        <v>181</v>
      </c>
      <c r="H588" s="2807">
        <f>J572+J578+J586</f>
        <v>617274.6</v>
      </c>
      <c r="I588" s="2822" t="s">
        <v>73</v>
      </c>
      <c r="J588" s="2807">
        <f>ROUND(B588*H588/100,2)</f>
        <v>61727.46</v>
      </c>
    </row>
    <row r="589" spans="1:10">
      <c r="A589" s="2819"/>
      <c r="B589" s="2821" t="s">
        <v>47</v>
      </c>
      <c r="C589" s="2819" t="s">
        <v>97</v>
      </c>
      <c r="F589" s="2790"/>
      <c r="G589" s="2790"/>
      <c r="H589" s="2790"/>
      <c r="I589" s="2790"/>
      <c r="J589" s="2847"/>
    </row>
    <row r="590" spans="1:10" ht="36" customHeight="1">
      <c r="A590" s="2819"/>
      <c r="B590" s="2812">
        <f>'Input Data'!$D$25</f>
        <v>0</v>
      </c>
      <c r="C590" s="3017" t="str">
        <f>"Over head charges "&amp;'Input Data'!$D$25*100&amp;"%  on (A) + (B)+(C)+(D)"</f>
        <v>Over head charges 0%  on (A) + (B)+(C)+(D)</v>
      </c>
      <c r="D590" s="3018"/>
      <c r="E590" s="3018"/>
      <c r="F590" s="3018"/>
      <c r="G590" s="3019"/>
      <c r="H590" s="2794">
        <f>J588+J586+J578+J572</f>
        <v>679002.05999999994</v>
      </c>
      <c r="I590" s="2790"/>
      <c r="J590" s="2807">
        <f>H590*B590</f>
        <v>0</v>
      </c>
    </row>
    <row r="591" spans="1:10">
      <c r="A591" s="2819"/>
      <c r="B591" s="2821" t="s">
        <v>76</v>
      </c>
      <c r="C591" s="2819" t="s">
        <v>77</v>
      </c>
      <c r="F591" s="2790"/>
      <c r="G591" s="2790"/>
      <c r="H591" s="2790"/>
      <c r="I591" s="2790"/>
      <c r="J591" s="2847">
        <f>J572+J578+J586+J588+J590</f>
        <v>679002.05999999994</v>
      </c>
    </row>
    <row r="592" spans="1:10">
      <c r="A592" s="2819"/>
      <c r="B592" s="2821" t="s">
        <v>78</v>
      </c>
      <c r="C592" s="2819" t="s">
        <v>79</v>
      </c>
      <c r="F592" s="2790"/>
      <c r="G592" s="2790"/>
      <c r="H592" s="2790"/>
      <c r="I592" s="2790"/>
      <c r="J592" s="2847">
        <f>J591*10/100</f>
        <v>67900.205999999991</v>
      </c>
    </row>
    <row r="593" spans="1:10">
      <c r="B593" s="2811"/>
      <c r="C593" s="2790"/>
      <c r="D593" s="2828" t="s">
        <v>158</v>
      </c>
      <c r="H593" s="2807"/>
      <c r="I593" s="2807"/>
      <c r="J593" s="2847">
        <f>SUM(J591:J592)</f>
        <v>746902.26599999995</v>
      </c>
    </row>
    <row r="594" spans="1:10">
      <c r="B594" s="2811"/>
      <c r="C594" s="2790"/>
      <c r="D594" s="2793" t="s">
        <v>81</v>
      </c>
      <c r="H594" s="2807"/>
      <c r="I594" s="2807"/>
      <c r="J594" s="2807">
        <f>ROUND(J593/120,2)</f>
        <v>6224.19</v>
      </c>
    </row>
    <row r="595" spans="1:10">
      <c r="D595" s="2793" t="s">
        <v>52</v>
      </c>
      <c r="H595" s="2807"/>
      <c r="I595" s="2807"/>
      <c r="J595" s="2848">
        <f>ROUND(J594,0)</f>
        <v>6224</v>
      </c>
    </row>
    <row r="596" spans="1:10">
      <c r="D596" s="2793"/>
      <c r="H596" s="2807"/>
      <c r="I596" s="2807"/>
      <c r="J596" s="2847" t="s">
        <v>53</v>
      </c>
    </row>
    <row r="597" spans="1:10" ht="125.25" customHeight="1">
      <c r="A597" s="2865"/>
      <c r="B597" s="3008" t="s">
        <v>182</v>
      </c>
      <c r="C597" s="3008"/>
      <c r="D597" s="3008"/>
      <c r="E597" s="3008"/>
      <c r="F597" s="3008"/>
      <c r="G597" s="3008"/>
      <c r="H597" s="3008"/>
      <c r="I597" s="3008"/>
      <c r="J597" s="3008"/>
    </row>
    <row r="598" spans="1:10">
      <c r="D598" s="2793" t="s">
        <v>10</v>
      </c>
      <c r="F598" s="2819" t="s">
        <v>183</v>
      </c>
      <c r="J598" s="2787"/>
    </row>
    <row r="599" spans="1:10">
      <c r="D599" s="2793" t="s">
        <v>170</v>
      </c>
      <c r="J599" s="2787"/>
    </row>
    <row r="600" spans="1:10">
      <c r="B600" s="2821" t="s">
        <v>36</v>
      </c>
      <c r="C600" s="2828" t="s">
        <v>37</v>
      </c>
      <c r="J600" s="2787"/>
    </row>
    <row r="601" spans="1:10">
      <c r="B601" s="2811">
        <v>0.84</v>
      </c>
      <c r="C601" s="2790" t="s">
        <v>57</v>
      </c>
      <c r="D601" s="2793" t="s">
        <v>156</v>
      </c>
      <c r="H601" s="2807">
        <f>'SSR-rates'!I$58</f>
        <v>490</v>
      </c>
      <c r="I601" s="2822" t="s">
        <v>38</v>
      </c>
      <c r="J601" s="2811">
        <f>ROUND(B601*H601,2)</f>
        <v>411.6</v>
      </c>
    </row>
    <row r="602" spans="1:10">
      <c r="B602" s="2811">
        <v>3</v>
      </c>
      <c r="C602" s="2790" t="s">
        <v>57</v>
      </c>
      <c r="D602" s="2793" t="s">
        <v>58</v>
      </c>
      <c r="H602" s="2807">
        <f>'SSR-rates'!I$59</f>
        <v>524</v>
      </c>
      <c r="I602" s="2822" t="s">
        <v>38</v>
      </c>
      <c r="J602" s="2811">
        <f>ROUND(B602*H602,2)</f>
        <v>1572</v>
      </c>
    </row>
    <row r="603" spans="1:10">
      <c r="B603" s="2811">
        <v>18</v>
      </c>
      <c r="C603" s="2790" t="s">
        <v>57</v>
      </c>
      <c r="D603" s="2793" t="s">
        <v>59</v>
      </c>
      <c r="H603" s="2807">
        <f>'SSR-rates'!I$60</f>
        <v>490</v>
      </c>
      <c r="I603" s="2822" t="s">
        <v>38</v>
      </c>
      <c r="J603" s="2811">
        <f>ROUND(B603*H603,2)</f>
        <v>8820</v>
      </c>
    </row>
    <row r="604" spans="1:10">
      <c r="A604" s="2819"/>
      <c r="B604" s="2808">
        <f>'Input Data'!$D$23</f>
        <v>0</v>
      </c>
      <c r="C604" s="2794"/>
      <c r="D604" s="2787" t="s">
        <v>17</v>
      </c>
      <c r="F604" s="2790"/>
      <c r="G604" s="2790"/>
      <c r="H604" s="2807">
        <f>SUM(J602:J603)</f>
        <v>10392</v>
      </c>
      <c r="I604" s="2822"/>
      <c r="J604" s="2807">
        <f>B604*H604</f>
        <v>0</v>
      </c>
    </row>
    <row r="605" spans="1:10">
      <c r="B605" s="2811"/>
      <c r="C605" s="2790"/>
      <c r="D605" s="2793" t="s">
        <v>60</v>
      </c>
      <c r="H605" s="2807"/>
      <c r="I605" s="2807"/>
      <c r="J605" s="2811">
        <f>SUM(J601:J604)</f>
        <v>10803.6</v>
      </c>
    </row>
    <row r="606" spans="1:10">
      <c r="B606" s="2821" t="s">
        <v>39</v>
      </c>
      <c r="C606" s="2828" t="s">
        <v>61</v>
      </c>
      <c r="H606" s="2807"/>
      <c r="I606" s="2807"/>
      <c r="J606" s="2807"/>
    </row>
    <row r="607" spans="1:10">
      <c r="B607" s="2811">
        <v>64.8</v>
      </c>
      <c r="C607" s="2790" t="s">
        <v>31</v>
      </c>
      <c r="D607" s="2787" t="s">
        <v>63</v>
      </c>
      <c r="H607" s="2807">
        <f>lead!J$16</f>
        <v>2005.5179333714741</v>
      </c>
      <c r="I607" s="2807" t="s">
        <v>31</v>
      </c>
      <c r="J607" s="2807">
        <f>ROUND(B607*H607,2)</f>
        <v>129957.56</v>
      </c>
    </row>
    <row r="608" spans="1:10">
      <c r="B608" s="2811">
        <v>43.2</v>
      </c>
      <c r="C608" s="2790" t="s">
        <v>31</v>
      </c>
      <c r="D608" s="2787" t="s">
        <v>64</v>
      </c>
      <c r="H608" s="2807">
        <f>lead!J$18</f>
        <v>1754.5179333714741</v>
      </c>
      <c r="I608" s="2807" t="s">
        <v>31</v>
      </c>
      <c r="J608" s="2807">
        <f>ROUND(B608*H608,2)</f>
        <v>75795.17</v>
      </c>
    </row>
    <row r="609" spans="1:10">
      <c r="B609" s="2811">
        <v>54.2</v>
      </c>
      <c r="C609" s="2790" t="s">
        <v>31</v>
      </c>
      <c r="D609" s="2793" t="s">
        <v>65</v>
      </c>
      <c r="H609" s="2807">
        <f>lead!J12</f>
        <v>1658.7679333714741</v>
      </c>
      <c r="I609" s="2807" t="s">
        <v>31</v>
      </c>
      <c r="J609" s="2807">
        <f>ROUND(B609*H609,2)</f>
        <v>89905.22</v>
      </c>
    </row>
    <row r="610" spans="1:10">
      <c r="B610" s="2872">
        <v>47.95</v>
      </c>
      <c r="C610" s="2790" t="s">
        <v>66</v>
      </c>
      <c r="D610" s="2793" t="s">
        <v>67</v>
      </c>
      <c r="H610" s="2807">
        <f>lead!J$36</f>
        <v>5000</v>
      </c>
      <c r="I610" s="2807" t="s">
        <v>66</v>
      </c>
      <c r="J610" s="2807">
        <f>ROUND(B610*H610,2)</f>
        <v>239750</v>
      </c>
    </row>
    <row r="611" spans="1:10">
      <c r="B611" s="2793"/>
      <c r="D611" s="2793" t="s">
        <v>60</v>
      </c>
      <c r="H611" s="2807"/>
      <c r="I611" s="2807"/>
      <c r="J611" s="2807">
        <f>SUM(J607:J610)</f>
        <v>535407.94999999995</v>
      </c>
    </row>
    <row r="612" spans="1:10">
      <c r="B612" s="2821" t="s">
        <v>27</v>
      </c>
      <c r="C612" s="2828" t="s">
        <v>40</v>
      </c>
      <c r="H612" s="2807"/>
      <c r="I612" s="2807"/>
      <c r="J612" s="2807"/>
    </row>
    <row r="613" spans="1:10">
      <c r="B613" s="2811">
        <v>6</v>
      </c>
      <c r="C613" s="2790" t="s">
        <v>41</v>
      </c>
      <c r="D613" s="2787" t="s">
        <v>171</v>
      </c>
      <c r="H613" s="2807">
        <f>'SSR-rates'!I$100</f>
        <v>1205.8</v>
      </c>
      <c r="I613" s="2807" t="s">
        <v>41</v>
      </c>
      <c r="J613" s="2807">
        <f t="shared" ref="J613:J618" si="2">ROUND(B613*H613,2)</f>
        <v>7234.8</v>
      </c>
    </row>
    <row r="614" spans="1:10">
      <c r="B614" s="2811">
        <v>6</v>
      </c>
      <c r="C614" s="2790" t="s">
        <v>41</v>
      </c>
      <c r="D614" s="2787" t="s">
        <v>172</v>
      </c>
      <c r="H614" s="2807">
        <f>'SSR-rates'!I$102</f>
        <v>1261</v>
      </c>
      <c r="I614" s="2807" t="s">
        <v>41</v>
      </c>
      <c r="J614" s="2807">
        <f t="shared" si="2"/>
        <v>7566</v>
      </c>
    </row>
    <row r="615" spans="1:10">
      <c r="B615" s="2811">
        <v>6</v>
      </c>
      <c r="C615" s="2790" t="s">
        <v>41</v>
      </c>
      <c r="D615" s="2787" t="s">
        <v>173</v>
      </c>
      <c r="H615" s="2807">
        <f>'SSR-rates'!I$65</f>
        <v>1844</v>
      </c>
      <c r="I615" s="2807" t="s">
        <v>41</v>
      </c>
      <c r="J615" s="2807">
        <f t="shared" si="2"/>
        <v>11064</v>
      </c>
    </row>
    <row r="616" spans="1:10">
      <c r="B616" s="2811">
        <v>15</v>
      </c>
      <c r="C616" s="2790" t="s">
        <v>41</v>
      </c>
      <c r="D616" s="2787" t="s">
        <v>174</v>
      </c>
      <c r="H616" s="2807">
        <f>'SSR-rates'!I$104</f>
        <v>2532.4</v>
      </c>
      <c r="I616" s="2807" t="s">
        <v>41</v>
      </c>
      <c r="J616" s="2807">
        <f t="shared" si="2"/>
        <v>37986</v>
      </c>
    </row>
    <row r="617" spans="1:10">
      <c r="B617" s="2811">
        <v>300</v>
      </c>
      <c r="C617" s="2790" t="s">
        <v>180</v>
      </c>
      <c r="D617" s="3027" t="s">
        <v>176</v>
      </c>
      <c r="E617" s="3027"/>
      <c r="F617" s="3027"/>
      <c r="G617" s="3027"/>
      <c r="H617" s="2807">
        <v>0</v>
      </c>
      <c r="I617" s="2807" t="s">
        <v>41</v>
      </c>
      <c r="J617" s="2807">
        <f t="shared" si="2"/>
        <v>0</v>
      </c>
    </row>
    <row r="618" spans="1:10">
      <c r="B618" s="2811">
        <v>6</v>
      </c>
      <c r="C618" s="2790" t="s">
        <v>41</v>
      </c>
      <c r="D618" s="2793" t="s">
        <v>177</v>
      </c>
      <c r="H618" s="2807">
        <f>'SSR-rates'!I$106</f>
        <v>899</v>
      </c>
      <c r="I618" s="2807" t="s">
        <v>41</v>
      </c>
      <c r="J618" s="2807">
        <f t="shared" si="2"/>
        <v>5394</v>
      </c>
    </row>
    <row r="619" spans="1:10">
      <c r="B619" s="2811"/>
      <c r="C619" s="2794"/>
      <c r="D619" s="2793" t="s">
        <v>60</v>
      </c>
      <c r="H619" s="2807"/>
      <c r="I619" s="2807"/>
      <c r="J619" s="2807">
        <f>SUM(J613:J618)</f>
        <v>69244.800000000003</v>
      </c>
    </row>
    <row r="620" spans="1:10">
      <c r="B620" s="2821" t="s">
        <v>45</v>
      </c>
      <c r="C620" s="2828" t="s">
        <v>71</v>
      </c>
      <c r="H620" s="2807"/>
      <c r="I620" s="2807"/>
      <c r="J620" s="2807"/>
    </row>
    <row r="621" spans="1:10">
      <c r="B621" s="2793">
        <v>20</v>
      </c>
      <c r="C621" s="2790" t="s">
        <v>29</v>
      </c>
      <c r="D621" s="2787" t="s">
        <v>161</v>
      </c>
      <c r="H621" s="2807">
        <f>J605+J611+J619</f>
        <v>615456.35</v>
      </c>
      <c r="I621" s="2822" t="s">
        <v>73</v>
      </c>
      <c r="J621" s="2807">
        <f>ROUND(B621*H621/100,2)</f>
        <v>123091.27</v>
      </c>
    </row>
    <row r="622" spans="1:10">
      <c r="A622" s="2819"/>
      <c r="B622" s="2821" t="s">
        <v>47</v>
      </c>
      <c r="C622" s="2819" t="s">
        <v>97</v>
      </c>
      <c r="F622" s="2790"/>
      <c r="G622" s="2790"/>
      <c r="H622" s="2790"/>
      <c r="I622" s="2790"/>
      <c r="J622" s="2847"/>
    </row>
    <row r="623" spans="1:10" ht="27" customHeight="1">
      <c r="A623" s="2819"/>
      <c r="B623" s="2812">
        <f>'Input Data'!$D$25</f>
        <v>0</v>
      </c>
      <c r="C623" s="3017" t="str">
        <f>"Over head charges "&amp;'Input Data'!$D$25*100&amp;"%  on (A) + (B)+(C)+(D)"</f>
        <v>Over head charges 0%  on (A) + (B)+(C)+(D)</v>
      </c>
      <c r="D623" s="3018"/>
      <c r="E623" s="3018"/>
      <c r="F623" s="3018"/>
      <c r="G623" s="3019"/>
      <c r="H623" s="2794">
        <f>J621+J619+J611+J605</f>
        <v>738547.62</v>
      </c>
      <c r="I623" s="2790"/>
      <c r="J623" s="2807">
        <f>H623*B623</f>
        <v>0</v>
      </c>
    </row>
    <row r="624" spans="1:10">
      <c r="A624" s="2819"/>
      <c r="B624" s="2821" t="s">
        <v>76</v>
      </c>
      <c r="C624" s="2819" t="s">
        <v>77</v>
      </c>
      <c r="F624" s="2790"/>
      <c r="G624" s="2790"/>
      <c r="H624" s="2790"/>
      <c r="I624" s="2790"/>
      <c r="J624" s="2847">
        <f>J605+J611+J619+J621+J623</f>
        <v>738547.62</v>
      </c>
    </row>
    <row r="625" spans="1:10">
      <c r="A625" s="2819"/>
      <c r="B625" s="2821" t="s">
        <v>78</v>
      </c>
      <c r="C625" s="2819" t="s">
        <v>79</v>
      </c>
      <c r="F625" s="2790"/>
      <c r="G625" s="2790"/>
      <c r="H625" s="2790"/>
      <c r="I625" s="2790"/>
      <c r="J625" s="2847">
        <f>J624*10/100</f>
        <v>73854.762000000002</v>
      </c>
    </row>
    <row r="626" spans="1:10">
      <c r="B626" s="2811"/>
      <c r="C626" s="2790"/>
      <c r="D626" s="2828" t="s">
        <v>158</v>
      </c>
      <c r="H626" s="2807"/>
      <c r="I626" s="2807"/>
      <c r="J626" s="2847">
        <f>SUM(J624:J625)</f>
        <v>812402.38199999998</v>
      </c>
    </row>
    <row r="627" spans="1:10">
      <c r="B627" s="2811"/>
      <c r="C627" s="2790"/>
      <c r="D627" s="2793" t="s">
        <v>81</v>
      </c>
      <c r="H627" s="2807"/>
      <c r="I627" s="2807"/>
      <c r="J627" s="2807">
        <f>ROUND(J626/120,2)</f>
        <v>6770.02</v>
      </c>
    </row>
    <row r="628" spans="1:10">
      <c r="D628" s="2793" t="s">
        <v>52</v>
      </c>
      <c r="H628" s="2807"/>
      <c r="I628" s="2807"/>
      <c r="J628" s="2848">
        <f>ROUND(J627,0)</f>
        <v>6770</v>
      </c>
    </row>
    <row r="629" spans="1:10">
      <c r="D629" s="2793"/>
      <c r="H629" s="2807"/>
      <c r="I629" s="2807"/>
      <c r="J629" s="2847" t="s">
        <v>53</v>
      </c>
    </row>
    <row r="631" spans="1:10" ht="141" customHeight="1">
      <c r="A631" s="2816"/>
      <c r="B631" s="3028" t="s">
        <v>184</v>
      </c>
      <c r="C631" s="3028"/>
      <c r="D631" s="3028"/>
      <c r="E631" s="3028"/>
      <c r="F631" s="3028"/>
      <c r="G631" s="3028"/>
      <c r="H631" s="3028"/>
      <c r="I631" s="3028"/>
      <c r="J631" s="3028"/>
    </row>
    <row r="632" spans="1:10">
      <c r="A632" s="2879"/>
      <c r="B632" s="2798"/>
      <c r="C632" s="2798"/>
      <c r="D632" s="3029" t="s">
        <v>185</v>
      </c>
      <c r="E632" s="3029"/>
      <c r="F632" s="3029"/>
      <c r="G632" s="3029"/>
      <c r="H632" s="2798"/>
      <c r="I632" s="2798"/>
      <c r="J632" s="2831"/>
    </row>
    <row r="633" spans="1:10">
      <c r="A633" s="2879"/>
      <c r="B633" s="2798"/>
      <c r="C633" s="2798"/>
      <c r="D633" s="3030" t="s">
        <v>186</v>
      </c>
      <c r="E633" s="3030"/>
      <c r="F633" s="3030"/>
      <c r="G633" s="3030"/>
      <c r="H633" s="2798"/>
      <c r="I633" s="2798"/>
      <c r="J633" s="2831"/>
    </row>
    <row r="634" spans="1:10">
      <c r="A634" s="2879"/>
      <c r="B634" s="2798"/>
      <c r="C634" s="2803"/>
      <c r="D634" s="3030" t="s">
        <v>187</v>
      </c>
      <c r="E634" s="3030"/>
      <c r="F634" s="3030"/>
      <c r="G634" s="3030"/>
      <c r="H634" s="2798"/>
      <c r="I634" s="2798"/>
      <c r="J634" s="2831"/>
    </row>
    <row r="635" spans="1:10">
      <c r="A635" s="2879"/>
      <c r="B635" s="2798"/>
      <c r="C635" s="2804"/>
      <c r="D635" s="3003" t="s">
        <v>12</v>
      </c>
      <c r="E635" s="3003"/>
      <c r="F635" s="3003"/>
      <c r="G635" s="3003"/>
      <c r="H635" s="2798"/>
      <c r="I635" s="2798"/>
      <c r="J635" s="2831"/>
    </row>
    <row r="636" spans="1:10">
      <c r="A636" s="2879"/>
      <c r="B636" s="2803">
        <v>0.4</v>
      </c>
      <c r="C636" s="2881" t="s">
        <v>13</v>
      </c>
      <c r="D636" s="3004" t="s">
        <v>14</v>
      </c>
      <c r="E636" s="3004"/>
      <c r="F636" s="3004"/>
      <c r="G636" s="3004"/>
      <c r="H636" s="2813">
        <f>'SSR-rates'!$I$58</f>
        <v>490</v>
      </c>
      <c r="I636" s="2803">
        <v>1</v>
      </c>
      <c r="J636" s="2832">
        <f>ROUND(B636*H636,2)</f>
        <v>196</v>
      </c>
    </row>
    <row r="637" spans="1:10">
      <c r="A637" s="2879"/>
      <c r="B637" s="2803">
        <v>2</v>
      </c>
      <c r="C637" s="2881" t="s">
        <v>13</v>
      </c>
      <c r="D637" s="3004" t="s">
        <v>188</v>
      </c>
      <c r="E637" s="3004"/>
      <c r="F637" s="3004"/>
      <c r="G637" s="3004"/>
      <c r="H637" s="2813">
        <f>'SSR-rates'!$I$92</f>
        <v>540</v>
      </c>
      <c r="I637" s="2803">
        <v>1</v>
      </c>
      <c r="J637" s="2832">
        <f>ROUND(B637*H637,2)</f>
        <v>1080</v>
      </c>
    </row>
    <row r="638" spans="1:10">
      <c r="A638" s="2879"/>
      <c r="B638" s="2803">
        <v>6</v>
      </c>
      <c r="C638" s="2881" t="s">
        <v>13</v>
      </c>
      <c r="D638" s="3004" t="s">
        <v>59</v>
      </c>
      <c r="E638" s="3004"/>
      <c r="F638" s="3004"/>
      <c r="G638" s="3004"/>
      <c r="H638" s="2813">
        <f>'SSR-rates'!$I$60</f>
        <v>490</v>
      </c>
      <c r="I638" s="2803">
        <v>1</v>
      </c>
      <c r="J638" s="2832">
        <f>ROUND(B638*H638,2)</f>
        <v>2940</v>
      </c>
    </row>
    <row r="639" spans="1:10" ht="15" customHeight="1">
      <c r="A639" s="2879"/>
      <c r="B639" s="2808">
        <f>'Input Data'!$D$23</f>
        <v>0</v>
      </c>
      <c r="C639" s="2794"/>
      <c r="D639" s="2787" t="s">
        <v>17</v>
      </c>
      <c r="F639" s="2790"/>
      <c r="G639" s="2790"/>
      <c r="H639" s="2807">
        <f>SUM(J638:J638)</f>
        <v>2940</v>
      </c>
      <c r="I639" s="2822"/>
      <c r="J639" s="2807">
        <f>B639*H639</f>
        <v>0</v>
      </c>
    </row>
    <row r="640" spans="1:10">
      <c r="A640" s="2879"/>
      <c r="B640" s="2803"/>
      <c r="C640" s="2882"/>
      <c r="D640" s="3005" t="s">
        <v>18</v>
      </c>
      <c r="E640" s="3005"/>
      <c r="F640" s="3005"/>
      <c r="G640" s="3005"/>
      <c r="H640" s="2803"/>
      <c r="I640" s="2833" t="s">
        <v>19</v>
      </c>
      <c r="J640" s="2834">
        <f>SUM(J636:J639)</f>
        <v>4216</v>
      </c>
    </row>
    <row r="641" spans="1:11">
      <c r="A641" s="2879"/>
      <c r="B641" s="2803"/>
      <c r="C641" s="2883"/>
      <c r="D641" s="3003" t="s">
        <v>189</v>
      </c>
      <c r="E641" s="3003"/>
      <c r="F641" s="3003"/>
      <c r="G641" s="3003"/>
      <c r="H641" s="2803"/>
      <c r="I641" s="2803"/>
      <c r="J641" s="2832"/>
    </row>
    <row r="642" spans="1:11">
      <c r="A642" s="2879"/>
      <c r="B642" s="2803">
        <v>1.05</v>
      </c>
      <c r="C642" s="2881" t="s">
        <v>66</v>
      </c>
      <c r="D642" s="3004" t="s">
        <v>190</v>
      </c>
      <c r="E642" s="3004"/>
      <c r="F642" s="3004"/>
      <c r="G642" s="3004"/>
      <c r="H642" s="2803">
        <f>lead!$J$37</f>
        <v>49000</v>
      </c>
      <c r="I642" s="2803">
        <v>1</v>
      </c>
      <c r="J642" s="2832">
        <f>ROUND(B642*H642,2)</f>
        <v>51450</v>
      </c>
    </row>
    <row r="643" spans="1:11">
      <c r="A643" s="2879"/>
      <c r="B643" s="2803">
        <v>6</v>
      </c>
      <c r="C643" s="2881" t="s">
        <v>191</v>
      </c>
      <c r="D643" s="3007" t="s">
        <v>192</v>
      </c>
      <c r="E643" s="3007"/>
      <c r="F643" s="3007"/>
      <c r="G643" s="3007"/>
      <c r="H643" s="2803">
        <f>'SSR-rates'!$I$93</f>
        <v>66</v>
      </c>
      <c r="I643" s="2803">
        <v>1</v>
      </c>
      <c r="J643" s="2832">
        <f>H643*B643</f>
        <v>396</v>
      </c>
    </row>
    <row r="644" spans="1:11">
      <c r="A644" s="2879"/>
      <c r="B644" s="2803"/>
      <c r="C644" s="2882"/>
      <c r="D644" s="3005" t="s">
        <v>18</v>
      </c>
      <c r="E644" s="3005"/>
      <c r="F644" s="3005"/>
      <c r="G644" s="3005"/>
      <c r="H644" s="2803"/>
      <c r="I644" s="2833" t="s">
        <v>25</v>
      </c>
      <c r="J644" s="2834">
        <f>SUM(J642:J643)</f>
        <v>51846</v>
      </c>
    </row>
    <row r="645" spans="1:11">
      <c r="A645" s="2879"/>
      <c r="B645" s="2813"/>
      <c r="C645" s="2884"/>
      <c r="D645" s="3003" t="s">
        <v>26</v>
      </c>
      <c r="E645" s="3003"/>
      <c r="F645" s="3003"/>
      <c r="G645" s="3003"/>
      <c r="H645" s="2813"/>
      <c r="I645" s="2895"/>
      <c r="J645" s="2837">
        <f>J640+J644</f>
        <v>56062</v>
      </c>
    </row>
    <row r="646" spans="1:11">
      <c r="A646" s="2879"/>
      <c r="B646" s="2812">
        <f>'Input Data'!$D$25</f>
        <v>0</v>
      </c>
      <c r="C646" s="2884"/>
      <c r="D646" s="3003" t="s">
        <v>193</v>
      </c>
      <c r="E646" s="3003"/>
      <c r="F646" s="3003"/>
      <c r="G646" s="3003"/>
      <c r="H646" s="2813">
        <f>J645</f>
        <v>56062</v>
      </c>
      <c r="I646" s="2835"/>
      <c r="J646" s="2836">
        <f>H646*B646</f>
        <v>0</v>
      </c>
    </row>
    <row r="647" spans="1:11">
      <c r="A647" s="2879"/>
      <c r="B647" s="2813"/>
      <c r="C647" s="2884"/>
      <c r="D647" s="3003"/>
      <c r="E647" s="3003"/>
      <c r="F647" s="3003"/>
      <c r="G647" s="3003"/>
      <c r="H647" s="2813"/>
      <c r="I647" s="2835"/>
      <c r="J647" s="2836"/>
    </row>
    <row r="648" spans="1:11">
      <c r="A648" s="2879"/>
      <c r="B648" s="2813">
        <v>10</v>
      </c>
      <c r="C648" s="2884" t="s">
        <v>29</v>
      </c>
      <c r="D648" s="3003" t="s">
        <v>30</v>
      </c>
      <c r="E648" s="3003"/>
      <c r="F648" s="3003"/>
      <c r="G648" s="3003"/>
      <c r="H648" s="2813">
        <f>J645+J646</f>
        <v>56062</v>
      </c>
      <c r="I648" s="2835"/>
      <c r="J648" s="2836">
        <f>ROUND(B648*H648/100,2)</f>
        <v>5606.2</v>
      </c>
    </row>
    <row r="649" spans="1:11">
      <c r="A649" s="2879"/>
      <c r="B649" s="2813"/>
      <c r="C649" s="2884"/>
      <c r="D649" s="3003"/>
      <c r="E649" s="3003"/>
      <c r="F649" s="3003"/>
      <c r="G649" s="3003"/>
      <c r="H649" s="2813"/>
      <c r="I649" s="2835"/>
      <c r="J649" s="2837"/>
    </row>
    <row r="650" spans="1:11">
      <c r="A650" s="2879"/>
      <c r="B650" s="2814">
        <v>1</v>
      </c>
      <c r="C650" s="2884" t="s">
        <v>66</v>
      </c>
      <c r="D650" s="3005" t="str">
        <f>CONCATENATE("TOTAL Cost for ",B650,"  ",C650,"  =  (A+B+C+D)",)</f>
        <v>TOTAL Cost for 1  MT  =  (A+B+C+D)</v>
      </c>
      <c r="E650" s="3005"/>
      <c r="F650" s="3005"/>
      <c r="G650" s="3005"/>
      <c r="H650" s="2813"/>
      <c r="I650" s="2813"/>
      <c r="J650" s="2836">
        <f>SUM(J645:J648)</f>
        <v>61668.2</v>
      </c>
    </row>
    <row r="651" spans="1:11">
      <c r="A651" s="2879"/>
      <c r="B651" s="2813"/>
      <c r="C651" s="2813"/>
      <c r="D651" s="3007" t="str">
        <f>CONCATENATE("Rate per  1  ",C650)</f>
        <v>Rate per  1  MT</v>
      </c>
      <c r="E651" s="3007"/>
      <c r="F651" s="3007"/>
      <c r="G651" s="3007"/>
      <c r="H651" s="2813"/>
      <c r="I651" s="2813"/>
      <c r="J651" s="2832">
        <f>J650/B650</f>
        <v>61668.2</v>
      </c>
    </row>
    <row r="652" spans="1:11">
      <c r="A652" s="2879"/>
      <c r="B652" s="2803"/>
      <c r="C652" s="2803"/>
      <c r="D652" s="3029" t="str">
        <f>D651</f>
        <v>Rate per  1  MT</v>
      </c>
      <c r="E652" s="3029"/>
      <c r="F652" s="3029"/>
      <c r="G652" s="3029"/>
      <c r="H652" s="2813"/>
      <c r="I652" s="2813"/>
      <c r="J652" s="2834">
        <f>ROUND(J651,0)</f>
        <v>61668</v>
      </c>
      <c r="K652" s="2787">
        <v>57233</v>
      </c>
    </row>
    <row r="653" spans="1:11" ht="141.75" customHeight="1">
      <c r="A653" s="2816"/>
      <c r="B653" s="3028" t="s">
        <v>194</v>
      </c>
      <c r="C653" s="3028"/>
      <c r="D653" s="3028"/>
      <c r="E653" s="3028"/>
      <c r="F653" s="3028"/>
      <c r="G653" s="3028"/>
      <c r="H653" s="3028"/>
      <c r="I653" s="3028"/>
      <c r="J653" s="3028"/>
    </row>
    <row r="654" spans="1:11">
      <c r="A654" s="2879"/>
      <c r="B654" s="2798"/>
      <c r="C654" s="2798"/>
      <c r="D654" s="3029" t="s">
        <v>195</v>
      </c>
      <c r="E654" s="3029"/>
      <c r="F654" s="3029"/>
      <c r="G654" s="3029"/>
      <c r="H654" s="2798"/>
      <c r="I654" s="2798"/>
      <c r="J654" s="2831"/>
    </row>
    <row r="655" spans="1:11">
      <c r="A655" s="2879"/>
      <c r="B655" s="2798"/>
      <c r="C655" s="2798"/>
      <c r="D655" s="3030" t="s">
        <v>186</v>
      </c>
      <c r="E655" s="3030"/>
      <c r="F655" s="3030"/>
      <c r="G655" s="3030"/>
      <c r="H655" s="2798"/>
      <c r="I655" s="2798"/>
      <c r="J655" s="2831"/>
    </row>
    <row r="656" spans="1:11">
      <c r="A656" s="2879"/>
      <c r="B656" s="2798"/>
      <c r="C656" s="2803"/>
      <c r="D656" s="3030" t="s">
        <v>187</v>
      </c>
      <c r="E656" s="3030"/>
      <c r="F656" s="3030"/>
      <c r="G656" s="3030"/>
      <c r="H656" s="2798"/>
      <c r="I656" s="2798"/>
      <c r="J656" s="2831"/>
    </row>
    <row r="657" spans="1:10">
      <c r="A657" s="2879"/>
      <c r="B657" s="2798"/>
      <c r="C657" s="2804"/>
      <c r="D657" s="3003" t="s">
        <v>12</v>
      </c>
      <c r="E657" s="3003"/>
      <c r="F657" s="3003"/>
      <c r="G657" s="3003"/>
      <c r="H657" s="2798"/>
      <c r="I657" s="2798"/>
      <c r="J657" s="2831"/>
    </row>
    <row r="658" spans="1:10">
      <c r="A658" s="2879"/>
      <c r="B658" s="2803">
        <v>0.34</v>
      </c>
      <c r="C658" s="2881" t="s">
        <v>13</v>
      </c>
      <c r="D658" s="3004" t="s">
        <v>14</v>
      </c>
      <c r="E658" s="3004"/>
      <c r="F658" s="3004"/>
      <c r="G658" s="3004"/>
      <c r="H658" s="2813">
        <f>'SSR-rates'!$I$58</f>
        <v>490</v>
      </c>
      <c r="I658" s="2803">
        <v>1</v>
      </c>
      <c r="J658" s="2832">
        <f>ROUND(B658*H658,2)</f>
        <v>166.6</v>
      </c>
    </row>
    <row r="659" spans="1:10">
      <c r="A659" s="2879"/>
      <c r="B659" s="2803">
        <v>2</v>
      </c>
      <c r="C659" s="2881" t="s">
        <v>13</v>
      </c>
      <c r="D659" s="3004" t="s">
        <v>188</v>
      </c>
      <c r="E659" s="3004"/>
      <c r="F659" s="3004"/>
      <c r="G659" s="3004"/>
      <c r="H659" s="2813">
        <f>'SSR-rates'!$I$92</f>
        <v>540</v>
      </c>
      <c r="I659" s="2803">
        <v>1</v>
      </c>
      <c r="J659" s="2832">
        <f>ROUND(B659*H659,2)</f>
        <v>1080</v>
      </c>
    </row>
    <row r="660" spans="1:10">
      <c r="A660" s="2879"/>
      <c r="B660" s="2803">
        <v>6.5</v>
      </c>
      <c r="C660" s="2881" t="s">
        <v>13</v>
      </c>
      <c r="D660" s="3004" t="s">
        <v>59</v>
      </c>
      <c r="E660" s="3004"/>
      <c r="F660" s="3004"/>
      <c r="G660" s="3004"/>
      <c r="H660" s="2813">
        <f>'SSR-rates'!$I$60</f>
        <v>490</v>
      </c>
      <c r="I660" s="2803">
        <v>1</v>
      </c>
      <c r="J660" s="2832">
        <f>ROUND(B660*H660,2)</f>
        <v>3185</v>
      </c>
    </row>
    <row r="661" spans="1:10" ht="15" customHeight="1">
      <c r="A661" s="2879"/>
      <c r="B661" s="2808">
        <f>'Input Data'!$D$23</f>
        <v>0</v>
      </c>
      <c r="C661" s="2794"/>
      <c r="D661" s="2787" t="s">
        <v>17</v>
      </c>
      <c r="F661" s="2790"/>
      <c r="G661" s="2790"/>
      <c r="H661" s="2807">
        <f>SUM(J660:J660)</f>
        <v>3185</v>
      </c>
      <c r="I661" s="2822"/>
      <c r="J661" s="2807">
        <f>B661*H661</f>
        <v>0</v>
      </c>
    </row>
    <row r="662" spans="1:10">
      <c r="A662" s="2879"/>
      <c r="B662" s="2803"/>
      <c r="C662" s="2882"/>
      <c r="D662" s="3005" t="s">
        <v>18</v>
      </c>
      <c r="E662" s="3005"/>
      <c r="F662" s="3005"/>
      <c r="G662" s="3005"/>
      <c r="H662" s="2803"/>
      <c r="I662" s="2833" t="s">
        <v>19</v>
      </c>
      <c r="J662" s="2834">
        <f>SUM(J658:J661)</f>
        <v>4431.6000000000004</v>
      </c>
    </row>
    <row r="663" spans="1:10">
      <c r="A663" s="2879"/>
      <c r="B663" s="2803"/>
      <c r="C663" s="2883"/>
      <c r="D663" s="3003" t="s">
        <v>189</v>
      </c>
      <c r="E663" s="3003"/>
      <c r="F663" s="3003"/>
      <c r="G663" s="3003"/>
      <c r="H663" s="2803"/>
      <c r="I663" s="2803"/>
      <c r="J663" s="2832"/>
    </row>
    <row r="664" spans="1:10">
      <c r="A664" s="2879"/>
      <c r="B664" s="2803">
        <v>1.05</v>
      </c>
      <c r="C664" s="2881" t="s">
        <v>66</v>
      </c>
      <c r="D664" s="3004" t="s">
        <v>190</v>
      </c>
      <c r="E664" s="3004"/>
      <c r="F664" s="3004"/>
      <c r="G664" s="3004"/>
      <c r="H664" s="2803">
        <f>lead!$J$37</f>
        <v>49000</v>
      </c>
      <c r="I664" s="2803">
        <v>1</v>
      </c>
      <c r="J664" s="2832">
        <f>ROUND(B664*H664,2)</f>
        <v>51450</v>
      </c>
    </row>
    <row r="665" spans="1:10">
      <c r="A665" s="2879"/>
      <c r="B665" s="2803">
        <v>6</v>
      </c>
      <c r="C665" s="2881" t="s">
        <v>191</v>
      </c>
      <c r="D665" s="3007" t="s">
        <v>196</v>
      </c>
      <c r="E665" s="3007"/>
      <c r="F665" s="3007"/>
      <c r="G665" s="3007"/>
      <c r="H665" s="2803">
        <f>'SSR-rates'!$I$93</f>
        <v>66</v>
      </c>
      <c r="I665" s="2803">
        <v>1</v>
      </c>
      <c r="J665" s="2832">
        <f>H665*B665</f>
        <v>396</v>
      </c>
    </row>
    <row r="666" spans="1:10">
      <c r="A666" s="2879"/>
      <c r="B666" s="2803"/>
      <c r="C666" s="2882"/>
      <c r="D666" s="3005" t="s">
        <v>18</v>
      </c>
      <c r="E666" s="3005"/>
      <c r="F666" s="3005"/>
      <c r="G666" s="3005"/>
      <c r="H666" s="2803"/>
      <c r="I666" s="2833" t="s">
        <v>25</v>
      </c>
      <c r="J666" s="2834">
        <f>SUM(J664:J665)</f>
        <v>51846</v>
      </c>
    </row>
    <row r="667" spans="1:10">
      <c r="A667" s="2879"/>
      <c r="B667" s="2813"/>
      <c r="C667" s="2884"/>
      <c r="D667" s="3003" t="s">
        <v>26</v>
      </c>
      <c r="E667" s="3003"/>
      <c r="F667" s="3003"/>
      <c r="G667" s="3003"/>
      <c r="H667" s="2813"/>
      <c r="I667" s="2895"/>
      <c r="J667" s="2837">
        <f>J662+J666</f>
        <v>56277.599999999999</v>
      </c>
    </row>
    <row r="668" spans="1:10">
      <c r="A668" s="2879"/>
      <c r="B668" s="2812">
        <f>'Input Data'!$D$25</f>
        <v>0</v>
      </c>
      <c r="C668" s="2884"/>
      <c r="D668" s="3003" t="s">
        <v>193</v>
      </c>
      <c r="E668" s="3003"/>
      <c r="F668" s="3003"/>
      <c r="G668" s="3003"/>
      <c r="H668" s="2813">
        <f>J667</f>
        <v>56277.599999999999</v>
      </c>
      <c r="I668" s="2835"/>
      <c r="J668" s="2836">
        <f>H668*B668</f>
        <v>0</v>
      </c>
    </row>
    <row r="669" spans="1:10">
      <c r="A669" s="2879"/>
      <c r="B669" s="2813"/>
      <c r="C669" s="2884"/>
      <c r="D669" s="3003"/>
      <c r="E669" s="3003"/>
      <c r="F669" s="3003"/>
      <c r="G669" s="3003"/>
      <c r="H669" s="2813"/>
      <c r="I669" s="2835"/>
      <c r="J669" s="2836"/>
    </row>
    <row r="670" spans="1:10">
      <c r="A670" s="2879"/>
      <c r="B670" s="2813">
        <v>10</v>
      </c>
      <c r="C670" s="2884" t="s">
        <v>29</v>
      </c>
      <c r="D670" s="3003" t="s">
        <v>30</v>
      </c>
      <c r="E670" s="3003"/>
      <c r="F670" s="3003"/>
      <c r="G670" s="3003"/>
      <c r="H670" s="2813">
        <f>J667+J668</f>
        <v>56277.599999999999</v>
      </c>
      <c r="I670" s="2835"/>
      <c r="J670" s="2836">
        <f>ROUND(B670*H670/100,2)</f>
        <v>5627.76</v>
      </c>
    </row>
    <row r="671" spans="1:10">
      <c r="A671" s="2879"/>
      <c r="B671" s="2813"/>
      <c r="C671" s="2884"/>
      <c r="D671" s="3003"/>
      <c r="E671" s="3003"/>
      <c r="F671" s="3003"/>
      <c r="G671" s="3003"/>
      <c r="H671" s="2813"/>
      <c r="I671" s="2835"/>
      <c r="J671" s="2837"/>
    </row>
    <row r="672" spans="1:10">
      <c r="A672" s="2879"/>
      <c r="B672" s="2814">
        <v>1</v>
      </c>
      <c r="C672" s="2884" t="s">
        <v>66</v>
      </c>
      <c r="D672" s="3005" t="str">
        <f>CONCATENATE("TOTAL Cost for ",B672,"  ",C672,"  =  (A+B+C+D)",)</f>
        <v>TOTAL Cost for 1  MT  =  (A+B+C+D)</v>
      </c>
      <c r="E672" s="3005"/>
      <c r="F672" s="3005"/>
      <c r="G672" s="3005"/>
      <c r="H672" s="2813"/>
      <c r="I672" s="2813"/>
      <c r="J672" s="2836">
        <f>SUM(J667:J670)</f>
        <v>61905.36</v>
      </c>
    </row>
    <row r="673" spans="1:12">
      <c r="A673" s="2879"/>
      <c r="B673" s="2813"/>
      <c r="C673" s="2813"/>
      <c r="D673" s="3007" t="str">
        <f>CONCATENATE("Rate per  1  ",C672)</f>
        <v>Rate per  1  MT</v>
      </c>
      <c r="E673" s="3007"/>
      <c r="F673" s="3007"/>
      <c r="G673" s="3007"/>
      <c r="H673" s="2813"/>
      <c r="I673" s="2813"/>
      <c r="J673" s="2832">
        <f>J672/B672</f>
        <v>61905.36</v>
      </c>
    </row>
    <row r="674" spans="1:12">
      <c r="A674" s="2879"/>
      <c r="B674" s="2803"/>
      <c r="C674" s="2803"/>
      <c r="D674" s="3029" t="str">
        <f>D673</f>
        <v>Rate per  1  MT</v>
      </c>
      <c r="E674" s="3029"/>
      <c r="F674" s="3029"/>
      <c r="G674" s="3029"/>
      <c r="H674" s="2813"/>
      <c r="I674" s="2813"/>
      <c r="J674" s="2834">
        <f>ROUND(J673,0)</f>
        <v>61905</v>
      </c>
      <c r="K674" s="2787">
        <v>57086</v>
      </c>
    </row>
    <row r="675" spans="1:12" ht="137.25" customHeight="1">
      <c r="A675" s="2816"/>
      <c r="B675" s="3028" t="s">
        <v>197</v>
      </c>
      <c r="C675" s="3028"/>
      <c r="D675" s="3028"/>
      <c r="E675" s="3028"/>
      <c r="F675" s="3028"/>
      <c r="G675" s="3028"/>
      <c r="H675" s="3028"/>
      <c r="I675" s="3028"/>
      <c r="J675" s="3028"/>
    </row>
    <row r="676" spans="1:12">
      <c r="A676" s="2879"/>
      <c r="B676" s="2798"/>
      <c r="C676" s="2798"/>
      <c r="D676" s="3029" t="s">
        <v>198</v>
      </c>
      <c r="E676" s="3029"/>
      <c r="F676" s="3029"/>
      <c r="G676" s="3029"/>
      <c r="H676" s="2798"/>
      <c r="I676" s="2798"/>
      <c r="J676" s="2831"/>
    </row>
    <row r="677" spans="1:12">
      <c r="A677" s="2879"/>
      <c r="B677" s="2798"/>
      <c r="C677" s="2798"/>
      <c r="D677" s="3030" t="s">
        <v>186</v>
      </c>
      <c r="E677" s="3030"/>
      <c r="F677" s="3030"/>
      <c r="G677" s="3030"/>
      <c r="H677" s="2798"/>
      <c r="I677" s="2798"/>
      <c r="J677" s="2831"/>
    </row>
    <row r="678" spans="1:12">
      <c r="A678" s="2879"/>
      <c r="B678" s="2798"/>
      <c r="C678" s="2803"/>
      <c r="D678" s="3030" t="s">
        <v>187</v>
      </c>
      <c r="E678" s="3030"/>
      <c r="F678" s="3030"/>
      <c r="G678" s="3030"/>
      <c r="H678" s="2798"/>
      <c r="I678" s="2798"/>
      <c r="J678" s="2831"/>
    </row>
    <row r="679" spans="1:12">
      <c r="A679" s="2879"/>
      <c r="B679" s="2798"/>
      <c r="C679" s="2804"/>
      <c r="D679" s="3003" t="s">
        <v>12</v>
      </c>
      <c r="E679" s="3003"/>
      <c r="F679" s="3003"/>
      <c r="G679" s="3003"/>
      <c r="H679" s="2798"/>
      <c r="I679" s="2798"/>
      <c r="J679" s="2831"/>
    </row>
    <row r="680" spans="1:12">
      <c r="A680" s="2879"/>
      <c r="B680" s="2803">
        <v>0.44</v>
      </c>
      <c r="C680" s="2881" t="s">
        <v>13</v>
      </c>
      <c r="D680" s="3004" t="s">
        <v>14</v>
      </c>
      <c r="E680" s="3004"/>
      <c r="F680" s="3004"/>
      <c r="G680" s="3004"/>
      <c r="H680" s="2813">
        <f>'SSR-rates'!$I$58</f>
        <v>490</v>
      </c>
      <c r="I680" s="2803">
        <v>1</v>
      </c>
      <c r="J680" s="2832">
        <f>ROUND(B680*H680,2)</f>
        <v>215.6</v>
      </c>
      <c r="L680" s="2787">
        <v>0.44</v>
      </c>
    </row>
    <row r="681" spans="1:12">
      <c r="A681" s="2879"/>
      <c r="B681" s="2803">
        <v>3</v>
      </c>
      <c r="C681" s="2881" t="s">
        <v>13</v>
      </c>
      <c r="D681" s="3004" t="s">
        <v>188</v>
      </c>
      <c r="E681" s="3004"/>
      <c r="F681" s="3004"/>
      <c r="G681" s="3004"/>
      <c r="H681" s="2813">
        <f>'SSR-rates'!$I$92</f>
        <v>540</v>
      </c>
      <c r="I681" s="2803">
        <v>1</v>
      </c>
      <c r="J681" s="2832">
        <f>ROUND(B681*H681,2)</f>
        <v>1620</v>
      </c>
      <c r="L681" s="2787">
        <v>3</v>
      </c>
    </row>
    <row r="682" spans="1:12">
      <c r="A682" s="2879"/>
      <c r="B682" s="2803">
        <v>8</v>
      </c>
      <c r="C682" s="2881" t="s">
        <v>13</v>
      </c>
      <c r="D682" s="3004" t="s">
        <v>59</v>
      </c>
      <c r="E682" s="3004"/>
      <c r="F682" s="3004"/>
      <c r="G682" s="3004"/>
      <c r="H682" s="2813">
        <f>'SSR-rates'!$I$60</f>
        <v>490</v>
      </c>
      <c r="I682" s="2803">
        <v>1</v>
      </c>
      <c r="J682" s="2832">
        <f>ROUND(B682*H682,2)</f>
        <v>3920</v>
      </c>
      <c r="L682" s="2787">
        <v>8</v>
      </c>
    </row>
    <row r="683" spans="1:12" ht="15" customHeight="1">
      <c r="A683" s="2879"/>
      <c r="B683" s="2808">
        <f>'Input Data'!$D$23</f>
        <v>0</v>
      </c>
      <c r="C683" s="2794"/>
      <c r="D683" s="2787" t="s">
        <v>17</v>
      </c>
      <c r="F683" s="2790"/>
      <c r="G683" s="2790"/>
      <c r="H683" s="2807">
        <f>SUM(J682:J682)</f>
        <v>3920</v>
      </c>
      <c r="I683" s="2822"/>
      <c r="J683" s="2807">
        <f>B683*H683</f>
        <v>0</v>
      </c>
    </row>
    <row r="684" spans="1:12">
      <c r="A684" s="2879"/>
      <c r="B684" s="2803"/>
      <c r="C684" s="2882"/>
      <c r="D684" s="3005" t="s">
        <v>18</v>
      </c>
      <c r="E684" s="3005"/>
      <c r="F684" s="3005"/>
      <c r="G684" s="3005"/>
      <c r="H684" s="2803"/>
      <c r="I684" s="2833" t="s">
        <v>19</v>
      </c>
      <c r="J684" s="2834">
        <f>SUM(J680:J683)</f>
        <v>5755.6</v>
      </c>
    </row>
    <row r="685" spans="1:12">
      <c r="A685" s="2879"/>
      <c r="B685" s="2803"/>
      <c r="C685" s="2883"/>
      <c r="D685" s="3003" t="s">
        <v>189</v>
      </c>
      <c r="E685" s="3003"/>
      <c r="F685" s="3003"/>
      <c r="G685" s="3003"/>
      <c r="H685" s="2803"/>
      <c r="I685" s="2803"/>
      <c r="J685" s="2832"/>
    </row>
    <row r="686" spans="1:12" ht="42" customHeight="1">
      <c r="A686" s="2879"/>
      <c r="B686" s="2803">
        <v>1.05</v>
      </c>
      <c r="C686" s="2881" t="s">
        <v>66</v>
      </c>
      <c r="D686" s="3031" t="s">
        <v>199</v>
      </c>
      <c r="E686" s="3032"/>
      <c r="F686" s="3032"/>
      <c r="G686" s="3033"/>
      <c r="H686" s="2803">
        <f>lead!$J$37</f>
        <v>49000</v>
      </c>
      <c r="I686" s="2803">
        <v>1</v>
      </c>
      <c r="J686" s="2832">
        <f>ROUND(B686*H686,2)</f>
        <v>51450</v>
      </c>
    </row>
    <row r="687" spans="1:12">
      <c r="A687" s="2879"/>
      <c r="B687" s="2803">
        <v>8</v>
      </c>
      <c r="C687" s="2881" t="s">
        <v>191</v>
      </c>
      <c r="D687" s="3007" t="s">
        <v>196</v>
      </c>
      <c r="E687" s="3007"/>
      <c r="F687" s="3007"/>
      <c r="G687" s="3007"/>
      <c r="H687" s="2803">
        <f>'SSR-rates'!$I$93</f>
        <v>66</v>
      </c>
      <c r="I687" s="2803">
        <v>1</v>
      </c>
      <c r="J687" s="2832">
        <f>H687*B687</f>
        <v>528</v>
      </c>
    </row>
    <row r="688" spans="1:12">
      <c r="A688" s="2879"/>
      <c r="B688" s="2803"/>
      <c r="C688" s="2882"/>
      <c r="D688" s="3005" t="s">
        <v>18</v>
      </c>
      <c r="E688" s="3005"/>
      <c r="F688" s="3005"/>
      <c r="G688" s="3005"/>
      <c r="H688" s="2803"/>
      <c r="I688" s="2833" t="s">
        <v>25</v>
      </c>
      <c r="J688" s="2834">
        <f>SUM(J686:J687)</f>
        <v>51978</v>
      </c>
    </row>
    <row r="689" spans="1:11">
      <c r="A689" s="2879"/>
      <c r="B689" s="2813"/>
      <c r="C689" s="2884"/>
      <c r="D689" s="3003" t="s">
        <v>26</v>
      </c>
      <c r="E689" s="3003"/>
      <c r="F689" s="3003"/>
      <c r="G689" s="3003"/>
      <c r="H689" s="2813"/>
      <c r="I689" s="2895"/>
      <c r="J689" s="2837">
        <f>J684+J688</f>
        <v>57733.599999999999</v>
      </c>
    </row>
    <row r="690" spans="1:11">
      <c r="A690" s="2879"/>
      <c r="B690" s="2812">
        <f>'Input Data'!$D$25</f>
        <v>0</v>
      </c>
      <c r="C690" s="2884"/>
      <c r="D690" s="3003" t="s">
        <v>193</v>
      </c>
      <c r="E690" s="3003"/>
      <c r="F690" s="3003"/>
      <c r="G690" s="3003"/>
      <c r="H690" s="2813">
        <f>J689</f>
        <v>57733.599999999999</v>
      </c>
      <c r="I690" s="2835"/>
      <c r="J690" s="2836">
        <f>H690*B690</f>
        <v>0</v>
      </c>
    </row>
    <row r="691" spans="1:11">
      <c r="A691" s="2879"/>
      <c r="B691" s="2813"/>
      <c r="C691" s="2884"/>
      <c r="D691" s="3003"/>
      <c r="E691" s="3003"/>
      <c r="F691" s="3003"/>
      <c r="G691" s="3003"/>
      <c r="H691" s="2813"/>
      <c r="I691" s="2835"/>
      <c r="J691" s="2836"/>
    </row>
    <row r="692" spans="1:11">
      <c r="A692" s="2879"/>
      <c r="B692" s="2813">
        <v>10</v>
      </c>
      <c r="C692" s="2884" t="s">
        <v>29</v>
      </c>
      <c r="D692" s="3003" t="s">
        <v>30</v>
      </c>
      <c r="E692" s="3003"/>
      <c r="F692" s="3003"/>
      <c r="G692" s="3003"/>
      <c r="H692" s="2813">
        <f>J689+J690</f>
        <v>57733.599999999999</v>
      </c>
      <c r="I692" s="2835"/>
      <c r="J692" s="2836">
        <f>ROUND(B692*H692/100,2)</f>
        <v>5773.36</v>
      </c>
    </row>
    <row r="693" spans="1:11">
      <c r="A693" s="2879"/>
      <c r="B693" s="2813"/>
      <c r="C693" s="2884"/>
      <c r="D693" s="3003"/>
      <c r="E693" s="3003"/>
      <c r="F693" s="3003"/>
      <c r="G693" s="3003"/>
      <c r="H693" s="2813"/>
      <c r="I693" s="2835"/>
      <c r="J693" s="2837"/>
    </row>
    <row r="694" spans="1:11">
      <c r="A694" s="2879"/>
      <c r="B694" s="2814">
        <v>1</v>
      </c>
      <c r="C694" s="2884" t="s">
        <v>66</v>
      </c>
      <c r="D694" s="3005" t="str">
        <f>CONCATENATE("TOTAL Cost for ",B694,"  ",C694,"  =  (A+B+C+D)",)</f>
        <v>TOTAL Cost for 1  MT  =  (A+B+C+D)</v>
      </c>
      <c r="E694" s="3005"/>
      <c r="F694" s="3005"/>
      <c r="G694" s="3005"/>
      <c r="H694" s="2813"/>
      <c r="I694" s="2813"/>
      <c r="J694" s="2836">
        <f>SUM(J689:J692)</f>
        <v>63506.96</v>
      </c>
    </row>
    <row r="695" spans="1:11">
      <c r="A695" s="2879"/>
      <c r="B695" s="2813"/>
      <c r="C695" s="2813"/>
      <c r="D695" s="3007" t="str">
        <f>CONCATENATE("Rate per  1  ",C694)</f>
        <v>Rate per  1  MT</v>
      </c>
      <c r="E695" s="3007"/>
      <c r="F695" s="3007"/>
      <c r="G695" s="3007"/>
      <c r="H695" s="2813"/>
      <c r="I695" s="2813"/>
      <c r="J695" s="2832">
        <f>J694/B694</f>
        <v>63506.96</v>
      </c>
    </row>
    <row r="696" spans="1:11">
      <c r="A696" s="2879"/>
      <c r="B696" s="2803"/>
      <c r="C696" s="2803"/>
      <c r="D696" s="3029" t="str">
        <f>D695</f>
        <v>Rate per  1  MT</v>
      </c>
      <c r="E696" s="3029"/>
      <c r="F696" s="3029"/>
      <c r="G696" s="3029"/>
      <c r="H696" s="2813"/>
      <c r="I696" s="2813"/>
      <c r="J696" s="2834">
        <f>ROUND(J695,0)</f>
        <v>63507</v>
      </c>
      <c r="K696" s="2787">
        <v>58243</v>
      </c>
    </row>
    <row r="697" spans="1:11">
      <c r="A697" s="2879"/>
      <c r="B697" s="2886"/>
      <c r="C697" s="2887"/>
      <c r="D697" s="2888"/>
      <c r="E697" s="2888"/>
      <c r="F697" s="2888"/>
      <c r="G697" s="2888"/>
      <c r="H697" s="2889"/>
      <c r="I697" s="2889"/>
      <c r="J697" s="2896"/>
    </row>
    <row r="698" spans="1:11" s="2788" customFormat="1" ht="108" customHeight="1">
      <c r="A698" s="2890"/>
      <c r="B698" s="3034" t="s">
        <v>200</v>
      </c>
      <c r="C698" s="3035"/>
      <c r="D698" s="3035"/>
      <c r="E698" s="3035"/>
      <c r="F698" s="3035"/>
      <c r="G698" s="3035"/>
      <c r="H698" s="3035"/>
      <c r="I698" s="3035"/>
      <c r="J698" s="3036"/>
    </row>
    <row r="699" spans="1:11" s="2788" customFormat="1" ht="15.75">
      <c r="A699" s="2891"/>
      <c r="B699" s="2892"/>
      <c r="C699" s="2892"/>
      <c r="D699" s="3037" t="s">
        <v>201</v>
      </c>
      <c r="E699" s="3037"/>
      <c r="F699" s="3037"/>
      <c r="G699" s="2893"/>
      <c r="I699" s="2897" t="s">
        <v>202</v>
      </c>
      <c r="J699" s="2898">
        <v>257</v>
      </c>
    </row>
    <row r="700" spans="1:11" s="2788" customFormat="1" ht="15.75">
      <c r="A700" s="2891"/>
      <c r="B700" s="2892"/>
      <c r="C700" s="2892"/>
      <c r="D700" s="3038" t="s">
        <v>203</v>
      </c>
      <c r="E700" s="3038"/>
      <c r="F700" s="3038"/>
      <c r="G700" s="2894"/>
      <c r="I700" s="2892"/>
      <c r="J700" s="2899"/>
    </row>
    <row r="701" spans="1:11" ht="123" customHeight="1">
      <c r="A701" s="2865">
        <v>17</v>
      </c>
      <c r="B701" s="3008" t="s">
        <v>204</v>
      </c>
      <c r="C701" s="3008"/>
      <c r="D701" s="3008"/>
      <c r="E701" s="3008"/>
      <c r="F701" s="3008"/>
      <c r="G701" s="3008"/>
      <c r="H701" s="3008"/>
      <c r="I701" s="3008"/>
      <c r="J701" s="3008"/>
    </row>
    <row r="702" spans="1:11">
      <c r="B702" s="3009" t="s">
        <v>33</v>
      </c>
      <c r="C702" s="3009"/>
      <c r="D702" s="2818"/>
      <c r="E702" s="2818"/>
      <c r="F702" s="2818"/>
      <c r="G702" s="2818"/>
      <c r="H702" s="2820"/>
      <c r="I702" s="2820"/>
      <c r="J702" s="2820"/>
    </row>
    <row r="703" spans="1:11" ht="16.5" customHeight="1">
      <c r="B703" s="3009" t="s">
        <v>205</v>
      </c>
      <c r="C703" s="3009"/>
      <c r="D703" s="3009"/>
      <c r="E703" s="3009"/>
      <c r="F703" s="2819" t="s">
        <v>206</v>
      </c>
      <c r="G703" s="2818"/>
      <c r="H703" s="2820"/>
      <c r="I703" s="2820"/>
      <c r="J703" s="2820"/>
    </row>
    <row r="704" spans="1:11" ht="16.5" customHeight="1">
      <c r="B704" s="2821" t="s">
        <v>36</v>
      </c>
      <c r="C704" s="2819" t="s">
        <v>37</v>
      </c>
      <c r="D704" s="2818"/>
      <c r="E704" s="2818"/>
      <c r="F704" s="2818"/>
      <c r="G704" s="2818"/>
      <c r="H704" s="2820"/>
      <c r="I704" s="2820"/>
      <c r="J704" s="2820"/>
    </row>
    <row r="705" spans="1:15" ht="18.75" customHeight="1">
      <c r="B705" s="2811">
        <v>0.04</v>
      </c>
      <c r="C705" s="2794" t="s">
        <v>38</v>
      </c>
      <c r="D705" s="2790" t="s">
        <v>14</v>
      </c>
      <c r="F705" s="2790"/>
      <c r="G705" s="2790"/>
      <c r="H705" s="2807">
        <f>'SSR-rates'!$I$58</f>
        <v>490</v>
      </c>
      <c r="I705" s="2822" t="s">
        <v>38</v>
      </c>
      <c r="J705" s="2807">
        <f>ROUND(B705*H705,2)</f>
        <v>19.600000000000001</v>
      </c>
    </row>
    <row r="706" spans="1:15" ht="18.75" customHeight="1">
      <c r="B706" s="2811">
        <v>1</v>
      </c>
      <c r="C706" s="2794" t="s">
        <v>38</v>
      </c>
      <c r="D706" s="2790" t="s">
        <v>16</v>
      </c>
      <c r="F706" s="2790"/>
      <c r="G706" s="2790"/>
      <c r="H706" s="2807">
        <f>'SSR-rates'!$I$60</f>
        <v>490</v>
      </c>
      <c r="I706" s="2822" t="s">
        <v>38</v>
      </c>
      <c r="J706" s="2807">
        <f>ROUND(B706*H706,2)</f>
        <v>490</v>
      </c>
    </row>
    <row r="707" spans="1:15">
      <c r="B707" s="2808">
        <f>'Input Data'!$D$23</f>
        <v>0</v>
      </c>
      <c r="C707" s="2794"/>
      <c r="D707" s="2787" t="s">
        <v>17</v>
      </c>
      <c r="F707" s="2790"/>
      <c r="G707" s="2790"/>
      <c r="H707" s="2807"/>
      <c r="I707" s="2822"/>
      <c r="J707" s="2807">
        <f>(J705+J706)*B707/100</f>
        <v>0</v>
      </c>
    </row>
    <row r="708" spans="1:15">
      <c r="B708" s="2811"/>
      <c r="C708" s="2794"/>
      <c r="D708" s="2790"/>
      <c r="E708" s="2790"/>
      <c r="F708" s="2790"/>
      <c r="G708" s="2790"/>
      <c r="H708" s="2807"/>
      <c r="I708" s="2822"/>
      <c r="J708" s="2807">
        <f>SUM(J705:J707)</f>
        <v>509.6</v>
      </c>
      <c r="O708" s="2787">
        <f>160*5</f>
        <v>800</v>
      </c>
    </row>
    <row r="709" spans="1:15">
      <c r="B709" s="2821" t="s">
        <v>39</v>
      </c>
      <c r="C709" s="2819" t="s">
        <v>40</v>
      </c>
      <c r="F709" s="2790"/>
      <c r="G709" s="2790"/>
      <c r="H709" s="2790"/>
      <c r="I709" s="2790"/>
      <c r="J709" s="2787"/>
    </row>
    <row r="710" spans="1:15">
      <c r="A710" s="2819"/>
      <c r="B710" s="2823">
        <v>100</v>
      </c>
      <c r="C710" s="2824" t="s">
        <v>31</v>
      </c>
      <c r="D710" s="3013" t="s">
        <v>43</v>
      </c>
      <c r="E710" s="3013"/>
      <c r="F710" s="3013"/>
      <c r="G710" s="3013"/>
      <c r="H710" s="2825">
        <v>13</v>
      </c>
      <c r="I710" s="2825" t="s">
        <v>31</v>
      </c>
      <c r="J710" s="2825">
        <f>ROUND(B710*H710,2)</f>
        <v>1300</v>
      </c>
    </row>
    <row r="711" spans="1:15">
      <c r="A711" s="2819"/>
      <c r="B711" s="2811">
        <v>800</v>
      </c>
      <c r="C711" s="2794" t="s">
        <v>207</v>
      </c>
      <c r="D711" s="2790" t="s">
        <v>208</v>
      </c>
      <c r="F711" s="2790"/>
      <c r="G711" s="2790"/>
      <c r="H711" s="2807">
        <f>'SSR-rates'!I89</f>
        <v>1142.5999999999999</v>
      </c>
      <c r="I711" s="2807" t="s">
        <v>207</v>
      </c>
      <c r="J711" s="2807">
        <f>ROUND(B711*H711,2)</f>
        <v>914080</v>
      </c>
      <c r="M711" s="2787" t="s">
        <v>209</v>
      </c>
    </row>
    <row r="712" spans="1:15">
      <c r="A712" s="2819"/>
      <c r="B712" s="2811"/>
      <c r="C712" s="2794"/>
      <c r="D712" s="3013" t="s">
        <v>210</v>
      </c>
      <c r="E712" s="3013"/>
      <c r="F712" s="3013"/>
      <c r="G712" s="3013"/>
      <c r="H712" s="2825"/>
      <c r="I712" s="2807"/>
      <c r="J712" s="2807">
        <f>ROUND(J711*10/100,2)</f>
        <v>91408</v>
      </c>
    </row>
    <row r="713" spans="1:15">
      <c r="B713" s="2823">
        <v>0.5</v>
      </c>
      <c r="C713" s="2824" t="s">
        <v>41</v>
      </c>
      <c r="D713" s="3013" t="s">
        <v>211</v>
      </c>
      <c r="E713" s="3013"/>
      <c r="F713" s="3013"/>
      <c r="G713" s="3013"/>
      <c r="H713" s="2825">
        <f>'SSR-rates'!$I$62</f>
        <v>2956.9</v>
      </c>
      <c r="I713" s="2825" t="s">
        <v>31</v>
      </c>
      <c r="J713" s="2825">
        <f>ROUND(B713*H713,2)</f>
        <v>1478.45</v>
      </c>
    </row>
    <row r="714" spans="1:15" ht="18.75" customHeight="1">
      <c r="B714" s="2823">
        <v>1</v>
      </c>
      <c r="C714" s="2824" t="s">
        <v>41</v>
      </c>
      <c r="D714" s="3013" t="s">
        <v>212</v>
      </c>
      <c r="E714" s="3013"/>
      <c r="F714" s="3013"/>
      <c r="G714" s="3013"/>
      <c r="H714" s="2825">
        <f>'SSR-rates'!$I$63</f>
        <v>3602</v>
      </c>
      <c r="I714" s="2825" t="s">
        <v>41</v>
      </c>
      <c r="J714" s="2825">
        <f>ROUND(B714*H714,2)</f>
        <v>3602</v>
      </c>
    </row>
    <row r="715" spans="1:15" ht="24.75" customHeight="1">
      <c r="B715" s="2811">
        <v>4</v>
      </c>
      <c r="C715" s="2794" t="s">
        <v>41</v>
      </c>
      <c r="D715" s="2790" t="s">
        <v>213</v>
      </c>
      <c r="F715" s="2790"/>
      <c r="G715" s="2790"/>
      <c r="H715" s="2807">
        <f>'SSR-rates'!$I$69</f>
        <v>699</v>
      </c>
      <c r="I715" s="2807" t="s">
        <v>41</v>
      </c>
      <c r="J715" s="2807">
        <f>ROUND(B715*H715,2)</f>
        <v>2796</v>
      </c>
    </row>
    <row r="716" spans="1:15" ht="17.25" customHeight="1">
      <c r="B716" s="2811">
        <v>1</v>
      </c>
      <c r="C716" s="2794" t="s">
        <v>41</v>
      </c>
      <c r="D716" s="2790" t="s">
        <v>214</v>
      </c>
      <c r="F716" s="2790"/>
      <c r="G716" s="2790"/>
      <c r="H716" s="2807">
        <f>'SSR-rates'!$I$67</f>
        <v>3292.4</v>
      </c>
      <c r="I716" s="2807" t="s">
        <v>41</v>
      </c>
      <c r="J716" s="2807">
        <f>ROUND(B716*H716,2)</f>
        <v>3292.4</v>
      </c>
    </row>
    <row r="717" spans="1:15" ht="16.5" customHeight="1">
      <c r="B717" s="2811"/>
      <c r="C717" s="2794"/>
      <c r="D717" s="2790"/>
      <c r="F717" s="2790"/>
      <c r="G717" s="2790"/>
      <c r="H717" s="2807"/>
      <c r="I717" s="2807"/>
      <c r="J717" s="2807">
        <f>SUM(J710:J716)</f>
        <v>1017956.85</v>
      </c>
    </row>
    <row r="718" spans="1:15">
      <c r="B718" s="2821" t="s">
        <v>27</v>
      </c>
      <c r="C718" s="2819" t="s">
        <v>44</v>
      </c>
      <c r="J718" s="2787"/>
    </row>
    <row r="719" spans="1:15">
      <c r="B719" s="2900">
        <f>'Input Data'!$D$24</f>
        <v>0.13614999999999999</v>
      </c>
      <c r="C719" s="2819" t="str">
        <f>"Over head charges "&amp;'Input Data'!$D$24*100&amp;"%  on (A) + (B)"</f>
        <v>Over head charges 13.615%  on (A) + (B)</v>
      </c>
      <c r="H719" s="2793">
        <f>J717+J708</f>
        <v>1018466.45</v>
      </c>
      <c r="J719" s="2807">
        <f>H719*B719</f>
        <v>138664.20716749999</v>
      </c>
    </row>
    <row r="720" spans="1:15">
      <c r="B720" s="2821" t="s">
        <v>45</v>
      </c>
      <c r="C720" s="2819" t="s">
        <v>46</v>
      </c>
      <c r="F720" s="2790"/>
      <c r="G720" s="2790"/>
      <c r="H720" s="2790"/>
      <c r="I720" s="2790"/>
      <c r="J720" s="2847">
        <f>J708+J717+J719</f>
        <v>1157130.6571674999</v>
      </c>
    </row>
    <row r="721" spans="1:11">
      <c r="B721" s="2821" t="s">
        <v>47</v>
      </c>
      <c r="C721" s="2819" t="s">
        <v>48</v>
      </c>
      <c r="D721" s="2790"/>
      <c r="F721" s="2790"/>
      <c r="G721" s="2790"/>
      <c r="H721" s="2790"/>
      <c r="I721" s="2790"/>
      <c r="J721" s="2847">
        <f>J720*10/100</f>
        <v>115713.06571674999</v>
      </c>
    </row>
    <row r="722" spans="1:11">
      <c r="B722" s="2790"/>
      <c r="C722" s="2819" t="s">
        <v>215</v>
      </c>
      <c r="D722" s="2790"/>
      <c r="F722" s="2790"/>
      <c r="G722" s="2790"/>
      <c r="H722" s="2790"/>
      <c r="I722" s="2790"/>
      <c r="J722" s="2847">
        <f>SUM(J720:J721)</f>
        <v>1272843.7228842499</v>
      </c>
    </row>
    <row r="723" spans="1:11">
      <c r="B723" s="2790"/>
      <c r="C723" s="2790" t="s">
        <v>216</v>
      </c>
      <c r="D723" s="2790"/>
      <c r="F723" s="2790"/>
      <c r="G723" s="2790"/>
      <c r="H723" s="2790"/>
      <c r="I723" s="2790"/>
      <c r="J723" s="2807">
        <f>J722/100</f>
        <v>12728.437228842498</v>
      </c>
    </row>
    <row r="724" spans="1:11">
      <c r="B724" s="2794"/>
      <c r="C724" s="3039" t="s">
        <v>217</v>
      </c>
      <c r="D724" s="3040"/>
      <c r="E724" s="3040"/>
      <c r="F724" s="3041"/>
      <c r="G724" s="2793"/>
      <c r="H724" s="2811"/>
      <c r="I724" s="2793"/>
      <c r="J724" s="2848">
        <f>ROUND(J723,0)</f>
        <v>12728</v>
      </c>
      <c r="K724" s="2787">
        <v>204</v>
      </c>
    </row>
    <row r="725" spans="1:11">
      <c r="B725" s="2794"/>
      <c r="C725" s="2793"/>
      <c r="D725" s="2866"/>
      <c r="F725" s="2793"/>
      <c r="G725" s="2793"/>
      <c r="H725" s="2811"/>
      <c r="I725" s="2793"/>
      <c r="J725" s="2876" t="s">
        <v>53</v>
      </c>
    </row>
    <row r="726" spans="1:11" ht="125.25" customHeight="1">
      <c r="A726" s="2816">
        <v>19</v>
      </c>
      <c r="B726" s="3008" t="s">
        <v>218</v>
      </c>
      <c r="C726" s="3008"/>
      <c r="D726" s="3008"/>
      <c r="E726" s="3008"/>
      <c r="F726" s="3008"/>
      <c r="G726" s="3008"/>
      <c r="H726" s="3008"/>
      <c r="I726" s="3008"/>
      <c r="J726" s="3008"/>
    </row>
    <row r="727" spans="1:11">
      <c r="D727" s="2793" t="s">
        <v>219</v>
      </c>
      <c r="F727" s="2819" t="s">
        <v>220</v>
      </c>
      <c r="J727" s="2787"/>
    </row>
    <row r="728" spans="1:11">
      <c r="D728" s="2793" t="s">
        <v>221</v>
      </c>
      <c r="J728" s="2787"/>
    </row>
    <row r="729" spans="1:11">
      <c r="B729" s="2821" t="s">
        <v>36</v>
      </c>
      <c r="C729" s="2828" t="s">
        <v>37</v>
      </c>
      <c r="J729" s="2787"/>
    </row>
    <row r="730" spans="1:11">
      <c r="B730" s="2811">
        <v>0.04</v>
      </c>
      <c r="C730" s="2790" t="s">
        <v>57</v>
      </c>
      <c r="D730" s="2793" t="s">
        <v>156</v>
      </c>
      <c r="H730" s="2807">
        <f>'SSR-rates'!I$58</f>
        <v>490</v>
      </c>
      <c r="I730" s="2822" t="s">
        <v>38</v>
      </c>
      <c r="J730" s="2811">
        <f>ROUND(B730*H730,2)</f>
        <v>19.600000000000001</v>
      </c>
    </row>
    <row r="731" spans="1:11">
      <c r="B731" s="2811">
        <v>0</v>
      </c>
      <c r="C731" s="2790" t="s">
        <v>57</v>
      </c>
      <c r="D731" s="2793" t="s">
        <v>58</v>
      </c>
      <c r="H731" s="2807">
        <f>'SSR-rates'!I$58</f>
        <v>490</v>
      </c>
      <c r="I731" s="2822" t="s">
        <v>38</v>
      </c>
      <c r="J731" s="2811">
        <f>ROUND(B731*H731,2)</f>
        <v>0</v>
      </c>
    </row>
    <row r="732" spans="1:11">
      <c r="B732" s="2811">
        <v>1</v>
      </c>
      <c r="C732" s="2790" t="s">
        <v>57</v>
      </c>
      <c r="D732" s="2793" t="s">
        <v>59</v>
      </c>
      <c r="H732" s="2807">
        <f>'SSR-rates'!I$60</f>
        <v>490</v>
      </c>
      <c r="I732" s="2822" t="s">
        <v>38</v>
      </c>
      <c r="J732" s="2811">
        <f>ROUND(B732*H732,2)</f>
        <v>490</v>
      </c>
    </row>
    <row r="733" spans="1:11">
      <c r="A733" s="2819"/>
      <c r="B733" s="2808">
        <v>0</v>
      </c>
      <c r="C733" s="2794"/>
      <c r="D733" s="2787" t="s">
        <v>17</v>
      </c>
      <c r="F733" s="2790"/>
      <c r="G733" s="2790"/>
      <c r="H733" s="2807">
        <f>SUM(J730:J732)</f>
        <v>509.6</v>
      </c>
      <c r="I733" s="2822"/>
      <c r="J733" s="2807">
        <f>B733*H733</f>
        <v>0</v>
      </c>
    </row>
    <row r="734" spans="1:11">
      <c r="B734" s="2811"/>
      <c r="C734" s="2790"/>
      <c r="D734" s="2793" t="s">
        <v>60</v>
      </c>
      <c r="H734" s="2807"/>
      <c r="I734" s="2807"/>
      <c r="J734" s="2811">
        <f>SUM(J730:J733)</f>
        <v>509.6</v>
      </c>
    </row>
    <row r="735" spans="1:11">
      <c r="B735" s="2821" t="s">
        <v>39</v>
      </c>
      <c r="C735" s="2828" t="s">
        <v>61</v>
      </c>
      <c r="H735" s="2807"/>
      <c r="I735" s="2807"/>
      <c r="J735" s="2807"/>
    </row>
    <row r="736" spans="1:11">
      <c r="B736" s="2811">
        <v>0.28000000000000003</v>
      </c>
      <c r="C736" s="2790" t="s">
        <v>31</v>
      </c>
      <c r="D736" s="2787" t="s">
        <v>222</v>
      </c>
      <c r="H736" s="2807">
        <f>J674</f>
        <v>61905</v>
      </c>
      <c r="I736" s="2807" t="s">
        <v>31</v>
      </c>
      <c r="J736" s="2807">
        <f>ROUND(B736*H736,2)</f>
        <v>17333.400000000001</v>
      </c>
    </row>
    <row r="737" spans="1:10">
      <c r="B737" s="2811">
        <v>0.32</v>
      </c>
      <c r="C737" s="2790" t="s">
        <v>31</v>
      </c>
      <c r="D737" s="2787" t="s">
        <v>223</v>
      </c>
      <c r="H737" s="2807">
        <v>991</v>
      </c>
      <c r="I737" s="2807" t="s">
        <v>31</v>
      </c>
      <c r="J737" s="2807">
        <f>ROUND(B737*H737,2)</f>
        <v>317.12</v>
      </c>
    </row>
    <row r="738" spans="1:10">
      <c r="B738" s="2793"/>
      <c r="D738" s="2793" t="s">
        <v>60</v>
      </c>
      <c r="H738" s="2807"/>
      <c r="I738" s="2807"/>
      <c r="J738" s="2807">
        <f>SUM(J736:J737)</f>
        <v>17650.52</v>
      </c>
    </row>
    <row r="739" spans="1:10">
      <c r="B739" s="2821" t="s">
        <v>27</v>
      </c>
      <c r="C739" s="2828" t="s">
        <v>40</v>
      </c>
      <c r="H739" s="2807"/>
      <c r="I739" s="2807"/>
      <c r="J739" s="2807"/>
    </row>
    <row r="740" spans="1:10">
      <c r="B740" s="2811">
        <v>0</v>
      </c>
      <c r="C740" s="2790" t="s">
        <v>41</v>
      </c>
      <c r="D740" s="2787" t="s">
        <v>68</v>
      </c>
      <c r="H740" s="2807">
        <f>'SSR-rates'!$I$88</f>
        <v>627.6</v>
      </c>
      <c r="I740" s="2807" t="s">
        <v>41</v>
      </c>
      <c r="J740" s="2807">
        <f>ROUND(B740*H740,2)</f>
        <v>0</v>
      </c>
    </row>
    <row r="741" spans="1:10">
      <c r="B741" s="2811">
        <v>0</v>
      </c>
      <c r="C741" s="2790" t="s">
        <v>41</v>
      </c>
      <c r="D741" s="2787" t="s">
        <v>224</v>
      </c>
      <c r="H741" s="2807">
        <f>'SSR-rates'!$I$87</f>
        <v>1237.4000000000001</v>
      </c>
      <c r="I741" s="2807" t="s">
        <v>41</v>
      </c>
      <c r="J741" s="2807">
        <f>ROUND(B741*H741,2)</f>
        <v>0</v>
      </c>
    </row>
    <row r="742" spans="1:10">
      <c r="B742" s="2811"/>
      <c r="C742" s="2794"/>
      <c r="D742" s="2793" t="s">
        <v>60</v>
      </c>
      <c r="H742" s="2807"/>
      <c r="I742" s="2807"/>
      <c r="J742" s="2807">
        <f>SUM(J740:J741)</f>
        <v>0</v>
      </c>
    </row>
    <row r="743" spans="1:10">
      <c r="B743" s="2821" t="s">
        <v>45</v>
      </c>
      <c r="C743" s="2828" t="s">
        <v>71</v>
      </c>
      <c r="H743" s="2807"/>
      <c r="I743" s="2807"/>
      <c r="J743" s="2807"/>
    </row>
    <row r="744" spans="1:10">
      <c r="B744" s="2793">
        <v>2</v>
      </c>
      <c r="C744" s="2790" t="s">
        <v>29</v>
      </c>
      <c r="D744" s="2787" t="s">
        <v>181</v>
      </c>
      <c r="H744" s="2807">
        <f>J734+J738+J742</f>
        <v>18160.12</v>
      </c>
      <c r="I744" s="2822" t="s">
        <v>73</v>
      </c>
      <c r="J744" s="2807">
        <f>ROUND(B744*H744/100,2)</f>
        <v>363.2</v>
      </c>
    </row>
    <row r="745" spans="1:10">
      <c r="A745" s="2819"/>
      <c r="B745" s="2821" t="s">
        <v>47</v>
      </c>
      <c r="C745" s="2819" t="s">
        <v>74</v>
      </c>
      <c r="F745" s="2790"/>
      <c r="G745" s="2790"/>
      <c r="H745" s="2790"/>
      <c r="I745" s="2790"/>
      <c r="J745" s="2847"/>
    </row>
    <row r="746" spans="1:10" ht="27" customHeight="1">
      <c r="A746" s="2819"/>
      <c r="B746" s="2812">
        <f>'Input Data'!$D$25</f>
        <v>0</v>
      </c>
      <c r="C746" s="3017">
        <v>0</v>
      </c>
      <c r="D746" s="3018"/>
      <c r="E746" s="3018"/>
      <c r="F746" s="3018"/>
      <c r="G746" s="3019"/>
      <c r="H746" s="2794">
        <f>J744+J742+J738+J734</f>
        <v>18523.32</v>
      </c>
      <c r="I746" s="2790"/>
      <c r="J746" s="2807">
        <f>H746*B746</f>
        <v>0</v>
      </c>
    </row>
    <row r="747" spans="1:10">
      <c r="A747" s="2819"/>
      <c r="B747" s="2821" t="s">
        <v>76</v>
      </c>
      <c r="C747" s="2819" t="s">
        <v>77</v>
      </c>
      <c r="F747" s="2790"/>
      <c r="G747" s="2790"/>
      <c r="H747" s="2790"/>
      <c r="I747" s="2790"/>
      <c r="J747" s="2847">
        <f>J734+J738+J742+J744+J746</f>
        <v>18523.32</v>
      </c>
    </row>
    <row r="748" spans="1:10">
      <c r="A748" s="2819"/>
      <c r="B748" s="2821" t="s">
        <v>78</v>
      </c>
      <c r="C748" s="2819" t="s">
        <v>79</v>
      </c>
      <c r="F748" s="2790"/>
      <c r="G748" s="2790"/>
      <c r="H748" s="2790"/>
      <c r="I748" s="2790"/>
      <c r="J748" s="2847">
        <f>J747*10/100</f>
        <v>1852.3320000000001</v>
      </c>
    </row>
    <row r="749" spans="1:10">
      <c r="A749" s="2819"/>
      <c r="B749" s="2821">
        <v>3</v>
      </c>
      <c r="C749" s="2819"/>
      <c r="F749" s="2790"/>
      <c r="G749" s="2790"/>
      <c r="H749" s="2794">
        <f>J1166</f>
        <v>6834</v>
      </c>
      <c r="I749" s="2790"/>
      <c r="J749" s="2807">
        <f>ROUND(B749*H749,2)</f>
        <v>20502</v>
      </c>
    </row>
    <row r="750" spans="1:10">
      <c r="B750" s="2811"/>
      <c r="C750" s="2790"/>
      <c r="D750" s="2828" t="s">
        <v>80</v>
      </c>
      <c r="H750" s="2807"/>
      <c r="I750" s="2807"/>
      <c r="J750" s="2847">
        <f>SUM(J747:J748)+J749</f>
        <v>40877.652000000002</v>
      </c>
    </row>
    <row r="751" spans="1:10">
      <c r="B751" s="2811"/>
      <c r="C751" s="2790"/>
      <c r="D751" s="2793" t="s">
        <v>225</v>
      </c>
      <c r="H751" s="2807"/>
      <c r="I751" s="2807"/>
      <c r="J751" s="2807">
        <f>ROUND(J750/10,2)</f>
        <v>4087.77</v>
      </c>
    </row>
    <row r="752" spans="1:10">
      <c r="D752" s="2793" t="s">
        <v>52</v>
      </c>
      <c r="H752" s="2807"/>
      <c r="I752" s="2807"/>
      <c r="J752" s="2848">
        <f>ROUND(J751,0)</f>
        <v>4088</v>
      </c>
    </row>
    <row r="753" spans="1:10">
      <c r="D753" s="2793"/>
      <c r="H753" s="2807"/>
      <c r="I753" s="2807"/>
      <c r="J753" s="2847" t="s">
        <v>226</v>
      </c>
    </row>
    <row r="754" spans="1:10" ht="89.25" customHeight="1">
      <c r="A754" s="2865">
        <v>21</v>
      </c>
      <c r="B754" s="3008" t="s">
        <v>227</v>
      </c>
      <c r="C754" s="3008"/>
      <c r="D754" s="3008"/>
      <c r="E754" s="3008"/>
      <c r="F754" s="3008"/>
      <c r="G754" s="3008"/>
      <c r="H754" s="3008"/>
      <c r="I754" s="3008"/>
      <c r="J754" s="3008"/>
    </row>
    <row r="755" spans="1:10">
      <c r="D755" s="2793" t="s">
        <v>10</v>
      </c>
      <c r="F755" s="2819" t="s">
        <v>228</v>
      </c>
      <c r="J755" s="2787"/>
    </row>
    <row r="756" spans="1:10">
      <c r="D756" s="2793" t="s">
        <v>56</v>
      </c>
      <c r="J756" s="2787"/>
    </row>
    <row r="757" spans="1:10">
      <c r="B757" s="2821" t="s">
        <v>36</v>
      </c>
      <c r="C757" s="2828" t="s">
        <v>37</v>
      </c>
      <c r="J757" s="2787"/>
    </row>
    <row r="758" spans="1:10">
      <c r="B758" s="2811">
        <v>0.64</v>
      </c>
      <c r="C758" s="2790" t="s">
        <v>57</v>
      </c>
      <c r="D758" s="2793" t="s">
        <v>156</v>
      </c>
      <c r="H758" s="2807">
        <f>'SSR-rates'!I$58</f>
        <v>490</v>
      </c>
      <c r="I758" s="2822" t="s">
        <v>38</v>
      </c>
      <c r="J758" s="2811">
        <f>ROUND(B758*H758,2)</f>
        <v>313.60000000000002</v>
      </c>
    </row>
    <row r="759" spans="1:10">
      <c r="B759" s="2811">
        <v>1</v>
      </c>
      <c r="C759" s="2790" t="s">
        <v>57</v>
      </c>
      <c r="D759" s="2793" t="s">
        <v>58</v>
      </c>
      <c r="H759" s="2807">
        <f>'SSR-rates'!I$96</f>
        <v>515</v>
      </c>
      <c r="I759" s="2822" t="s">
        <v>38</v>
      </c>
      <c r="J759" s="2811">
        <f>ROUND(B759*H759,2)</f>
        <v>515</v>
      </c>
    </row>
    <row r="760" spans="1:10">
      <c r="B760" s="2811">
        <v>15</v>
      </c>
      <c r="C760" s="2790" t="s">
        <v>57</v>
      </c>
      <c r="D760" s="2793" t="s">
        <v>59</v>
      </c>
      <c r="H760" s="2807">
        <f>'SSR-rates'!I$60</f>
        <v>490</v>
      </c>
      <c r="I760" s="2822" t="s">
        <v>38</v>
      </c>
      <c r="J760" s="2811">
        <f>ROUND(B760*H760,2)</f>
        <v>7350</v>
      </c>
    </row>
    <row r="761" spans="1:10">
      <c r="A761" s="2819"/>
      <c r="B761" s="2808">
        <f>'Input Data'!$D$23</f>
        <v>0</v>
      </c>
      <c r="C761" s="2794"/>
      <c r="D761" s="2787" t="s">
        <v>17</v>
      </c>
      <c r="F761" s="2790"/>
      <c r="G761" s="2790"/>
      <c r="H761" s="2807">
        <f>SUM(J758:J760)</f>
        <v>8178.6</v>
      </c>
      <c r="I761" s="2822"/>
      <c r="J761" s="2807">
        <f>B761*H761</f>
        <v>0</v>
      </c>
    </row>
    <row r="762" spans="1:10">
      <c r="B762" s="2811"/>
      <c r="C762" s="2790"/>
      <c r="D762" s="2793" t="s">
        <v>60</v>
      </c>
      <c r="H762" s="2807"/>
      <c r="I762" s="2807"/>
      <c r="J762" s="2811">
        <f>SUM(J758:J761)</f>
        <v>8178.6</v>
      </c>
    </row>
    <row r="763" spans="1:10">
      <c r="B763" s="2821" t="s">
        <v>39</v>
      </c>
      <c r="C763" s="2828" t="s">
        <v>61</v>
      </c>
      <c r="H763" s="2807"/>
      <c r="I763" s="2807"/>
      <c r="J763" s="2807"/>
    </row>
    <row r="764" spans="1:10">
      <c r="B764" s="2811">
        <v>13.5</v>
      </c>
      <c r="C764" s="2790" t="s">
        <v>31</v>
      </c>
      <c r="D764" s="2787" t="s">
        <v>62</v>
      </c>
      <c r="H764" s="2807">
        <f>lead!J$14</f>
        <v>1706.5179333714741</v>
      </c>
      <c r="I764" s="2807" t="s">
        <v>31</v>
      </c>
      <c r="J764" s="2807">
        <f>ROUND(B764*H764,2)</f>
        <v>23037.99</v>
      </c>
    </row>
    <row r="765" spans="1:10">
      <c r="B765" s="2811"/>
      <c r="C765" s="2790" t="s">
        <v>31</v>
      </c>
      <c r="D765" s="2787" t="s">
        <v>64</v>
      </c>
      <c r="H765" s="2807">
        <f>lead!J$18</f>
        <v>1754.5179333714741</v>
      </c>
      <c r="I765" s="2807" t="s">
        <v>31</v>
      </c>
      <c r="J765" s="2807">
        <f>ROUND(B765*H765,2)</f>
        <v>0</v>
      </c>
    </row>
    <row r="766" spans="1:10">
      <c r="B766" s="2811">
        <v>6.75</v>
      </c>
      <c r="C766" s="2790" t="s">
        <v>31</v>
      </c>
      <c r="D766" s="2793" t="s">
        <v>65</v>
      </c>
      <c r="H766" s="2807">
        <f>lead!J12</f>
        <v>1658.7679333714741</v>
      </c>
      <c r="I766" s="2807" t="s">
        <v>31</v>
      </c>
      <c r="J766" s="2807">
        <f>ROUND(B766*H766,2)</f>
        <v>11196.68</v>
      </c>
    </row>
    <row r="767" spans="1:10">
      <c r="B767" s="2872">
        <v>2.4300000000000002</v>
      </c>
      <c r="C767" s="2790" t="s">
        <v>66</v>
      </c>
      <c r="D767" s="2793" t="s">
        <v>67</v>
      </c>
      <c r="H767" s="2807">
        <f>lead!J$36</f>
        <v>5000</v>
      </c>
      <c r="I767" s="2807" t="s">
        <v>66</v>
      </c>
      <c r="J767" s="2807">
        <f>ROUND(B767*H767,2)</f>
        <v>12150</v>
      </c>
    </row>
    <row r="768" spans="1:10">
      <c r="B768" s="2793"/>
      <c r="D768" s="2793" t="s">
        <v>60</v>
      </c>
      <c r="H768" s="2807"/>
      <c r="I768" s="2807"/>
      <c r="J768" s="2807">
        <f>SUM(J764:J767)</f>
        <v>46384.67</v>
      </c>
    </row>
    <row r="769" spans="1:10">
      <c r="B769" s="2821" t="s">
        <v>27</v>
      </c>
      <c r="C769" s="2828" t="s">
        <v>40</v>
      </c>
      <c r="H769" s="2807"/>
      <c r="I769" s="2807"/>
      <c r="J769" s="2807"/>
    </row>
    <row r="770" spans="1:10">
      <c r="B770" s="2811">
        <v>6</v>
      </c>
      <c r="C770" s="2790" t="s">
        <v>41</v>
      </c>
      <c r="D770" s="2787" t="s">
        <v>68</v>
      </c>
      <c r="H770" s="2807">
        <f>'SSR-rates'!$I$88</f>
        <v>627.6</v>
      </c>
      <c r="I770" s="2807" t="s">
        <v>41</v>
      </c>
      <c r="J770" s="2807">
        <f>ROUND(B770*H770,2)</f>
        <v>3765.6</v>
      </c>
    </row>
    <row r="771" spans="1:10">
      <c r="B771" s="2811">
        <v>6</v>
      </c>
      <c r="C771" s="2790" t="s">
        <v>41</v>
      </c>
      <c r="D771" s="2787" t="s">
        <v>224</v>
      </c>
      <c r="H771" s="2807">
        <f>'SSR-rates'!$I$87</f>
        <v>1237.4000000000001</v>
      </c>
      <c r="I771" s="2807" t="s">
        <v>41</v>
      </c>
      <c r="J771" s="2807">
        <f>ROUND(B771*H771,2)</f>
        <v>7424.4</v>
      </c>
    </row>
    <row r="772" spans="1:10">
      <c r="B772" s="2811">
        <v>2</v>
      </c>
      <c r="C772" s="2790" t="s">
        <v>41</v>
      </c>
      <c r="D772" s="2787" t="s">
        <v>70</v>
      </c>
      <c r="H772" s="2807">
        <f>'SSR-rates'!I69</f>
        <v>699</v>
      </c>
      <c r="I772" s="2807" t="s">
        <v>41</v>
      </c>
      <c r="J772" s="2807">
        <f>ROUND(B772*H772,2)</f>
        <v>1398</v>
      </c>
    </row>
    <row r="773" spans="1:10">
      <c r="B773" s="2811"/>
      <c r="C773" s="2794"/>
      <c r="D773" s="2793" t="s">
        <v>60</v>
      </c>
      <c r="H773" s="2807"/>
      <c r="I773" s="2807"/>
      <c r="J773" s="2807">
        <f>SUM(J770:J772)</f>
        <v>12588</v>
      </c>
    </row>
    <row r="774" spans="1:10">
      <c r="B774" s="2821" t="s">
        <v>45</v>
      </c>
      <c r="C774" s="2828" t="s">
        <v>71</v>
      </c>
      <c r="H774" s="2807"/>
      <c r="I774" s="2807"/>
      <c r="J774" s="2807"/>
    </row>
    <row r="775" spans="1:10">
      <c r="B775" s="2793"/>
      <c r="C775" s="2790" t="s">
        <v>29</v>
      </c>
      <c r="D775" s="2787" t="s">
        <v>181</v>
      </c>
      <c r="H775" s="2807">
        <f>J762+J768+J773</f>
        <v>67151.26999999999</v>
      </c>
      <c r="I775" s="2822" t="s">
        <v>73</v>
      </c>
      <c r="J775" s="2807">
        <f>ROUND(B775*H775/100,2)</f>
        <v>0</v>
      </c>
    </row>
    <row r="776" spans="1:10">
      <c r="A776" s="2819"/>
      <c r="B776" s="2821" t="s">
        <v>47</v>
      </c>
      <c r="C776" s="2819" t="s">
        <v>74</v>
      </c>
      <c r="F776" s="2790"/>
      <c r="G776" s="2790"/>
      <c r="H776" s="2790"/>
      <c r="I776" s="2790"/>
      <c r="J776" s="2847"/>
    </row>
    <row r="777" spans="1:10" ht="27" customHeight="1">
      <c r="A777" s="2819"/>
      <c r="B777" s="2812"/>
      <c r="C777" s="3017" t="str">
        <f>"Over head charges "&amp;'Input Data'!$D$25*100&amp;"%  on (A) + (B)+(C)+(D)"</f>
        <v>Over head charges 0%  on (A) + (B)+(C)+(D)</v>
      </c>
      <c r="D777" s="3018"/>
      <c r="E777" s="3018"/>
      <c r="F777" s="3018"/>
      <c r="G777" s="3019"/>
      <c r="H777" s="2794">
        <f>J775+J773+J768+J762</f>
        <v>67151.27</v>
      </c>
      <c r="I777" s="2790"/>
      <c r="J777" s="2807">
        <f>H777*B777</f>
        <v>0</v>
      </c>
    </row>
    <row r="778" spans="1:10">
      <c r="A778" s="2819"/>
      <c r="B778" s="2821" t="s">
        <v>76</v>
      </c>
      <c r="C778" s="2819" t="s">
        <v>77</v>
      </c>
      <c r="F778" s="2790"/>
      <c r="G778" s="2790"/>
      <c r="H778" s="2790"/>
      <c r="I778" s="2790"/>
      <c r="J778" s="2847">
        <f>J762+J768+J773+J775+J777</f>
        <v>67151.26999999999</v>
      </c>
    </row>
    <row r="779" spans="1:10">
      <c r="A779" s="2819"/>
      <c r="B779" s="2821" t="s">
        <v>78</v>
      </c>
      <c r="C779" s="2819" t="s">
        <v>79</v>
      </c>
      <c r="F779" s="2790"/>
      <c r="G779" s="2790"/>
      <c r="H779" s="2790"/>
      <c r="I779" s="2790"/>
      <c r="J779" s="2847">
        <f>J778*10/100</f>
        <v>6715.1269999999995</v>
      </c>
    </row>
    <row r="780" spans="1:10">
      <c r="B780" s="2811"/>
      <c r="C780" s="2790"/>
      <c r="D780" s="2828" t="s">
        <v>80</v>
      </c>
      <c r="H780" s="2807"/>
      <c r="I780" s="2807"/>
      <c r="J780" s="2847">
        <f>SUM(J778:J779)</f>
        <v>73866.396999999983</v>
      </c>
    </row>
    <row r="781" spans="1:10">
      <c r="B781" s="2811"/>
      <c r="C781" s="2790"/>
      <c r="D781" s="2793" t="s">
        <v>81</v>
      </c>
      <c r="H781" s="2807"/>
      <c r="I781" s="2807"/>
      <c r="J781" s="2807">
        <f>ROUND(J780/15,2)</f>
        <v>4924.43</v>
      </c>
    </row>
    <row r="782" spans="1:10">
      <c r="D782" s="2793" t="s">
        <v>52</v>
      </c>
      <c r="H782" s="2807"/>
      <c r="I782" s="2807"/>
      <c r="J782" s="2848">
        <f>ROUND(J781,0)</f>
        <v>4924</v>
      </c>
    </row>
    <row r="783" spans="1:10">
      <c r="D783" s="2793"/>
      <c r="H783" s="2807"/>
      <c r="I783" s="2807"/>
      <c r="J783" s="2847" t="s">
        <v>53</v>
      </c>
    </row>
    <row r="784" spans="1:10">
      <c r="B784" s="2821" t="s">
        <v>36</v>
      </c>
      <c r="C784" s="2828" t="s">
        <v>37</v>
      </c>
      <c r="J784" s="2787"/>
    </row>
    <row r="785" spans="1:10">
      <c r="B785" s="2811">
        <v>0.04</v>
      </c>
      <c r="C785" s="2790" t="s">
        <v>57</v>
      </c>
      <c r="D785" s="2793" t="s">
        <v>156</v>
      </c>
      <c r="H785" s="2807">
        <f>'SSR-rates'!I$58</f>
        <v>490</v>
      </c>
      <c r="I785" s="2822" t="s">
        <v>38</v>
      </c>
      <c r="J785" s="2811">
        <f>ROUND(B785*H785,2)</f>
        <v>19.600000000000001</v>
      </c>
    </row>
    <row r="786" spans="1:10">
      <c r="B786" s="2811">
        <v>0.35</v>
      </c>
      <c r="C786" s="2790" t="s">
        <v>57</v>
      </c>
      <c r="D786" s="2793" t="s">
        <v>58</v>
      </c>
      <c r="H786" s="2807">
        <f>'SSR-rates'!I$96</f>
        <v>515</v>
      </c>
      <c r="I786" s="2822" t="s">
        <v>38</v>
      </c>
      <c r="J786" s="2811">
        <f>ROUND(B786*H786,2)</f>
        <v>180.25</v>
      </c>
    </row>
    <row r="787" spans="1:10">
      <c r="B787" s="2811">
        <v>0.75</v>
      </c>
      <c r="C787" s="2790" t="s">
        <v>57</v>
      </c>
      <c r="D787" s="2793" t="s">
        <v>59</v>
      </c>
      <c r="H787" s="2807">
        <f>'SSR-rates'!I$60</f>
        <v>490</v>
      </c>
      <c r="I787" s="2822" t="s">
        <v>38</v>
      </c>
      <c r="J787" s="2811">
        <f>ROUND(B787*H787,2)</f>
        <v>367.5</v>
      </c>
    </row>
    <row r="788" spans="1:10">
      <c r="A788" s="2819"/>
      <c r="B788" s="2808">
        <f>'Input Data'!$D$23</f>
        <v>0</v>
      </c>
      <c r="C788" s="2794"/>
      <c r="D788" s="2787" t="s">
        <v>17</v>
      </c>
      <c r="F788" s="2790"/>
      <c r="G788" s="2790"/>
      <c r="H788" s="2807">
        <f>SUM(J785:J787)</f>
        <v>567.35</v>
      </c>
      <c r="I788" s="2822"/>
      <c r="J788" s="2807">
        <f>B788*H788</f>
        <v>0</v>
      </c>
    </row>
    <row r="789" spans="1:10">
      <c r="B789" s="2811"/>
      <c r="C789" s="2790"/>
      <c r="D789" s="2793" t="s">
        <v>60</v>
      </c>
      <c r="H789" s="2807"/>
      <c r="I789" s="2807"/>
      <c r="J789" s="2811">
        <f>SUM(J785:J788)</f>
        <v>567.35</v>
      </c>
    </row>
    <row r="790" spans="1:10">
      <c r="B790" s="2821" t="s">
        <v>39</v>
      </c>
      <c r="C790" s="2828" t="s">
        <v>61</v>
      </c>
      <c r="H790" s="2807"/>
      <c r="I790" s="2807"/>
      <c r="J790" s="2807"/>
    </row>
    <row r="791" spans="1:10">
      <c r="B791" s="2811">
        <v>0.2</v>
      </c>
      <c r="C791" s="2790" t="s">
        <v>31</v>
      </c>
      <c r="D791" s="2787" t="s">
        <v>229</v>
      </c>
      <c r="H791" s="2807">
        <f>J781</f>
        <v>4924.43</v>
      </c>
      <c r="I791" s="2807" t="s">
        <v>31</v>
      </c>
      <c r="J791" s="2807">
        <f>ROUND(B791*H791,2)</f>
        <v>984.89</v>
      </c>
    </row>
    <row r="792" spans="1:10">
      <c r="B792" s="2811">
        <v>1</v>
      </c>
      <c r="C792" s="2790" t="s">
        <v>31</v>
      </c>
      <c r="D792" s="2787" t="s">
        <v>230</v>
      </c>
      <c r="H792" s="2807">
        <f>'SSR-rates'!I7</f>
        <v>156</v>
      </c>
      <c r="I792" s="2807" t="s">
        <v>31</v>
      </c>
      <c r="J792" s="2807">
        <f>ROUND(B792*H792,2)</f>
        <v>156</v>
      </c>
    </row>
    <row r="793" spans="1:10">
      <c r="B793" s="2793"/>
      <c r="D793" s="2793" t="s">
        <v>60</v>
      </c>
      <c r="H793" s="2807"/>
      <c r="I793" s="2807"/>
      <c r="J793" s="2807">
        <f>SUM(J791:J792)</f>
        <v>1140.8899999999999</v>
      </c>
    </row>
    <row r="794" spans="1:10">
      <c r="B794" s="2821" t="s">
        <v>27</v>
      </c>
      <c r="C794" s="2828" t="s">
        <v>40</v>
      </c>
      <c r="H794" s="2807"/>
      <c r="I794" s="2807"/>
      <c r="J794" s="2807"/>
    </row>
    <row r="795" spans="1:10">
      <c r="B795" s="2811"/>
      <c r="C795" s="2790" t="s">
        <v>41</v>
      </c>
      <c r="D795" s="2787" t="s">
        <v>68</v>
      </c>
      <c r="H795" s="2807">
        <f>'SSR-rates'!$I$88</f>
        <v>627.6</v>
      </c>
      <c r="I795" s="2807" t="s">
        <v>41</v>
      </c>
      <c r="J795" s="2807">
        <f>ROUND(B795*H795,2)</f>
        <v>0</v>
      </c>
    </row>
    <row r="796" spans="1:10">
      <c r="B796" s="2811"/>
      <c r="C796" s="2790" t="s">
        <v>41</v>
      </c>
      <c r="D796" s="2787" t="s">
        <v>224</v>
      </c>
      <c r="H796" s="2807">
        <f>'SSR-rates'!$I$87</f>
        <v>1237.4000000000001</v>
      </c>
      <c r="I796" s="2807" t="s">
        <v>41</v>
      </c>
      <c r="J796" s="2807">
        <f>ROUND(B796*H796,2)</f>
        <v>0</v>
      </c>
    </row>
    <row r="797" spans="1:10">
      <c r="B797" s="2811"/>
      <c r="C797" s="2790" t="s">
        <v>41</v>
      </c>
      <c r="D797" s="2787" t="s">
        <v>70</v>
      </c>
      <c r="H797" s="2807">
        <f>'SSR-rates'!I98</f>
        <v>0</v>
      </c>
      <c r="I797" s="2807" t="s">
        <v>41</v>
      </c>
      <c r="J797" s="2807">
        <f>ROUND(B797*H797,2)</f>
        <v>0</v>
      </c>
    </row>
    <row r="798" spans="1:10">
      <c r="B798" s="2811"/>
      <c r="C798" s="2794"/>
      <c r="D798" s="2793" t="s">
        <v>60</v>
      </c>
      <c r="H798" s="2807"/>
      <c r="I798" s="2807"/>
      <c r="J798" s="2807">
        <f>SUM(J795:J797)</f>
        <v>0</v>
      </c>
    </row>
    <row r="799" spans="1:10">
      <c r="B799" s="2821" t="s">
        <v>45</v>
      </c>
      <c r="C799" s="2828" t="s">
        <v>71</v>
      </c>
      <c r="H799" s="2807"/>
      <c r="I799" s="2807"/>
      <c r="J799" s="2807"/>
    </row>
    <row r="800" spans="1:10">
      <c r="B800" s="2793"/>
      <c r="C800" s="2790" t="s">
        <v>29</v>
      </c>
      <c r="D800" s="2787" t="s">
        <v>181</v>
      </c>
      <c r="H800" s="2807">
        <f>J789+J793+J798</f>
        <v>1708.2399999999998</v>
      </c>
      <c r="I800" s="2822" t="s">
        <v>73</v>
      </c>
      <c r="J800" s="2807">
        <f>ROUND(B800*H800/100,2)</f>
        <v>0</v>
      </c>
    </row>
    <row r="801" spans="1:10">
      <c r="A801" s="2819"/>
      <c r="B801" s="2821" t="s">
        <v>47</v>
      </c>
      <c r="C801" s="2819" t="s">
        <v>97</v>
      </c>
      <c r="F801" s="2790"/>
      <c r="G801" s="2790"/>
      <c r="H801" s="2790"/>
      <c r="I801" s="2790"/>
      <c r="J801" s="2847"/>
    </row>
    <row r="802" spans="1:10" ht="27" customHeight="1">
      <c r="A802" s="2819"/>
      <c r="B802" s="2812">
        <f>'Input Data'!$D$25</f>
        <v>0</v>
      </c>
      <c r="C802" s="3017" t="str">
        <f>"Over head charges "&amp;'Input Data'!$D$25*100&amp;"%  on (A) + (B)+(C)+(D)"</f>
        <v>Over head charges 0%  on (A) + (B)+(C)+(D)</v>
      </c>
      <c r="D802" s="3018"/>
      <c r="E802" s="3018"/>
      <c r="F802" s="3018"/>
      <c r="G802" s="3019"/>
      <c r="H802" s="2794">
        <f>J800+J798+J793+J789</f>
        <v>1708.2399999999998</v>
      </c>
      <c r="I802" s="2790"/>
      <c r="J802" s="2807">
        <f>H802*B802</f>
        <v>0</v>
      </c>
    </row>
    <row r="803" spans="1:10">
      <c r="A803" s="2819"/>
      <c r="B803" s="2821" t="s">
        <v>76</v>
      </c>
      <c r="C803" s="2819" t="s">
        <v>77</v>
      </c>
      <c r="F803" s="2790"/>
      <c r="G803" s="2790"/>
      <c r="H803" s="2790"/>
      <c r="I803" s="2790"/>
      <c r="J803" s="2847">
        <f>J789+J793+J798+J800+J802</f>
        <v>1708.2399999999998</v>
      </c>
    </row>
    <row r="804" spans="1:10">
      <c r="A804" s="2819"/>
      <c r="B804" s="2821" t="s">
        <v>78</v>
      </c>
      <c r="C804" s="2819" t="s">
        <v>79</v>
      </c>
      <c r="F804" s="2790"/>
      <c r="G804" s="2790"/>
      <c r="H804" s="2790"/>
      <c r="I804" s="2790"/>
      <c r="J804" s="2847">
        <f>J803*10/100</f>
        <v>170.82399999999998</v>
      </c>
    </row>
    <row r="805" spans="1:10">
      <c r="B805" s="2811"/>
      <c r="C805" s="2790"/>
      <c r="D805" s="2828" t="s">
        <v>80</v>
      </c>
      <c r="H805" s="2807"/>
      <c r="I805" s="2807"/>
      <c r="J805" s="2847">
        <f>SUM(J803:J804)</f>
        <v>1879.0639999999999</v>
      </c>
    </row>
    <row r="806" spans="1:10">
      <c r="B806" s="2811"/>
      <c r="C806" s="2790"/>
      <c r="D806" s="2793" t="s">
        <v>81</v>
      </c>
      <c r="H806" s="2807"/>
      <c r="I806" s="2807"/>
      <c r="J806" s="2807">
        <f>ROUND(J805/1,2)</f>
        <v>1879.06</v>
      </c>
    </row>
    <row r="807" spans="1:10">
      <c r="D807" s="2793" t="s">
        <v>52</v>
      </c>
      <c r="H807" s="2807"/>
      <c r="I807" s="2807"/>
      <c r="J807" s="2848">
        <f>ROUND(J806,0)</f>
        <v>1879</v>
      </c>
    </row>
    <row r="808" spans="1:10">
      <c r="D808" s="2793"/>
      <c r="H808" s="2807"/>
      <c r="I808" s="2807"/>
      <c r="J808" s="2847" t="s">
        <v>53</v>
      </c>
    </row>
    <row r="809" spans="1:10" ht="30.75" customHeight="1">
      <c r="A809" s="2901"/>
      <c r="B809" s="3042" t="s">
        <v>231</v>
      </c>
      <c r="C809" s="3042"/>
      <c r="D809" s="3042"/>
      <c r="E809" s="3042"/>
      <c r="F809" s="3042"/>
      <c r="G809" s="3042"/>
      <c r="H809" s="3042"/>
      <c r="I809" s="3042"/>
      <c r="J809" s="3042"/>
    </row>
    <row r="810" spans="1:10">
      <c r="A810" s="2879"/>
      <c r="B810" s="2902"/>
      <c r="C810" s="2902"/>
      <c r="D810" s="3043" t="s">
        <v>232</v>
      </c>
      <c r="E810" s="3043"/>
      <c r="F810" s="3043"/>
      <c r="G810" s="3043"/>
      <c r="H810" s="2902"/>
      <c r="I810" s="2902"/>
      <c r="J810" s="2903"/>
    </row>
    <row r="811" spans="1:10">
      <c r="A811" s="2879"/>
      <c r="B811" s="2798"/>
      <c r="C811" s="2798"/>
      <c r="D811" s="3030" t="s">
        <v>233</v>
      </c>
      <c r="E811" s="3030"/>
      <c r="F811" s="3030"/>
      <c r="G811" s="3030"/>
      <c r="H811" s="2798"/>
      <c r="I811" s="2798"/>
      <c r="J811" s="2831"/>
    </row>
    <row r="812" spans="1:10">
      <c r="A812" s="2879"/>
      <c r="B812" s="2798"/>
      <c r="C812" s="2798"/>
      <c r="D812" s="2880" t="s">
        <v>234</v>
      </c>
      <c r="E812" s="2880"/>
      <c r="F812" s="2880"/>
      <c r="G812" s="2880"/>
      <c r="H812" s="2798"/>
      <c r="I812" s="2798"/>
      <c r="J812" s="2831"/>
    </row>
    <row r="813" spans="1:10">
      <c r="A813" s="2879"/>
      <c r="B813" s="2798"/>
      <c r="C813" s="2804"/>
      <c r="D813" s="3003" t="s">
        <v>235</v>
      </c>
      <c r="E813" s="3003"/>
      <c r="F813" s="3003"/>
      <c r="G813" s="3003"/>
      <c r="H813" s="2798"/>
      <c r="I813" s="2798"/>
      <c r="J813" s="2831"/>
    </row>
    <row r="814" spans="1:10">
      <c r="A814" s="2879"/>
      <c r="B814" s="2803">
        <v>0.02</v>
      </c>
      <c r="C814" s="2881" t="s">
        <v>13</v>
      </c>
      <c r="D814" s="3004" t="s">
        <v>156</v>
      </c>
      <c r="E814" s="3004"/>
      <c r="F814" s="3004"/>
      <c r="G814" s="3004"/>
      <c r="H814" s="2813">
        <f>'SSR-rates'!I$58</f>
        <v>490</v>
      </c>
      <c r="I814" s="2803">
        <v>1</v>
      </c>
      <c r="J814" s="2832">
        <f>ROUND(B814*H814,2)</f>
        <v>9.8000000000000007</v>
      </c>
    </row>
    <row r="815" spans="1:10">
      <c r="A815" s="2879"/>
      <c r="B815" s="2803"/>
      <c r="C815" s="2881" t="s">
        <v>13</v>
      </c>
      <c r="D815" s="3004" t="s">
        <v>236</v>
      </c>
      <c r="E815" s="3004"/>
      <c r="F815" s="3004"/>
      <c r="G815" s="3004"/>
      <c r="H815" s="2813">
        <f>'SSR-rates'!I$97</f>
        <v>545</v>
      </c>
      <c r="I815" s="2803">
        <v>1</v>
      </c>
      <c r="J815" s="2832">
        <f>ROUND(B815*H815,2)</f>
        <v>0</v>
      </c>
    </row>
    <row r="816" spans="1:10">
      <c r="A816" s="2879"/>
      <c r="B816" s="2803">
        <v>0.02</v>
      </c>
      <c r="C816" s="2881" t="s">
        <v>13</v>
      </c>
      <c r="D816" s="3004" t="s">
        <v>188</v>
      </c>
      <c r="E816" s="3004"/>
      <c r="F816" s="3004"/>
      <c r="G816" s="3004"/>
      <c r="H816" s="2813">
        <f>'SSR-rates'!I$92</f>
        <v>540</v>
      </c>
      <c r="I816" s="2803">
        <v>1</v>
      </c>
      <c r="J816" s="2832">
        <f>ROUND(B816*H816,2)</f>
        <v>10.8</v>
      </c>
    </row>
    <row r="817" spans="1:10">
      <c r="A817" s="2879"/>
      <c r="B817" s="2803">
        <v>0.02</v>
      </c>
      <c r="C817" s="2881" t="s">
        <v>13</v>
      </c>
      <c r="D817" s="3004" t="s">
        <v>59</v>
      </c>
      <c r="E817" s="3004"/>
      <c r="F817" s="3004"/>
      <c r="G817" s="3004"/>
      <c r="H817" s="2813">
        <f>'SSR-rates'!I$60</f>
        <v>490</v>
      </c>
      <c r="I817" s="2803">
        <v>1</v>
      </c>
      <c r="J817" s="2832">
        <f>ROUND(B817*H817,2)</f>
        <v>9.8000000000000007</v>
      </c>
    </row>
    <row r="818" spans="1:10">
      <c r="A818" s="2879"/>
      <c r="B818" s="2798"/>
      <c r="C818" s="2804"/>
      <c r="D818" s="3003" t="s">
        <v>237</v>
      </c>
      <c r="E818" s="3003"/>
      <c r="F818" s="3003"/>
      <c r="G818" s="3003"/>
      <c r="H818" s="2798"/>
      <c r="I818" s="2798"/>
      <c r="J818" s="2831"/>
    </row>
    <row r="819" spans="1:10">
      <c r="A819" s="2879"/>
      <c r="B819" s="2803">
        <v>0.01</v>
      </c>
      <c r="C819" s="2881" t="s">
        <v>13</v>
      </c>
      <c r="D819" s="3004" t="s">
        <v>156</v>
      </c>
      <c r="E819" s="3004"/>
      <c r="F819" s="3004"/>
      <c r="G819" s="3004"/>
      <c r="H819" s="2813">
        <f>'SSR-rates'!I$58</f>
        <v>490</v>
      </c>
      <c r="I819" s="2803">
        <v>1</v>
      </c>
      <c r="J819" s="2832">
        <f>ROUND(B819*H819,2)</f>
        <v>4.9000000000000004</v>
      </c>
    </row>
    <row r="820" spans="1:10">
      <c r="A820" s="2879"/>
      <c r="B820" s="2803">
        <v>0.01</v>
      </c>
      <c r="C820" s="2881" t="s">
        <v>13</v>
      </c>
      <c r="D820" s="3004" t="s">
        <v>236</v>
      </c>
      <c r="E820" s="3004"/>
      <c r="F820" s="3004"/>
      <c r="G820" s="3004"/>
      <c r="H820" s="2813">
        <f>'SSR-rates'!I$97</f>
        <v>545</v>
      </c>
      <c r="I820" s="2803">
        <v>1</v>
      </c>
      <c r="J820" s="2832">
        <f>ROUND(B820*H820,2)</f>
        <v>5.45</v>
      </c>
    </row>
    <row r="821" spans="1:10">
      <c r="A821" s="2879"/>
      <c r="B821" s="2803"/>
      <c r="C821" s="2881" t="s">
        <v>13</v>
      </c>
      <c r="D821" s="3004" t="s">
        <v>188</v>
      </c>
      <c r="E821" s="3004"/>
      <c r="F821" s="3004"/>
      <c r="G821" s="3004"/>
      <c r="H821" s="2813">
        <f>'SSR-rates'!I$92</f>
        <v>540</v>
      </c>
      <c r="I821" s="2803">
        <v>1</v>
      </c>
      <c r="J821" s="2832">
        <f>ROUND(B821*H821,2)</f>
        <v>0</v>
      </c>
    </row>
    <row r="822" spans="1:10">
      <c r="A822" s="2879"/>
      <c r="B822" s="2803">
        <v>0.2</v>
      </c>
      <c r="C822" s="2881" t="s">
        <v>13</v>
      </c>
      <c r="D822" s="3004" t="s">
        <v>59</v>
      </c>
      <c r="E822" s="3004"/>
      <c r="F822" s="3004"/>
      <c r="G822" s="3004"/>
      <c r="H822" s="2813">
        <f>'SSR-rates'!I$60</f>
        <v>490</v>
      </c>
      <c r="I822" s="2803">
        <v>1</v>
      </c>
      <c r="J822" s="2832">
        <f>ROUND(B822*H822,2)</f>
        <v>98</v>
      </c>
    </row>
    <row r="823" spans="1:10" ht="15" customHeight="1">
      <c r="A823" s="2879"/>
      <c r="B823" s="2808">
        <f>'Input Data'!$D$23</f>
        <v>0</v>
      </c>
      <c r="C823" s="2794"/>
      <c r="D823" s="2787" t="s">
        <v>17</v>
      </c>
      <c r="F823" s="2790"/>
      <c r="G823" s="2790"/>
      <c r="H823" s="2807">
        <f>SUM(J815:J817)</f>
        <v>20.6</v>
      </c>
      <c r="I823" s="2822"/>
      <c r="J823" s="2807">
        <f>B823*H823</f>
        <v>0</v>
      </c>
    </row>
    <row r="824" spans="1:10">
      <c r="A824" s="2879"/>
      <c r="B824" s="2803"/>
      <c r="C824" s="2882"/>
      <c r="D824" s="3007" t="s">
        <v>18</v>
      </c>
      <c r="E824" s="3007"/>
      <c r="F824" s="3007"/>
      <c r="G824" s="3007"/>
      <c r="H824" s="2803"/>
      <c r="I824" s="2833" t="s">
        <v>19</v>
      </c>
      <c r="J824" s="2834">
        <f>SUM(J814:J823)</f>
        <v>138.75</v>
      </c>
    </row>
    <row r="825" spans="1:10">
      <c r="A825" s="2879"/>
      <c r="B825" s="2803"/>
      <c r="C825" s="2883"/>
      <c r="D825" s="3003" t="s">
        <v>189</v>
      </c>
      <c r="E825" s="3003"/>
      <c r="F825" s="3003"/>
      <c r="G825" s="3003"/>
      <c r="H825" s="2803"/>
      <c r="I825" s="2803"/>
      <c r="J825" s="2832"/>
    </row>
    <row r="826" spans="1:10" ht="47.25" customHeight="1">
      <c r="A826" s="2879"/>
      <c r="B826" s="2805">
        <f>4/1000</f>
        <v>4.0000000000000001E-3</v>
      </c>
      <c r="C826" s="2881" t="s">
        <v>66</v>
      </c>
      <c r="D826" s="3044" t="s">
        <v>238</v>
      </c>
      <c r="E826" s="3044"/>
      <c r="F826" s="3044"/>
      <c r="G826" s="3044"/>
      <c r="H826" s="2803">
        <v>59225</v>
      </c>
      <c r="I826" s="2803">
        <v>1</v>
      </c>
      <c r="J826" s="2832">
        <f>ROUND(B826*H826,2)</f>
        <v>236.9</v>
      </c>
    </row>
    <row r="827" spans="1:10" ht="38.25" customHeight="1">
      <c r="A827" s="2879"/>
      <c r="B827" s="2803">
        <v>6</v>
      </c>
      <c r="C827" s="2881" t="s">
        <v>106</v>
      </c>
      <c r="D827" s="3045" t="s">
        <v>239</v>
      </c>
      <c r="E827" s="3046"/>
      <c r="F827" s="3046"/>
      <c r="G827" s="3047"/>
      <c r="H827" s="2803">
        <v>23</v>
      </c>
      <c r="I827" s="2803">
        <v>1</v>
      </c>
      <c r="J827" s="2832">
        <f>H827*B827</f>
        <v>138</v>
      </c>
    </row>
    <row r="828" spans="1:10" ht="32.25" customHeight="1">
      <c r="A828" s="2879"/>
      <c r="B828" s="2803">
        <v>6</v>
      </c>
      <c r="C828" s="2881" t="s">
        <v>107</v>
      </c>
      <c r="D828" s="3048" t="s">
        <v>240</v>
      </c>
      <c r="E828" s="3049"/>
      <c r="F828" s="3049"/>
      <c r="G828" s="3050"/>
      <c r="H828" s="2803">
        <v>785</v>
      </c>
      <c r="I828" s="2803">
        <v>1</v>
      </c>
      <c r="J828" s="2832">
        <f>H828*B828</f>
        <v>4710</v>
      </c>
    </row>
    <row r="829" spans="1:10" ht="37.5" customHeight="1">
      <c r="A829" s="2879"/>
      <c r="B829" s="2803">
        <v>2</v>
      </c>
      <c r="C829" s="2881" t="s">
        <v>241</v>
      </c>
      <c r="D829" s="3048" t="s">
        <v>242</v>
      </c>
      <c r="E829" s="3049"/>
      <c r="F829" s="3049"/>
      <c r="G829" s="3050"/>
      <c r="H829" s="2803">
        <v>195</v>
      </c>
      <c r="I829" s="2803"/>
      <c r="J829" s="2832">
        <f>H829*B829</f>
        <v>390</v>
      </c>
    </row>
    <row r="830" spans="1:10">
      <c r="A830" s="2879"/>
      <c r="B830" s="2803"/>
      <c r="C830" s="2882"/>
      <c r="D830" s="3007" t="s">
        <v>18</v>
      </c>
      <c r="E830" s="3007"/>
      <c r="F830" s="3007"/>
      <c r="G830" s="3007"/>
      <c r="H830" s="2803"/>
      <c r="I830" s="2833" t="s">
        <v>25</v>
      </c>
      <c r="J830" s="2834">
        <f>SUM(J826:J829)</f>
        <v>5474.9</v>
      </c>
    </row>
    <row r="831" spans="1:10">
      <c r="A831" s="2879"/>
      <c r="B831" s="2813"/>
      <c r="C831" s="2884"/>
      <c r="D831" s="3003" t="s">
        <v>26</v>
      </c>
      <c r="E831" s="3003"/>
      <c r="F831" s="3003"/>
      <c r="G831" s="3003"/>
      <c r="H831" s="2813"/>
      <c r="I831" s="2895"/>
      <c r="J831" s="2837">
        <f>J824+J830</f>
        <v>5613.65</v>
      </c>
    </row>
    <row r="832" spans="1:10" ht="66" customHeight="1">
      <c r="A832" s="2879"/>
      <c r="B832" s="2813">
        <v>5</v>
      </c>
      <c r="C832" s="2884" t="s">
        <v>29</v>
      </c>
      <c r="D832" s="3051" t="s">
        <v>243</v>
      </c>
      <c r="E832" s="3051"/>
      <c r="F832" s="3051"/>
      <c r="G832" s="3051"/>
      <c r="H832" s="2813">
        <f>J831</f>
        <v>5613.65</v>
      </c>
      <c r="I832" s="2835"/>
      <c r="J832" s="2836">
        <f>ROUND(B832*H832/100,2)</f>
        <v>280.68</v>
      </c>
    </row>
    <row r="833" spans="1:11">
      <c r="A833" s="2879"/>
      <c r="B833" s="2812">
        <f>'Input Data'!$D$25</f>
        <v>0</v>
      </c>
      <c r="C833" s="2884"/>
      <c r="D833" s="3003" t="str">
        <f>"Over head charges "&amp;'Input Data'!$D$25*100&amp;"%  on (A) + (B)"</f>
        <v>Over head charges 0%  on (A) + (B)</v>
      </c>
      <c r="E833" s="3003"/>
      <c r="F833" s="3003"/>
      <c r="G833" s="3003"/>
      <c r="H833" s="2813">
        <f>J831</f>
        <v>5613.65</v>
      </c>
      <c r="I833" s="2835"/>
      <c r="J833" s="2836">
        <f>H833*B833</f>
        <v>0</v>
      </c>
    </row>
    <row r="834" spans="1:11">
      <c r="A834" s="2879"/>
      <c r="B834" s="2813"/>
      <c r="C834" s="2884"/>
      <c r="D834" s="3003"/>
      <c r="E834" s="3003"/>
      <c r="F834" s="3003"/>
      <c r="G834" s="3003"/>
      <c r="H834" s="2813"/>
      <c r="I834" s="2835"/>
      <c r="J834" s="2836"/>
    </row>
    <row r="835" spans="1:11">
      <c r="A835" s="2879"/>
      <c r="B835" s="2813">
        <v>10</v>
      </c>
      <c r="C835" s="2884" t="s">
        <v>29</v>
      </c>
      <c r="D835" s="3003" t="s">
        <v>30</v>
      </c>
      <c r="E835" s="3003"/>
      <c r="F835" s="3003"/>
      <c r="G835" s="3003"/>
      <c r="H835" s="2813">
        <f>J831+J833</f>
        <v>5613.65</v>
      </c>
      <c r="I835" s="2835"/>
      <c r="J835" s="2836">
        <f>ROUND(B835*H835/100,2)</f>
        <v>561.37</v>
      </c>
    </row>
    <row r="836" spans="1:11">
      <c r="A836" s="2879"/>
      <c r="B836" s="2813"/>
      <c r="C836" s="2884"/>
      <c r="D836" s="3003"/>
      <c r="E836" s="3003"/>
      <c r="F836" s="3003"/>
      <c r="G836" s="3003"/>
      <c r="H836" s="2813"/>
      <c r="I836" s="2835"/>
      <c r="J836" s="2837"/>
    </row>
    <row r="837" spans="1:11">
      <c r="A837" s="2879"/>
      <c r="B837" s="2814">
        <v>1</v>
      </c>
      <c r="C837" s="2884" t="s">
        <v>244</v>
      </c>
      <c r="D837" s="3005" t="str">
        <f>CONCATENATE("TOTAL Cost for ",B837,"  ",C837,"  =  (A+B+C+D)",)</f>
        <v>TOTAL Cost for 1  NO  =  (A+B+C+D)</v>
      </c>
      <c r="E837" s="3005"/>
      <c r="F837" s="3005"/>
      <c r="G837" s="3005"/>
      <c r="H837" s="2813"/>
      <c r="I837" s="2813"/>
      <c r="J837" s="2836">
        <f>SUM(J831:J835)</f>
        <v>6455.7</v>
      </c>
    </row>
    <row r="838" spans="1:11">
      <c r="A838" s="2879"/>
      <c r="B838" s="2813"/>
      <c r="C838" s="2813"/>
      <c r="D838" s="3007" t="str">
        <f>CONCATENATE("Rate per  1  ",C837)</f>
        <v>Rate per  1  NO</v>
      </c>
      <c r="E838" s="3007"/>
      <c r="F838" s="3007"/>
      <c r="G838" s="3007"/>
      <c r="H838" s="2813"/>
      <c r="I838" s="2813"/>
      <c r="J838" s="2832">
        <f>J837/B837</f>
        <v>6455.7</v>
      </c>
    </row>
    <row r="839" spans="1:11">
      <c r="A839" s="2879"/>
      <c r="B839" s="2904"/>
      <c r="C839" s="2904"/>
      <c r="D839" s="3052" t="str">
        <f>D838</f>
        <v>Rate per  1  NO</v>
      </c>
      <c r="E839" s="3052"/>
      <c r="F839" s="3052"/>
      <c r="G839" s="3052"/>
      <c r="H839" s="2905"/>
      <c r="I839" s="2905"/>
      <c r="J839" s="2906">
        <f>ROUND(J838,0)</f>
        <v>6456</v>
      </c>
    </row>
    <row r="840" spans="1:11" ht="106.5" customHeight="1">
      <c r="A840" s="2816">
        <v>15</v>
      </c>
      <c r="B840" s="3008" t="s">
        <v>245</v>
      </c>
      <c r="C840" s="3008"/>
      <c r="D840" s="3008"/>
      <c r="E840" s="3008"/>
      <c r="F840" s="3008"/>
      <c r="G840" s="3008"/>
      <c r="H840" s="3008"/>
      <c r="I840" s="3008"/>
      <c r="J840" s="3008"/>
    </row>
    <row r="841" spans="1:11">
      <c r="D841" s="2793" t="s">
        <v>10</v>
      </c>
      <c r="F841" s="2819" t="s">
        <v>93</v>
      </c>
      <c r="J841" s="2787"/>
    </row>
    <row r="842" spans="1:11">
      <c r="D842" s="2793" t="s">
        <v>56</v>
      </c>
      <c r="J842" s="2787"/>
    </row>
    <row r="843" spans="1:11">
      <c r="B843" s="2821" t="s">
        <v>36</v>
      </c>
      <c r="C843" s="2828" t="s">
        <v>37</v>
      </c>
      <c r="J843" s="2787"/>
    </row>
    <row r="844" spans="1:11">
      <c r="B844" s="2811">
        <v>0.86</v>
      </c>
      <c r="C844" s="2790" t="s">
        <v>57</v>
      </c>
      <c r="D844" s="2793" t="s">
        <v>14</v>
      </c>
      <c r="H844" s="2807">
        <f>'SSR-rates'!$I$58</f>
        <v>490</v>
      </c>
      <c r="I844" s="2822" t="s">
        <v>38</v>
      </c>
      <c r="J844" s="2811">
        <f>ROUND(B844*H844,2)</f>
        <v>421.4</v>
      </c>
      <c r="K844" s="2793"/>
    </row>
    <row r="845" spans="1:11">
      <c r="B845" s="2811">
        <v>1.5</v>
      </c>
      <c r="C845" s="2790" t="s">
        <v>57</v>
      </c>
      <c r="D845" s="2793" t="s">
        <v>58</v>
      </c>
      <c r="H845" s="2807">
        <f>'SSR-rates'!$I$59</f>
        <v>524</v>
      </c>
      <c r="I845" s="2822" t="s">
        <v>38</v>
      </c>
      <c r="J845" s="2811">
        <f>ROUND(B845*H845,2)</f>
        <v>786</v>
      </c>
    </row>
    <row r="846" spans="1:11">
      <c r="B846" s="2811">
        <v>20</v>
      </c>
      <c r="C846" s="2790" t="s">
        <v>57</v>
      </c>
      <c r="D846" s="2793" t="s">
        <v>59</v>
      </c>
      <c r="H846" s="2807">
        <f>'SSR-rates'!$I$60</f>
        <v>490</v>
      </c>
      <c r="I846" s="2822" t="s">
        <v>38</v>
      </c>
      <c r="J846" s="2811">
        <f>ROUND(B846*H846,2)</f>
        <v>9800</v>
      </c>
    </row>
    <row r="847" spans="1:11">
      <c r="A847" s="2819"/>
      <c r="B847" s="2808">
        <f>'Input Data'!$D$23</f>
        <v>0</v>
      </c>
      <c r="C847" s="2794"/>
      <c r="D847" s="2787" t="s">
        <v>17</v>
      </c>
      <c r="F847" s="2790"/>
      <c r="G847" s="2790"/>
      <c r="H847" s="2807">
        <f>SUM(J844:J846)</f>
        <v>11007.4</v>
      </c>
      <c r="I847" s="2822"/>
      <c r="J847" s="2807">
        <f>B847*H847</f>
        <v>0</v>
      </c>
    </row>
    <row r="848" spans="1:11" ht="15" customHeight="1">
      <c r="B848" s="2811"/>
      <c r="D848" s="2793" t="s">
        <v>60</v>
      </c>
      <c r="H848" s="2807"/>
      <c r="I848" s="2807"/>
      <c r="J848" s="2811">
        <f>SUM(J844:J847)</f>
        <v>11007.4</v>
      </c>
    </row>
    <row r="849" spans="1:13">
      <c r="B849" s="2821" t="s">
        <v>39</v>
      </c>
      <c r="C849" s="2828" t="s">
        <v>61</v>
      </c>
      <c r="H849" s="2807"/>
      <c r="I849" s="2807"/>
      <c r="J849" s="2807"/>
    </row>
    <row r="850" spans="1:13">
      <c r="B850" s="2811">
        <v>5.4</v>
      </c>
      <c r="C850" s="2790" t="s">
        <v>31</v>
      </c>
      <c r="D850" s="2793" t="s">
        <v>62</v>
      </c>
      <c r="H850" s="2807">
        <f>lead!$J$14</f>
        <v>1706.5179333714741</v>
      </c>
      <c r="I850" s="2807" t="s">
        <v>31</v>
      </c>
      <c r="J850" s="2807">
        <f>ROUND(B850*H850,2)</f>
        <v>9215.2000000000007</v>
      </c>
      <c r="K850" s="2787">
        <v>5.16</v>
      </c>
      <c r="L850" s="2787">
        <v>5.4</v>
      </c>
      <c r="M850" s="2787">
        <v>1139.82456140351</v>
      </c>
    </row>
    <row r="851" spans="1:13" ht="15" customHeight="1">
      <c r="B851" s="2811">
        <v>5.4</v>
      </c>
      <c r="C851" s="2790" t="s">
        <v>31</v>
      </c>
      <c r="D851" s="2787" t="s">
        <v>63</v>
      </c>
      <c r="H851" s="2807">
        <f>lead!$J$16</f>
        <v>2005.5179333714741</v>
      </c>
      <c r="I851" s="2807" t="s">
        <v>31</v>
      </c>
      <c r="J851" s="2807">
        <f>ROUND(B851*H851,2)</f>
        <v>10829.8</v>
      </c>
      <c r="L851" s="2787">
        <v>5.4</v>
      </c>
      <c r="M851" s="2787">
        <v>1659.82456140351</v>
      </c>
    </row>
    <row r="852" spans="1:13" ht="15" customHeight="1">
      <c r="B852" s="2811">
        <v>2.7</v>
      </c>
      <c r="C852" s="2790" t="s">
        <v>31</v>
      </c>
      <c r="D852" s="2787" t="s">
        <v>64</v>
      </c>
      <c r="H852" s="2807">
        <f>lead!$J$18</f>
        <v>1754.5179333714741</v>
      </c>
      <c r="I852" s="2807" t="s">
        <v>31</v>
      </c>
      <c r="J852" s="2807">
        <f>ROUND(B852*H852,2)</f>
        <v>4737.2</v>
      </c>
      <c r="L852" s="2787">
        <v>2.7</v>
      </c>
      <c r="M852" s="2787">
        <v>1229.82456140351</v>
      </c>
    </row>
    <row r="853" spans="1:13" ht="15" customHeight="1">
      <c r="B853" s="2811">
        <v>6.75</v>
      </c>
      <c r="C853" s="2790" t="s">
        <v>31</v>
      </c>
      <c r="D853" s="2793" t="s">
        <v>65</v>
      </c>
      <c r="H853" s="2807">
        <f>lead!J12</f>
        <v>1658.7679333714741</v>
      </c>
      <c r="I853" s="2807" t="s">
        <v>31</v>
      </c>
      <c r="J853" s="2807">
        <f>ROUND(B853*H853,2)</f>
        <v>11196.68</v>
      </c>
      <c r="L853" s="2787">
        <v>6.75</v>
      </c>
      <c r="M853" s="2787">
        <v>1207.0087719298201</v>
      </c>
    </row>
    <row r="854" spans="1:13" ht="15" customHeight="1">
      <c r="B854" s="2811">
        <v>5.16</v>
      </c>
      <c r="C854" s="2790" t="s">
        <v>66</v>
      </c>
      <c r="D854" s="2793" t="s">
        <v>67</v>
      </c>
      <c r="H854" s="2807">
        <f>lead!$J$36</f>
        <v>5000</v>
      </c>
      <c r="I854" s="2807" t="s">
        <v>66</v>
      </c>
      <c r="J854" s="2807">
        <f>ROUND(B854*H854,2)</f>
        <v>25800</v>
      </c>
      <c r="L854" s="2787">
        <v>5.16</v>
      </c>
      <c r="M854" s="2787">
        <v>6300</v>
      </c>
    </row>
    <row r="855" spans="1:13">
      <c r="B855" s="2811"/>
      <c r="C855" s="2794"/>
      <c r="D855" s="2793" t="s">
        <v>60</v>
      </c>
      <c r="H855" s="2807"/>
      <c r="I855" s="2807"/>
      <c r="J855" s="2807">
        <f>SUM(J850:J854)</f>
        <v>61778.880000000005</v>
      </c>
    </row>
    <row r="856" spans="1:13">
      <c r="B856" s="2821" t="s">
        <v>94</v>
      </c>
      <c r="C856" s="2828" t="s">
        <v>40</v>
      </c>
      <c r="H856" s="2807"/>
      <c r="I856" s="2807"/>
      <c r="J856" s="2807"/>
    </row>
    <row r="857" spans="1:13">
      <c r="B857" s="2811">
        <v>6</v>
      </c>
      <c r="C857" s="2790" t="s">
        <v>41</v>
      </c>
      <c r="D857" s="2793" t="s">
        <v>68</v>
      </c>
      <c r="H857" s="2807">
        <f>'SSR-rates'!$I$88</f>
        <v>627.6</v>
      </c>
      <c r="I857" s="2807" t="s">
        <v>41</v>
      </c>
      <c r="J857" s="2807">
        <f>ROUND(B857*H857,2)</f>
        <v>3765.6</v>
      </c>
    </row>
    <row r="858" spans="1:13">
      <c r="B858" s="2811">
        <v>6</v>
      </c>
      <c r="C858" s="2790" t="s">
        <v>41</v>
      </c>
      <c r="D858" s="2793" t="s">
        <v>69</v>
      </c>
      <c r="H858" s="2807">
        <f>'SSR-rates'!$I$87</f>
        <v>1237.4000000000001</v>
      </c>
      <c r="I858" s="2807" t="s">
        <v>41</v>
      </c>
      <c r="J858" s="2807">
        <f>ROUND(B858*H858,2)</f>
        <v>7424.4</v>
      </c>
    </row>
    <row r="859" spans="1:13">
      <c r="B859" s="2811"/>
      <c r="C859" s="2794"/>
      <c r="D859" s="2793" t="s">
        <v>60</v>
      </c>
      <c r="H859" s="2807"/>
      <c r="I859" s="2807"/>
      <c r="J859" s="2807">
        <f>SUM(J857:J858)</f>
        <v>11190</v>
      </c>
    </row>
    <row r="860" spans="1:13">
      <c r="A860" s="2819"/>
      <c r="B860" s="2821" t="s">
        <v>45</v>
      </c>
      <c r="C860" s="2819" t="s">
        <v>149</v>
      </c>
      <c r="F860" s="2790"/>
      <c r="G860" s="2790"/>
      <c r="H860" s="2790"/>
      <c r="I860" s="2790"/>
      <c r="J860" s="2847"/>
    </row>
    <row r="861" spans="1:13">
      <c r="A861" s="2819"/>
      <c r="B861" s="2811">
        <v>4</v>
      </c>
      <c r="C861" s="2794" t="s">
        <v>29</v>
      </c>
      <c r="D861" s="2793" t="s">
        <v>146</v>
      </c>
      <c r="F861" s="2790"/>
      <c r="G861" s="2790"/>
      <c r="H861" s="2790"/>
      <c r="I861" s="2790"/>
      <c r="J861" s="2807">
        <f>ROUND((J848+J855+J859)*B861/100,2)</f>
        <v>3359.05</v>
      </c>
    </row>
    <row r="862" spans="1:13">
      <c r="A862" s="2819"/>
      <c r="B862" s="2821" t="s">
        <v>47</v>
      </c>
      <c r="C862" s="2819" t="s">
        <v>97</v>
      </c>
      <c r="F862" s="2790"/>
      <c r="G862" s="2790"/>
      <c r="H862" s="2790"/>
      <c r="I862" s="2790"/>
      <c r="J862" s="2847"/>
    </row>
    <row r="863" spans="1:13">
      <c r="A863" s="2819"/>
      <c r="B863" s="2849">
        <f>'Input Data'!$D$25</f>
        <v>0</v>
      </c>
      <c r="C863" s="2794"/>
      <c r="D863" s="2793" t="str">
        <f>"Over head charges "&amp;'Input Data'!$D$25*100&amp;"%  on (A) + (B)"</f>
        <v>Over head charges 0%  on (A) + (B)</v>
      </c>
      <c r="F863" s="2790"/>
      <c r="G863" s="2790"/>
      <c r="H863" s="2794">
        <f>J861+J859+J855+J848</f>
        <v>87335.33</v>
      </c>
      <c r="I863" s="2790"/>
      <c r="J863" s="2807">
        <f>H863*B863</f>
        <v>0</v>
      </c>
    </row>
    <row r="864" spans="1:13">
      <c r="A864" s="2819"/>
      <c r="B864" s="2821" t="s">
        <v>76</v>
      </c>
      <c r="C864" s="2819" t="s">
        <v>89</v>
      </c>
      <c r="F864" s="2790"/>
      <c r="G864" s="2790"/>
      <c r="H864" s="2790"/>
      <c r="I864" s="2790"/>
      <c r="J864" s="2847">
        <f>J848+J855+J859+J863+J861</f>
        <v>87335.33</v>
      </c>
    </row>
    <row r="865" spans="1:13">
      <c r="A865" s="2819"/>
      <c r="B865" s="2821" t="s">
        <v>78</v>
      </c>
      <c r="C865" s="2819" t="s">
        <v>90</v>
      </c>
      <c r="F865" s="2790"/>
      <c r="G865" s="2790"/>
      <c r="H865" s="2790"/>
      <c r="I865" s="2790"/>
      <c r="J865" s="2847">
        <f>J864*10/100</f>
        <v>8733.5330000000013</v>
      </c>
    </row>
    <row r="866" spans="1:13">
      <c r="B866" s="2811"/>
      <c r="C866" s="2790"/>
      <c r="D866" s="2828" t="s">
        <v>98</v>
      </c>
      <c r="H866" s="2807"/>
      <c r="I866" s="2807"/>
      <c r="J866" s="2847">
        <f>SUM(J864:J865)</f>
        <v>96068.862999999998</v>
      </c>
    </row>
    <row r="867" spans="1:13">
      <c r="B867" s="2811"/>
      <c r="C867" s="2790"/>
      <c r="D867" s="2793" t="s">
        <v>81</v>
      </c>
      <c r="H867" s="2807"/>
      <c r="I867" s="2807"/>
      <c r="J867" s="2807">
        <f>ROUND(J866/15,2)</f>
        <v>6404.59</v>
      </c>
    </row>
    <row r="868" spans="1:13">
      <c r="D868" s="2793" t="s">
        <v>52</v>
      </c>
      <c r="H868" s="2807"/>
      <c r="I868" s="2807"/>
      <c r="J868" s="2848">
        <f>ROUND(J867,0)</f>
        <v>6405</v>
      </c>
    </row>
    <row r="869" spans="1:13">
      <c r="D869" s="2793"/>
      <c r="H869" s="2807"/>
      <c r="I869" s="2807"/>
      <c r="J869" s="2847" t="s">
        <v>53</v>
      </c>
    </row>
    <row r="870" spans="1:13" ht="106.5" hidden="1" customHeight="1">
      <c r="A870" s="2816">
        <v>16</v>
      </c>
      <c r="B870" s="3008" t="s">
        <v>246</v>
      </c>
      <c r="C870" s="3008"/>
      <c r="D870" s="3008"/>
      <c r="E870" s="3008"/>
      <c r="F870" s="3008"/>
      <c r="G870" s="3008"/>
      <c r="H870" s="3008"/>
      <c r="I870" s="3008"/>
      <c r="J870" s="3008"/>
    </row>
    <row r="871" spans="1:13" hidden="1">
      <c r="D871" s="2793" t="s">
        <v>10</v>
      </c>
      <c r="F871" s="2819" t="s">
        <v>93</v>
      </c>
      <c r="J871" s="2787"/>
    </row>
    <row r="872" spans="1:13" hidden="1">
      <c r="D872" s="2793" t="s">
        <v>56</v>
      </c>
      <c r="J872" s="2787"/>
    </row>
    <row r="873" spans="1:13" hidden="1">
      <c r="B873" s="2821" t="s">
        <v>36</v>
      </c>
      <c r="C873" s="2828" t="s">
        <v>37</v>
      </c>
      <c r="J873" s="2787"/>
    </row>
    <row r="874" spans="1:13" hidden="1">
      <c r="B874" s="2811">
        <v>0.86</v>
      </c>
      <c r="C874" s="2790" t="s">
        <v>57</v>
      </c>
      <c r="D874" s="2793" t="s">
        <v>14</v>
      </c>
      <c r="H874" s="2807">
        <f>'SSR-rates'!$I$58</f>
        <v>490</v>
      </c>
      <c r="I874" s="2822" t="s">
        <v>38</v>
      </c>
      <c r="J874" s="2811">
        <f>ROUND(B874*H874,2)</f>
        <v>421.4</v>
      </c>
      <c r="K874" s="2793"/>
    </row>
    <row r="875" spans="1:13" hidden="1">
      <c r="B875" s="2811">
        <v>1.5</v>
      </c>
      <c r="C875" s="2790" t="s">
        <v>57</v>
      </c>
      <c r="D875" s="2793" t="s">
        <v>58</v>
      </c>
      <c r="H875" s="2807">
        <f>'SSR-rates'!$I$59</f>
        <v>524</v>
      </c>
      <c r="I875" s="2822" t="s">
        <v>38</v>
      </c>
      <c r="J875" s="2811">
        <f>ROUND(B875*H875,2)</f>
        <v>786</v>
      </c>
    </row>
    <row r="876" spans="1:13" hidden="1">
      <c r="B876" s="2811">
        <v>20</v>
      </c>
      <c r="C876" s="2790" t="s">
        <v>57</v>
      </c>
      <c r="D876" s="2793" t="s">
        <v>59</v>
      </c>
      <c r="H876" s="2807">
        <f>'SSR-rates'!$I$60</f>
        <v>490</v>
      </c>
      <c r="I876" s="2822" t="s">
        <v>38</v>
      </c>
      <c r="J876" s="2811">
        <f>ROUND(B876*H876,2)</f>
        <v>9800</v>
      </c>
    </row>
    <row r="877" spans="1:13" hidden="1">
      <c r="A877" s="2819"/>
      <c r="B877" s="2808">
        <f>'Input Data'!$D$23</f>
        <v>0</v>
      </c>
      <c r="C877" s="2794"/>
      <c r="D877" s="2787" t="s">
        <v>17</v>
      </c>
      <c r="F877" s="2790"/>
      <c r="G877" s="2790"/>
      <c r="H877" s="2807">
        <f>SUM(J874:J876)</f>
        <v>11007.4</v>
      </c>
      <c r="I877" s="2822"/>
      <c r="J877" s="2807">
        <f>B877*H877</f>
        <v>0</v>
      </c>
    </row>
    <row r="878" spans="1:13" ht="15" hidden="1" customHeight="1">
      <c r="B878" s="2811"/>
      <c r="D878" s="2793" t="s">
        <v>60</v>
      </c>
      <c r="H878" s="2807"/>
      <c r="I878" s="2807"/>
      <c r="J878" s="2811">
        <f>SUM(J874:J877)</f>
        <v>11007.4</v>
      </c>
    </row>
    <row r="879" spans="1:13" hidden="1">
      <c r="B879" s="2821" t="s">
        <v>39</v>
      </c>
      <c r="C879" s="2828" t="s">
        <v>61</v>
      </c>
      <c r="H879" s="2807"/>
      <c r="I879" s="2807"/>
      <c r="J879" s="2807"/>
    </row>
    <row r="880" spans="1:13" hidden="1">
      <c r="B880" s="2811">
        <v>5.4</v>
      </c>
      <c r="C880" s="2790" t="s">
        <v>31</v>
      </c>
      <c r="D880" s="2793" t="s">
        <v>62</v>
      </c>
      <c r="H880" s="2807">
        <f>lead!$J$14</f>
        <v>1706.5179333714741</v>
      </c>
      <c r="I880" s="2807" t="s">
        <v>31</v>
      </c>
      <c r="J880" s="2807">
        <f>ROUND(B880*H880,2)</f>
        <v>9215.2000000000007</v>
      </c>
      <c r="K880" s="2787">
        <v>5.16</v>
      </c>
      <c r="L880" s="2787">
        <v>5.4</v>
      </c>
      <c r="M880" s="2787">
        <v>1139.82456140351</v>
      </c>
    </row>
    <row r="881" spans="1:13" ht="15" hidden="1" customHeight="1">
      <c r="B881" s="2811">
        <v>5.4</v>
      </c>
      <c r="C881" s="2790" t="s">
        <v>31</v>
      </c>
      <c r="D881" s="2787" t="s">
        <v>63</v>
      </c>
      <c r="H881" s="2807">
        <f>lead!$J$16</f>
        <v>2005.5179333714741</v>
      </c>
      <c r="I881" s="2807" t="s">
        <v>31</v>
      </c>
      <c r="J881" s="2807">
        <f>ROUND(B881*H881,2)</f>
        <v>10829.8</v>
      </c>
      <c r="L881" s="2787">
        <v>5.4</v>
      </c>
      <c r="M881" s="2787">
        <v>1659.82456140351</v>
      </c>
    </row>
    <row r="882" spans="1:13" ht="15" hidden="1" customHeight="1">
      <c r="B882" s="2811">
        <v>2.7</v>
      </c>
      <c r="C882" s="2790" t="s">
        <v>31</v>
      </c>
      <c r="D882" s="2787" t="s">
        <v>64</v>
      </c>
      <c r="H882" s="2807">
        <f>lead!$J$18</f>
        <v>1754.5179333714741</v>
      </c>
      <c r="I882" s="2807" t="s">
        <v>31</v>
      </c>
      <c r="J882" s="2807">
        <f>ROUND(B882*H882,2)</f>
        <v>4737.2</v>
      </c>
      <c r="L882" s="2787">
        <v>2.7</v>
      </c>
      <c r="M882" s="2787">
        <v>1229.82456140351</v>
      </c>
    </row>
    <row r="883" spans="1:13" ht="15" hidden="1" customHeight="1">
      <c r="B883" s="2811">
        <v>6.75</v>
      </c>
      <c r="C883" s="2790" t="s">
        <v>31</v>
      </c>
      <c r="D883" s="2793" t="s">
        <v>65</v>
      </c>
      <c r="H883" s="2807">
        <f>lead!J12</f>
        <v>1658.7679333714741</v>
      </c>
      <c r="I883" s="2807" t="s">
        <v>31</v>
      </c>
      <c r="J883" s="2807">
        <f>ROUND(B883*H883,2)</f>
        <v>11196.68</v>
      </c>
      <c r="L883" s="2787">
        <v>6.75</v>
      </c>
      <c r="M883" s="2787">
        <v>1207.0087719298201</v>
      </c>
    </row>
    <row r="884" spans="1:13" ht="15" hidden="1" customHeight="1">
      <c r="B884" s="2811">
        <v>5.16</v>
      </c>
      <c r="C884" s="2790" t="s">
        <v>66</v>
      </c>
      <c r="D884" s="2793" t="s">
        <v>67</v>
      </c>
      <c r="H884" s="2807">
        <f>lead!$J$36</f>
        <v>5000</v>
      </c>
      <c r="I884" s="2807" t="s">
        <v>66</v>
      </c>
      <c r="J884" s="2807">
        <f>ROUND(B884*H884,2)</f>
        <v>25800</v>
      </c>
      <c r="L884" s="2787">
        <v>5.16</v>
      </c>
      <c r="M884" s="2787">
        <v>6300</v>
      </c>
    </row>
    <row r="885" spans="1:13" hidden="1">
      <c r="B885" s="2811"/>
      <c r="C885" s="2794"/>
      <c r="D885" s="2793" t="s">
        <v>60</v>
      </c>
      <c r="H885" s="2807"/>
      <c r="I885" s="2807"/>
      <c r="J885" s="2807">
        <f>SUM(J880:J884)</f>
        <v>61778.880000000005</v>
      </c>
    </row>
    <row r="886" spans="1:13" hidden="1">
      <c r="B886" s="2821" t="s">
        <v>94</v>
      </c>
      <c r="C886" s="2828" t="s">
        <v>40</v>
      </c>
      <c r="H886" s="2807"/>
      <c r="I886" s="2807"/>
      <c r="J886" s="2807"/>
    </row>
    <row r="887" spans="1:13" hidden="1">
      <c r="B887" s="2811">
        <v>6</v>
      </c>
      <c r="C887" s="2790" t="s">
        <v>41</v>
      </c>
      <c r="D887" s="2793" t="s">
        <v>68</v>
      </c>
      <c r="H887" s="2807">
        <f>'SSR-rates'!$I$88</f>
        <v>627.6</v>
      </c>
      <c r="I887" s="2807" t="s">
        <v>41</v>
      </c>
      <c r="J887" s="2807">
        <f>ROUND(B887*H887,2)</f>
        <v>3765.6</v>
      </c>
    </row>
    <row r="888" spans="1:13" hidden="1">
      <c r="B888" s="2811">
        <v>6</v>
      </c>
      <c r="C888" s="2790" t="s">
        <v>41</v>
      </c>
      <c r="D888" s="2793" t="s">
        <v>69</v>
      </c>
      <c r="H888" s="2807">
        <f>'SSR-rates'!$I$87</f>
        <v>1237.4000000000001</v>
      </c>
      <c r="I888" s="2807" t="s">
        <v>41</v>
      </c>
      <c r="J888" s="2807">
        <f>ROUND(B888*H888,2)</f>
        <v>7424.4</v>
      </c>
    </row>
    <row r="889" spans="1:13" hidden="1">
      <c r="B889" s="2811"/>
      <c r="C889" s="2794"/>
      <c r="D889" s="2793" t="s">
        <v>60</v>
      </c>
      <c r="H889" s="2807"/>
      <c r="I889" s="2807"/>
      <c r="J889" s="2807">
        <f>SUM(J887:J888)</f>
        <v>11190</v>
      </c>
    </row>
    <row r="890" spans="1:13" hidden="1">
      <c r="A890" s="2819"/>
      <c r="B890" s="2821" t="s">
        <v>45</v>
      </c>
      <c r="C890" s="2819" t="s">
        <v>149</v>
      </c>
      <c r="F890" s="2790"/>
      <c r="G890" s="2790"/>
      <c r="H890" s="2790"/>
      <c r="I890" s="2790"/>
      <c r="J890" s="2847"/>
    </row>
    <row r="891" spans="1:13" hidden="1">
      <c r="A891" s="2819"/>
      <c r="B891" s="2811">
        <v>10</v>
      </c>
      <c r="C891" s="2794" t="s">
        <v>29</v>
      </c>
      <c r="D891" s="2793" t="s">
        <v>146</v>
      </c>
      <c r="F891" s="2790"/>
      <c r="G891" s="2790"/>
      <c r="H891" s="2790"/>
      <c r="I891" s="2790"/>
      <c r="J891" s="2807">
        <f>ROUND((J878+J885+J889)*B891/100,2)</f>
        <v>8397.6299999999992</v>
      </c>
    </row>
    <row r="892" spans="1:13" hidden="1">
      <c r="A892" s="2819"/>
      <c r="B892" s="2821" t="s">
        <v>47</v>
      </c>
      <c r="C892" s="2819" t="s">
        <v>97</v>
      </c>
      <c r="F892" s="2790"/>
      <c r="G892" s="2790"/>
      <c r="H892" s="2790"/>
      <c r="I892" s="2790"/>
      <c r="J892" s="2847"/>
    </row>
    <row r="893" spans="1:13" hidden="1">
      <c r="A893" s="2819"/>
      <c r="B893" s="2849">
        <f>'Input Data'!$D$25</f>
        <v>0</v>
      </c>
      <c r="C893" s="2794"/>
      <c r="D893" s="2793" t="str">
        <f>"Over head charges "&amp;'Input Data'!$D$25*100&amp;"%  on (A) + (B)"</f>
        <v>Over head charges 0%  on (A) + (B)</v>
      </c>
      <c r="F893" s="2790"/>
      <c r="G893" s="2790"/>
      <c r="H893" s="2794">
        <f>J891+J889+J885+J878</f>
        <v>92373.91</v>
      </c>
      <c r="I893" s="2790"/>
      <c r="J893" s="2807">
        <f>H893*B893</f>
        <v>0</v>
      </c>
    </row>
    <row r="894" spans="1:13" hidden="1">
      <c r="A894" s="2819"/>
      <c r="B894" s="2821" t="s">
        <v>76</v>
      </c>
      <c r="C894" s="2819" t="s">
        <v>89</v>
      </c>
      <c r="F894" s="2790"/>
      <c r="G894" s="2790"/>
      <c r="H894" s="2790"/>
      <c r="I894" s="2790"/>
      <c r="J894" s="2847">
        <f>J878+J885+J889+J893+J891</f>
        <v>92373.91</v>
      </c>
    </row>
    <row r="895" spans="1:13" hidden="1">
      <c r="A895" s="2819"/>
      <c r="B895" s="2821" t="s">
        <v>78</v>
      </c>
      <c r="C895" s="2819" t="s">
        <v>90</v>
      </c>
      <c r="F895" s="2790"/>
      <c r="G895" s="2790"/>
      <c r="H895" s="2790"/>
      <c r="I895" s="2790"/>
      <c r="J895" s="2847">
        <f>J894*10/100</f>
        <v>9237.3910000000014</v>
      </c>
    </row>
    <row r="896" spans="1:13" hidden="1">
      <c r="B896" s="2811"/>
      <c r="C896" s="2790"/>
      <c r="D896" s="2828" t="s">
        <v>98</v>
      </c>
      <c r="H896" s="2807"/>
      <c r="I896" s="2807"/>
      <c r="J896" s="2847">
        <f>SUM(J894:J895)</f>
        <v>101611.30100000001</v>
      </c>
    </row>
    <row r="897" spans="1:11" hidden="1">
      <c r="B897" s="2811"/>
      <c r="C897" s="2790"/>
      <c r="D897" s="2793" t="s">
        <v>81</v>
      </c>
      <c r="H897" s="2807"/>
      <c r="I897" s="2807"/>
      <c r="J897" s="2807">
        <f>ROUND(J896/15,2)</f>
        <v>6774.09</v>
      </c>
    </row>
    <row r="898" spans="1:11" hidden="1">
      <c r="D898" s="2793" t="s">
        <v>52</v>
      </c>
      <c r="H898" s="2807"/>
      <c r="I898" s="2807"/>
      <c r="J898" s="2848">
        <f>ROUND(J897,0)</f>
        <v>6774</v>
      </c>
    </row>
    <row r="899" spans="1:11" hidden="1">
      <c r="D899" s="2793"/>
      <c r="H899" s="2807"/>
      <c r="I899" s="2807"/>
      <c r="J899" s="2847" t="s">
        <v>53</v>
      </c>
    </row>
    <row r="900" spans="1:11" hidden="1"/>
    <row r="901" spans="1:11" ht="113.25" customHeight="1">
      <c r="A901" s="2907">
        <v>7.09</v>
      </c>
      <c r="B901" s="3000" t="s">
        <v>247</v>
      </c>
      <c r="C901" s="3001"/>
      <c r="D901" s="3001"/>
      <c r="E901" s="3001"/>
      <c r="F901" s="3001"/>
      <c r="G901" s="3001"/>
      <c r="H901" s="3001"/>
      <c r="I901" s="3001"/>
      <c r="J901" s="3002"/>
    </row>
    <row r="902" spans="1:11">
      <c r="A902" s="2908"/>
      <c r="B902" s="2798"/>
      <c r="C902" s="2798"/>
      <c r="D902" s="3003" t="s">
        <v>248</v>
      </c>
      <c r="E902" s="3003"/>
      <c r="F902" s="3003"/>
      <c r="G902" s="2799"/>
      <c r="H902" s="2798"/>
      <c r="I902" s="2798"/>
      <c r="J902" s="2831"/>
    </row>
    <row r="903" spans="1:11">
      <c r="A903" s="2908"/>
      <c r="B903" s="2798"/>
      <c r="C903" s="2798"/>
      <c r="D903" s="3030" t="s">
        <v>203</v>
      </c>
      <c r="E903" s="3030"/>
      <c r="F903" s="3030"/>
      <c r="G903" s="2880"/>
      <c r="I903" s="2798"/>
      <c r="J903" s="2831"/>
    </row>
    <row r="904" spans="1:11">
      <c r="A904" s="2908"/>
      <c r="B904" s="2798"/>
      <c r="C904" s="2803"/>
      <c r="D904" s="3030" t="s">
        <v>249</v>
      </c>
      <c r="E904" s="3030"/>
      <c r="F904" s="3030"/>
      <c r="G904" s="2880"/>
      <c r="I904" s="2798"/>
      <c r="J904" s="2831"/>
    </row>
    <row r="905" spans="1:11" ht="20.25" customHeight="1">
      <c r="A905" s="2908"/>
      <c r="B905" s="2798"/>
      <c r="C905" s="3053" t="s">
        <v>250</v>
      </c>
      <c r="D905" s="3054"/>
      <c r="E905" s="3054"/>
      <c r="F905" s="3054"/>
      <c r="G905" s="3054"/>
      <c r="H905" s="3055"/>
      <c r="I905" s="2798"/>
      <c r="J905" s="2831"/>
    </row>
    <row r="906" spans="1:11" ht="16.5" customHeight="1">
      <c r="A906" s="2908"/>
      <c r="B906" s="2803"/>
      <c r="C906" s="2798"/>
      <c r="D906" s="3030" t="s">
        <v>251</v>
      </c>
      <c r="E906" s="3030"/>
      <c r="F906" s="3030"/>
      <c r="G906" s="2880"/>
      <c r="H906" s="2803"/>
      <c r="I906" s="2803"/>
      <c r="J906" s="2832"/>
    </row>
    <row r="907" spans="1:11" ht="16.5" customHeight="1">
      <c r="A907" s="2908"/>
      <c r="B907" s="2803">
        <v>0.51</v>
      </c>
      <c r="C907" s="2798" t="s">
        <v>66</v>
      </c>
      <c r="D907" s="3004" t="s">
        <v>252</v>
      </c>
      <c r="E907" s="3004"/>
      <c r="F907" s="3004"/>
      <c r="G907" s="2806"/>
      <c r="H907" s="2807">
        <f>lead!J$36</f>
        <v>5000</v>
      </c>
      <c r="I907" s="2803">
        <v>1</v>
      </c>
      <c r="J907" s="2832">
        <f>ROUND(B907*H907,2)</f>
        <v>2550</v>
      </c>
      <c r="K907" s="2807" t="e">
        <f>lead!#REF!</f>
        <v>#REF!</v>
      </c>
    </row>
    <row r="908" spans="1:11" ht="18.75" customHeight="1">
      <c r="A908" s="2908"/>
      <c r="B908" s="2803">
        <v>1.05</v>
      </c>
      <c r="C908" s="2798" t="s">
        <v>31</v>
      </c>
      <c r="D908" s="3004" t="s">
        <v>253</v>
      </c>
      <c r="E908" s="3004"/>
      <c r="F908" s="3004"/>
      <c r="G908" s="2806"/>
      <c r="H908" s="2807">
        <f>lead!J$30</f>
        <v>2032.3700655723276</v>
      </c>
      <c r="I908" s="2803">
        <v>1</v>
      </c>
      <c r="J908" s="2832">
        <f>ROUND(B908*H908,2)</f>
        <v>2133.9899999999998</v>
      </c>
      <c r="K908" s="2807" t="e">
        <f>lead!#REF!</f>
        <v>#REF!</v>
      </c>
    </row>
    <row r="909" spans="1:11" ht="18.75" customHeight="1">
      <c r="A909" s="2908"/>
      <c r="B909" s="2803"/>
      <c r="C909" s="2798"/>
      <c r="D909" s="2806"/>
      <c r="E909" s="2806"/>
      <c r="F909" s="2806"/>
      <c r="G909" s="2806"/>
      <c r="H909" s="2807"/>
      <c r="I909" s="2803"/>
      <c r="J909" s="2832"/>
      <c r="K909" s="2807"/>
    </row>
    <row r="910" spans="1:11" ht="18.75" customHeight="1">
      <c r="A910" s="2908"/>
      <c r="B910" s="2803"/>
      <c r="C910" s="2803"/>
      <c r="D910" s="3005" t="s">
        <v>18</v>
      </c>
      <c r="E910" s="3005"/>
      <c r="F910" s="3005"/>
      <c r="G910" s="2809"/>
      <c r="H910" s="2803"/>
      <c r="I910" s="2833" t="s">
        <v>254</v>
      </c>
      <c r="J910" s="2834">
        <f>SUM(J907:J908)</f>
        <v>4683.99</v>
      </c>
    </row>
    <row r="911" spans="1:11">
      <c r="A911" s="2908"/>
      <c r="B911" s="2803"/>
      <c r="C911" s="2798"/>
      <c r="D911" s="3004"/>
      <c r="E911" s="3004"/>
      <c r="F911" s="3004"/>
      <c r="G911" s="2806"/>
      <c r="H911" s="2803"/>
      <c r="I911" s="2803"/>
      <c r="J911" s="2832">
        <f>SUM(J907:J908)</f>
        <v>4683.99</v>
      </c>
    </row>
    <row r="912" spans="1:11">
      <c r="A912" s="2908"/>
      <c r="B912" s="2803"/>
      <c r="C912" s="2798"/>
      <c r="D912" s="3030" t="s">
        <v>255</v>
      </c>
      <c r="E912" s="3030"/>
      <c r="F912" s="3030"/>
      <c r="G912" s="2880"/>
      <c r="H912" s="2798"/>
      <c r="I912" s="2798"/>
      <c r="J912" s="2831"/>
    </row>
    <row r="913" spans="1:10">
      <c r="A913" s="2908"/>
      <c r="B913" s="2803">
        <v>0.04</v>
      </c>
      <c r="C913" s="2798" t="s">
        <v>13</v>
      </c>
      <c r="D913" s="3004" t="s">
        <v>14</v>
      </c>
      <c r="E913" s="3004"/>
      <c r="F913" s="3004"/>
      <c r="G913" s="2806"/>
      <c r="H913" s="2807">
        <f>'SSR-rates'!I$58</f>
        <v>490</v>
      </c>
      <c r="I913" s="2803">
        <v>1</v>
      </c>
      <c r="J913" s="2832">
        <f>ROUND(B913*H913,2)</f>
        <v>19.600000000000001</v>
      </c>
    </row>
    <row r="914" spans="1:10">
      <c r="A914" s="2908"/>
      <c r="B914" s="2803">
        <v>0.9</v>
      </c>
      <c r="C914" s="2798" t="s">
        <v>13</v>
      </c>
      <c r="D914" s="3004" t="s">
        <v>59</v>
      </c>
      <c r="E914" s="3004"/>
      <c r="F914" s="3004"/>
      <c r="G914" s="2806"/>
      <c r="H914" s="2807">
        <f>'SSR-rates'!I$60</f>
        <v>490</v>
      </c>
      <c r="I914" s="2803">
        <v>1</v>
      </c>
      <c r="J914" s="2832">
        <f>ROUND(B914*H914,2)</f>
        <v>441</v>
      </c>
    </row>
    <row r="915" spans="1:10">
      <c r="A915" s="2908"/>
      <c r="B915" s="2808">
        <f>'Input Data'!$D$23</f>
        <v>0</v>
      </c>
      <c r="C915" s="2794"/>
      <c r="D915" s="2787" t="s">
        <v>17</v>
      </c>
      <c r="F915" s="2790"/>
      <c r="G915" s="2790"/>
      <c r="H915" s="2807">
        <f>SUM(J913:J914)</f>
        <v>460.6</v>
      </c>
      <c r="I915" s="2822"/>
      <c r="J915" s="2807">
        <f>B915*H915</f>
        <v>0</v>
      </c>
    </row>
    <row r="916" spans="1:10" ht="8.25" customHeight="1">
      <c r="A916" s="2908"/>
      <c r="B916" s="2909"/>
      <c r="C916" s="2813"/>
      <c r="D916" s="3056"/>
      <c r="E916" s="3056"/>
      <c r="F916" s="3056"/>
      <c r="G916" s="2910"/>
      <c r="H916" s="2813"/>
      <c r="I916" s="2813"/>
      <c r="J916" s="2836"/>
    </row>
    <row r="917" spans="1:10">
      <c r="A917" s="2908"/>
      <c r="B917" s="2803"/>
      <c r="C917" s="2803"/>
      <c r="D917" s="3005" t="s">
        <v>18</v>
      </c>
      <c r="E917" s="3005"/>
      <c r="F917" s="3005"/>
      <c r="G917" s="2809"/>
      <c r="H917" s="2803"/>
      <c r="I917" s="2833" t="s">
        <v>256</v>
      </c>
      <c r="J917" s="2834">
        <f>SUM(J913:J916)</f>
        <v>460.6</v>
      </c>
    </row>
    <row r="918" spans="1:10" ht="13.5" customHeight="1">
      <c r="A918" s="2908"/>
      <c r="B918" s="2803"/>
      <c r="C918" s="2798"/>
      <c r="D918" s="3057" t="s">
        <v>257</v>
      </c>
      <c r="E918" s="3057"/>
      <c r="F918" s="3057"/>
      <c r="G918" s="2911"/>
      <c r="H918" s="2798"/>
      <c r="I918" s="2798"/>
      <c r="J918" s="2834">
        <f>J910+J917</f>
        <v>5144.59</v>
      </c>
    </row>
    <row r="919" spans="1:10">
      <c r="A919" s="2908"/>
      <c r="B919" s="2803"/>
      <c r="C919" s="2798"/>
      <c r="D919" s="3004"/>
      <c r="E919" s="3004"/>
      <c r="F919" s="3004"/>
      <c r="G919" s="2806"/>
      <c r="H919" s="2798"/>
      <c r="I919" s="2798"/>
      <c r="J919" s="2831"/>
    </row>
    <row r="920" spans="1:10">
      <c r="A920" s="2908"/>
      <c r="B920" s="2803"/>
      <c r="C920" s="2798"/>
      <c r="D920" s="3030" t="s">
        <v>258</v>
      </c>
      <c r="E920" s="3030"/>
      <c r="F920" s="3030"/>
      <c r="G920" s="2880"/>
      <c r="H920" s="2798"/>
      <c r="I920" s="2798"/>
      <c r="J920" s="2831"/>
    </row>
    <row r="921" spans="1:10">
      <c r="A921" s="2908"/>
      <c r="B921" s="2803">
        <v>31.5</v>
      </c>
      <c r="C921" s="2798" t="s">
        <v>107</v>
      </c>
      <c r="D921" s="3007" t="s">
        <v>107</v>
      </c>
      <c r="E921" s="3007"/>
      <c r="F921" s="3007"/>
      <c r="G921" s="2815"/>
      <c r="H921" s="2912">
        <v>34</v>
      </c>
      <c r="I921" s="2803">
        <v>1</v>
      </c>
      <c r="J921" s="2832">
        <f>ROUND(B921*H921,2)</f>
        <v>1071</v>
      </c>
    </row>
    <row r="922" spans="1:10">
      <c r="A922" s="2908"/>
      <c r="B922" s="2803">
        <v>10</v>
      </c>
      <c r="C922" s="2798" t="s">
        <v>13</v>
      </c>
      <c r="D922" s="3004" t="s">
        <v>259</v>
      </c>
      <c r="E922" s="3004"/>
      <c r="F922" s="3004"/>
      <c r="G922" s="2806"/>
      <c r="H922" s="2912">
        <v>15</v>
      </c>
      <c r="I922" s="2803">
        <v>1</v>
      </c>
      <c r="J922" s="2832">
        <f>ROUND(B922*H922,2)</f>
        <v>150</v>
      </c>
    </row>
    <row r="923" spans="1:10">
      <c r="A923" s="2908"/>
      <c r="B923" s="2803">
        <v>30</v>
      </c>
      <c r="C923" s="2798" t="s">
        <v>13</v>
      </c>
      <c r="D923" s="3004" t="s">
        <v>260</v>
      </c>
      <c r="E923" s="3004"/>
      <c r="F923" s="3004"/>
      <c r="G923" s="2806"/>
      <c r="H923" s="2912">
        <v>5</v>
      </c>
      <c r="I923" s="2803">
        <v>1</v>
      </c>
      <c r="J923" s="2832">
        <f>ROUND(B923*H923,2)</f>
        <v>150</v>
      </c>
    </row>
    <row r="924" spans="1:10">
      <c r="A924" s="2908"/>
      <c r="B924" s="2803">
        <v>0.05</v>
      </c>
      <c r="C924" s="2798" t="s">
        <v>31</v>
      </c>
      <c r="D924" s="3004" t="s">
        <v>261</v>
      </c>
      <c r="E924" s="3004"/>
      <c r="F924" s="3004"/>
      <c r="G924" s="2806"/>
      <c r="H924" s="2803">
        <f>J918</f>
        <v>5144.59</v>
      </c>
      <c r="I924" s="2803">
        <v>1</v>
      </c>
      <c r="J924" s="2832">
        <f>ROUND(B924*H924,2)</f>
        <v>257.23</v>
      </c>
    </row>
    <row r="925" spans="1:10">
      <c r="A925" s="2908"/>
      <c r="B925" s="2803"/>
      <c r="C925" s="2803"/>
      <c r="D925" s="3005" t="s">
        <v>18</v>
      </c>
      <c r="E925" s="3005"/>
      <c r="F925" s="3005"/>
      <c r="G925" s="2809"/>
      <c r="H925" s="2803"/>
      <c r="I925" s="2833" t="s">
        <v>19</v>
      </c>
      <c r="J925" s="2834">
        <f>SUM(J921:J924)</f>
        <v>1628.23</v>
      </c>
    </row>
    <row r="926" spans="1:10">
      <c r="A926" s="2908"/>
      <c r="B926" s="2803"/>
      <c r="C926" s="2798"/>
      <c r="D926" s="3004"/>
      <c r="E926" s="3004"/>
      <c r="F926" s="3004"/>
      <c r="G926" s="2806"/>
      <c r="H926" s="2803"/>
      <c r="I926" s="2803"/>
      <c r="J926" s="2832">
        <f>SUM(J921:J924)</f>
        <v>1628.23</v>
      </c>
    </row>
    <row r="927" spans="1:10">
      <c r="A927" s="2908"/>
      <c r="B927" s="2803"/>
      <c r="C927" s="2798"/>
      <c r="D927" s="3030" t="s">
        <v>262</v>
      </c>
      <c r="E927" s="3030"/>
      <c r="F927" s="3030"/>
      <c r="G927" s="2880"/>
      <c r="H927" s="2798"/>
      <c r="I927" s="2798"/>
      <c r="J927" s="2831"/>
    </row>
    <row r="928" spans="1:10">
      <c r="A928" s="2908"/>
      <c r="B928" s="2803">
        <v>0.03</v>
      </c>
      <c r="C928" s="2798" t="s">
        <v>13</v>
      </c>
      <c r="D928" s="3004" t="s">
        <v>14</v>
      </c>
      <c r="E928" s="3004"/>
      <c r="F928" s="3004"/>
      <c r="G928" s="2806"/>
      <c r="H928" s="2807">
        <f>'SSR-rates'!I$58</f>
        <v>490</v>
      </c>
      <c r="I928" s="2803">
        <v>1</v>
      </c>
      <c r="J928" s="2832">
        <f>ROUND(B928*H928,2)</f>
        <v>14.7</v>
      </c>
    </row>
    <row r="929" spans="1:10">
      <c r="A929" s="2908"/>
      <c r="B929" s="2803">
        <v>0.5</v>
      </c>
      <c r="C929" s="2798" t="s">
        <v>13</v>
      </c>
      <c r="D929" s="3004" t="s">
        <v>58</v>
      </c>
      <c r="E929" s="3004"/>
      <c r="F929" s="3004"/>
      <c r="G929" s="2806"/>
      <c r="H929" s="2813">
        <v>357</v>
      </c>
      <c r="I929" s="2803">
        <v>1</v>
      </c>
      <c r="J929" s="2832">
        <f>ROUND(B929*H929,2)</f>
        <v>178.5</v>
      </c>
    </row>
    <row r="930" spans="1:10">
      <c r="A930" s="2908"/>
      <c r="B930" s="2803">
        <v>0.25</v>
      </c>
      <c r="C930" s="2798" t="s">
        <v>13</v>
      </c>
      <c r="D930" s="3004" t="s">
        <v>59</v>
      </c>
      <c r="E930" s="3004"/>
      <c r="F930" s="3004"/>
      <c r="G930" s="2806"/>
      <c r="H930" s="2807">
        <f>'SSR-rates'!I$60</f>
        <v>490</v>
      </c>
      <c r="I930" s="2803">
        <v>1</v>
      </c>
      <c r="J930" s="2832">
        <f>ROUND(B930*H930,2)</f>
        <v>122.5</v>
      </c>
    </row>
    <row r="931" spans="1:10" hidden="1">
      <c r="A931" s="2908"/>
      <c r="B931" s="2803"/>
      <c r="C931" s="2803"/>
      <c r="D931" s="3058"/>
      <c r="E931" s="3059"/>
      <c r="F931" s="3060"/>
      <c r="G931" s="2815"/>
      <c r="H931" s="2813"/>
      <c r="I931" s="2835"/>
      <c r="J931" s="2832"/>
    </row>
    <row r="932" spans="1:10" ht="15.75" customHeight="1">
      <c r="A932" s="2908"/>
      <c r="B932" s="2808">
        <f>'Input Data'!$D$23</f>
        <v>0</v>
      </c>
      <c r="C932" s="2794"/>
      <c r="D932" s="2787" t="s">
        <v>17</v>
      </c>
      <c r="F932" s="2790"/>
      <c r="G932" s="2790"/>
      <c r="H932" s="2807">
        <f>SUM(J928:J931)</f>
        <v>315.7</v>
      </c>
      <c r="I932" s="2822"/>
      <c r="J932" s="2807">
        <f>B932*H932</f>
        <v>0</v>
      </c>
    </row>
    <row r="933" spans="1:10">
      <c r="A933" s="2908"/>
      <c r="B933" s="2803"/>
      <c r="C933" s="2803"/>
      <c r="D933" s="3005" t="s">
        <v>18</v>
      </c>
      <c r="E933" s="3005"/>
      <c r="F933" s="3005"/>
      <c r="G933" s="2809"/>
      <c r="H933" s="2803"/>
      <c r="I933" s="2833" t="s">
        <v>25</v>
      </c>
      <c r="J933" s="2834">
        <f>SUM(J928:J932)</f>
        <v>315.7</v>
      </c>
    </row>
    <row r="934" spans="1:10">
      <c r="A934" s="2908"/>
      <c r="B934" s="2813"/>
      <c r="C934" s="2813"/>
      <c r="D934" s="3003" t="s">
        <v>26</v>
      </c>
      <c r="E934" s="3003"/>
      <c r="F934" s="3003"/>
      <c r="G934" s="2799"/>
      <c r="H934" s="2813"/>
      <c r="I934" s="2895"/>
      <c r="J934" s="2837">
        <f>J925+J933</f>
        <v>1943.93</v>
      </c>
    </row>
    <row r="935" spans="1:10">
      <c r="A935" s="2908"/>
      <c r="B935" s="2813"/>
      <c r="C935" s="2813"/>
      <c r="D935" s="2913"/>
      <c r="E935" s="2914"/>
      <c r="F935" s="2915"/>
      <c r="G935" s="2799"/>
      <c r="H935" s="2813"/>
      <c r="I935" s="2895"/>
      <c r="J935" s="2837"/>
    </row>
    <row r="936" spans="1:10">
      <c r="A936" s="2908"/>
      <c r="B936" s="2812">
        <f>'Input Data'!$D$25</f>
        <v>0</v>
      </c>
      <c r="C936" s="2813"/>
      <c r="D936" s="2913" t="str">
        <f>"Over head charges "&amp;'Input Data'!$D$25*100&amp;"%  on (A) + (B)+(C)+(D)"</f>
        <v>Over head charges 0%  on (A) + (B)+(C)+(D)</v>
      </c>
      <c r="E936" s="2914"/>
      <c r="F936" s="2915"/>
      <c r="G936" s="2799"/>
      <c r="H936" s="2813">
        <f>J934</f>
        <v>1943.93</v>
      </c>
      <c r="I936" s="2835"/>
      <c r="J936" s="2836">
        <f>H936*B936</f>
        <v>0</v>
      </c>
    </row>
    <row r="937" spans="1:10">
      <c r="A937" s="2908"/>
      <c r="B937" s="2813"/>
      <c r="C937" s="2813"/>
      <c r="D937" s="3003"/>
      <c r="E937" s="3003"/>
      <c r="F937" s="3003"/>
      <c r="G937" s="2799"/>
      <c r="H937" s="2813"/>
      <c r="I937" s="2835"/>
      <c r="J937" s="2836"/>
    </row>
    <row r="938" spans="1:10">
      <c r="A938" s="2908"/>
      <c r="B938" s="2813">
        <v>10</v>
      </c>
      <c r="C938" s="2813" t="s">
        <v>29</v>
      </c>
      <c r="D938" s="2913" t="s">
        <v>30</v>
      </c>
      <c r="E938" s="2914"/>
      <c r="F938" s="2915"/>
      <c r="G938" s="2799"/>
      <c r="H938" s="2813">
        <f>J934+J936</f>
        <v>1943.93</v>
      </c>
      <c r="I938" s="2835"/>
      <c r="J938" s="2836">
        <f>ROUND(B938*H938/100,2)</f>
        <v>194.39</v>
      </c>
    </row>
    <row r="939" spans="1:10">
      <c r="A939" s="2908"/>
      <c r="B939" s="2813"/>
      <c r="C939" s="2813"/>
      <c r="D939" s="3003"/>
      <c r="E939" s="3003"/>
      <c r="F939" s="3003"/>
      <c r="G939" s="2799"/>
      <c r="H939" s="2813"/>
      <c r="I939" s="2835"/>
      <c r="J939" s="2836"/>
    </row>
    <row r="940" spans="1:10">
      <c r="A940" s="2908"/>
      <c r="B940" s="2916"/>
      <c r="C940" s="2916"/>
      <c r="D940" s="3003" t="s">
        <v>263</v>
      </c>
      <c r="E940" s="3003"/>
      <c r="F940" s="3003"/>
      <c r="G940" s="2799"/>
      <c r="H940" s="2813"/>
      <c r="I940" s="2813"/>
      <c r="J940" s="2832"/>
    </row>
    <row r="941" spans="1:10">
      <c r="A941" s="2908"/>
      <c r="B941" s="2917">
        <f>0.05*1.05</f>
        <v>5.2500000000000005E-2</v>
      </c>
      <c r="C941" s="2803" t="s">
        <v>31</v>
      </c>
      <c r="D941" s="2815"/>
      <c r="E941" s="2815"/>
      <c r="F941" s="2815"/>
      <c r="G941" s="2815"/>
      <c r="H941" s="2813">
        <v>0</v>
      </c>
      <c r="I941" s="2813">
        <v>1</v>
      </c>
      <c r="J941" s="2832">
        <f>ROUND(B941*H941,2)</f>
        <v>0</v>
      </c>
    </row>
    <row r="942" spans="1:10">
      <c r="A942" s="2908"/>
      <c r="B942" s="2813"/>
      <c r="C942" s="2813"/>
      <c r="D942" s="3003"/>
      <c r="E942" s="3003"/>
      <c r="F942" s="3003"/>
      <c r="G942" s="2799"/>
      <c r="H942" s="2813"/>
      <c r="I942" s="2835"/>
      <c r="J942" s="2837"/>
    </row>
    <row r="943" spans="1:10">
      <c r="A943" s="2908"/>
      <c r="B943" s="2814">
        <v>30</v>
      </c>
      <c r="C943" s="2813" t="s">
        <v>107</v>
      </c>
      <c r="D943" s="2918" t="str">
        <f>CONCATENATE("TOTAL Cost for ",B943,"  ",C943,"  =  (A+B+C+D+E)",)</f>
        <v>TOTAL Cost for 30  RM  =  (A+B+C+D+E)</v>
      </c>
      <c r="E943" s="2919"/>
      <c r="F943" s="2920"/>
      <c r="G943" s="2809"/>
      <c r="H943" s="2813"/>
      <c r="I943" s="2813"/>
      <c r="J943" s="2836">
        <f>SUM(J934:J938)</f>
        <v>2138.3200000000002</v>
      </c>
    </row>
    <row r="944" spans="1:10">
      <c r="A944" s="2908"/>
      <c r="B944" s="2813"/>
      <c r="C944" s="2813"/>
      <c r="D944" s="3007" t="str">
        <f>CONCATENATE("Rate per  1  ",C943)</f>
        <v>Rate per  1  RM</v>
      </c>
      <c r="E944" s="3007"/>
      <c r="F944" s="3007"/>
      <c r="G944" s="2815"/>
      <c r="H944" s="2813"/>
      <c r="I944" s="2813"/>
      <c r="J944" s="2832">
        <f>J943/B943</f>
        <v>71.277333333333345</v>
      </c>
    </row>
    <row r="945" spans="1:10">
      <c r="A945" s="2908"/>
      <c r="B945" s="2803"/>
      <c r="C945" s="2803"/>
      <c r="D945" s="3003" t="str">
        <f>D944</f>
        <v>Rate per  1  RM</v>
      </c>
      <c r="E945" s="3003"/>
      <c r="F945" s="3003"/>
      <c r="G945" s="2799"/>
      <c r="H945" s="2813"/>
      <c r="I945" s="2813"/>
      <c r="J945" s="2834">
        <f>ROUND(J944,0)</f>
        <v>71</v>
      </c>
    </row>
    <row r="946" spans="1:10">
      <c r="D946" s="2793"/>
      <c r="H946" s="2807"/>
      <c r="I946" s="2807"/>
      <c r="J946" s="2847"/>
    </row>
    <row r="947" spans="1:10">
      <c r="B947" s="2794"/>
      <c r="C947" s="2793"/>
      <c r="D947" s="2866"/>
      <c r="F947" s="2793"/>
      <c r="G947" s="2793"/>
      <c r="H947" s="2811"/>
      <c r="I947" s="2793"/>
      <c r="J947" s="2876"/>
    </row>
    <row r="951" spans="1:10" ht="110.25" customHeight="1">
      <c r="A951" s="2865">
        <v>7.15</v>
      </c>
      <c r="B951" s="3008" t="s">
        <v>264</v>
      </c>
      <c r="C951" s="3008"/>
      <c r="D951" s="3008"/>
      <c r="E951" s="3008"/>
      <c r="F951" s="3008"/>
      <c r="G951" s="3008"/>
      <c r="H951" s="3008"/>
      <c r="I951" s="3008"/>
      <c r="J951" s="3008"/>
    </row>
    <row r="952" spans="1:10">
      <c r="A952" s="2879"/>
      <c r="B952" s="2798"/>
      <c r="C952" s="2798"/>
      <c r="D952" s="3030" t="s">
        <v>203</v>
      </c>
      <c r="E952" s="3030"/>
      <c r="F952" s="3030"/>
      <c r="G952" s="3030"/>
      <c r="H952" s="2798"/>
      <c r="I952" s="2798"/>
      <c r="J952" s="2831"/>
    </row>
    <row r="953" spans="1:10">
      <c r="A953" s="2879"/>
      <c r="B953" s="2798"/>
      <c r="C953" s="2803"/>
      <c r="D953" s="3030" t="s">
        <v>265</v>
      </c>
      <c r="E953" s="3030"/>
      <c r="F953" s="3030"/>
      <c r="G953" s="3030"/>
      <c r="H953" s="2798"/>
      <c r="I953" s="2798"/>
      <c r="J953" s="2831"/>
    </row>
    <row r="954" spans="1:10" ht="15.75" customHeight="1">
      <c r="A954" s="2879"/>
      <c r="B954" s="2921" t="s">
        <v>266</v>
      </c>
      <c r="C954" s="2922"/>
      <c r="D954" s="2922"/>
      <c r="E954" s="2819" t="s">
        <v>267</v>
      </c>
      <c r="F954" s="2922"/>
      <c r="G954" s="2922"/>
      <c r="H954" s="2922"/>
      <c r="I954" s="2922"/>
      <c r="J954" s="2923"/>
    </row>
    <row r="955" spans="1:10">
      <c r="D955" s="2793" t="s">
        <v>10</v>
      </c>
      <c r="J955" s="2787"/>
    </row>
    <row r="956" spans="1:10">
      <c r="D956" s="2793" t="s">
        <v>268</v>
      </c>
      <c r="J956" s="2787"/>
    </row>
    <row r="957" spans="1:10">
      <c r="B957" s="2821" t="s">
        <v>36</v>
      </c>
      <c r="C957" s="2828" t="s">
        <v>37</v>
      </c>
      <c r="J957" s="2787"/>
    </row>
    <row r="958" spans="1:10">
      <c r="A958" s="2879"/>
      <c r="B958" s="2803">
        <v>0.94</v>
      </c>
      <c r="C958" s="2881" t="s">
        <v>13</v>
      </c>
      <c r="D958" s="3004" t="s">
        <v>14</v>
      </c>
      <c r="E958" s="3004"/>
      <c r="F958" s="3004"/>
      <c r="G958" s="3004"/>
      <c r="H958" s="2813">
        <f>'SSR-rates'!$I$58</f>
        <v>490</v>
      </c>
      <c r="I958" s="2803">
        <v>1</v>
      </c>
      <c r="J958" s="2832">
        <f>ROUND(B958*H958,2)</f>
        <v>460.6</v>
      </c>
    </row>
    <row r="959" spans="1:10">
      <c r="B959" s="2811">
        <v>3.5</v>
      </c>
      <c r="C959" s="2790" t="s">
        <v>57</v>
      </c>
      <c r="D959" s="2793" t="s">
        <v>58</v>
      </c>
      <c r="H959" s="2807">
        <f>'SSR-rates'!I59</f>
        <v>524</v>
      </c>
      <c r="I959" s="2822" t="s">
        <v>38</v>
      </c>
      <c r="J959" s="2811">
        <f>ROUND(B959*H959,2)</f>
        <v>1834</v>
      </c>
    </row>
    <row r="960" spans="1:10">
      <c r="B960" s="2811">
        <v>20</v>
      </c>
      <c r="C960" s="2790" t="s">
        <v>57</v>
      </c>
      <c r="D960" s="2793" t="s">
        <v>59</v>
      </c>
      <c r="H960" s="2807">
        <f>'SSR-rates'!I$60</f>
        <v>490</v>
      </c>
      <c r="I960" s="2822" t="s">
        <v>38</v>
      </c>
      <c r="J960" s="2811">
        <f>ROUND(B960*H960,2)</f>
        <v>9800</v>
      </c>
    </row>
    <row r="961" spans="1:12">
      <c r="A961" s="2819"/>
      <c r="B961" s="2808">
        <f>'Input Data'!$D$23</f>
        <v>0</v>
      </c>
      <c r="C961" s="2794"/>
      <c r="D961" s="2787" t="s">
        <v>17</v>
      </c>
      <c r="F961" s="2790"/>
      <c r="G961" s="2790"/>
      <c r="H961" s="2807">
        <f>SUM(J958:J960)</f>
        <v>12094.6</v>
      </c>
      <c r="I961" s="2822"/>
      <c r="J961" s="2807">
        <f>B961*H961</f>
        <v>0</v>
      </c>
    </row>
    <row r="962" spans="1:12">
      <c r="B962" s="2811"/>
      <c r="C962" s="2790"/>
      <c r="D962" s="2793" t="s">
        <v>60</v>
      </c>
      <c r="H962" s="2807"/>
      <c r="I962" s="2807"/>
      <c r="J962" s="2811">
        <f>SUM(J958:J961)</f>
        <v>12094.6</v>
      </c>
    </row>
    <row r="963" spans="1:12">
      <c r="B963" s="2821" t="s">
        <v>39</v>
      </c>
      <c r="C963" s="2828" t="s">
        <v>61</v>
      </c>
      <c r="H963" s="2807"/>
      <c r="I963" s="2807"/>
      <c r="J963" s="2807"/>
    </row>
    <row r="964" spans="1:12">
      <c r="B964" s="2811">
        <v>64.8</v>
      </c>
      <c r="C964" s="2790" t="s">
        <v>31</v>
      </c>
      <c r="D964" s="2787" t="s">
        <v>63</v>
      </c>
      <c r="H964" s="2807">
        <f>lead!$J$16</f>
        <v>2005.5179333714741</v>
      </c>
      <c r="I964" s="2807" t="s">
        <v>31</v>
      </c>
      <c r="J964" s="2807">
        <f>ROUND(B964*H964,2)</f>
        <v>129957.56</v>
      </c>
    </row>
    <row r="965" spans="1:12">
      <c r="B965" s="2811">
        <v>43.2</v>
      </c>
      <c r="C965" s="2790" t="s">
        <v>31</v>
      </c>
      <c r="D965" s="2787" t="s">
        <v>64</v>
      </c>
      <c r="H965" s="2807">
        <f>lead!$J$18</f>
        <v>1754.5179333714741</v>
      </c>
      <c r="I965" s="2807" t="s">
        <v>31</v>
      </c>
      <c r="J965" s="2807">
        <f>ROUND(B965*H965,2)</f>
        <v>75795.17</v>
      </c>
    </row>
    <row r="966" spans="1:12">
      <c r="B966" s="2811">
        <v>54</v>
      </c>
      <c r="C966" s="2790" t="s">
        <v>31</v>
      </c>
      <c r="D966" s="2793" t="s">
        <v>65</v>
      </c>
      <c r="H966" s="2807">
        <f>lead!J12</f>
        <v>1658.7679333714741</v>
      </c>
      <c r="I966" s="2807" t="s">
        <v>31</v>
      </c>
      <c r="J966" s="2807">
        <f>ROUND(B966*H966,2)</f>
        <v>89573.47</v>
      </c>
    </row>
    <row r="967" spans="1:12">
      <c r="B967" s="2924">
        <v>51.6</v>
      </c>
      <c r="C967" s="2790" t="s">
        <v>66</v>
      </c>
      <c r="D967" s="2793" t="s">
        <v>67</v>
      </c>
      <c r="H967" s="2807">
        <f>lead!$J$36</f>
        <v>5000</v>
      </c>
      <c r="I967" s="2807" t="s">
        <v>66</v>
      </c>
      <c r="J967" s="2807">
        <f>ROUND(B967*H967,2)</f>
        <v>258000</v>
      </c>
    </row>
    <row r="968" spans="1:12">
      <c r="B968" s="2924">
        <v>25.8</v>
      </c>
      <c r="C968" s="2790" t="s">
        <v>191</v>
      </c>
      <c r="D968" s="972" t="s">
        <v>269</v>
      </c>
      <c r="H968" s="2807">
        <v>95</v>
      </c>
      <c r="I968" s="2807" t="s">
        <v>270</v>
      </c>
      <c r="J968" s="2807">
        <f>ROUND(B968*H968,2)</f>
        <v>2451</v>
      </c>
    </row>
    <row r="969" spans="1:12">
      <c r="B969" s="2924"/>
      <c r="C969" s="2790"/>
      <c r="D969" s="972" t="s">
        <v>271</v>
      </c>
      <c r="H969" s="2807"/>
      <c r="I969" s="2807"/>
      <c r="J969" s="2807"/>
    </row>
    <row r="970" spans="1:12">
      <c r="B970" s="2793"/>
      <c r="D970" s="2793" t="s">
        <v>60</v>
      </c>
      <c r="H970" s="2807"/>
      <c r="I970" s="2807"/>
      <c r="J970" s="2807">
        <f>SUM(J964:J968)</f>
        <v>555777.19999999995</v>
      </c>
    </row>
    <row r="971" spans="1:12">
      <c r="B971" s="2821" t="s">
        <v>27</v>
      </c>
      <c r="C971" s="2828" t="s">
        <v>40</v>
      </c>
      <c r="H971" s="2807"/>
      <c r="I971" s="2807"/>
      <c r="J971" s="2807"/>
    </row>
    <row r="972" spans="1:12" s="2788" customFormat="1">
      <c r="A972" s="2851"/>
      <c r="B972" s="2857">
        <v>6</v>
      </c>
      <c r="C972" s="2851" t="s">
        <v>41</v>
      </c>
      <c r="D972" s="2788" t="s">
        <v>171</v>
      </c>
      <c r="H972" s="2858">
        <f>'SSR-rates'!$I$100</f>
        <v>1205.8</v>
      </c>
      <c r="I972" s="2858" t="s">
        <v>41</v>
      </c>
      <c r="J972" s="2858">
        <f t="shared" ref="J972:J977" si="3">ROUND(B972*H972,2)</f>
        <v>7234.8</v>
      </c>
      <c r="L972" s="2858"/>
    </row>
    <row r="973" spans="1:12" s="2788" customFormat="1">
      <c r="A973" s="2851"/>
      <c r="B973" s="2857">
        <v>6</v>
      </c>
      <c r="C973" s="2851" t="s">
        <v>41</v>
      </c>
      <c r="D973" s="2788" t="s">
        <v>172</v>
      </c>
      <c r="H973" s="2858">
        <f>'SSR-rates'!$I$102</f>
        <v>1261</v>
      </c>
      <c r="I973" s="2858" t="s">
        <v>41</v>
      </c>
      <c r="J973" s="2858">
        <f t="shared" si="3"/>
        <v>7566</v>
      </c>
    </row>
    <row r="974" spans="1:12" s="2788" customFormat="1">
      <c r="A974" s="2851"/>
      <c r="B974" s="2857">
        <v>6</v>
      </c>
      <c r="C974" s="2851" t="s">
        <v>41</v>
      </c>
      <c r="D974" s="2788" t="s">
        <v>173</v>
      </c>
      <c r="H974" s="2858">
        <f>'SSR-rates'!$I$65</f>
        <v>1844</v>
      </c>
      <c r="I974" s="2858" t="s">
        <v>41</v>
      </c>
      <c r="J974" s="2858">
        <f t="shared" si="3"/>
        <v>11064</v>
      </c>
    </row>
    <row r="975" spans="1:12" s="2788" customFormat="1">
      <c r="A975" s="2851"/>
      <c r="B975" s="2857">
        <v>15</v>
      </c>
      <c r="C975" s="2851" t="s">
        <v>41</v>
      </c>
      <c r="D975" s="2788" t="s">
        <v>174</v>
      </c>
      <c r="H975" s="2858">
        <f>'SSR-rates'!$I$104</f>
        <v>2532.4</v>
      </c>
      <c r="I975" s="2858" t="s">
        <v>41</v>
      </c>
      <c r="J975" s="2858">
        <f t="shared" si="3"/>
        <v>37986</v>
      </c>
    </row>
    <row r="976" spans="1:12" s="2788" customFormat="1">
      <c r="A976" s="2851"/>
      <c r="B976" s="2857">
        <v>300</v>
      </c>
      <c r="C976" s="2851" t="s">
        <v>180</v>
      </c>
      <c r="D976" s="3061" t="s">
        <v>176</v>
      </c>
      <c r="E976" s="3061"/>
      <c r="F976" s="3061"/>
      <c r="G976" s="3061"/>
      <c r="H976" s="2858">
        <v>0</v>
      </c>
      <c r="I976" s="2858" t="s">
        <v>41</v>
      </c>
      <c r="J976" s="2858">
        <f t="shared" si="3"/>
        <v>0</v>
      </c>
    </row>
    <row r="977" spans="1:10" s="2788" customFormat="1">
      <c r="A977" s="2851"/>
      <c r="B977" s="2857">
        <v>6</v>
      </c>
      <c r="C977" s="2851" t="s">
        <v>41</v>
      </c>
      <c r="D977" s="2852" t="s">
        <v>177</v>
      </c>
      <c r="H977" s="2858">
        <f>'SSR-rates'!$I$106</f>
        <v>899</v>
      </c>
      <c r="I977" s="2858" t="s">
        <v>41</v>
      </c>
      <c r="J977" s="2858">
        <f t="shared" si="3"/>
        <v>5394</v>
      </c>
    </row>
    <row r="978" spans="1:10">
      <c r="B978" s="2811"/>
      <c r="C978" s="2794"/>
      <c r="D978" s="2793" t="s">
        <v>60</v>
      </c>
      <c r="H978" s="2807"/>
      <c r="I978" s="2807"/>
      <c r="J978" s="2807">
        <f>SUM(J972:J977)</f>
        <v>69244.800000000003</v>
      </c>
    </row>
    <row r="979" spans="1:10">
      <c r="B979" s="2821" t="s">
        <v>45</v>
      </c>
      <c r="C979" s="2828" t="s">
        <v>71</v>
      </c>
      <c r="H979" s="2807"/>
      <c r="I979" s="2807"/>
      <c r="J979" s="2807"/>
    </row>
    <row r="980" spans="1:10">
      <c r="B980" s="2793">
        <v>10</v>
      </c>
      <c r="C980" s="2790" t="s">
        <v>29</v>
      </c>
      <c r="D980" s="2787" t="s">
        <v>181</v>
      </c>
      <c r="H980" s="2807">
        <f>J962+J970+J978</f>
        <v>637116.6</v>
      </c>
      <c r="I980" s="2822" t="s">
        <v>73</v>
      </c>
      <c r="J980" s="2807">
        <f>ROUND(B980*H980/100,2)</f>
        <v>63711.66</v>
      </c>
    </row>
    <row r="981" spans="1:10">
      <c r="A981" s="2819"/>
      <c r="B981" s="2821" t="s">
        <v>47</v>
      </c>
      <c r="C981" s="2819" t="s">
        <v>272</v>
      </c>
      <c r="F981" s="2790"/>
      <c r="G981" s="2790"/>
      <c r="H981" s="2790"/>
      <c r="I981" s="2790"/>
      <c r="J981" s="2847"/>
    </row>
    <row r="982" spans="1:10">
      <c r="A982" s="2819"/>
      <c r="B982" s="2812">
        <f>'Input Data'!$D$24</f>
        <v>0.13614999999999999</v>
      </c>
      <c r="C982" s="2794" t="s">
        <v>273</v>
      </c>
      <c r="D982" s="2793"/>
      <c r="F982" s="2790"/>
      <c r="G982" s="2790"/>
      <c r="H982" s="2794">
        <f>J980+J978+J970+J962</f>
        <v>700828.25999999989</v>
      </c>
      <c r="I982" s="2790"/>
      <c r="J982" s="2807"/>
    </row>
    <row r="983" spans="1:10">
      <c r="A983" s="2819"/>
      <c r="B983" s="2821" t="s">
        <v>76</v>
      </c>
      <c r="C983" s="2819" t="s">
        <v>77</v>
      </c>
      <c r="F983" s="2790"/>
      <c r="G983" s="2790"/>
      <c r="H983" s="2790"/>
      <c r="I983" s="2790"/>
      <c r="J983" s="2876">
        <f>J962+J970+J978+J980+J982</f>
        <v>700828.26</v>
      </c>
    </row>
    <row r="984" spans="1:10">
      <c r="A984" s="2819"/>
      <c r="B984" s="2821" t="s">
        <v>78</v>
      </c>
      <c r="C984" s="2819" t="s">
        <v>79</v>
      </c>
      <c r="F984" s="2790"/>
      <c r="G984" s="2790"/>
      <c r="H984" s="2790"/>
      <c r="I984" s="2790"/>
      <c r="J984" s="2847"/>
    </row>
    <row r="985" spans="1:10">
      <c r="B985" s="2811"/>
      <c r="C985" s="2790"/>
      <c r="D985" s="2828" t="s">
        <v>158</v>
      </c>
      <c r="H985" s="2807"/>
      <c r="I985" s="2807"/>
      <c r="J985" s="2876">
        <f>SUM(J983:J984)</f>
        <v>700828.26</v>
      </c>
    </row>
    <row r="986" spans="1:10">
      <c r="B986" s="2811"/>
      <c r="C986" s="2790"/>
      <c r="D986" s="2793" t="s">
        <v>81</v>
      </c>
      <c r="H986" s="2807"/>
      <c r="I986" s="2807"/>
      <c r="J986" s="2807">
        <f>ROUND(J985/120,2)</f>
        <v>5840.24</v>
      </c>
    </row>
    <row r="987" spans="1:10">
      <c r="D987" s="2793" t="s">
        <v>52</v>
      </c>
      <c r="H987" s="2807"/>
      <c r="I987" s="2807"/>
      <c r="J987" s="2848">
        <f>ROUND(J986,0)</f>
        <v>5840</v>
      </c>
    </row>
    <row r="988" spans="1:10">
      <c r="D988" s="2793"/>
      <c r="H988" s="2807"/>
      <c r="I988" s="2807"/>
      <c r="J988" s="2847" t="s">
        <v>53</v>
      </c>
    </row>
    <row r="989" spans="1:10">
      <c r="D989" s="2793"/>
      <c r="H989" s="2807"/>
      <c r="I989" s="2807"/>
      <c r="J989" s="2847"/>
    </row>
    <row r="990" spans="1:10">
      <c r="D990" s="3003" t="s">
        <v>274</v>
      </c>
      <c r="E990" s="3003"/>
      <c r="F990" s="3003"/>
      <c r="G990" s="3003"/>
      <c r="H990" s="2807"/>
      <c r="I990" s="2807"/>
      <c r="J990" s="2847"/>
    </row>
    <row r="991" spans="1:10">
      <c r="B991" s="2803">
        <v>3</v>
      </c>
      <c r="C991" s="2881" t="s">
        <v>73</v>
      </c>
      <c r="D991" s="3004" t="s">
        <v>275</v>
      </c>
      <c r="E991" s="3004"/>
      <c r="F991" s="3004"/>
      <c r="G991" s="3004"/>
      <c r="H991" s="2813">
        <f>$J$987</f>
        <v>5840</v>
      </c>
      <c r="I991" s="2803">
        <v>1</v>
      </c>
      <c r="J991" s="2834">
        <f>ROUND(B991*H991,2)</f>
        <v>17520</v>
      </c>
    </row>
    <row r="992" spans="1:10">
      <c r="A992" s="2879"/>
      <c r="B992" s="2798"/>
      <c r="C992" s="2804"/>
      <c r="D992" s="3003" t="s">
        <v>262</v>
      </c>
      <c r="E992" s="3003"/>
      <c r="F992" s="3003"/>
      <c r="G992" s="3003"/>
      <c r="H992" s="2798"/>
      <c r="I992" s="2798"/>
      <c r="J992" s="2831"/>
    </row>
    <row r="993" spans="1:10">
      <c r="A993" s="2879"/>
      <c r="B993" s="2803">
        <v>0.04</v>
      </c>
      <c r="C993" s="2881" t="s">
        <v>13</v>
      </c>
      <c r="D993" s="3004" t="s">
        <v>14</v>
      </c>
      <c r="E993" s="3004"/>
      <c r="F993" s="3004"/>
      <c r="G993" s="3004"/>
      <c r="H993" s="2813">
        <f>'SSR-rates'!$I$58</f>
        <v>490</v>
      </c>
      <c r="I993" s="2803">
        <v>1</v>
      </c>
      <c r="J993" s="2832">
        <f>ROUND(B993*H993,2)</f>
        <v>19.600000000000001</v>
      </c>
    </row>
    <row r="994" spans="1:10">
      <c r="A994" s="2879"/>
      <c r="B994" s="2803">
        <v>1</v>
      </c>
      <c r="C994" s="2881" t="s">
        <v>13</v>
      </c>
      <c r="D994" s="3004" t="s">
        <v>59</v>
      </c>
      <c r="E994" s="3004"/>
      <c r="F994" s="3004"/>
      <c r="G994" s="3004"/>
      <c r="H994" s="2813">
        <f>'SSR-rates'!$I$60</f>
        <v>490</v>
      </c>
      <c r="I994" s="2803">
        <v>1</v>
      </c>
      <c r="J994" s="2832">
        <f>ROUND(B994*H994,2)</f>
        <v>490</v>
      </c>
    </row>
    <row r="995" spans="1:10" ht="15" customHeight="1">
      <c r="A995" s="2879"/>
      <c r="B995" s="2808">
        <f>'Input Data'!$D$23</f>
        <v>0</v>
      </c>
      <c r="C995" s="2794"/>
      <c r="D995" s="2787" t="s">
        <v>17</v>
      </c>
      <c r="F995" s="2790"/>
      <c r="G995" s="2790"/>
      <c r="H995" s="2807"/>
      <c r="I995" s="2822"/>
      <c r="J995" s="2807">
        <f>B995*H995</f>
        <v>0</v>
      </c>
    </row>
    <row r="996" spans="1:10">
      <c r="A996" s="2879"/>
      <c r="B996" s="2803"/>
      <c r="C996" s="2882"/>
      <c r="D996" s="3005" t="s">
        <v>18</v>
      </c>
      <c r="E996" s="3005"/>
      <c r="F996" s="3005"/>
      <c r="G996" s="3005"/>
      <c r="H996" s="2803"/>
      <c r="I996" s="2833" t="s">
        <v>19</v>
      </c>
      <c r="J996" s="2834">
        <f>SUM(J993:J995)</f>
        <v>509.6</v>
      </c>
    </row>
    <row r="997" spans="1:10">
      <c r="A997" s="2879"/>
      <c r="B997" s="2803"/>
      <c r="C997" s="2883"/>
      <c r="D997" s="3003" t="s">
        <v>189</v>
      </c>
      <c r="E997" s="3003"/>
      <c r="F997" s="3003"/>
      <c r="G997" s="3003"/>
      <c r="H997" s="2803"/>
      <c r="I997" s="2803"/>
      <c r="J997" s="2832"/>
    </row>
    <row r="998" spans="1:10">
      <c r="A998" s="2879"/>
      <c r="B998" s="2803">
        <v>0.28000000000000003</v>
      </c>
      <c r="C998" s="2881" t="s">
        <v>66</v>
      </c>
      <c r="D998" s="3004" t="s">
        <v>190</v>
      </c>
      <c r="E998" s="3004"/>
      <c r="F998" s="3004"/>
      <c r="G998" s="3004"/>
      <c r="H998" s="2803">
        <f>lead!$J$37</f>
        <v>49000</v>
      </c>
      <c r="I998" s="2803">
        <v>1</v>
      </c>
      <c r="J998" s="2832">
        <f>ROUND(B998*H998,2)</f>
        <v>13720</v>
      </c>
    </row>
    <row r="999" spans="1:10">
      <c r="A999" s="2879"/>
      <c r="B999" s="2803">
        <v>0.32</v>
      </c>
      <c r="C999" s="2881" t="s">
        <v>191</v>
      </c>
      <c r="D999" s="3007" t="s">
        <v>276</v>
      </c>
      <c r="E999" s="3007"/>
      <c r="F999" s="3007"/>
      <c r="G999" s="3007"/>
      <c r="H999" s="2803">
        <v>724.9</v>
      </c>
      <c r="I999" s="2803">
        <v>1</v>
      </c>
      <c r="J999" s="2832">
        <f>H999*B999</f>
        <v>231.96799999999999</v>
      </c>
    </row>
    <row r="1000" spans="1:10">
      <c r="A1000" s="2879"/>
      <c r="B1000" s="2803"/>
      <c r="C1000" s="2882"/>
      <c r="D1000" s="3005" t="s">
        <v>18</v>
      </c>
      <c r="E1000" s="3005"/>
      <c r="F1000" s="3005"/>
      <c r="G1000" s="3005"/>
      <c r="H1000" s="2803"/>
      <c r="I1000" s="2833" t="s">
        <v>25</v>
      </c>
      <c r="J1000" s="2834">
        <f>SUM(J998:J999)</f>
        <v>13951.968000000001</v>
      </c>
    </row>
    <row r="1001" spans="1:10">
      <c r="A1001" s="2879"/>
      <c r="B1001" s="2813"/>
      <c r="C1001" s="2884"/>
      <c r="D1001" s="3003" t="s">
        <v>26</v>
      </c>
      <c r="E1001" s="3003"/>
      <c r="F1001" s="3003"/>
      <c r="G1001" s="3003"/>
      <c r="H1001" s="2813"/>
      <c r="I1001" s="2895"/>
      <c r="J1001" s="2837">
        <f>J996+J1000+J991</f>
        <v>31981.567999999999</v>
      </c>
    </row>
    <row r="1002" spans="1:10">
      <c r="A1002" s="2879"/>
      <c r="B1002" s="2814">
        <v>5</v>
      </c>
      <c r="C1002" s="2884" t="s">
        <v>29</v>
      </c>
      <c r="D1002" s="3003" t="s">
        <v>193</v>
      </c>
      <c r="E1002" s="3003"/>
      <c r="F1002" s="3003"/>
      <c r="G1002" s="3003"/>
      <c r="H1002" s="2813">
        <f>J1001</f>
        <v>31981.567999999999</v>
      </c>
      <c r="I1002" s="2835"/>
      <c r="J1002" s="2836">
        <f>ROUND(B1002*H1002/100,2)</f>
        <v>1599.08</v>
      </c>
    </row>
    <row r="1003" spans="1:10">
      <c r="A1003" s="2879"/>
      <c r="B1003" s="2813"/>
      <c r="C1003" s="2884"/>
      <c r="D1003" s="3003"/>
      <c r="E1003" s="3003"/>
      <c r="F1003" s="3003"/>
      <c r="G1003" s="3003"/>
      <c r="H1003" s="2813"/>
      <c r="I1003" s="2835"/>
      <c r="J1003" s="2836"/>
    </row>
    <row r="1004" spans="1:10">
      <c r="A1004" s="2879"/>
      <c r="B1004" s="2813">
        <v>10</v>
      </c>
      <c r="C1004" s="2884" t="s">
        <v>29</v>
      </c>
      <c r="D1004" s="3003" t="s">
        <v>30</v>
      </c>
      <c r="E1004" s="3003"/>
      <c r="F1004" s="3003"/>
      <c r="G1004" s="3003"/>
      <c r="H1004" s="2813">
        <f>J1001+J1002</f>
        <v>33580.648000000001</v>
      </c>
      <c r="I1004" s="2835"/>
      <c r="J1004" s="2836">
        <f>ROUND(B1004*H1004/100,2)</f>
        <v>3358.06</v>
      </c>
    </row>
    <row r="1005" spans="1:10">
      <c r="A1005" s="2879"/>
      <c r="B1005" s="2813"/>
      <c r="C1005" s="2884"/>
      <c r="D1005" s="3003"/>
      <c r="E1005" s="3003"/>
      <c r="F1005" s="3003"/>
      <c r="G1005" s="3003"/>
      <c r="H1005" s="2813"/>
      <c r="I1005" s="2835"/>
      <c r="J1005" s="2837"/>
    </row>
    <row r="1006" spans="1:10">
      <c r="A1006" s="2879"/>
      <c r="B1006" s="2814">
        <v>10</v>
      </c>
      <c r="C1006" s="2884" t="s">
        <v>107</v>
      </c>
      <c r="D1006" s="3005" t="str">
        <f>CONCATENATE("TOTAL Cost for ",B1006,"  ",C1006,"  =  (A+B+C+D)",)</f>
        <v>TOTAL Cost for 10  RM  =  (A+B+C+D)</v>
      </c>
      <c r="E1006" s="3005"/>
      <c r="F1006" s="3005"/>
      <c r="G1006" s="3005"/>
      <c r="H1006" s="2813"/>
      <c r="I1006" s="2813"/>
      <c r="J1006" s="2836">
        <f>SUM(J1001:J1004)</f>
        <v>36938.707999999999</v>
      </c>
    </row>
    <row r="1007" spans="1:10">
      <c r="A1007" s="2879"/>
      <c r="B1007" s="2813"/>
      <c r="C1007" s="2813"/>
      <c r="D1007" s="3007" t="str">
        <f>CONCATENATE("Rate per  1 ",C1006)</f>
        <v>Rate per  1 RM</v>
      </c>
      <c r="E1007" s="3007"/>
      <c r="F1007" s="3007"/>
      <c r="G1007" s="3007"/>
      <c r="H1007" s="2813"/>
      <c r="I1007" s="2813"/>
      <c r="J1007" s="2832">
        <f>J1006/B1006</f>
        <v>3693.8707999999997</v>
      </c>
    </row>
    <row r="1008" spans="1:10">
      <c r="A1008" s="2879"/>
      <c r="B1008" s="2803"/>
      <c r="C1008" s="2803"/>
      <c r="D1008" s="3029" t="str">
        <f>D1007</f>
        <v>Rate per  1 RM</v>
      </c>
      <c r="E1008" s="3029"/>
      <c r="F1008" s="3029"/>
      <c r="G1008" s="3029"/>
      <c r="H1008" s="2813"/>
      <c r="I1008" s="2813"/>
      <c r="J1008" s="2834">
        <f>ROUND(J1007,0)</f>
        <v>3694</v>
      </c>
    </row>
    <row r="1013" spans="1:10" s="2788" customFormat="1" ht="111" customHeight="1">
      <c r="A1013" s="2850">
        <v>7.17</v>
      </c>
      <c r="B1013" s="3020" t="s">
        <v>277</v>
      </c>
      <c r="C1013" s="3020"/>
      <c r="D1013" s="3020"/>
      <c r="E1013" s="3020"/>
      <c r="F1013" s="3020"/>
      <c r="G1013" s="3020"/>
      <c r="H1013" s="3020"/>
      <c r="I1013" s="3020"/>
      <c r="J1013" s="3020"/>
    </row>
    <row r="1014" spans="1:10" s="2788" customFormat="1" ht="15.75">
      <c r="A1014" s="2851"/>
      <c r="D1014" s="2852" t="s">
        <v>102</v>
      </c>
      <c r="F1014" s="2853" t="s">
        <v>103</v>
      </c>
    </row>
    <row r="1015" spans="1:10" s="2788" customFormat="1">
      <c r="A1015" s="2851"/>
      <c r="D1015" s="2852" t="s">
        <v>104</v>
      </c>
    </row>
    <row r="1016" spans="1:10" s="2788" customFormat="1" ht="15.75">
      <c r="A1016" s="2851"/>
      <c r="D1016" s="2854" t="s">
        <v>105</v>
      </c>
    </row>
    <row r="1017" spans="1:10" s="2788" customFormat="1" ht="15.75">
      <c r="A1017" s="2851"/>
      <c r="B1017" s="2855" t="s">
        <v>36</v>
      </c>
      <c r="C1017" s="2856" t="s">
        <v>37</v>
      </c>
    </row>
    <row r="1018" spans="1:10" s="2788" customFormat="1">
      <c r="A1018" s="2851"/>
      <c r="B1018" s="2857">
        <v>0.36</v>
      </c>
      <c r="C1018" s="2851" t="s">
        <v>106</v>
      </c>
      <c r="D1018" s="2852" t="s">
        <v>14</v>
      </c>
      <c r="H1018" s="2858">
        <f>'SSR-rates'!$I$58</f>
        <v>490</v>
      </c>
      <c r="I1018" s="2862" t="s">
        <v>38</v>
      </c>
      <c r="J1018" s="2858">
        <f>ROUND(B1018*H1018,2)</f>
        <v>176.4</v>
      </c>
    </row>
    <row r="1019" spans="1:10" s="2788" customFormat="1">
      <c r="A1019" s="2851"/>
      <c r="B1019" s="2857">
        <v>1</v>
      </c>
      <c r="C1019" s="2851" t="s">
        <v>106</v>
      </c>
      <c r="D1019" s="2852" t="s">
        <v>58</v>
      </c>
      <c r="H1019" s="2858">
        <f>'SSR-rates'!$I$59</f>
        <v>524</v>
      </c>
      <c r="I1019" s="2862" t="s">
        <v>38</v>
      </c>
      <c r="J1019" s="2858">
        <f>ROUND(B1019*H1019,2)</f>
        <v>524</v>
      </c>
    </row>
    <row r="1020" spans="1:10" s="2788" customFormat="1">
      <c r="A1020" s="2851"/>
      <c r="B1020" s="2857">
        <v>8</v>
      </c>
      <c r="C1020" s="2851" t="s">
        <v>106</v>
      </c>
      <c r="D1020" s="2852" t="s">
        <v>59</v>
      </c>
      <c r="H1020" s="2858">
        <f>'SSR-rates'!$I$60</f>
        <v>490</v>
      </c>
      <c r="I1020" s="2862" t="s">
        <v>38</v>
      </c>
      <c r="J1020" s="2858">
        <f>ROUND(B1020*H1020,2)</f>
        <v>3920</v>
      </c>
    </row>
    <row r="1021" spans="1:10" s="2788" customFormat="1" ht="15.75">
      <c r="A1021" s="2853"/>
      <c r="B1021" s="2859">
        <f>'Input Data'!$D$23</f>
        <v>0</v>
      </c>
      <c r="C1021" s="2860"/>
      <c r="D1021" s="2788" t="s">
        <v>17</v>
      </c>
      <c r="F1021" s="2851"/>
      <c r="G1021" s="2851"/>
      <c r="H1021" s="2858">
        <f>SUM(J1018:J1020)</f>
        <v>4620.3999999999996</v>
      </c>
      <c r="I1021" s="2862"/>
      <c r="J1021" s="2858">
        <f>B1021*H1021</f>
        <v>0</v>
      </c>
    </row>
    <row r="1022" spans="1:10" s="2788" customFormat="1">
      <c r="A1022" s="2851"/>
      <c r="B1022" s="2857"/>
      <c r="D1022" s="2852" t="s">
        <v>60</v>
      </c>
      <c r="H1022" s="2858"/>
      <c r="I1022" s="2858"/>
      <c r="J1022" s="2858">
        <f>SUM(J1018:J1021)</f>
        <v>4620.3999999999996</v>
      </c>
    </row>
    <row r="1023" spans="1:10" s="2788" customFormat="1" ht="15.75">
      <c r="A1023" s="2851"/>
      <c r="B1023" s="2855" t="s">
        <v>39</v>
      </c>
      <c r="C1023" s="2856" t="s">
        <v>61</v>
      </c>
      <c r="H1023" s="2858"/>
      <c r="I1023" s="2858"/>
      <c r="J1023" s="2858"/>
    </row>
    <row r="1024" spans="1:10" s="2788" customFormat="1">
      <c r="A1024" s="2851"/>
      <c r="B1024" s="2857">
        <v>25</v>
      </c>
      <c r="C1024" s="2851" t="s">
        <v>107</v>
      </c>
      <c r="D1024" s="2852" t="s">
        <v>108</v>
      </c>
      <c r="H1024" s="2858">
        <f>lead!$J$44</f>
        <v>11543.485247106455</v>
      </c>
      <c r="I1024" s="2858" t="s">
        <v>107</v>
      </c>
      <c r="J1024" s="2858">
        <f>ROUND(B1024*H1024,2)</f>
        <v>288587.13</v>
      </c>
    </row>
    <row r="1025" spans="1:10" s="2788" customFormat="1">
      <c r="A1025" s="2851"/>
      <c r="B1025" s="2857"/>
      <c r="C1025" s="2860"/>
      <c r="D1025" s="2852" t="s">
        <v>60</v>
      </c>
      <c r="H1025" s="2858"/>
      <c r="I1025" s="2858"/>
      <c r="J1025" s="2858">
        <f>SUM(J1024:J1024)</f>
        <v>288587.13</v>
      </c>
    </row>
    <row r="1026" spans="1:10" s="2788" customFormat="1" ht="15.75">
      <c r="A1026" s="2853"/>
      <c r="B1026" s="2855" t="s">
        <v>27</v>
      </c>
      <c r="C1026" s="2853" t="s">
        <v>272</v>
      </c>
      <c r="F1026" s="2851"/>
      <c r="G1026" s="2851"/>
      <c r="H1026" s="2851"/>
      <c r="I1026" s="2851"/>
      <c r="J1026" s="2863"/>
    </row>
    <row r="1027" spans="1:10" s="2788" customFormat="1" ht="15.75">
      <c r="A1027" s="2853"/>
      <c r="B1027" s="2861">
        <f>'Input Data'!$D$25</f>
        <v>0</v>
      </c>
      <c r="C1027" s="2860"/>
      <c r="D1027" s="2852" t="str">
        <f>"Over head charges "&amp;'Input Data'!$D$25*100&amp;"%  on (A) + (B)"</f>
        <v>Over head charges 0%  on (A) + (B)</v>
      </c>
      <c r="F1027" s="2851"/>
      <c r="G1027" s="2851"/>
      <c r="H1027" s="2860">
        <f>J1025+J1022</f>
        <v>293207.53000000003</v>
      </c>
      <c r="I1027" s="2851"/>
      <c r="J1027" s="2858">
        <f>H1027*B1027</f>
        <v>0</v>
      </c>
    </row>
    <row r="1028" spans="1:10" s="2788" customFormat="1" ht="15.75">
      <c r="A1028" s="2853"/>
      <c r="B1028" s="2855" t="s">
        <v>45</v>
      </c>
      <c r="C1028" s="2853" t="s">
        <v>46</v>
      </c>
      <c r="F1028" s="2851"/>
      <c r="G1028" s="2851"/>
      <c r="H1028" s="2851"/>
      <c r="I1028" s="2851"/>
      <c r="J1028" s="2863">
        <f>J1022+J1025+J1027</f>
        <v>293207.53000000003</v>
      </c>
    </row>
    <row r="1029" spans="1:10" s="2788" customFormat="1" ht="15.75">
      <c r="A1029" s="2853"/>
      <c r="B1029" s="2855" t="s">
        <v>47</v>
      </c>
      <c r="C1029" s="2853" t="s">
        <v>48</v>
      </c>
      <c r="F1029" s="2851"/>
      <c r="G1029" s="2851"/>
      <c r="H1029" s="2851"/>
      <c r="I1029" s="2851"/>
      <c r="J1029" s="2863">
        <f>J1028*10/100</f>
        <v>29320.753000000004</v>
      </c>
    </row>
    <row r="1030" spans="1:10" s="2788" customFormat="1" ht="15.75">
      <c r="A1030" s="2851"/>
      <c r="B1030" s="2857"/>
      <c r="C1030" s="2851"/>
      <c r="D1030" s="2856" t="s">
        <v>110</v>
      </c>
      <c r="H1030" s="2858"/>
      <c r="I1030" s="2858"/>
      <c r="J1030" s="2863">
        <f>SUM(J1028:J1029)</f>
        <v>322528.28300000005</v>
      </c>
    </row>
    <row r="1031" spans="1:10" s="2788" customFormat="1">
      <c r="A1031" s="2851"/>
      <c r="B1031" s="2857"/>
      <c r="C1031" s="2851"/>
      <c r="D1031" s="2852" t="s">
        <v>111</v>
      </c>
      <c r="H1031" s="2858"/>
      <c r="I1031" s="2858"/>
      <c r="J1031" s="2858">
        <f>ROUND(J1030/12.5,2)</f>
        <v>25802.26</v>
      </c>
    </row>
    <row r="1032" spans="1:10" s="2788" customFormat="1" ht="15.75">
      <c r="A1032" s="2851"/>
      <c r="D1032" s="2852" t="s">
        <v>52</v>
      </c>
      <c r="H1032" s="2858"/>
      <c r="I1032" s="2858"/>
      <c r="J1032" s="2864">
        <f>ROUND(J1031,0)</f>
        <v>25802</v>
      </c>
    </row>
    <row r="1033" spans="1:10" s="2788" customFormat="1" ht="15.75">
      <c r="A1033" s="2851"/>
      <c r="D1033" s="2852"/>
      <c r="H1033" s="2858"/>
      <c r="I1033" s="2858"/>
      <c r="J1033" s="2863" t="s">
        <v>112</v>
      </c>
    </row>
    <row r="1051" spans="1:10" ht="126.75" customHeight="1">
      <c r="A1051" s="2865" t="s">
        <v>278</v>
      </c>
      <c r="B1051" s="3008" t="s">
        <v>279</v>
      </c>
      <c r="C1051" s="3008"/>
      <c r="D1051" s="3008"/>
      <c r="E1051" s="3008"/>
      <c r="F1051" s="3008"/>
      <c r="G1051" s="3008"/>
      <c r="H1051" s="3008"/>
      <c r="I1051" s="3008"/>
      <c r="J1051" s="3008"/>
    </row>
    <row r="1052" spans="1:10">
      <c r="D1052" s="2793" t="s">
        <v>10</v>
      </c>
      <c r="F1052" s="2819" t="s">
        <v>280</v>
      </c>
      <c r="J1052" s="2787"/>
    </row>
    <row r="1053" spans="1:10">
      <c r="D1053" s="2793" t="s">
        <v>170</v>
      </c>
      <c r="J1053" s="2787"/>
    </row>
    <row r="1054" spans="1:10">
      <c r="B1054" s="2821" t="s">
        <v>36</v>
      </c>
      <c r="C1054" s="2828" t="s">
        <v>37</v>
      </c>
      <c r="J1054" s="2787"/>
    </row>
    <row r="1055" spans="1:10">
      <c r="B1055" s="2811">
        <v>0.84</v>
      </c>
      <c r="C1055" s="2790" t="s">
        <v>57</v>
      </c>
      <c r="D1055" s="2793" t="s">
        <v>156</v>
      </c>
      <c r="H1055" s="2807">
        <f>'SSR-rates'!I$58</f>
        <v>490</v>
      </c>
      <c r="I1055" s="2822" t="s">
        <v>38</v>
      </c>
      <c r="J1055" s="2811">
        <f>ROUND(B1055*H1055,2)</f>
        <v>411.6</v>
      </c>
    </row>
    <row r="1056" spans="1:10">
      <c r="B1056" s="2811">
        <v>3</v>
      </c>
      <c r="C1056" s="2790" t="s">
        <v>57</v>
      </c>
      <c r="D1056" s="2793" t="s">
        <v>58</v>
      </c>
      <c r="H1056" s="2807">
        <v>357</v>
      </c>
      <c r="I1056" s="2822" t="s">
        <v>38</v>
      </c>
      <c r="J1056" s="2811">
        <f>ROUND(B1056*H1056,2)</f>
        <v>1071</v>
      </c>
    </row>
    <row r="1057" spans="1:11">
      <c r="B1057" s="2811">
        <v>18</v>
      </c>
      <c r="C1057" s="2790" t="s">
        <v>57</v>
      </c>
      <c r="D1057" s="2793" t="s">
        <v>59</v>
      </c>
      <c r="H1057" s="2807">
        <f>'SSR-rates'!I$60</f>
        <v>490</v>
      </c>
      <c r="I1057" s="2822" t="s">
        <v>38</v>
      </c>
      <c r="J1057" s="2811">
        <f>ROUND(B1057*H1057,2)</f>
        <v>8820</v>
      </c>
    </row>
    <row r="1058" spans="1:11">
      <c r="A1058" s="2819"/>
      <c r="B1058" s="2808">
        <f>'Input Data'!$D$23</f>
        <v>0</v>
      </c>
      <c r="C1058" s="2794"/>
      <c r="D1058" s="2787" t="s">
        <v>17</v>
      </c>
      <c r="F1058" s="2790"/>
      <c r="G1058" s="2790"/>
      <c r="H1058" s="2807">
        <f>SUM(J1056:J1057)</f>
        <v>9891</v>
      </c>
      <c r="I1058" s="2822"/>
      <c r="J1058" s="2807">
        <f>B1058*H1058</f>
        <v>0</v>
      </c>
    </row>
    <row r="1059" spans="1:11">
      <c r="B1059" s="2811"/>
      <c r="C1059" s="2790"/>
      <c r="D1059" s="2793" t="s">
        <v>60</v>
      </c>
      <c r="H1059" s="2807"/>
      <c r="I1059" s="2807"/>
      <c r="J1059" s="2811">
        <f>SUM(J1055:J1058)</f>
        <v>10302.6</v>
      </c>
    </row>
    <row r="1060" spans="1:11">
      <c r="B1060" s="2821" t="s">
        <v>39</v>
      </c>
      <c r="C1060" s="2828" t="s">
        <v>61</v>
      </c>
      <c r="H1060" s="2807"/>
      <c r="I1060" s="2807"/>
      <c r="J1060" s="2807"/>
    </row>
    <row r="1061" spans="1:11">
      <c r="B1061" s="2811">
        <v>64.8</v>
      </c>
      <c r="C1061" s="2790" t="s">
        <v>31</v>
      </c>
      <c r="D1061" s="2787" t="s">
        <v>63</v>
      </c>
      <c r="H1061" s="2807">
        <f>lead!J$16</f>
        <v>2005.5179333714741</v>
      </c>
      <c r="I1061" s="2807" t="s">
        <v>31</v>
      </c>
      <c r="J1061" s="2807">
        <f>ROUND(B1061*H1061,2)</f>
        <v>129957.56</v>
      </c>
    </row>
    <row r="1062" spans="1:11">
      <c r="B1062" s="2811">
        <v>43.2</v>
      </c>
      <c r="C1062" s="2790" t="s">
        <v>31</v>
      </c>
      <c r="D1062" s="2787" t="s">
        <v>64</v>
      </c>
      <c r="H1062" s="2807">
        <f>lead!J$18</f>
        <v>1754.5179333714741</v>
      </c>
      <c r="I1062" s="2807" t="s">
        <v>31</v>
      </c>
      <c r="J1062" s="2807">
        <f>ROUND(B1062*H1062,2)</f>
        <v>75795.17</v>
      </c>
    </row>
    <row r="1063" spans="1:11">
      <c r="B1063" s="2811">
        <v>54</v>
      </c>
      <c r="C1063" s="2790" t="s">
        <v>31</v>
      </c>
      <c r="D1063" s="2793" t="s">
        <v>65</v>
      </c>
      <c r="H1063" s="2807">
        <f>lead!J12</f>
        <v>1658.7679333714741</v>
      </c>
      <c r="I1063" s="2807" t="s">
        <v>31</v>
      </c>
      <c r="J1063" s="2807">
        <f>ROUND(B1063*H1063,2)</f>
        <v>89573.47</v>
      </c>
    </row>
    <row r="1064" spans="1:11">
      <c r="B1064" s="2924">
        <v>48.38</v>
      </c>
      <c r="C1064" s="2790" t="s">
        <v>66</v>
      </c>
      <c r="D1064" s="2793" t="s">
        <v>67</v>
      </c>
      <c r="H1064" s="2807">
        <f>lead!J$36</f>
        <v>5000</v>
      </c>
      <c r="I1064" s="2807" t="s">
        <v>66</v>
      </c>
      <c r="J1064" s="2807">
        <f>ROUND(B1064*H1064,2)</f>
        <v>241900</v>
      </c>
    </row>
    <row r="1065" spans="1:11">
      <c r="B1065" s="2793"/>
      <c r="D1065" s="2793" t="s">
        <v>60</v>
      </c>
      <c r="H1065" s="2807"/>
      <c r="I1065" s="2807"/>
      <c r="J1065" s="2807">
        <f>SUM(J1061:J1064)</f>
        <v>537226.19999999995</v>
      </c>
      <c r="K1065" s="2793"/>
    </row>
    <row r="1066" spans="1:11">
      <c r="B1066" s="2821" t="s">
        <v>27</v>
      </c>
      <c r="C1066" s="2828" t="s">
        <v>40</v>
      </c>
      <c r="H1066" s="2807"/>
      <c r="I1066" s="2807"/>
      <c r="J1066" s="2807"/>
    </row>
    <row r="1067" spans="1:11">
      <c r="B1067" s="2811">
        <v>6</v>
      </c>
      <c r="C1067" s="2790" t="s">
        <v>41</v>
      </c>
      <c r="D1067" s="2787" t="s">
        <v>171</v>
      </c>
      <c r="H1067" s="2807">
        <f>'SSR-rates'!I$100</f>
        <v>1205.8</v>
      </c>
      <c r="I1067" s="2807" t="s">
        <v>41</v>
      </c>
      <c r="J1067" s="2807">
        <f>ROUND(B1067*H1067,2)</f>
        <v>7234.8</v>
      </c>
    </row>
    <row r="1068" spans="1:11">
      <c r="B1068" s="2811">
        <v>6</v>
      </c>
      <c r="C1068" s="2790" t="s">
        <v>41</v>
      </c>
      <c r="D1068" s="2787" t="s">
        <v>172</v>
      </c>
      <c r="H1068" s="2807">
        <f>'SSR-rates'!I$102</f>
        <v>1261</v>
      </c>
      <c r="I1068" s="2807" t="s">
        <v>41</v>
      </c>
      <c r="J1068" s="2807">
        <f>ROUND(B1068*H1068,2)</f>
        <v>7566</v>
      </c>
    </row>
    <row r="1069" spans="1:11">
      <c r="B1069" s="2811">
        <v>6</v>
      </c>
      <c r="C1069" s="2790" t="s">
        <v>41</v>
      </c>
      <c r="D1069" s="2787" t="s">
        <v>173</v>
      </c>
      <c r="H1069" s="2807">
        <f>'SSR-rates'!I$65</f>
        <v>1844</v>
      </c>
      <c r="I1069" s="2807" t="s">
        <v>41</v>
      </c>
      <c r="J1069" s="2807">
        <f>ROUND(B1069*H1069,2)</f>
        <v>11064</v>
      </c>
    </row>
    <row r="1070" spans="1:11">
      <c r="B1070" s="2811">
        <v>15</v>
      </c>
      <c r="C1070" s="2790" t="s">
        <v>41</v>
      </c>
      <c r="D1070" s="2787" t="s">
        <v>174</v>
      </c>
      <c r="H1070" s="2807">
        <f>'SSR-rates'!I$104</f>
        <v>2532.4</v>
      </c>
      <c r="I1070" s="2807" t="s">
        <v>41</v>
      </c>
      <c r="J1070" s="2807">
        <f>ROUND(B1070*H1070,2)</f>
        <v>37986</v>
      </c>
    </row>
    <row r="1071" spans="1:11" s="2789" customFormat="1" ht="33.75" customHeight="1">
      <c r="A1071" s="2878"/>
      <c r="B1071" s="2811">
        <v>300</v>
      </c>
      <c r="C1071" s="2790" t="s">
        <v>180</v>
      </c>
      <c r="D1071" s="3027" t="s">
        <v>176</v>
      </c>
      <c r="E1071" s="3027"/>
      <c r="F1071" s="3027"/>
      <c r="G1071" s="3027"/>
      <c r="H1071" s="2807">
        <v>0</v>
      </c>
      <c r="I1071" s="2807" t="s">
        <v>41</v>
      </c>
      <c r="J1071" s="2807">
        <f>ROUND(B1071*H1071*'Input Data'!E17,2)</f>
        <v>0</v>
      </c>
    </row>
    <row r="1072" spans="1:11">
      <c r="B1072" s="2811">
        <v>6</v>
      </c>
      <c r="C1072" s="2790" t="s">
        <v>41</v>
      </c>
      <c r="D1072" s="2793" t="s">
        <v>177</v>
      </c>
      <c r="H1072" s="2807">
        <f>'SSR-rates'!I$106</f>
        <v>899</v>
      </c>
      <c r="I1072" s="2807" t="s">
        <v>41</v>
      </c>
      <c r="J1072" s="2807">
        <f>ROUND(B1072*H1072,2)</f>
        <v>5394</v>
      </c>
    </row>
    <row r="1073" spans="1:10" ht="15" customHeight="1">
      <c r="B1073" s="2811"/>
      <c r="C1073" s="2794"/>
      <c r="D1073" s="2793" t="s">
        <v>60</v>
      </c>
      <c r="H1073" s="2807"/>
      <c r="I1073" s="2807"/>
      <c r="J1073" s="2807">
        <f>SUM(J1067:J1072)</f>
        <v>69244.800000000003</v>
      </c>
    </row>
    <row r="1074" spans="1:10">
      <c r="B1074" s="2821" t="s">
        <v>45</v>
      </c>
      <c r="C1074" s="2828" t="s">
        <v>71</v>
      </c>
      <c r="H1074" s="2807"/>
      <c r="I1074" s="2807"/>
      <c r="J1074" s="2807"/>
    </row>
    <row r="1075" spans="1:10">
      <c r="B1075" s="2793">
        <v>3.75</v>
      </c>
      <c r="C1075" s="2790" t="s">
        <v>29</v>
      </c>
      <c r="D1075" s="2787" t="s">
        <v>281</v>
      </c>
      <c r="H1075" s="2807">
        <f>J1059+J1065+J1073</f>
        <v>616773.6</v>
      </c>
      <c r="I1075" s="2822" t="s">
        <v>73</v>
      </c>
      <c r="J1075" s="2807">
        <f>ROUND(B1075*H1075/100,2)</f>
        <v>23129.01</v>
      </c>
    </row>
    <row r="1076" spans="1:10" ht="15" customHeight="1">
      <c r="A1076" s="2819"/>
      <c r="B1076" s="2821" t="s">
        <v>47</v>
      </c>
      <c r="C1076" s="2819" t="s">
        <v>44</v>
      </c>
      <c r="F1076" s="2790"/>
      <c r="G1076" s="2790"/>
      <c r="H1076" s="2790"/>
      <c r="I1076" s="2790"/>
      <c r="J1076" s="2847"/>
    </row>
    <row r="1077" spans="1:10" ht="29.25" customHeight="1">
      <c r="A1077" s="2819"/>
      <c r="B1077" s="2812">
        <f>'Input Data'!$D$25</f>
        <v>0</v>
      </c>
      <c r="C1077" s="3014" t="str">
        <f>"Over head charges "&amp;'Input Data'!$D$25*100&amp;"%  on (A) + (B)+(C)+(D)"</f>
        <v>Over head charges 0%  on (A) + (B)+(C)+(D)</v>
      </c>
      <c r="D1077" s="3015"/>
      <c r="E1077" s="3015"/>
      <c r="F1077" s="3015"/>
      <c r="G1077" s="3016"/>
      <c r="H1077" s="2794">
        <f>J1075+J1073+J1065+J1059</f>
        <v>639902.61</v>
      </c>
      <c r="I1077" s="2790"/>
      <c r="J1077" s="2807">
        <f>H1077*B1077</f>
        <v>0</v>
      </c>
    </row>
    <row r="1078" spans="1:10">
      <c r="A1078" s="2819"/>
      <c r="B1078" s="2821" t="s">
        <v>76</v>
      </c>
      <c r="C1078" s="2819" t="s">
        <v>77</v>
      </c>
      <c r="F1078" s="2790"/>
      <c r="G1078" s="2790"/>
      <c r="H1078" s="2790"/>
      <c r="I1078" s="2790"/>
      <c r="J1078" s="2847">
        <f>J1059+J1065+J1073+J1075+J1077</f>
        <v>639902.61</v>
      </c>
    </row>
    <row r="1079" spans="1:10">
      <c r="A1079" s="2819"/>
      <c r="B1079" s="2821" t="s">
        <v>78</v>
      </c>
      <c r="C1079" s="2819" t="s">
        <v>79</v>
      </c>
      <c r="F1079" s="2790"/>
      <c r="G1079" s="2790"/>
      <c r="H1079" s="2790"/>
      <c r="I1079" s="2790"/>
      <c r="J1079" s="2847">
        <f>J1078*10/100</f>
        <v>63990.260999999999</v>
      </c>
    </row>
    <row r="1080" spans="1:10">
      <c r="B1080" s="2811"/>
      <c r="C1080" s="2790"/>
      <c r="D1080" s="2828" t="s">
        <v>158</v>
      </c>
      <c r="H1080" s="2807"/>
      <c r="I1080" s="2807"/>
      <c r="J1080" s="2847">
        <f>SUM(J1078:J1079)</f>
        <v>703892.87100000004</v>
      </c>
    </row>
    <row r="1081" spans="1:10">
      <c r="B1081" s="2811"/>
      <c r="C1081" s="2790"/>
      <c r="D1081" s="2793" t="s">
        <v>81</v>
      </c>
      <c r="H1081" s="2807"/>
      <c r="I1081" s="2807"/>
      <c r="J1081" s="2807">
        <f>ROUND(J1080/120,2)</f>
        <v>5865.77</v>
      </c>
    </row>
    <row r="1082" spans="1:10">
      <c r="D1082" s="2793" t="s">
        <v>52</v>
      </c>
      <c r="H1082" s="2807"/>
      <c r="I1082" s="2807"/>
      <c r="J1082" s="2848">
        <f>ROUND(J1081,0)</f>
        <v>5866</v>
      </c>
    </row>
    <row r="1083" spans="1:10">
      <c r="D1083" s="2793"/>
      <c r="H1083" s="2807"/>
      <c r="I1083" s="2807"/>
      <c r="J1083" s="2847" t="s">
        <v>53</v>
      </c>
    </row>
    <row r="1084" spans="1:10">
      <c r="A1084" s="2879"/>
      <c r="B1084" s="2803"/>
      <c r="C1084" s="2803"/>
      <c r="D1084" s="2885"/>
      <c r="E1084" s="2885"/>
      <c r="F1084" s="2885"/>
      <c r="G1084" s="2885"/>
      <c r="H1084" s="2813"/>
      <c r="I1084" s="2813"/>
      <c r="J1084" s="2834"/>
    </row>
    <row r="1085" spans="1:10" ht="55.5" customHeight="1">
      <c r="A1085" s="2819">
        <v>13</v>
      </c>
      <c r="B1085" s="3062" t="s">
        <v>166</v>
      </c>
      <c r="C1085" s="3062"/>
      <c r="D1085" s="3062"/>
      <c r="E1085" s="3062"/>
      <c r="F1085" s="3062"/>
      <c r="G1085" s="3062"/>
      <c r="H1085" s="3062"/>
      <c r="I1085" s="3062"/>
      <c r="J1085" s="3062"/>
    </row>
    <row r="1086" spans="1:10">
      <c r="A1086" s="2819"/>
      <c r="B1086" s="2822"/>
      <c r="C1086" s="2794" t="s">
        <v>130</v>
      </c>
      <c r="J1086" s="2787"/>
    </row>
    <row r="1087" spans="1:10">
      <c r="B1087" s="2822"/>
      <c r="C1087" s="2794" t="s">
        <v>167</v>
      </c>
      <c r="J1087" s="2847">
        <v>991</v>
      </c>
    </row>
    <row r="1088" spans="1:10" ht="97.5" customHeight="1">
      <c r="A1088" s="2816">
        <v>12</v>
      </c>
      <c r="B1088" s="3008" t="s">
        <v>282</v>
      </c>
      <c r="C1088" s="3008"/>
      <c r="D1088" s="3008"/>
      <c r="E1088" s="3008"/>
      <c r="F1088" s="3008"/>
      <c r="G1088" s="3008"/>
      <c r="H1088" s="3008"/>
      <c r="I1088" s="3008"/>
      <c r="J1088" s="3008"/>
    </row>
    <row r="1089" spans="1:10">
      <c r="D1089" s="2793" t="s">
        <v>10</v>
      </c>
      <c r="F1089" s="2819" t="s">
        <v>283</v>
      </c>
      <c r="J1089" s="2787"/>
    </row>
    <row r="1090" spans="1:10">
      <c r="D1090" s="2793" t="s">
        <v>56</v>
      </c>
      <c r="J1090" s="2787"/>
    </row>
    <row r="1091" spans="1:10">
      <c r="B1091" s="2821" t="s">
        <v>36</v>
      </c>
      <c r="C1091" s="2828" t="s">
        <v>37</v>
      </c>
      <c r="J1091" s="2787"/>
    </row>
    <row r="1092" spans="1:10">
      <c r="B1092" s="2811">
        <v>0.64</v>
      </c>
      <c r="C1092" s="2790" t="s">
        <v>57</v>
      </c>
      <c r="D1092" s="2793" t="s">
        <v>14</v>
      </c>
      <c r="H1092" s="2807">
        <f>'SSR-rates'!I58</f>
        <v>490</v>
      </c>
      <c r="I1092" s="2822" t="s">
        <v>38</v>
      </c>
      <c r="J1092" s="2811">
        <f>ROUND(B1092*H1092,2)</f>
        <v>313.60000000000002</v>
      </c>
    </row>
    <row r="1093" spans="1:10">
      <c r="B1093" s="2811">
        <v>1</v>
      </c>
      <c r="C1093" s="2790" t="s">
        <v>57</v>
      </c>
      <c r="D1093" s="2793" t="s">
        <v>58</v>
      </c>
      <c r="H1093" s="2807">
        <f>'SSR-rates'!I59</f>
        <v>524</v>
      </c>
      <c r="I1093" s="2822" t="s">
        <v>38</v>
      </c>
      <c r="J1093" s="2811">
        <f>ROUND(B1093*H1093,2)</f>
        <v>524</v>
      </c>
    </row>
    <row r="1094" spans="1:10">
      <c r="B1094" s="2811">
        <v>15</v>
      </c>
      <c r="C1094" s="2790" t="s">
        <v>57</v>
      </c>
      <c r="D1094" s="2793" t="s">
        <v>59</v>
      </c>
      <c r="H1094" s="2807">
        <f>'SSR-rates'!I60</f>
        <v>490</v>
      </c>
      <c r="I1094" s="2822" t="s">
        <v>38</v>
      </c>
      <c r="J1094" s="2811">
        <f>ROUND(B1094*H1094,2)</f>
        <v>7350</v>
      </c>
    </row>
    <row r="1095" spans="1:10" ht="15.75" customHeight="1">
      <c r="A1095" s="2819"/>
      <c r="B1095" s="2808">
        <f>'Input Data'!$D$23</f>
        <v>0</v>
      </c>
      <c r="C1095" s="2794"/>
      <c r="D1095" s="2787" t="s">
        <v>17</v>
      </c>
      <c r="F1095" s="2790"/>
      <c r="G1095" s="2790"/>
      <c r="H1095" s="2807">
        <f>SUM(J1092:J1094)</f>
        <v>8187.6</v>
      </c>
      <c r="I1095" s="2822"/>
      <c r="J1095" s="2807">
        <f>B1095*H1095</f>
        <v>0</v>
      </c>
    </row>
    <row r="1096" spans="1:10">
      <c r="B1096" s="2811"/>
      <c r="D1096" s="2793" t="s">
        <v>60</v>
      </c>
      <c r="H1096" s="2807"/>
      <c r="I1096" s="2807"/>
      <c r="J1096" s="2811">
        <f>SUM(J1092:J1095)</f>
        <v>8187.6</v>
      </c>
    </row>
    <row r="1097" spans="1:10">
      <c r="B1097" s="2821" t="s">
        <v>39</v>
      </c>
      <c r="C1097" s="2828" t="s">
        <v>61</v>
      </c>
      <c r="H1097" s="2807"/>
      <c r="I1097" s="2807"/>
      <c r="J1097" s="2807"/>
    </row>
    <row r="1098" spans="1:10">
      <c r="B1098" s="2811">
        <v>13.5</v>
      </c>
      <c r="C1098" s="2790" t="s">
        <v>31</v>
      </c>
      <c r="D1098" s="2793" t="s">
        <v>62</v>
      </c>
      <c r="H1098" s="2807">
        <f>lead!J14</f>
        <v>1706.5179333714741</v>
      </c>
      <c r="I1098" s="2807" t="s">
        <v>31</v>
      </c>
      <c r="J1098" s="2807">
        <f>ROUND(B1098*H1098,2)</f>
        <v>23037.99</v>
      </c>
    </row>
    <row r="1099" spans="1:10">
      <c r="B1099" s="2811">
        <v>6.75</v>
      </c>
      <c r="C1099" s="2790" t="s">
        <v>31</v>
      </c>
      <c r="D1099" s="2793" t="s">
        <v>65</v>
      </c>
      <c r="H1099" s="2844">
        <f>lead!J12</f>
        <v>1658.7679333714741</v>
      </c>
      <c r="I1099" s="2807" t="s">
        <v>31</v>
      </c>
      <c r="J1099" s="2807">
        <f>ROUND(B1099*H1099,2)</f>
        <v>11196.68</v>
      </c>
    </row>
    <row r="1100" spans="1:10">
      <c r="B1100" s="2811">
        <v>2.4300000000000002</v>
      </c>
      <c r="C1100" s="2790" t="s">
        <v>66</v>
      </c>
      <c r="D1100" s="2793" t="s">
        <v>67</v>
      </c>
      <c r="H1100" s="2807">
        <f>lead!J36</f>
        <v>5000</v>
      </c>
      <c r="I1100" s="2807" t="s">
        <v>66</v>
      </c>
      <c r="J1100" s="2807">
        <f>ROUND(B1100*H1100,2)</f>
        <v>12150</v>
      </c>
    </row>
    <row r="1101" spans="1:10">
      <c r="B1101" s="2811"/>
      <c r="C1101" s="2794"/>
      <c r="D1101" s="2793" t="s">
        <v>60</v>
      </c>
      <c r="H1101" s="2807"/>
      <c r="I1101" s="2807"/>
      <c r="J1101" s="2807">
        <f>SUM(J1098:J1100)</f>
        <v>46384.67</v>
      </c>
    </row>
    <row r="1102" spans="1:10">
      <c r="B1102" s="2821" t="s">
        <v>87</v>
      </c>
      <c r="C1102" s="2828" t="s">
        <v>40</v>
      </c>
      <c r="H1102" s="2807"/>
      <c r="I1102" s="2807"/>
      <c r="J1102" s="2807"/>
    </row>
    <row r="1103" spans="1:10">
      <c r="B1103" s="2811">
        <v>6</v>
      </c>
      <c r="C1103" s="2790" t="s">
        <v>41</v>
      </c>
      <c r="D1103" s="2793" t="s">
        <v>68</v>
      </c>
      <c r="H1103" s="2807">
        <f>'SSR-rates'!I88</f>
        <v>627.6</v>
      </c>
      <c r="I1103" s="2807" t="s">
        <v>41</v>
      </c>
      <c r="J1103" s="2807">
        <f>ROUND(B1103*H1103,2)</f>
        <v>3765.6</v>
      </c>
    </row>
    <row r="1104" spans="1:10">
      <c r="B1104" s="2811">
        <v>6</v>
      </c>
      <c r="C1104" s="2790" t="s">
        <v>41</v>
      </c>
      <c r="D1104" s="2793" t="s">
        <v>69</v>
      </c>
      <c r="H1104" s="2807">
        <f>'SSR-rates'!I87</f>
        <v>1237.4000000000001</v>
      </c>
      <c r="I1104" s="2807" t="s">
        <v>41</v>
      </c>
      <c r="J1104" s="2807">
        <f>ROUND(B1104*H1104,2)</f>
        <v>7424.4</v>
      </c>
    </row>
    <row r="1105" spans="1:10">
      <c r="B1105" s="2811">
        <v>2</v>
      </c>
      <c r="C1105" s="2790" t="s">
        <v>41</v>
      </c>
      <c r="D1105" s="2793" t="s">
        <v>70</v>
      </c>
      <c r="H1105" s="2807">
        <f>'SSR-rates'!I69</f>
        <v>699</v>
      </c>
      <c r="I1105" s="2807" t="s">
        <v>41</v>
      </c>
      <c r="J1105" s="2807">
        <f>ROUND(B1105*H1105,2)</f>
        <v>1398</v>
      </c>
    </row>
    <row r="1106" spans="1:10">
      <c r="B1106" s="2811"/>
      <c r="C1106" s="2794"/>
      <c r="D1106" s="2793" t="s">
        <v>60</v>
      </c>
      <c r="H1106" s="2807"/>
      <c r="I1106" s="2807"/>
      <c r="J1106" s="2807">
        <f>SUM(J1103:J1105)</f>
        <v>12588</v>
      </c>
    </row>
    <row r="1107" spans="1:10">
      <c r="A1107" s="2819"/>
      <c r="B1107" s="2821" t="s">
        <v>45</v>
      </c>
      <c r="C1107" s="2819" t="s">
        <v>97</v>
      </c>
      <c r="F1107" s="2790"/>
      <c r="G1107" s="2790"/>
      <c r="H1107" s="2790"/>
      <c r="I1107" s="2790"/>
      <c r="J1107" s="2847"/>
    </row>
    <row r="1108" spans="1:10" ht="30.75" customHeight="1">
      <c r="A1108" s="2819"/>
      <c r="B1108" s="2812">
        <f>'Input Data'!$D$25</f>
        <v>0</v>
      </c>
      <c r="C1108" s="3017" t="str">
        <f>"Over head charges "&amp;'Input Data'!$D$25*100&amp;"%  on (A) + (B)"</f>
        <v>Over head charges 0%  on (A) + (B)</v>
      </c>
      <c r="D1108" s="3018"/>
      <c r="E1108" s="3018"/>
      <c r="F1108" s="3018"/>
      <c r="G1108" s="3019"/>
      <c r="H1108" s="2794">
        <f>J1106+J1101+J1096</f>
        <v>67160.27</v>
      </c>
      <c r="I1108" s="2790"/>
      <c r="J1108" s="2807">
        <f>H1108*B1108</f>
        <v>0</v>
      </c>
    </row>
    <row r="1109" spans="1:10">
      <c r="A1109" s="2819"/>
      <c r="B1109" s="2821" t="s">
        <v>47</v>
      </c>
      <c r="C1109" s="2819" t="s">
        <v>89</v>
      </c>
      <c r="F1109" s="2790"/>
      <c r="G1109" s="2790"/>
      <c r="H1109" s="2790"/>
      <c r="I1109" s="2790"/>
      <c r="J1109" s="2847">
        <f>J1096+J1101+J1106+J1108</f>
        <v>67160.26999999999</v>
      </c>
    </row>
    <row r="1110" spans="1:10">
      <c r="A1110" s="2819"/>
      <c r="B1110" s="2821" t="s">
        <v>76</v>
      </c>
      <c r="C1110" s="2819" t="s">
        <v>90</v>
      </c>
      <c r="F1110" s="2790"/>
      <c r="G1110" s="2790"/>
      <c r="H1110" s="2790"/>
      <c r="I1110" s="2790"/>
      <c r="J1110" s="2847">
        <f>J1109*10/100</f>
        <v>6716.0269999999991</v>
      </c>
    </row>
    <row r="1111" spans="1:10">
      <c r="B1111" s="2811"/>
      <c r="C1111" s="2790"/>
      <c r="D1111" s="2828" t="s">
        <v>98</v>
      </c>
      <c r="H1111" s="2807"/>
      <c r="I1111" s="2807"/>
      <c r="J1111" s="2847">
        <f>SUM(J1109:J1110)</f>
        <v>73876.296999999991</v>
      </c>
    </row>
    <row r="1112" spans="1:10">
      <c r="B1112" s="2811"/>
      <c r="C1112" s="2790"/>
      <c r="D1112" s="2793" t="s">
        <v>81</v>
      </c>
      <c r="H1112" s="2807"/>
      <c r="I1112" s="2807"/>
      <c r="J1112" s="2807">
        <f>ROUND(J1111/15,2)</f>
        <v>4925.09</v>
      </c>
    </row>
    <row r="1113" spans="1:10">
      <c r="D1113" s="2793" t="s">
        <v>52</v>
      </c>
      <c r="H1113" s="2807"/>
      <c r="I1113" s="2807"/>
      <c r="J1113" s="2848">
        <f>ROUND(J1112,0)</f>
        <v>4925</v>
      </c>
    </row>
    <row r="1114" spans="1:10">
      <c r="D1114" s="2793"/>
      <c r="H1114" s="2807"/>
      <c r="I1114" s="2807"/>
      <c r="J1114" s="2847" t="s">
        <v>53</v>
      </c>
    </row>
    <row r="1115" spans="1:10">
      <c r="D1115" s="2793"/>
      <c r="H1115" s="2807"/>
      <c r="I1115" s="2807"/>
      <c r="J1115" s="2847"/>
    </row>
    <row r="1116" spans="1:10" ht="56.25" customHeight="1">
      <c r="A1116" s="2816">
        <v>16</v>
      </c>
      <c r="B1116" s="3008" t="s">
        <v>284</v>
      </c>
      <c r="C1116" s="3008"/>
      <c r="D1116" s="3008"/>
      <c r="E1116" s="3008"/>
      <c r="F1116" s="3008"/>
      <c r="G1116" s="3008"/>
      <c r="H1116" s="3008"/>
      <c r="I1116" s="3008"/>
      <c r="J1116" s="3008"/>
    </row>
    <row r="1117" spans="1:10">
      <c r="A1117" s="2819"/>
      <c r="B1117" s="3009" t="s">
        <v>285</v>
      </c>
      <c r="C1117" s="3009"/>
      <c r="D1117" s="2818"/>
      <c r="E1117" s="2818"/>
      <c r="F1117" s="2818"/>
      <c r="G1117" s="2818"/>
      <c r="H1117" s="2820"/>
      <c r="I1117" s="2820"/>
      <c r="J1117" s="2820"/>
    </row>
    <row r="1118" spans="1:10">
      <c r="A1118" s="2819"/>
      <c r="B1118" s="3009" t="s">
        <v>286</v>
      </c>
      <c r="C1118" s="3009"/>
      <c r="D1118" s="3009"/>
      <c r="E1118" s="3009"/>
      <c r="F1118" s="2819" t="s">
        <v>287</v>
      </c>
      <c r="G1118" s="2818"/>
      <c r="H1118" s="2820"/>
      <c r="I1118" s="2820"/>
      <c r="J1118" s="2820"/>
    </row>
    <row r="1119" spans="1:10">
      <c r="A1119" s="2819"/>
      <c r="B1119" s="2821" t="s">
        <v>36</v>
      </c>
      <c r="C1119" s="2819" t="s">
        <v>37</v>
      </c>
      <c r="D1119" s="2818"/>
      <c r="E1119" s="2818"/>
      <c r="F1119" s="2818"/>
      <c r="G1119" s="2818"/>
      <c r="H1119" s="2820"/>
      <c r="I1119" s="2820"/>
      <c r="J1119" s="2820"/>
    </row>
    <row r="1120" spans="1:10">
      <c r="A1120" s="2819"/>
      <c r="B1120" s="2840">
        <v>0.01</v>
      </c>
      <c r="C1120" s="2794" t="s">
        <v>38</v>
      </c>
      <c r="D1120" s="2818"/>
      <c r="E1120" s="2790" t="s">
        <v>14</v>
      </c>
      <c r="F1120" s="2818"/>
      <c r="G1120" s="2818"/>
      <c r="H1120" s="2807">
        <f>'SSR-rates'!$I$113</f>
        <v>625</v>
      </c>
      <c r="I1120" s="2822" t="s">
        <v>38</v>
      </c>
      <c r="J1120" s="2807">
        <f>ROUND(B1120*H1120,2)</f>
        <v>6.25</v>
      </c>
    </row>
    <row r="1121" spans="1:10">
      <c r="A1121" s="2819"/>
      <c r="B1121" s="2807">
        <v>0.25</v>
      </c>
      <c r="C1121" s="2794" t="s">
        <v>38</v>
      </c>
      <c r="D1121" s="2790"/>
      <c r="E1121" s="2790" t="s">
        <v>288</v>
      </c>
      <c r="F1121" s="2790"/>
      <c r="G1121" s="2790"/>
      <c r="H1121" s="2807">
        <f>'SSR-rates'!$I$58</f>
        <v>490</v>
      </c>
      <c r="I1121" s="2822" t="s">
        <v>38</v>
      </c>
      <c r="J1121" s="2807">
        <f>ROUND(B1121*H1121,2)</f>
        <v>122.5</v>
      </c>
    </row>
    <row r="1122" spans="1:10">
      <c r="A1122" s="2819"/>
      <c r="B1122" s="2807">
        <v>0.25</v>
      </c>
      <c r="C1122" s="2794" t="s">
        <v>38</v>
      </c>
      <c r="D1122" s="2790"/>
      <c r="E1122" s="2790" t="s">
        <v>124</v>
      </c>
      <c r="F1122" s="2790"/>
      <c r="G1122" s="2790"/>
      <c r="H1122" s="2807">
        <f>'SSR-rates'!$I$60</f>
        <v>490</v>
      </c>
      <c r="I1122" s="2822" t="s">
        <v>38</v>
      </c>
      <c r="J1122" s="2807">
        <f>ROUND(B1122*H1122,2)</f>
        <v>122.5</v>
      </c>
    </row>
    <row r="1123" spans="1:10" ht="15.75" customHeight="1">
      <c r="A1123" s="2819"/>
      <c r="B1123" s="2808">
        <f>'Input Data'!$D$23</f>
        <v>0</v>
      </c>
      <c r="C1123" s="2794"/>
      <c r="D1123" s="2787" t="s">
        <v>17</v>
      </c>
      <c r="F1123" s="2790"/>
      <c r="G1123" s="2790"/>
      <c r="H1123" s="2807">
        <f>SUM(J1121:J1122)</f>
        <v>245</v>
      </c>
      <c r="I1123" s="2822"/>
      <c r="J1123" s="2807">
        <f>B1123*H1123</f>
        <v>0</v>
      </c>
    </row>
    <row r="1124" spans="1:10">
      <c r="A1124" s="2819"/>
      <c r="B1124" s="2807"/>
      <c r="C1124" s="2794"/>
      <c r="D1124" s="2790"/>
      <c r="E1124" s="2790"/>
      <c r="F1124" s="2790"/>
      <c r="G1124" s="2790"/>
      <c r="H1124" s="2807"/>
      <c r="I1124" s="2822"/>
      <c r="J1124" s="2807">
        <f>SUM(J1120:J1123)</f>
        <v>251.25</v>
      </c>
    </row>
    <row r="1125" spans="1:10">
      <c r="A1125" s="2819"/>
      <c r="B1125" s="2821" t="s">
        <v>39</v>
      </c>
      <c r="C1125" s="2819" t="s">
        <v>61</v>
      </c>
      <c r="F1125" s="2790"/>
      <c r="G1125" s="2790"/>
      <c r="H1125" s="2790"/>
      <c r="I1125" s="2790"/>
      <c r="J1125" s="2787"/>
    </row>
    <row r="1126" spans="1:10" ht="38.25" customHeight="1">
      <c r="A1126" s="2819"/>
      <c r="B1126" s="2825">
        <v>5</v>
      </c>
      <c r="C1126" s="2824" t="s">
        <v>289</v>
      </c>
      <c r="D1126" s="3013" t="s">
        <v>290</v>
      </c>
      <c r="E1126" s="3013"/>
      <c r="F1126" s="3013"/>
      <c r="G1126" s="3013"/>
      <c r="H1126" s="2925">
        <v>193</v>
      </c>
      <c r="I1126" s="2825" t="s">
        <v>31</v>
      </c>
      <c r="J1126" s="2825">
        <f>ROUND(B1126*H1126,2)</f>
        <v>965</v>
      </c>
    </row>
    <row r="1127" spans="1:10">
      <c r="A1127" s="2819"/>
      <c r="B1127" s="2825"/>
      <c r="C1127" s="2824"/>
      <c r="D1127" s="2826"/>
      <c r="E1127" s="2826"/>
      <c r="F1127" s="2826"/>
      <c r="G1127" s="2826"/>
      <c r="H1127" s="2825"/>
      <c r="I1127" s="2825"/>
      <c r="J1127" s="2825">
        <f>SUM(J1126:J1126)</f>
        <v>965</v>
      </c>
    </row>
    <row r="1128" spans="1:10">
      <c r="A1128" s="2819"/>
      <c r="B1128" s="2807"/>
      <c r="C1128" s="2794"/>
      <c r="D1128" s="2790"/>
      <c r="F1128" s="2790"/>
      <c r="G1128" s="2790"/>
      <c r="H1128" s="2807"/>
      <c r="I1128" s="2807"/>
      <c r="J1128" s="2787"/>
    </row>
    <row r="1129" spans="1:10">
      <c r="B1129" s="2812">
        <f>'Input Data'!$D$25</f>
        <v>0</v>
      </c>
      <c r="C1129" s="2790" t="str">
        <f>"Over head charges "&amp;'Input Data'!$D$25*100&amp;"%  on (A) + (B)"</f>
        <v>Over head charges 0%  on (A) + (B)</v>
      </c>
      <c r="H1129" s="2793">
        <f>J1127+J1124</f>
        <v>1216.25</v>
      </c>
      <c r="J1129" s="2807">
        <f>H1129*B1129</f>
        <v>0</v>
      </c>
    </row>
    <row r="1130" spans="1:10">
      <c r="A1130" s="2819"/>
      <c r="B1130" s="2821" t="s">
        <v>45</v>
      </c>
      <c r="C1130" s="2790" t="s">
        <v>46</v>
      </c>
      <c r="F1130" s="2790"/>
      <c r="G1130" s="2790"/>
      <c r="H1130" s="2790"/>
      <c r="I1130" s="2790"/>
      <c r="J1130" s="2847">
        <f>J1124+J1127+J1129</f>
        <v>1216.25</v>
      </c>
    </row>
    <row r="1131" spans="1:10">
      <c r="A1131" s="2819"/>
      <c r="B1131" s="2821" t="s">
        <v>47</v>
      </c>
      <c r="C1131" s="2790" t="s">
        <v>48</v>
      </c>
      <c r="D1131" s="2790"/>
      <c r="F1131" s="2790"/>
      <c r="G1131" s="2790"/>
      <c r="H1131" s="2790"/>
      <c r="I1131" s="2790"/>
      <c r="J1131" s="2847">
        <f>J1130*10/100</f>
        <v>121.625</v>
      </c>
    </row>
    <row r="1132" spans="1:10">
      <c r="A1132" s="2819"/>
      <c r="B1132" s="2790"/>
      <c r="C1132" s="2790" t="s">
        <v>126</v>
      </c>
      <c r="D1132" s="2790"/>
      <c r="F1132" s="2790"/>
      <c r="G1132" s="2790"/>
      <c r="H1132" s="2790"/>
      <c r="I1132" s="2790"/>
      <c r="J1132" s="2847">
        <f>SUM(J1130:J1131)</f>
        <v>1337.875</v>
      </c>
    </row>
    <row r="1133" spans="1:10">
      <c r="A1133" s="2819"/>
      <c r="B1133" s="2790"/>
      <c r="C1133" s="2790" t="s">
        <v>127</v>
      </c>
      <c r="D1133" s="2790"/>
      <c r="F1133" s="2790"/>
      <c r="G1133" s="2790"/>
      <c r="H1133" s="2790"/>
      <c r="I1133" s="2790"/>
      <c r="J1133" s="2807">
        <f>J1132/10</f>
        <v>133.78749999999999</v>
      </c>
    </row>
    <row r="1134" spans="1:10">
      <c r="A1134" s="2819"/>
      <c r="B1134" s="2807"/>
      <c r="C1134" s="2794"/>
      <c r="D1134" s="3021" t="s">
        <v>128</v>
      </c>
      <c r="E1134" s="3022"/>
      <c r="F1134" s="2793"/>
      <c r="G1134" s="2793"/>
      <c r="H1134" s="2811"/>
      <c r="I1134" s="2793"/>
      <c r="J1134" s="2848">
        <f>ROUND(J1133,0)</f>
        <v>134</v>
      </c>
    </row>
    <row r="1135" spans="1:10">
      <c r="A1135" s="2819"/>
      <c r="B1135" s="2807"/>
      <c r="C1135" s="2794"/>
      <c r="D1135" s="2866"/>
      <c r="F1135" s="2793"/>
      <c r="G1135" s="2793"/>
      <c r="H1135" s="2811"/>
      <c r="I1135" s="2793"/>
      <c r="J1135" s="2847" t="s">
        <v>129</v>
      </c>
    </row>
    <row r="1136" spans="1:10">
      <c r="D1136" s="2793"/>
      <c r="H1136" s="2807"/>
      <c r="I1136" s="2807"/>
      <c r="J1136" s="2847"/>
    </row>
    <row r="1137" spans="1:10">
      <c r="D1137" s="2793"/>
      <c r="H1137" s="2807"/>
      <c r="I1137" s="2807"/>
      <c r="J1137" s="2847"/>
    </row>
    <row r="1138" spans="1:10">
      <c r="D1138" s="2793"/>
      <c r="H1138" s="2807"/>
      <c r="I1138" s="2807"/>
      <c r="J1138" s="2847"/>
    </row>
    <row r="1139" spans="1:10" ht="123.75" customHeight="1">
      <c r="A1139" s="2816">
        <v>5</v>
      </c>
      <c r="B1139" s="3008" t="s">
        <v>291</v>
      </c>
      <c r="C1139" s="3008"/>
      <c r="D1139" s="3008"/>
      <c r="E1139" s="3008"/>
      <c r="F1139" s="3008"/>
      <c r="G1139" s="3008"/>
      <c r="H1139" s="3008"/>
      <c r="I1139" s="3008"/>
      <c r="J1139" s="3008"/>
    </row>
    <row r="1140" spans="1:10">
      <c r="D1140" s="2793" t="s">
        <v>10</v>
      </c>
      <c r="F1140" s="2819" t="s">
        <v>292</v>
      </c>
      <c r="J1140" s="2787"/>
    </row>
    <row r="1141" spans="1:10">
      <c r="D1141" s="2793" t="s">
        <v>56</v>
      </c>
      <c r="J1141" s="2787"/>
    </row>
    <row r="1142" spans="1:10">
      <c r="B1142" s="2821" t="s">
        <v>36</v>
      </c>
      <c r="C1142" s="2828" t="s">
        <v>37</v>
      </c>
      <c r="J1142" s="2787"/>
    </row>
    <row r="1143" spans="1:10">
      <c r="B1143" s="2811">
        <v>0.86</v>
      </c>
      <c r="C1143" s="2790" t="s">
        <v>57</v>
      </c>
      <c r="D1143" s="2793" t="s">
        <v>14</v>
      </c>
      <c r="H1143" s="2807">
        <f>'SSR-rates'!$I$58</f>
        <v>490</v>
      </c>
      <c r="I1143" s="2822" t="s">
        <v>38</v>
      </c>
      <c r="J1143" s="2811">
        <f>ROUND(B1143*H1143,2)</f>
        <v>421.4</v>
      </c>
    </row>
    <row r="1144" spans="1:10">
      <c r="B1144" s="2811">
        <v>1.5</v>
      </c>
      <c r="C1144" s="2790" t="s">
        <v>57</v>
      </c>
      <c r="D1144" s="2793" t="s">
        <v>58</v>
      </c>
      <c r="H1144" s="2807">
        <f>'SSR-rates'!$I$59</f>
        <v>524</v>
      </c>
      <c r="I1144" s="2822" t="s">
        <v>38</v>
      </c>
      <c r="J1144" s="2811">
        <f>ROUND(B1144*H1144,2)</f>
        <v>786</v>
      </c>
    </row>
    <row r="1145" spans="1:10">
      <c r="B1145" s="2811">
        <v>20</v>
      </c>
      <c r="C1145" s="2790" t="s">
        <v>57</v>
      </c>
      <c r="D1145" s="2793" t="s">
        <v>59</v>
      </c>
      <c r="H1145" s="2807">
        <f>'SSR-rates'!$I$60</f>
        <v>490</v>
      </c>
      <c r="I1145" s="2822" t="s">
        <v>38</v>
      </c>
      <c r="J1145" s="2811">
        <f>ROUND(B1145*H1145,2)</f>
        <v>9800</v>
      </c>
    </row>
    <row r="1146" spans="1:10">
      <c r="A1146" s="2819"/>
      <c r="B1146" s="2808">
        <f>'Input Data'!$D$23</f>
        <v>0</v>
      </c>
      <c r="C1146" s="2794"/>
      <c r="D1146" s="2787" t="s">
        <v>17</v>
      </c>
      <c r="F1146" s="2790"/>
      <c r="G1146" s="2790"/>
      <c r="H1146" s="2807">
        <f>SUM(J1144:J1145)</f>
        <v>10586</v>
      </c>
      <c r="I1146" s="2822"/>
      <c r="J1146" s="2807">
        <f>B1146*H1146</f>
        <v>0</v>
      </c>
    </row>
    <row r="1147" spans="1:10">
      <c r="B1147" s="2811"/>
      <c r="C1147" s="2790"/>
      <c r="D1147" s="2793" t="s">
        <v>60</v>
      </c>
      <c r="H1147" s="2807"/>
      <c r="I1147" s="2807"/>
      <c r="J1147" s="2811">
        <f>SUM(J1143:J1146)</f>
        <v>11007.4</v>
      </c>
    </row>
    <row r="1148" spans="1:10">
      <c r="B1148" s="2821" t="s">
        <v>39</v>
      </c>
      <c r="C1148" s="2828" t="s">
        <v>61</v>
      </c>
      <c r="H1148" s="2807"/>
      <c r="I1148" s="2807"/>
      <c r="J1148" s="2807"/>
    </row>
    <row r="1149" spans="1:10">
      <c r="B1149" s="2811">
        <v>8.1</v>
      </c>
      <c r="C1149" s="2790" t="s">
        <v>31</v>
      </c>
      <c r="D1149" s="2787" t="s">
        <v>63</v>
      </c>
      <c r="H1149" s="2807">
        <f>lead!J16</f>
        <v>2005.5179333714741</v>
      </c>
      <c r="I1149" s="2807" t="s">
        <v>31</v>
      </c>
      <c r="J1149" s="2807">
        <f>ROUND(B1149*H1149,2)</f>
        <v>16244.7</v>
      </c>
    </row>
    <row r="1150" spans="1:10">
      <c r="B1150" s="2811">
        <v>5.4</v>
      </c>
      <c r="C1150" s="2790" t="s">
        <v>31</v>
      </c>
      <c r="D1150" s="2787" t="s">
        <v>64</v>
      </c>
      <c r="H1150" s="2807">
        <f>lead!J18</f>
        <v>1754.5179333714741</v>
      </c>
      <c r="I1150" s="2807" t="s">
        <v>31</v>
      </c>
      <c r="J1150" s="2807">
        <f>ROUND(B1150*H1150,2)</f>
        <v>9474.4</v>
      </c>
    </row>
    <row r="1151" spans="1:10">
      <c r="B1151" s="2811">
        <v>6.75</v>
      </c>
      <c r="C1151" s="2790" t="s">
        <v>31</v>
      </c>
      <c r="D1151" s="2793" t="s">
        <v>65</v>
      </c>
      <c r="H1151" s="2844">
        <f>lead!J12</f>
        <v>1658.7679333714741</v>
      </c>
      <c r="I1151" s="2807" t="s">
        <v>31</v>
      </c>
      <c r="J1151" s="2807">
        <f>ROUND(B1151*H1151,2)</f>
        <v>11196.68</v>
      </c>
    </row>
    <row r="1152" spans="1:10">
      <c r="B1152" s="2845">
        <v>5.12</v>
      </c>
      <c r="C1152" s="2790" t="s">
        <v>66</v>
      </c>
      <c r="D1152" s="2793" t="s">
        <v>67</v>
      </c>
      <c r="H1152" s="2807">
        <f>lead!J36</f>
        <v>5000</v>
      </c>
      <c r="I1152" s="2807" t="s">
        <v>66</v>
      </c>
      <c r="J1152" s="2807">
        <f>ROUND(B1152*H1152,2)</f>
        <v>25600</v>
      </c>
    </row>
    <row r="1153" spans="1:10">
      <c r="B1153" s="2793"/>
      <c r="D1153" s="2793" t="s">
        <v>60</v>
      </c>
      <c r="H1153" s="2807"/>
      <c r="I1153" s="2807"/>
      <c r="J1153" s="2807">
        <f>SUM(J1149:J1152)</f>
        <v>62515.78</v>
      </c>
    </row>
    <row r="1154" spans="1:10">
      <c r="B1154" s="2821" t="s">
        <v>27</v>
      </c>
      <c r="C1154" s="2828" t="s">
        <v>40</v>
      </c>
      <c r="H1154" s="2807"/>
      <c r="I1154" s="2807"/>
      <c r="J1154" s="2807"/>
    </row>
    <row r="1155" spans="1:10">
      <c r="B1155" s="2811">
        <v>6</v>
      </c>
      <c r="C1155" s="2790" t="s">
        <v>41</v>
      </c>
      <c r="D1155" s="2793" t="s">
        <v>68</v>
      </c>
      <c r="H1155" s="2807">
        <f>'SSR-rates'!I88</f>
        <v>627.6</v>
      </c>
      <c r="I1155" s="2807" t="s">
        <v>41</v>
      </c>
      <c r="J1155" s="2807">
        <f>ROUND(B1155*H1155,2)</f>
        <v>3765.6</v>
      </c>
    </row>
    <row r="1156" spans="1:10">
      <c r="B1156" s="2811">
        <v>6</v>
      </c>
      <c r="C1156" s="2790" t="s">
        <v>41</v>
      </c>
      <c r="D1156" s="2793" t="s">
        <v>69</v>
      </c>
      <c r="H1156" s="2807">
        <f>'SSR-rates'!I87</f>
        <v>1237.4000000000001</v>
      </c>
      <c r="I1156" s="2807" t="s">
        <v>41</v>
      </c>
      <c r="J1156" s="2807">
        <f>ROUND(B1156*H1156,2)</f>
        <v>7424.4</v>
      </c>
    </row>
    <row r="1157" spans="1:10">
      <c r="B1157" s="2811"/>
      <c r="C1157" s="2794"/>
      <c r="D1157" s="2793" t="s">
        <v>60</v>
      </c>
      <c r="H1157" s="2807"/>
      <c r="I1157" s="2807"/>
      <c r="J1157" s="2807">
        <f>SUM(J1155:J1156)</f>
        <v>11190</v>
      </c>
    </row>
    <row r="1158" spans="1:10">
      <c r="B1158" s="2821" t="s">
        <v>45</v>
      </c>
      <c r="C1158" s="2828" t="s">
        <v>71</v>
      </c>
      <c r="H1158" s="2807"/>
      <c r="I1158" s="2807"/>
      <c r="J1158" s="2807"/>
    </row>
    <row r="1159" spans="1:10">
      <c r="B1159" s="2793">
        <v>10</v>
      </c>
      <c r="C1159" s="2790" t="s">
        <v>29</v>
      </c>
      <c r="D1159" s="2787" t="s">
        <v>72</v>
      </c>
      <c r="H1159" s="2807">
        <f>J1147+J1153+J1157</f>
        <v>84713.18</v>
      </c>
      <c r="I1159" s="2822" t="s">
        <v>73</v>
      </c>
      <c r="J1159" s="2807">
        <f>ROUND(B1159*H1159/100,2)</f>
        <v>8471.32</v>
      </c>
    </row>
    <row r="1160" spans="1:10">
      <c r="A1160" s="2819"/>
      <c r="B1160" s="2821" t="s">
        <v>47</v>
      </c>
      <c r="C1160" s="2819" t="s">
        <v>97</v>
      </c>
      <c r="F1160" s="2790"/>
      <c r="G1160" s="2790"/>
      <c r="H1160" s="2790"/>
      <c r="I1160" s="2790"/>
      <c r="J1160" s="2847"/>
    </row>
    <row r="1161" spans="1:10">
      <c r="A1161" s="2819"/>
      <c r="B1161" s="2812">
        <f>'Input Data'!$D$25</f>
        <v>0</v>
      </c>
      <c r="C1161" s="3014" t="s">
        <v>293</v>
      </c>
      <c r="D1161" s="3015"/>
      <c r="E1161" s="3015"/>
      <c r="F1161" s="3015"/>
      <c r="G1161" s="3016"/>
      <c r="H1161" s="2794">
        <f>J1159+J1157+J1153+J1147</f>
        <v>93184.5</v>
      </c>
      <c r="I1161" s="2790"/>
      <c r="J1161" s="2807">
        <f>H1161*B1161</f>
        <v>0</v>
      </c>
    </row>
    <row r="1162" spans="1:10">
      <c r="A1162" s="2819"/>
      <c r="B1162" s="2821" t="s">
        <v>76</v>
      </c>
      <c r="C1162" s="2819" t="s">
        <v>77</v>
      </c>
      <c r="F1162" s="2790"/>
      <c r="G1162" s="2790"/>
      <c r="H1162" s="2790"/>
      <c r="I1162" s="2790"/>
      <c r="J1162" s="2847">
        <f>J1147+J1153+J1157+J1159+J1161</f>
        <v>93184.5</v>
      </c>
    </row>
    <row r="1163" spans="1:10">
      <c r="A1163" s="2819"/>
      <c r="B1163" s="2821" t="s">
        <v>78</v>
      </c>
      <c r="C1163" s="2819" t="s">
        <v>79</v>
      </c>
      <c r="F1163" s="2790"/>
      <c r="G1163" s="2790"/>
      <c r="H1163" s="2790"/>
      <c r="I1163" s="2790"/>
      <c r="J1163" s="2847">
        <f>J1162*10/100</f>
        <v>9318.4500000000007</v>
      </c>
    </row>
    <row r="1164" spans="1:10">
      <c r="B1164" s="2811"/>
      <c r="C1164" s="2790"/>
      <c r="D1164" s="2828" t="s">
        <v>80</v>
      </c>
      <c r="H1164" s="2807"/>
      <c r="I1164" s="2807"/>
      <c r="J1164" s="2847">
        <f>SUM(J1162:J1163)</f>
        <v>102502.95</v>
      </c>
    </row>
    <row r="1165" spans="1:10">
      <c r="B1165" s="2811"/>
      <c r="C1165" s="2790"/>
      <c r="D1165" s="2793" t="s">
        <v>81</v>
      </c>
      <c r="H1165" s="2807"/>
      <c r="I1165" s="2807"/>
      <c r="J1165" s="2807">
        <f>ROUND(J1164/15,2)</f>
        <v>6833.53</v>
      </c>
    </row>
    <row r="1166" spans="1:10">
      <c r="D1166" s="2793" t="s">
        <v>52</v>
      </c>
      <c r="H1166" s="2807"/>
      <c r="I1166" s="2807"/>
      <c r="J1166" s="2848">
        <f>ROUND(J1165,0)</f>
        <v>6834</v>
      </c>
    </row>
    <row r="1167" spans="1:10">
      <c r="D1167" s="2793"/>
      <c r="H1167" s="2807"/>
      <c r="I1167" s="2807"/>
      <c r="J1167" s="2847" t="s">
        <v>53</v>
      </c>
    </row>
    <row r="1170" spans="1:10" ht="125.25" customHeight="1">
      <c r="A1170" s="2865">
        <v>6.07</v>
      </c>
      <c r="B1170" s="3008" t="s">
        <v>294</v>
      </c>
      <c r="C1170" s="3008"/>
      <c r="D1170" s="3008"/>
      <c r="E1170" s="3008"/>
      <c r="F1170" s="3008"/>
      <c r="G1170" s="3008"/>
      <c r="H1170" s="3008"/>
      <c r="I1170" s="3008"/>
      <c r="J1170" s="3008"/>
    </row>
    <row r="1171" spans="1:10">
      <c r="D1171" s="2793" t="s">
        <v>10</v>
      </c>
      <c r="F1171" s="2819" t="s">
        <v>280</v>
      </c>
      <c r="J1171" s="2787"/>
    </row>
    <row r="1172" spans="1:10">
      <c r="D1172" s="2793" t="s">
        <v>56</v>
      </c>
      <c r="J1172" s="2787"/>
    </row>
    <row r="1173" spans="1:10">
      <c r="B1173" s="2821" t="s">
        <v>36</v>
      </c>
      <c r="C1173" s="2828" t="s">
        <v>37</v>
      </c>
      <c r="J1173" s="2787"/>
    </row>
    <row r="1174" spans="1:10">
      <c r="B1174" s="2811">
        <v>0.84</v>
      </c>
      <c r="C1174" s="2790" t="s">
        <v>57</v>
      </c>
      <c r="D1174" s="2793" t="s">
        <v>156</v>
      </c>
      <c r="H1174" s="2807">
        <f>'SSR-rates'!I$58</f>
        <v>490</v>
      </c>
      <c r="I1174" s="2822" t="s">
        <v>38</v>
      </c>
      <c r="J1174" s="2811">
        <f>ROUND(B1174*H1174,2)</f>
        <v>411.6</v>
      </c>
    </row>
    <row r="1175" spans="1:10">
      <c r="B1175" s="2811">
        <v>3</v>
      </c>
      <c r="C1175" s="2790" t="s">
        <v>57</v>
      </c>
      <c r="D1175" s="2793" t="s">
        <v>58</v>
      </c>
      <c r="H1175" s="2807">
        <f>'SSR-rates'!I$58</f>
        <v>490</v>
      </c>
      <c r="I1175" s="2822" t="s">
        <v>38</v>
      </c>
      <c r="J1175" s="2811">
        <f>ROUND(B1175*H1175,2)</f>
        <v>1470</v>
      </c>
    </row>
    <row r="1176" spans="1:10">
      <c r="B1176" s="2811">
        <v>18</v>
      </c>
      <c r="C1176" s="2790" t="s">
        <v>57</v>
      </c>
      <c r="D1176" s="2793" t="s">
        <v>59</v>
      </c>
      <c r="H1176" s="2807">
        <f>'SSR-rates'!I$60</f>
        <v>490</v>
      </c>
      <c r="I1176" s="2822" t="s">
        <v>38</v>
      </c>
      <c r="J1176" s="2811">
        <f>ROUND(B1176*H1176,2)</f>
        <v>8820</v>
      </c>
    </row>
    <row r="1177" spans="1:10">
      <c r="A1177" s="2819"/>
      <c r="B1177" s="2808">
        <f>'Input Data'!$D$23</f>
        <v>0</v>
      </c>
      <c r="C1177" s="2794"/>
      <c r="D1177" s="2787" t="s">
        <v>17</v>
      </c>
      <c r="F1177" s="2790"/>
      <c r="G1177" s="2790"/>
      <c r="H1177" s="2807">
        <f>SUM(J1174:J1176)</f>
        <v>10701.6</v>
      </c>
      <c r="I1177" s="2822"/>
      <c r="J1177" s="2807">
        <f>B1177*H1177</f>
        <v>0</v>
      </c>
    </row>
    <row r="1178" spans="1:10">
      <c r="B1178" s="2811"/>
      <c r="C1178" s="2790"/>
      <c r="D1178" s="2793" t="s">
        <v>60</v>
      </c>
      <c r="H1178" s="2807"/>
      <c r="I1178" s="2807"/>
      <c r="J1178" s="2811">
        <f>SUM(J1174:J1177)</f>
        <v>10701.6</v>
      </c>
    </row>
    <row r="1179" spans="1:10">
      <c r="B1179" s="2821" t="s">
        <v>39</v>
      </c>
      <c r="C1179" s="2828" t="s">
        <v>61</v>
      </c>
      <c r="H1179" s="2807"/>
      <c r="I1179" s="2807"/>
      <c r="J1179" s="2807"/>
    </row>
    <row r="1180" spans="1:10">
      <c r="B1180" s="2811">
        <v>8.1</v>
      </c>
      <c r="C1180" s="2790" t="s">
        <v>31</v>
      </c>
      <c r="D1180" s="2787" t="s">
        <v>63</v>
      </c>
      <c r="H1180" s="2807">
        <f>lead!J$16</f>
        <v>2005.5179333714741</v>
      </c>
      <c r="I1180" s="2807" t="s">
        <v>31</v>
      </c>
      <c r="J1180" s="2807">
        <f>ROUND(B1180*H1180,2)</f>
        <v>16244.7</v>
      </c>
    </row>
    <row r="1181" spans="1:10">
      <c r="B1181" s="2811">
        <v>5.4</v>
      </c>
      <c r="C1181" s="2790" t="s">
        <v>31</v>
      </c>
      <c r="D1181" s="2787" t="s">
        <v>64</v>
      </c>
      <c r="H1181" s="2807">
        <f>lead!J$18</f>
        <v>1754.5179333714741</v>
      </c>
      <c r="I1181" s="2807" t="s">
        <v>31</v>
      </c>
      <c r="J1181" s="2807">
        <f>ROUND(B1181*H1181,2)</f>
        <v>9474.4</v>
      </c>
    </row>
    <row r="1182" spans="1:10">
      <c r="B1182" s="2811">
        <v>6.75</v>
      </c>
      <c r="C1182" s="2790" t="s">
        <v>31</v>
      </c>
      <c r="D1182" s="2793" t="s">
        <v>65</v>
      </c>
      <c r="H1182" s="2807">
        <f>lead!J12</f>
        <v>1658.7679333714741</v>
      </c>
      <c r="I1182" s="2807" t="s">
        <v>31</v>
      </c>
      <c r="J1182" s="2807">
        <f>ROUND(B1182*H1182,2)</f>
        <v>11196.68</v>
      </c>
    </row>
    <row r="1183" spans="1:10">
      <c r="B1183" s="2872">
        <v>6.05</v>
      </c>
      <c r="C1183" s="2790" t="s">
        <v>66</v>
      </c>
      <c r="D1183" s="2793" t="s">
        <v>67</v>
      </c>
      <c r="H1183" s="2807">
        <f>lead!J$36</f>
        <v>5000</v>
      </c>
      <c r="I1183" s="2807" t="s">
        <v>66</v>
      </c>
      <c r="J1183" s="2807">
        <f>ROUND(B1183*H1183,2)</f>
        <v>30250</v>
      </c>
    </row>
    <row r="1184" spans="1:10">
      <c r="B1184" s="2793"/>
      <c r="D1184" s="2793" t="s">
        <v>60</v>
      </c>
      <c r="H1184" s="2807"/>
      <c r="I1184" s="2807"/>
      <c r="J1184" s="2807">
        <f>SUM(J1180:J1183)</f>
        <v>67165.78</v>
      </c>
    </row>
    <row r="1185" spans="1:10">
      <c r="B1185" s="2821" t="s">
        <v>27</v>
      </c>
      <c r="C1185" s="2828" t="s">
        <v>40</v>
      </c>
      <c r="H1185" s="2807"/>
      <c r="I1185" s="2807"/>
      <c r="J1185" s="2807"/>
    </row>
    <row r="1186" spans="1:10">
      <c r="B1186" s="2811">
        <v>6</v>
      </c>
      <c r="C1186" s="2790" t="s">
        <v>41</v>
      </c>
      <c r="D1186" s="2787" t="s">
        <v>68</v>
      </c>
      <c r="H1186" s="2807">
        <f>'SSR-rates'!$I$88</f>
        <v>627.6</v>
      </c>
      <c r="I1186" s="2807" t="s">
        <v>41</v>
      </c>
      <c r="J1186" s="2807">
        <f>ROUND(B1186*H1186,2)</f>
        <v>3765.6</v>
      </c>
    </row>
    <row r="1187" spans="1:10">
      <c r="B1187" s="2811">
        <v>6</v>
      </c>
      <c r="C1187" s="2790" t="s">
        <v>41</v>
      </c>
      <c r="D1187" s="2787" t="s">
        <v>224</v>
      </c>
      <c r="H1187" s="2807">
        <f>'SSR-rates'!$I$87</f>
        <v>1237.4000000000001</v>
      </c>
      <c r="I1187" s="2807" t="s">
        <v>41</v>
      </c>
      <c r="J1187" s="2807">
        <f>ROUND(B1187*H1187,2)</f>
        <v>7424.4</v>
      </c>
    </row>
    <row r="1188" spans="1:10">
      <c r="B1188" s="2811"/>
      <c r="C1188" s="2794"/>
      <c r="D1188" s="2793" t="s">
        <v>60</v>
      </c>
      <c r="H1188" s="2807"/>
      <c r="I1188" s="2807"/>
      <c r="J1188" s="2807">
        <f>SUM(J1186:J1187)</f>
        <v>11190</v>
      </c>
    </row>
    <row r="1189" spans="1:10">
      <c r="B1189" s="2821" t="s">
        <v>45</v>
      </c>
      <c r="C1189" s="2828" t="s">
        <v>71</v>
      </c>
      <c r="H1189" s="2807"/>
      <c r="I1189" s="2807"/>
      <c r="J1189" s="2807"/>
    </row>
    <row r="1190" spans="1:10">
      <c r="B1190" s="2793">
        <v>2</v>
      </c>
      <c r="C1190" s="2790" t="s">
        <v>29</v>
      </c>
      <c r="D1190" s="2787" t="s">
        <v>181</v>
      </c>
      <c r="H1190" s="2807">
        <f>J1178+J1184+J1188</f>
        <v>89057.38</v>
      </c>
      <c r="I1190" s="2822" t="s">
        <v>73</v>
      </c>
      <c r="J1190" s="2807">
        <f>ROUND(B1190*H1190/100,2)</f>
        <v>1781.15</v>
      </c>
    </row>
    <row r="1191" spans="1:10">
      <c r="A1191" s="2819"/>
      <c r="B1191" s="2821" t="s">
        <v>47</v>
      </c>
      <c r="C1191" s="2819" t="s">
        <v>97</v>
      </c>
      <c r="F1191" s="2790"/>
      <c r="G1191" s="2790"/>
      <c r="H1191" s="2790"/>
      <c r="I1191" s="2790"/>
      <c r="J1191" s="2847"/>
    </row>
    <row r="1192" spans="1:10" ht="27" customHeight="1">
      <c r="A1192" s="2819"/>
      <c r="B1192" s="2812">
        <f>'Input Data'!$D$25</f>
        <v>0</v>
      </c>
      <c r="C1192" s="3017" t="str">
        <f>"Over head charges "&amp;'Input Data'!$D$25*100&amp;"%  on (A) + (B)+(C)+(D)"</f>
        <v>Over head charges 0%  on (A) + (B)+(C)+(D)</v>
      </c>
      <c r="D1192" s="3018"/>
      <c r="E1192" s="3018"/>
      <c r="F1192" s="3018"/>
      <c r="G1192" s="3019"/>
      <c r="H1192" s="2794">
        <f>J1190+J1188+J1184+J1178</f>
        <v>90838.53</v>
      </c>
      <c r="I1192" s="2790"/>
      <c r="J1192" s="2807">
        <f>H1192*B1192</f>
        <v>0</v>
      </c>
    </row>
    <row r="1193" spans="1:10">
      <c r="A1193" s="2819"/>
      <c r="B1193" s="2821" t="s">
        <v>76</v>
      </c>
      <c r="C1193" s="2819" t="s">
        <v>77</v>
      </c>
      <c r="F1193" s="2790"/>
      <c r="G1193" s="2790"/>
      <c r="H1193" s="2790"/>
      <c r="I1193" s="2790"/>
      <c r="J1193" s="2847">
        <f>J1178+J1184+J1188+J1190+J1192</f>
        <v>90838.53</v>
      </c>
    </row>
    <row r="1194" spans="1:10">
      <c r="A1194" s="2819"/>
      <c r="B1194" s="2821" t="s">
        <v>78</v>
      </c>
      <c r="C1194" s="2819" t="s">
        <v>79</v>
      </c>
      <c r="F1194" s="2790"/>
      <c r="G1194" s="2790"/>
      <c r="H1194" s="2790"/>
      <c r="I1194" s="2790"/>
      <c r="J1194" s="2847">
        <f>J1193*10/100</f>
        <v>9083.853000000001</v>
      </c>
    </row>
    <row r="1195" spans="1:10">
      <c r="B1195" s="2811"/>
      <c r="C1195" s="2790"/>
      <c r="D1195" s="2828" t="s">
        <v>80</v>
      </c>
      <c r="H1195" s="2807"/>
      <c r="I1195" s="2807"/>
      <c r="J1195" s="2847">
        <f>SUM(J1193:J1194)</f>
        <v>99922.383000000002</v>
      </c>
    </row>
    <row r="1196" spans="1:10">
      <c r="B1196" s="2811"/>
      <c r="C1196" s="2790"/>
      <c r="D1196" s="2793" t="s">
        <v>81</v>
      </c>
      <c r="H1196" s="2807"/>
      <c r="I1196" s="2807"/>
      <c r="J1196" s="2807">
        <f>ROUND(J1195/15,2)</f>
        <v>6661.49</v>
      </c>
    </row>
    <row r="1197" spans="1:10">
      <c r="D1197" s="2793" t="s">
        <v>52</v>
      </c>
      <c r="H1197" s="2807"/>
      <c r="I1197" s="2807"/>
      <c r="J1197" s="2848">
        <f>ROUND(J1196,0)</f>
        <v>6661</v>
      </c>
    </row>
    <row r="1198" spans="1:10">
      <c r="D1198" s="2793"/>
      <c r="H1198" s="2807"/>
      <c r="I1198" s="2807"/>
      <c r="J1198" s="2847" t="s">
        <v>53</v>
      </c>
    </row>
    <row r="1201" spans="1:10" ht="74.25" customHeight="1">
      <c r="A1201" s="2816">
        <v>6.02</v>
      </c>
      <c r="B1201" s="3008" t="s">
        <v>113</v>
      </c>
      <c r="C1201" s="3008"/>
      <c r="D1201" s="3008"/>
      <c r="E1201" s="3008"/>
      <c r="F1201" s="3008"/>
      <c r="G1201" s="3008"/>
      <c r="H1201" s="3008"/>
      <c r="I1201" s="3008"/>
      <c r="J1201" s="3008"/>
    </row>
    <row r="1202" spans="1:10">
      <c r="D1202" s="2793" t="s">
        <v>10</v>
      </c>
      <c r="F1202" s="2819" t="s">
        <v>114</v>
      </c>
      <c r="J1202" s="2787"/>
    </row>
    <row r="1203" spans="1:10">
      <c r="D1203" s="2793" t="s">
        <v>115</v>
      </c>
      <c r="J1203" s="2787"/>
    </row>
    <row r="1204" spans="1:10">
      <c r="B1204" s="2821" t="s">
        <v>36</v>
      </c>
      <c r="C1204" s="2828" t="s">
        <v>37</v>
      </c>
      <c r="J1204" s="2787"/>
    </row>
    <row r="1205" spans="1:10">
      <c r="B1205" s="2811">
        <v>0.05</v>
      </c>
      <c r="C1205" s="2790" t="s">
        <v>57</v>
      </c>
      <c r="D1205" s="2793" t="s">
        <v>14</v>
      </c>
      <c r="H1205" s="2807">
        <f>'SSR-rates'!$I$58</f>
        <v>490</v>
      </c>
      <c r="I1205" s="2822" t="s">
        <v>38</v>
      </c>
      <c r="J1205" s="2807">
        <f>ROUND(B1205*H1205,2)</f>
        <v>24.5</v>
      </c>
    </row>
    <row r="1206" spans="1:10">
      <c r="B1206" s="2811">
        <v>0.25</v>
      </c>
      <c r="C1206" s="2790" t="s">
        <v>57</v>
      </c>
      <c r="D1206" s="2793" t="s">
        <v>295</v>
      </c>
      <c r="H1206" s="2807">
        <f>'SSR-rates'!$I$59</f>
        <v>524</v>
      </c>
      <c r="I1206" s="2822" t="s">
        <v>38</v>
      </c>
      <c r="J1206" s="2807">
        <f>ROUND(B1206*H1206,2)</f>
        <v>131</v>
      </c>
    </row>
    <row r="1207" spans="1:10">
      <c r="B1207" s="2811">
        <v>1</v>
      </c>
      <c r="C1207" s="2790" t="s">
        <v>57</v>
      </c>
      <c r="D1207" s="2793" t="s">
        <v>59</v>
      </c>
      <c r="H1207" s="2807">
        <f>'SSR-rates'!I$60</f>
        <v>490</v>
      </c>
      <c r="I1207" s="2822" t="s">
        <v>38</v>
      </c>
      <c r="J1207" s="2811">
        <f>ROUND(B1207*H1207,2)</f>
        <v>490</v>
      </c>
    </row>
    <row r="1208" spans="1:10">
      <c r="A1208" s="2819"/>
      <c r="B1208" s="2808">
        <f>'Input Data'!$D$23</f>
        <v>0</v>
      </c>
      <c r="C1208" s="2794"/>
      <c r="D1208" s="2787" t="s">
        <v>17</v>
      </c>
      <c r="F1208" s="2790"/>
      <c r="G1208" s="2790"/>
      <c r="H1208" s="2807">
        <f>SUM(J1205:J1207)</f>
        <v>645.5</v>
      </c>
      <c r="I1208" s="2822"/>
      <c r="J1208" s="2807">
        <f>B1208*H1208</f>
        <v>0</v>
      </c>
    </row>
    <row r="1209" spans="1:10" ht="13.5" customHeight="1">
      <c r="B1209" s="2793" t="s">
        <v>85</v>
      </c>
      <c r="D1209" s="2793" t="s">
        <v>60</v>
      </c>
      <c r="H1209" s="2807"/>
      <c r="I1209" s="2822"/>
      <c r="J1209" s="2807">
        <f>SUM(J1205:J1208)</f>
        <v>645.5</v>
      </c>
    </row>
    <row r="1210" spans="1:10" hidden="1">
      <c r="B1210" s="2793"/>
      <c r="D1210" s="2793"/>
      <c r="H1210" s="2807"/>
      <c r="I1210" s="2807"/>
      <c r="J1210" s="2807"/>
    </row>
    <row r="1211" spans="1:10">
      <c r="B1211" s="2821" t="s">
        <v>39</v>
      </c>
      <c r="C1211" s="2828" t="s">
        <v>61</v>
      </c>
      <c r="H1211" s="2807"/>
      <c r="I1211" s="2807"/>
      <c r="J1211" s="2807"/>
    </row>
    <row r="1212" spans="1:10">
      <c r="B1212" s="2811">
        <v>1.2</v>
      </c>
      <c r="C1212" s="2790" t="s">
        <v>31</v>
      </c>
      <c r="D1212" s="2793" t="s">
        <v>86</v>
      </c>
      <c r="H1212" s="2807">
        <f>lead!$J$34</f>
        <v>173.07604629670379</v>
      </c>
      <c r="I1212" s="2807" t="s">
        <v>31</v>
      </c>
      <c r="J1212" s="2807">
        <f>ROUND(B1212*H1212,2)</f>
        <v>207.69</v>
      </c>
    </row>
    <row r="1213" spans="1:10">
      <c r="B1213" s="2793"/>
      <c r="D1213" s="2793" t="s">
        <v>60</v>
      </c>
      <c r="H1213" s="2807"/>
      <c r="I1213" s="2807"/>
      <c r="J1213" s="2807">
        <f>SUM(J1212:J1212)</f>
        <v>207.69</v>
      </c>
    </row>
    <row r="1214" spans="1:10">
      <c r="B1214" s="2821" t="s">
        <v>87</v>
      </c>
      <c r="C1214" s="2828" t="s">
        <v>40</v>
      </c>
      <c r="H1214" s="2807"/>
      <c r="I1214" s="2807"/>
      <c r="J1214" s="2807"/>
    </row>
    <row r="1215" spans="1:10" ht="30" customHeight="1">
      <c r="B1215" s="2811">
        <v>2.5</v>
      </c>
      <c r="C1215" s="2790" t="s">
        <v>41</v>
      </c>
      <c r="D1215" s="3017" t="s">
        <v>88</v>
      </c>
      <c r="E1215" s="3018"/>
      <c r="F1215" s="3018"/>
      <c r="G1215" s="3019"/>
      <c r="H1215" s="2807" t="e">
        <f>'SSR-rates'!#REF!</f>
        <v>#REF!</v>
      </c>
      <c r="I1215" s="2807" t="s">
        <v>41</v>
      </c>
      <c r="J1215" s="2807" t="e">
        <f>ROUND(B1215*H1215,2)</f>
        <v>#REF!</v>
      </c>
    </row>
    <row r="1216" spans="1:10">
      <c r="B1216" s="2811">
        <v>0.05</v>
      </c>
      <c r="C1216" s="2790" t="s">
        <v>41</v>
      </c>
      <c r="D1216" s="2793" t="s">
        <v>70</v>
      </c>
      <c r="H1216" s="2807" t="e">
        <f>'SSR-rates'!#REF!</f>
        <v>#REF!</v>
      </c>
      <c r="I1216" s="2807" t="s">
        <v>41</v>
      </c>
      <c r="J1216" s="2807" t="e">
        <f>ROUND(B1216*H1216,2)</f>
        <v>#REF!</v>
      </c>
    </row>
    <row r="1217" spans="1:10">
      <c r="B1217" s="2811"/>
      <c r="C1217" s="2790"/>
      <c r="D1217" s="2793" t="s">
        <v>60</v>
      </c>
      <c r="H1217" s="2807"/>
      <c r="I1217" s="2807"/>
      <c r="J1217" s="2807" t="e">
        <f>SUM(J1215:J1216)</f>
        <v>#REF!</v>
      </c>
    </row>
    <row r="1218" spans="1:10">
      <c r="A1218" s="2819"/>
      <c r="B1218" s="2821" t="s">
        <v>45</v>
      </c>
      <c r="C1218" s="2819" t="s">
        <v>44</v>
      </c>
      <c r="F1218" s="2790"/>
      <c r="G1218" s="2790"/>
      <c r="H1218" s="2790"/>
      <c r="I1218" s="2790"/>
      <c r="J1218" s="2847"/>
    </row>
    <row r="1219" spans="1:10" ht="34.5" customHeight="1">
      <c r="A1219" s="2819"/>
      <c r="B1219" s="2812">
        <f>'Input Data'!$D$25</f>
        <v>0</v>
      </c>
      <c r="C1219" s="3017" t="str">
        <f>"Over head charges "&amp;'Input Data'!$D$25*100&amp;"%  on (A) + (B)+(C)"</f>
        <v>Over head charges 0%  on (A) + (B)+(C)</v>
      </c>
      <c r="D1219" s="3018"/>
      <c r="E1219" s="3018"/>
      <c r="F1219" s="3018"/>
      <c r="G1219" s="3019"/>
      <c r="H1219" s="2794" t="e">
        <f>J1217+J1213+J1209</f>
        <v>#REF!</v>
      </c>
      <c r="I1219" s="2790"/>
      <c r="J1219" s="2807" t="e">
        <f>H1219*B1219</f>
        <v>#REF!</v>
      </c>
    </row>
    <row r="1220" spans="1:10">
      <c r="A1220" s="2819"/>
      <c r="B1220" s="2821" t="s">
        <v>47</v>
      </c>
      <c r="C1220" s="2819" t="s">
        <v>89</v>
      </c>
      <c r="F1220" s="2790"/>
      <c r="G1220" s="2790"/>
      <c r="H1220" s="2790"/>
      <c r="I1220" s="2790"/>
      <c r="J1220" s="2847" t="e">
        <f>J1209+J1213+J1217+J1219</f>
        <v>#REF!</v>
      </c>
    </row>
    <row r="1221" spans="1:10">
      <c r="A1221" s="2819"/>
      <c r="B1221" s="2821" t="s">
        <v>76</v>
      </c>
      <c r="C1221" s="2819" t="s">
        <v>90</v>
      </c>
      <c r="F1221" s="2790"/>
      <c r="G1221" s="2790"/>
      <c r="H1221" s="2790"/>
      <c r="I1221" s="2790"/>
      <c r="J1221" s="2847" t="e">
        <f>J1220*10/100</f>
        <v>#REF!</v>
      </c>
    </row>
    <row r="1222" spans="1:10">
      <c r="B1222" s="2811"/>
      <c r="C1222" s="2790"/>
      <c r="D1222" s="2828" t="s">
        <v>91</v>
      </c>
      <c r="H1222" s="2807"/>
      <c r="I1222" s="2807"/>
      <c r="J1222" s="2847" t="e">
        <f>SUM(J1220:J1221)</f>
        <v>#REF!</v>
      </c>
    </row>
    <row r="1223" spans="1:10">
      <c r="B1223" s="2811"/>
      <c r="C1223" s="2790"/>
      <c r="D1223" s="2793" t="s">
        <v>50</v>
      </c>
      <c r="H1223" s="2807"/>
      <c r="I1223" s="2807"/>
      <c r="J1223" s="2807" t="e">
        <f>J1222</f>
        <v>#REF!</v>
      </c>
    </row>
    <row r="1224" spans="1:10">
      <c r="D1224" s="2793" t="s">
        <v>52</v>
      </c>
      <c r="H1224" s="2807"/>
      <c r="I1224" s="2807"/>
      <c r="J1224" s="2848" t="e">
        <f>ROUND(J1223,0)</f>
        <v>#REF!</v>
      </c>
    </row>
    <row r="1225" spans="1:10">
      <c r="D1225" s="2793"/>
      <c r="H1225" s="2807"/>
      <c r="I1225" s="2807"/>
      <c r="J1225" s="2847" t="s">
        <v>53</v>
      </c>
    </row>
    <row r="1228" spans="1:10" s="2786" customFormat="1" ht="85.5" customHeight="1">
      <c r="A1228" s="2816">
        <v>7.02</v>
      </c>
      <c r="B1228" s="3008" t="s">
        <v>296</v>
      </c>
      <c r="C1228" s="3008"/>
      <c r="D1228" s="3008"/>
      <c r="E1228" s="3008"/>
      <c r="F1228" s="3008"/>
      <c r="G1228" s="3008"/>
      <c r="H1228" s="3008"/>
      <c r="I1228" s="3008"/>
      <c r="J1228" s="3008"/>
    </row>
    <row r="1229" spans="1:10" s="2786" customFormat="1" ht="15" customHeight="1">
      <c r="A1229" s="2817"/>
      <c r="B1229" s="3009" t="s">
        <v>33</v>
      </c>
      <c r="C1229" s="3009"/>
      <c r="D1229" s="2818"/>
      <c r="E1229" s="2818"/>
      <c r="F1229" s="2819" t="s">
        <v>34</v>
      </c>
      <c r="G1229" s="2818"/>
      <c r="H1229" s="2820"/>
      <c r="I1229" s="2820"/>
      <c r="J1229" s="2838"/>
    </row>
    <row r="1230" spans="1:10" s="2786" customFormat="1" ht="15" customHeight="1">
      <c r="A1230" s="2817"/>
      <c r="B1230" s="3009" t="s">
        <v>297</v>
      </c>
      <c r="C1230" s="3009"/>
      <c r="D1230" s="3009"/>
      <c r="E1230" s="3009"/>
      <c r="F1230" s="2818"/>
      <c r="G1230" s="2818"/>
      <c r="H1230" s="2820"/>
      <c r="I1230" s="2820"/>
      <c r="J1230" s="2838"/>
    </row>
    <row r="1231" spans="1:10" s="2786" customFormat="1" ht="15" customHeight="1">
      <c r="A1231" s="2817"/>
      <c r="B1231" s="2821" t="s">
        <v>36</v>
      </c>
      <c r="C1231" s="2819" t="s">
        <v>37</v>
      </c>
      <c r="D1231" s="2787"/>
      <c r="E1231" s="2818"/>
      <c r="F1231" s="2818"/>
      <c r="G1231" s="2818"/>
      <c r="H1231" s="2820"/>
      <c r="I1231" s="2820"/>
      <c r="J1231" s="2838"/>
    </row>
    <row r="1232" spans="1:10" s="2786" customFormat="1" ht="15" customHeight="1">
      <c r="A1232" s="2817"/>
      <c r="B1232" s="2811">
        <v>0.2</v>
      </c>
      <c r="C1232" s="2794" t="s">
        <v>38</v>
      </c>
      <c r="D1232" s="2790" t="s">
        <v>14</v>
      </c>
      <c r="E1232" s="2787"/>
      <c r="F1232" s="2790"/>
      <c r="G1232" s="2790"/>
      <c r="H1232" s="2807">
        <f>'SSR-rates'!$I$58</f>
        <v>490</v>
      </c>
      <c r="I1232" s="2822" t="s">
        <v>38</v>
      </c>
      <c r="J1232" s="2811">
        <f>ROUND(B1232*H1232,2)</f>
        <v>98</v>
      </c>
    </row>
    <row r="1233" spans="1:10" s="2786" customFormat="1" ht="15.75" customHeight="1">
      <c r="A1233" s="2817"/>
      <c r="B1233" s="2811">
        <v>5</v>
      </c>
      <c r="C1233" s="2794" t="s">
        <v>38</v>
      </c>
      <c r="D1233" s="2790" t="s">
        <v>16</v>
      </c>
      <c r="E1233" s="2787"/>
      <c r="F1233" s="2790"/>
      <c r="G1233" s="2790"/>
      <c r="H1233" s="2807">
        <f>'SSR-rates'!$I$60</f>
        <v>490</v>
      </c>
      <c r="I1233" s="2822" t="s">
        <v>38</v>
      </c>
      <c r="J1233" s="2811">
        <f>ROUND(B1233*H1233,2)</f>
        <v>2450</v>
      </c>
    </row>
    <row r="1234" spans="1:10">
      <c r="A1234" s="2819"/>
      <c r="B1234" s="2808">
        <f>'Input Data'!$D$23</f>
        <v>0</v>
      </c>
      <c r="C1234" s="2794"/>
      <c r="D1234" s="2787" t="s">
        <v>17</v>
      </c>
      <c r="F1234" s="2790"/>
      <c r="G1234" s="2790"/>
      <c r="H1234" s="2807">
        <f>SUM(J1232:J1233)</f>
        <v>2548</v>
      </c>
      <c r="I1234" s="2822"/>
      <c r="J1234" s="2807">
        <f>B1234*H1234</f>
        <v>0</v>
      </c>
    </row>
    <row r="1235" spans="1:10" s="2786" customFormat="1" ht="15" customHeight="1">
      <c r="A1235" s="2817"/>
      <c r="B1235" s="2811"/>
      <c r="C1235" s="2794"/>
      <c r="D1235" s="2790"/>
      <c r="E1235" s="2790"/>
      <c r="F1235" s="2790"/>
      <c r="G1235" s="2790"/>
      <c r="H1235" s="2807"/>
      <c r="I1235" s="2822"/>
      <c r="J1235" s="2839">
        <f>SUM(J1232:J1234)</f>
        <v>2548</v>
      </c>
    </row>
    <row r="1236" spans="1:10" s="2786" customFormat="1" ht="15" customHeight="1">
      <c r="A1236" s="2817"/>
      <c r="B1236" s="2821" t="s">
        <v>39</v>
      </c>
      <c r="C1236" s="2819" t="s">
        <v>40</v>
      </c>
      <c r="D1236" s="2787"/>
      <c r="E1236" s="2787"/>
      <c r="F1236" s="2790"/>
      <c r="G1236" s="2790"/>
      <c r="H1236" s="2790"/>
      <c r="I1236" s="2790"/>
      <c r="J1236" s="2840"/>
    </row>
    <row r="1237" spans="1:10" s="2786" customFormat="1" ht="15" customHeight="1">
      <c r="A1237" s="2817"/>
      <c r="B1237" s="2823">
        <v>10</v>
      </c>
      <c r="C1237" s="2824" t="s">
        <v>31</v>
      </c>
      <c r="D1237" s="3013" t="s">
        <v>43</v>
      </c>
      <c r="E1237" s="3013"/>
      <c r="F1237" s="3013"/>
      <c r="G1237" s="3013"/>
      <c r="H1237" s="2825">
        <v>19.5</v>
      </c>
      <c r="I1237" s="2825" t="s">
        <v>31</v>
      </c>
      <c r="J1237" s="2823">
        <f>ROUND(B1237*H1237,2)</f>
        <v>195</v>
      </c>
    </row>
    <row r="1238" spans="1:10" s="2786" customFormat="1" ht="15" hidden="1" customHeight="1">
      <c r="A1238" s="2817"/>
      <c r="B1238" s="2821"/>
      <c r="C1238" s="2819"/>
      <c r="D1238" s="2787"/>
      <c r="E1238" s="2787"/>
      <c r="F1238" s="2790"/>
      <c r="G1238" s="2790"/>
      <c r="H1238" s="2807"/>
      <c r="I1238" s="2807"/>
      <c r="J1238" s="2811"/>
    </row>
    <row r="1239" spans="1:10" s="2786" customFormat="1" ht="15" hidden="1" customHeight="1">
      <c r="A1239" s="2817"/>
      <c r="B1239" s="2811"/>
      <c r="C1239" s="2794"/>
      <c r="D1239" s="2790"/>
      <c r="E1239" s="2787"/>
      <c r="F1239" s="2790"/>
      <c r="G1239" s="2790"/>
      <c r="H1239" s="2807"/>
      <c r="I1239" s="2807"/>
      <c r="J1239" s="2811"/>
    </row>
    <row r="1240" spans="1:10" s="2786" customFormat="1" ht="15" customHeight="1">
      <c r="A1240" s="2817"/>
      <c r="B1240" s="2821" t="s">
        <v>27</v>
      </c>
      <c r="C1240" s="2819" t="s">
        <v>44</v>
      </c>
      <c r="D1240" s="2790"/>
      <c r="E1240" s="2787"/>
      <c r="F1240" s="2790"/>
      <c r="G1240" s="2790"/>
      <c r="H1240" s="2807"/>
      <c r="I1240" s="2807"/>
      <c r="J1240" s="2840"/>
    </row>
    <row r="1241" spans="1:10" s="2786" customFormat="1" ht="15" customHeight="1">
      <c r="A1241" s="2816"/>
      <c r="B1241" s="2812">
        <f>'Input Data'!$D$25</f>
        <v>0</v>
      </c>
      <c r="C1241" s="2819" t="str">
        <f>"Over head charges "&amp;'Input Data'!$D$25*100&amp;"%  on (A) + (B)"</f>
        <v>Over head charges 0%  on (A) + (B)</v>
      </c>
      <c r="D1241" s="2787"/>
      <c r="E1241" s="2787"/>
      <c r="F1241" s="2787"/>
      <c r="G1241" s="2787"/>
      <c r="H1241" s="2793">
        <f>J1237+J1235</f>
        <v>2743</v>
      </c>
      <c r="I1241" s="2787"/>
      <c r="J1241" s="2811">
        <f>H1241*B1241</f>
        <v>0</v>
      </c>
    </row>
    <row r="1242" spans="1:10" s="2786" customFormat="1" ht="15" customHeight="1">
      <c r="A1242" s="2816"/>
      <c r="B1242" s="2821" t="s">
        <v>45</v>
      </c>
      <c r="C1242" s="2819" t="s">
        <v>46</v>
      </c>
      <c r="D1242" s="2787"/>
      <c r="E1242" s="2787"/>
      <c r="F1242" s="2787"/>
      <c r="G1242" s="2787"/>
      <c r="H1242" s="2787"/>
      <c r="I1242" s="2787"/>
      <c r="J1242" s="2839">
        <f>J1235+J1237+J1239+J1241</f>
        <v>2743</v>
      </c>
    </row>
    <row r="1243" spans="1:10" s="2786" customFormat="1" ht="15" customHeight="1">
      <c r="A1243" s="2817"/>
      <c r="B1243" s="2821" t="s">
        <v>47</v>
      </c>
      <c r="C1243" s="2819" t="s">
        <v>48</v>
      </c>
      <c r="D1243" s="2787"/>
      <c r="E1243" s="2787"/>
      <c r="F1243" s="2790"/>
      <c r="G1243" s="2790"/>
      <c r="H1243" s="2790"/>
      <c r="I1243" s="2790"/>
      <c r="J1243" s="2839">
        <f>J1242*10/100</f>
        <v>274.3</v>
      </c>
    </row>
    <row r="1244" spans="1:10" s="2786" customFormat="1" ht="15" customHeight="1">
      <c r="A1244" s="2817"/>
      <c r="B1244" s="2790"/>
      <c r="C1244" s="2790"/>
      <c r="D1244" s="2819" t="s">
        <v>298</v>
      </c>
      <c r="E1244" s="2787"/>
      <c r="F1244" s="2790"/>
      <c r="G1244" s="2790"/>
      <c r="H1244" s="2790"/>
      <c r="I1244" s="2790"/>
      <c r="J1244" s="2839">
        <f>SUM(J1242:J1243)</f>
        <v>3017.3</v>
      </c>
    </row>
    <row r="1245" spans="1:10" s="2786" customFormat="1" ht="15" customHeight="1">
      <c r="A1245" s="2816"/>
      <c r="B1245" s="2787"/>
      <c r="C1245" s="2787"/>
      <c r="D1245" s="2787" t="s">
        <v>50</v>
      </c>
      <c r="E1245" s="2787"/>
      <c r="F1245" s="2787"/>
      <c r="G1245" s="2787"/>
      <c r="H1245" s="2822"/>
      <c r="I1245" s="2822"/>
      <c r="J1245" s="2811">
        <f>J1244/10</f>
        <v>301.73</v>
      </c>
    </row>
    <row r="1246" spans="1:10" s="2786" customFormat="1" ht="15" hidden="1" customHeight="1">
      <c r="A1246" s="2817"/>
      <c r="B1246" s="2827"/>
      <c r="C1246" s="2827"/>
      <c r="D1246" s="2827"/>
      <c r="E1246" s="2827"/>
      <c r="F1246" s="2827" t="s">
        <v>51</v>
      </c>
      <c r="G1246" s="2827"/>
      <c r="H1246" s="2827"/>
      <c r="I1246" s="2827"/>
      <c r="J1246" s="2841"/>
    </row>
    <row r="1247" spans="1:10" s="2786" customFormat="1" ht="15" hidden="1" customHeight="1">
      <c r="A1247" s="2817"/>
      <c r="B1247" s="2827"/>
      <c r="C1247" s="2827"/>
      <c r="D1247" s="2827"/>
      <c r="E1247" s="2827"/>
      <c r="F1247" s="2827"/>
      <c r="G1247" s="2827"/>
      <c r="H1247" s="2827"/>
      <c r="I1247" s="2827"/>
      <c r="J1247" s="2841">
        <f>SUM(J1245:J1246)</f>
        <v>301.73</v>
      </c>
    </row>
    <row r="1248" spans="1:10" s="2786" customFormat="1" ht="15" customHeight="1">
      <c r="A1248" s="2816"/>
      <c r="B1248" s="2787"/>
      <c r="C1248" s="2787"/>
      <c r="D1248" s="2787" t="s">
        <v>52</v>
      </c>
      <c r="E1248" s="2787"/>
      <c r="F1248" s="2787"/>
      <c r="G1248" s="2787"/>
      <c r="H1248" s="2787"/>
      <c r="I1248" s="2787"/>
      <c r="J1248" s="2842">
        <f>ROUND(J1247,0)</f>
        <v>302</v>
      </c>
    </row>
    <row r="1249" spans="1:10" s="2786" customFormat="1" ht="15" customHeight="1">
      <c r="A1249" s="2816"/>
      <c r="B1249" s="2787"/>
      <c r="C1249" s="2787"/>
      <c r="D1249" s="2787"/>
      <c r="E1249" s="2787"/>
      <c r="F1249" s="2787"/>
      <c r="G1249" s="2787"/>
      <c r="H1249" s="2787"/>
      <c r="I1249" s="2787"/>
      <c r="J1249" s="2843" t="s">
        <v>53</v>
      </c>
    </row>
    <row r="1252" spans="1:10" ht="126.75" customHeight="1">
      <c r="A1252" s="2865" t="s">
        <v>278</v>
      </c>
      <c r="B1252" s="3008" t="s">
        <v>299</v>
      </c>
      <c r="C1252" s="3008"/>
      <c r="D1252" s="3008"/>
      <c r="E1252" s="3008"/>
      <c r="F1252" s="3008"/>
      <c r="G1252" s="3008"/>
      <c r="H1252" s="3008"/>
      <c r="I1252" s="3008"/>
      <c r="J1252" s="3008"/>
    </row>
    <row r="1253" spans="1:10">
      <c r="D1253" s="2793" t="s">
        <v>10</v>
      </c>
      <c r="F1253" s="2819" t="s">
        <v>300</v>
      </c>
      <c r="J1253" s="2787"/>
    </row>
    <row r="1254" spans="1:10">
      <c r="D1254" s="2793" t="s">
        <v>170</v>
      </c>
      <c r="J1254" s="2787"/>
    </row>
    <row r="1255" spans="1:10">
      <c r="B1255" s="2821" t="s">
        <v>36</v>
      </c>
      <c r="C1255" s="2828" t="s">
        <v>37</v>
      </c>
      <c r="J1255" s="2787"/>
    </row>
    <row r="1256" spans="1:10">
      <c r="B1256" s="2811">
        <v>0.84</v>
      </c>
      <c r="C1256" s="2790" t="s">
        <v>57</v>
      </c>
      <c r="D1256" s="2793" t="s">
        <v>156</v>
      </c>
      <c r="H1256" s="2807">
        <f>'SSR-rates'!I$58</f>
        <v>490</v>
      </c>
      <c r="I1256" s="2822" t="s">
        <v>38</v>
      </c>
      <c r="J1256" s="2811">
        <f>ROUND(B1256*H1256,2)</f>
        <v>411.6</v>
      </c>
    </row>
    <row r="1257" spans="1:10">
      <c r="B1257" s="2811">
        <v>3</v>
      </c>
      <c r="C1257" s="2790" t="s">
        <v>57</v>
      </c>
      <c r="D1257" s="2793" t="s">
        <v>301</v>
      </c>
      <c r="H1257" s="2807">
        <f>'SSR-rates'!I59</f>
        <v>524</v>
      </c>
      <c r="I1257" s="2822" t="s">
        <v>38</v>
      </c>
      <c r="J1257" s="2811">
        <f>ROUND(B1257*H1257,2)</f>
        <v>1572</v>
      </c>
    </row>
    <row r="1258" spans="1:10">
      <c r="B1258" s="2811">
        <v>18</v>
      </c>
      <c r="C1258" s="2790" t="s">
        <v>57</v>
      </c>
      <c r="D1258" s="2793" t="s">
        <v>59</v>
      </c>
      <c r="H1258" s="2807">
        <f>'SSR-rates'!I$60</f>
        <v>490</v>
      </c>
      <c r="I1258" s="2822" t="s">
        <v>38</v>
      </c>
      <c r="J1258" s="2811">
        <f>ROUND(B1258*H1258,2)</f>
        <v>8820</v>
      </c>
    </row>
    <row r="1259" spans="1:10">
      <c r="A1259" s="2819"/>
      <c r="B1259" s="2808">
        <f>'Input Data'!$D$23</f>
        <v>0</v>
      </c>
      <c r="C1259" s="2794"/>
      <c r="D1259" s="2787" t="s">
        <v>17</v>
      </c>
      <c r="F1259" s="2790"/>
      <c r="G1259" s="2790"/>
      <c r="H1259" s="2807">
        <f>SUM(J1257:J1258)</f>
        <v>10392</v>
      </c>
      <c r="I1259" s="2822"/>
      <c r="J1259" s="2807">
        <f>B1259*H1259</f>
        <v>0</v>
      </c>
    </row>
    <row r="1260" spans="1:10">
      <c r="B1260" s="2811"/>
      <c r="C1260" s="2790"/>
      <c r="D1260" s="2793" t="s">
        <v>60</v>
      </c>
      <c r="H1260" s="2807"/>
      <c r="I1260" s="2807"/>
      <c r="J1260" s="2811">
        <f>SUM(J1256:J1259)</f>
        <v>10803.6</v>
      </c>
    </row>
    <row r="1261" spans="1:10">
      <c r="B1261" s="2821" t="s">
        <v>39</v>
      </c>
      <c r="C1261" s="2828" t="s">
        <v>61</v>
      </c>
      <c r="H1261" s="2807"/>
      <c r="I1261" s="2807"/>
      <c r="J1261" s="2807"/>
    </row>
    <row r="1262" spans="1:10">
      <c r="B1262" s="2811">
        <v>64.8</v>
      </c>
      <c r="C1262" s="2790" t="s">
        <v>31</v>
      </c>
      <c r="D1262" s="2787" t="s">
        <v>63</v>
      </c>
      <c r="H1262" s="2807">
        <f>lead!J$16</f>
        <v>2005.5179333714741</v>
      </c>
      <c r="I1262" s="2807" t="s">
        <v>31</v>
      </c>
      <c r="J1262" s="2807">
        <f>ROUND(B1262*H1262,2)</f>
        <v>129957.56</v>
      </c>
    </row>
    <row r="1263" spans="1:10">
      <c r="B1263" s="2811">
        <v>43.2</v>
      </c>
      <c r="C1263" s="2790" t="s">
        <v>31</v>
      </c>
      <c r="D1263" s="2787" t="s">
        <v>64</v>
      </c>
      <c r="H1263" s="2807">
        <f>lead!J$18</f>
        <v>1754.5179333714741</v>
      </c>
      <c r="I1263" s="2807" t="s">
        <v>31</v>
      </c>
      <c r="J1263" s="2807">
        <f>ROUND(B1263*H1263,2)</f>
        <v>75795.17</v>
      </c>
    </row>
    <row r="1264" spans="1:10">
      <c r="B1264" s="2811">
        <v>54</v>
      </c>
      <c r="C1264" s="2790" t="s">
        <v>31</v>
      </c>
      <c r="D1264" s="2793" t="s">
        <v>65</v>
      </c>
      <c r="H1264" s="2807">
        <f>lead!J12</f>
        <v>1658.7679333714741</v>
      </c>
      <c r="I1264" s="2807" t="s">
        <v>31</v>
      </c>
      <c r="J1264" s="2807">
        <f>ROUND(B1264*H1264,2)</f>
        <v>89573.47</v>
      </c>
    </row>
    <row r="1265" spans="1:11">
      <c r="B1265" s="2924">
        <v>48.8</v>
      </c>
      <c r="C1265" s="2790" t="s">
        <v>66</v>
      </c>
      <c r="D1265" s="2793" t="s">
        <v>67</v>
      </c>
      <c r="H1265" s="2807">
        <f>lead!J$36</f>
        <v>5000</v>
      </c>
      <c r="I1265" s="2807" t="s">
        <v>66</v>
      </c>
      <c r="J1265" s="2807">
        <f>ROUND(B1265*H1265,2)</f>
        <v>244000</v>
      </c>
    </row>
    <row r="1266" spans="1:11">
      <c r="B1266" s="2793"/>
      <c r="D1266" s="2793" t="s">
        <v>60</v>
      </c>
      <c r="H1266" s="2807"/>
      <c r="I1266" s="2807"/>
      <c r="J1266" s="2807">
        <f>SUM(J1262:J1265)</f>
        <v>539326.19999999995</v>
      </c>
      <c r="K1266" s="2793"/>
    </row>
    <row r="1267" spans="1:11">
      <c r="B1267" s="2821" t="s">
        <v>27</v>
      </c>
      <c r="C1267" s="2828" t="s">
        <v>40</v>
      </c>
      <c r="H1267" s="2807"/>
      <c r="I1267" s="2807"/>
      <c r="J1267" s="2807"/>
    </row>
    <row r="1268" spans="1:11">
      <c r="B1268" s="2811">
        <v>6</v>
      </c>
      <c r="C1268" s="2790" t="s">
        <v>41</v>
      </c>
      <c r="D1268" s="2787" t="s">
        <v>171</v>
      </c>
      <c r="H1268" s="2807">
        <f>'SSR-rates'!I$100</f>
        <v>1205.8</v>
      </c>
      <c r="I1268" s="2807" t="s">
        <v>41</v>
      </c>
      <c r="J1268" s="2807">
        <f>ROUND(B1268*H1268,2)</f>
        <v>7234.8</v>
      </c>
    </row>
    <row r="1269" spans="1:11">
      <c r="B1269" s="2811">
        <v>6</v>
      </c>
      <c r="C1269" s="2790" t="s">
        <v>41</v>
      </c>
      <c r="D1269" s="2787" t="s">
        <v>172</v>
      </c>
      <c r="H1269" s="2807">
        <f>'SSR-rates'!I$102</f>
        <v>1261</v>
      </c>
      <c r="I1269" s="2807" t="s">
        <v>41</v>
      </c>
      <c r="J1269" s="2807">
        <f>ROUND(B1269*H1269,2)</f>
        <v>7566</v>
      </c>
    </row>
    <row r="1270" spans="1:11">
      <c r="B1270" s="2811">
        <v>6</v>
      </c>
      <c r="C1270" s="2790" t="s">
        <v>41</v>
      </c>
      <c r="D1270" s="2787" t="s">
        <v>173</v>
      </c>
      <c r="H1270" s="2807">
        <f>'SSR-rates'!I$65</f>
        <v>1844</v>
      </c>
      <c r="I1270" s="2807" t="s">
        <v>41</v>
      </c>
      <c r="J1270" s="2807">
        <f>ROUND(B1270*H1270,2)</f>
        <v>11064</v>
      </c>
    </row>
    <row r="1271" spans="1:11">
      <c r="B1271" s="2811">
        <v>15</v>
      </c>
      <c r="C1271" s="2790" t="s">
        <v>41</v>
      </c>
      <c r="D1271" s="2787" t="s">
        <v>174</v>
      </c>
      <c r="H1271" s="2807">
        <f>'SSR-rates'!I$104</f>
        <v>2532.4</v>
      </c>
      <c r="I1271" s="2807" t="s">
        <v>41</v>
      </c>
      <c r="J1271" s="2807">
        <f>ROUND(B1271*H1271,2)</f>
        <v>37986</v>
      </c>
    </row>
    <row r="1272" spans="1:11" s="2789" customFormat="1" ht="33.75" customHeight="1">
      <c r="A1272" s="2878"/>
      <c r="B1272" s="2811">
        <v>300</v>
      </c>
      <c r="C1272" s="2790" t="s">
        <v>180</v>
      </c>
      <c r="D1272" s="3027" t="s">
        <v>176</v>
      </c>
      <c r="E1272" s="3027"/>
      <c r="F1272" s="3027"/>
      <c r="G1272" s="3027"/>
      <c r="H1272" s="2807">
        <v>0</v>
      </c>
      <c r="I1272" s="2807" t="s">
        <v>41</v>
      </c>
      <c r="J1272" s="2807"/>
    </row>
    <row r="1273" spans="1:11">
      <c r="B1273" s="2811">
        <v>6</v>
      </c>
      <c r="C1273" s="2790" t="s">
        <v>41</v>
      </c>
      <c r="D1273" s="2793" t="s">
        <v>177</v>
      </c>
      <c r="H1273" s="2807">
        <f>'SSR-rates'!I$106</f>
        <v>899</v>
      </c>
      <c r="I1273" s="2807" t="s">
        <v>41</v>
      </c>
      <c r="J1273" s="2807">
        <f>ROUND(B1273*H1273,2)</f>
        <v>5394</v>
      </c>
    </row>
    <row r="1274" spans="1:11" ht="15" customHeight="1">
      <c r="B1274" s="2811"/>
      <c r="C1274" s="2794"/>
      <c r="D1274" s="2793" t="s">
        <v>60</v>
      </c>
      <c r="H1274" s="2807"/>
      <c r="I1274" s="2807"/>
      <c r="J1274" s="2807">
        <f>SUM(J1268:J1273)</f>
        <v>69244.800000000003</v>
      </c>
    </row>
    <row r="1275" spans="1:11">
      <c r="B1275" s="2821" t="s">
        <v>45</v>
      </c>
      <c r="C1275" s="2828" t="s">
        <v>71</v>
      </c>
      <c r="H1275" s="2807"/>
      <c r="I1275" s="2807"/>
      <c r="J1275" s="2807"/>
    </row>
    <row r="1276" spans="1:11">
      <c r="B1276" s="2793">
        <v>3.5</v>
      </c>
      <c r="C1276" s="2790" t="s">
        <v>29</v>
      </c>
      <c r="D1276" s="2787" t="s">
        <v>302</v>
      </c>
      <c r="H1276" s="2807">
        <f>J1260+J1266+J1274</f>
        <v>619374.6</v>
      </c>
      <c r="I1276" s="2822" t="s">
        <v>73</v>
      </c>
      <c r="J1276" s="2807">
        <f>ROUND(B1276*H1276/100,2)</f>
        <v>21678.11</v>
      </c>
    </row>
    <row r="1277" spans="1:11" ht="15" customHeight="1">
      <c r="A1277" s="2819"/>
      <c r="B1277" s="2821" t="s">
        <v>47</v>
      </c>
      <c r="C1277" s="2819" t="s">
        <v>44</v>
      </c>
      <c r="F1277" s="2790"/>
      <c r="G1277" s="2790"/>
      <c r="H1277" s="2790"/>
      <c r="I1277" s="2790"/>
      <c r="J1277" s="2847"/>
    </row>
    <row r="1278" spans="1:11" ht="29.25" customHeight="1">
      <c r="A1278" s="2819"/>
      <c r="B1278" s="2812">
        <f>'Input Data'!$D$25</f>
        <v>0</v>
      </c>
      <c r="C1278" s="3014" t="str">
        <f>"Over head charges "&amp;'Input Data'!$D$25*100&amp;"%  on (A) + (B)+(C)+(D)"</f>
        <v>Over head charges 0%  on (A) + (B)+(C)+(D)</v>
      </c>
      <c r="D1278" s="3015"/>
      <c r="E1278" s="3015"/>
      <c r="F1278" s="3015"/>
      <c r="G1278" s="3016"/>
      <c r="H1278" s="2794">
        <f>J1276+J1274+J1266+J1260</f>
        <v>641052.71</v>
      </c>
      <c r="I1278" s="2790"/>
      <c r="J1278" s="2807">
        <f>H1278*B1278</f>
        <v>0</v>
      </c>
    </row>
    <row r="1279" spans="1:11">
      <c r="A1279" s="2819"/>
      <c r="B1279" s="2821" t="s">
        <v>76</v>
      </c>
      <c r="C1279" s="2819" t="s">
        <v>77</v>
      </c>
      <c r="F1279" s="2790"/>
      <c r="G1279" s="2790"/>
      <c r="H1279" s="2790"/>
      <c r="I1279" s="2790"/>
      <c r="J1279" s="2876">
        <f>J1260+J1266+J1274+J1276+J1278</f>
        <v>641052.71</v>
      </c>
    </row>
    <row r="1280" spans="1:11">
      <c r="A1280" s="2819"/>
      <c r="B1280" s="2821" t="s">
        <v>78</v>
      </c>
      <c r="C1280" s="2819" t="s">
        <v>79</v>
      </c>
      <c r="F1280" s="2790"/>
      <c r="G1280" s="2790"/>
      <c r="H1280" s="2790"/>
      <c r="I1280" s="2790"/>
      <c r="J1280" s="2847">
        <f>J1279*10/100</f>
        <v>64105.270999999993</v>
      </c>
    </row>
    <row r="1281" spans="1:10">
      <c r="B1281" s="2811"/>
      <c r="C1281" s="2790"/>
      <c r="D1281" s="2828" t="s">
        <v>158</v>
      </c>
      <c r="H1281" s="2807"/>
      <c r="I1281" s="2807"/>
      <c r="J1281" s="2876">
        <f>SUM(J1279:J1280)</f>
        <v>705157.98099999991</v>
      </c>
    </row>
    <row r="1282" spans="1:10">
      <c r="B1282" s="2811"/>
      <c r="C1282" s="2790"/>
      <c r="D1282" s="2793" t="s">
        <v>81</v>
      </c>
      <c r="H1282" s="2807"/>
      <c r="I1282" s="2807"/>
      <c r="J1282" s="2807">
        <f>ROUND(J1281/120,2)</f>
        <v>5876.32</v>
      </c>
    </row>
    <row r="1283" spans="1:10">
      <c r="D1283" s="2793" t="s">
        <v>52</v>
      </c>
      <c r="H1283" s="2807"/>
      <c r="I1283" s="2807"/>
      <c r="J1283" s="2848">
        <f>ROUND(J1282,0)</f>
        <v>5876</v>
      </c>
    </row>
    <row r="1284" spans="1:10">
      <c r="D1284" s="2793"/>
      <c r="H1284" s="2807"/>
      <c r="I1284" s="2807"/>
      <c r="J1284" s="2847" t="s">
        <v>53</v>
      </c>
    </row>
    <row r="1285" spans="1:10">
      <c r="A1285" s="2879"/>
      <c r="B1285" s="2803"/>
      <c r="C1285" s="2803"/>
      <c r="D1285" s="2885"/>
      <c r="E1285" s="2885"/>
      <c r="F1285" s="2885"/>
      <c r="G1285" s="2885"/>
      <c r="H1285" s="2813"/>
      <c r="I1285" s="2813"/>
      <c r="J1285" s="2834"/>
    </row>
    <row r="1286" spans="1:10" ht="126.75" customHeight="1">
      <c r="A1286" s="2865" t="s">
        <v>278</v>
      </c>
      <c r="B1286" s="3008" t="s">
        <v>303</v>
      </c>
      <c r="C1286" s="3008"/>
      <c r="D1286" s="3008"/>
      <c r="E1286" s="3008"/>
      <c r="F1286" s="3008"/>
      <c r="G1286" s="3008"/>
      <c r="H1286" s="3008"/>
      <c r="I1286" s="3008"/>
      <c r="J1286" s="3008"/>
    </row>
    <row r="1287" spans="1:10">
      <c r="D1287" s="2793" t="s">
        <v>10</v>
      </c>
      <c r="F1287" s="2819" t="s">
        <v>304</v>
      </c>
      <c r="J1287" s="2787"/>
    </row>
    <row r="1288" spans="1:10">
      <c r="D1288" s="2793" t="s">
        <v>170</v>
      </c>
      <c r="J1288" s="2787"/>
    </row>
    <row r="1289" spans="1:10">
      <c r="B1289" s="2821" t="s">
        <v>36</v>
      </c>
      <c r="C1289" s="2828" t="s">
        <v>37</v>
      </c>
      <c r="J1289" s="2787"/>
    </row>
    <row r="1290" spans="1:10">
      <c r="B1290" s="2811">
        <v>0.84</v>
      </c>
      <c r="C1290" s="2790" t="s">
        <v>57</v>
      </c>
      <c r="D1290" s="2793" t="s">
        <v>156</v>
      </c>
      <c r="H1290" s="2807">
        <f>'SSR-rates'!I$58</f>
        <v>490</v>
      </c>
      <c r="I1290" s="2822" t="s">
        <v>38</v>
      </c>
      <c r="J1290" s="2811">
        <f>ROUND(B1290*H1290,2)</f>
        <v>411.6</v>
      </c>
    </row>
    <row r="1291" spans="1:10">
      <c r="B1291" s="2811">
        <v>3</v>
      </c>
      <c r="C1291" s="2790" t="s">
        <v>57</v>
      </c>
      <c r="D1291" s="2793" t="s">
        <v>58</v>
      </c>
      <c r="H1291" s="2807">
        <f>'SSR-rates'!I59</f>
        <v>524</v>
      </c>
      <c r="I1291" s="2822" t="s">
        <v>38</v>
      </c>
      <c r="J1291" s="2811">
        <f>ROUND(B1291*H1291,2)</f>
        <v>1572</v>
      </c>
    </row>
    <row r="1292" spans="1:10">
      <c r="B1292" s="2811">
        <v>18</v>
      </c>
      <c r="C1292" s="2790" t="s">
        <v>57</v>
      </c>
      <c r="D1292" s="2793" t="s">
        <v>59</v>
      </c>
      <c r="H1292" s="2807">
        <f>'SSR-rates'!I$60</f>
        <v>490</v>
      </c>
      <c r="I1292" s="2822" t="s">
        <v>38</v>
      </c>
      <c r="J1292" s="2811">
        <f>ROUND(B1292*H1292,2)</f>
        <v>8820</v>
      </c>
    </row>
    <row r="1293" spans="1:10">
      <c r="A1293" s="2819"/>
      <c r="B1293" s="2808">
        <f>'Input Data'!$D$23</f>
        <v>0</v>
      </c>
      <c r="C1293" s="2794"/>
      <c r="D1293" s="2787" t="s">
        <v>17</v>
      </c>
      <c r="F1293" s="2790"/>
      <c r="G1293" s="2790"/>
      <c r="H1293" s="2807">
        <f>SUM(J1291:J1292)</f>
        <v>10392</v>
      </c>
      <c r="I1293" s="2822"/>
      <c r="J1293" s="2807">
        <f>B1293*H1293</f>
        <v>0</v>
      </c>
    </row>
    <row r="1294" spans="1:10">
      <c r="B1294" s="2811"/>
      <c r="C1294" s="2790"/>
      <c r="D1294" s="2793" t="s">
        <v>60</v>
      </c>
      <c r="H1294" s="2807"/>
      <c r="I1294" s="2807"/>
      <c r="J1294" s="2811">
        <f>SUM(J1290:J1293)</f>
        <v>10803.6</v>
      </c>
    </row>
    <row r="1295" spans="1:10">
      <c r="B1295" s="2821" t="s">
        <v>39</v>
      </c>
      <c r="C1295" s="2828" t="s">
        <v>61</v>
      </c>
      <c r="H1295" s="2807"/>
      <c r="I1295" s="2807"/>
      <c r="J1295" s="2807"/>
    </row>
    <row r="1296" spans="1:10">
      <c r="B1296" s="2811">
        <v>64.8</v>
      </c>
      <c r="C1296" s="2790" t="s">
        <v>31</v>
      </c>
      <c r="D1296" s="2787" t="s">
        <v>63</v>
      </c>
      <c r="H1296" s="2807">
        <f>lead!J$16</f>
        <v>2005.5179333714741</v>
      </c>
      <c r="I1296" s="2807" t="s">
        <v>31</v>
      </c>
      <c r="J1296" s="2807">
        <f>ROUND(B1296*H1296,2)</f>
        <v>129957.56</v>
      </c>
    </row>
    <row r="1297" spans="1:11">
      <c r="B1297" s="2811">
        <v>43.2</v>
      </c>
      <c r="C1297" s="2790" t="s">
        <v>31</v>
      </c>
      <c r="D1297" s="2787" t="s">
        <v>64</v>
      </c>
      <c r="H1297" s="2807">
        <f>lead!J$18</f>
        <v>1754.5179333714741</v>
      </c>
      <c r="I1297" s="2807" t="s">
        <v>31</v>
      </c>
      <c r="J1297" s="2807">
        <f>ROUND(B1297*H1297,2)</f>
        <v>75795.17</v>
      </c>
    </row>
    <row r="1298" spans="1:11">
      <c r="B1298" s="2811">
        <v>54</v>
      </c>
      <c r="C1298" s="2790" t="s">
        <v>31</v>
      </c>
      <c r="D1298" s="2793" t="s">
        <v>65</v>
      </c>
      <c r="H1298" s="2807">
        <f>lead!J12</f>
        <v>1658.7679333714741</v>
      </c>
      <c r="I1298" s="2807" t="s">
        <v>31</v>
      </c>
      <c r="J1298" s="2807">
        <f>ROUND(B1298*H1298,2)</f>
        <v>89573.47</v>
      </c>
    </row>
    <row r="1299" spans="1:11">
      <c r="B1299" s="2924">
        <v>48.8</v>
      </c>
      <c r="C1299" s="2790" t="s">
        <v>66</v>
      </c>
      <c r="D1299" s="2793" t="s">
        <v>67</v>
      </c>
      <c r="H1299" s="2807">
        <f>lead!J$36</f>
        <v>5000</v>
      </c>
      <c r="I1299" s="2807" t="s">
        <v>66</v>
      </c>
      <c r="J1299" s="2807">
        <f>ROUND(B1299*H1299,2)</f>
        <v>244000</v>
      </c>
    </row>
    <row r="1300" spans="1:11">
      <c r="B1300" s="2793"/>
      <c r="D1300" s="2793" t="s">
        <v>60</v>
      </c>
      <c r="H1300" s="2807"/>
      <c r="I1300" s="2807"/>
      <c r="J1300" s="2807">
        <f>SUM(J1296:J1299)</f>
        <v>539326.19999999995</v>
      </c>
      <c r="K1300" s="2793"/>
    </row>
    <row r="1301" spans="1:11">
      <c r="B1301" s="2821" t="s">
        <v>27</v>
      </c>
      <c r="C1301" s="2828" t="s">
        <v>40</v>
      </c>
      <c r="H1301" s="2807"/>
      <c r="I1301" s="2807"/>
      <c r="J1301" s="2807"/>
    </row>
    <row r="1302" spans="1:11">
      <c r="B1302" s="2811">
        <v>6</v>
      </c>
      <c r="C1302" s="2790" t="s">
        <v>41</v>
      </c>
      <c r="D1302" s="2787" t="s">
        <v>171</v>
      </c>
      <c r="H1302" s="2807">
        <f>'SSR-rates'!I$100</f>
        <v>1205.8</v>
      </c>
      <c r="I1302" s="2807" t="s">
        <v>41</v>
      </c>
      <c r="J1302" s="2807">
        <f>ROUND(B1302*H1302,2)</f>
        <v>7234.8</v>
      </c>
    </row>
    <row r="1303" spans="1:11">
      <c r="B1303" s="2811">
        <v>6</v>
      </c>
      <c r="C1303" s="2790" t="s">
        <v>41</v>
      </c>
      <c r="D1303" s="2787" t="s">
        <v>172</v>
      </c>
      <c r="H1303" s="2807">
        <f>'SSR-rates'!I$102</f>
        <v>1261</v>
      </c>
      <c r="I1303" s="2807" t="s">
        <v>41</v>
      </c>
      <c r="J1303" s="2807">
        <f>ROUND(B1303*H1303,2)</f>
        <v>7566</v>
      </c>
    </row>
    <row r="1304" spans="1:11">
      <c r="B1304" s="2811">
        <v>6</v>
      </c>
      <c r="C1304" s="2790" t="s">
        <v>41</v>
      </c>
      <c r="D1304" s="2787" t="s">
        <v>173</v>
      </c>
      <c r="H1304" s="2807">
        <f>'SSR-rates'!I$65</f>
        <v>1844</v>
      </c>
      <c r="I1304" s="2807" t="s">
        <v>41</v>
      </c>
      <c r="J1304" s="2807">
        <f>ROUND(B1304*H1304,2)</f>
        <v>11064</v>
      </c>
    </row>
    <row r="1305" spans="1:11">
      <c r="B1305" s="2811">
        <v>15</v>
      </c>
      <c r="C1305" s="2790" t="s">
        <v>41</v>
      </c>
      <c r="D1305" s="2787" t="s">
        <v>174</v>
      </c>
      <c r="H1305" s="2807">
        <f>'SSR-rates'!I$104</f>
        <v>2532.4</v>
      </c>
      <c r="I1305" s="2807" t="s">
        <v>41</v>
      </c>
      <c r="J1305" s="2807">
        <f>ROUND(B1305*H1305,2)</f>
        <v>37986</v>
      </c>
    </row>
    <row r="1306" spans="1:11" s="2789" customFormat="1" ht="33.75" customHeight="1">
      <c r="A1306" s="2878"/>
      <c r="B1306" s="2811">
        <v>300</v>
      </c>
      <c r="C1306" s="2790" t="s">
        <v>180</v>
      </c>
      <c r="D1306" s="3027" t="s">
        <v>176</v>
      </c>
      <c r="E1306" s="3027"/>
      <c r="F1306" s="3027"/>
      <c r="G1306" s="3027"/>
      <c r="H1306" s="2807">
        <v>0</v>
      </c>
      <c r="I1306" s="2807" t="s">
        <v>41</v>
      </c>
      <c r="J1306" s="2807"/>
    </row>
    <row r="1307" spans="1:11">
      <c r="B1307" s="2811">
        <v>6</v>
      </c>
      <c r="C1307" s="2790" t="s">
        <v>41</v>
      </c>
      <c r="D1307" s="2793" t="s">
        <v>177</v>
      </c>
      <c r="H1307" s="2807">
        <f>'SSR-rates'!I$106</f>
        <v>899</v>
      </c>
      <c r="I1307" s="2807" t="s">
        <v>41</v>
      </c>
      <c r="J1307" s="2807">
        <f>ROUND(B1307*H1307,2)</f>
        <v>5394</v>
      </c>
    </row>
    <row r="1308" spans="1:11" ht="15" customHeight="1">
      <c r="B1308" s="2811"/>
      <c r="C1308" s="2794"/>
      <c r="D1308" s="2793" t="s">
        <v>60</v>
      </c>
      <c r="H1308" s="2807"/>
      <c r="I1308" s="2807"/>
      <c r="J1308" s="2807">
        <f>SUM(J1302:J1307)</f>
        <v>69244.800000000003</v>
      </c>
    </row>
    <row r="1309" spans="1:11">
      <c r="B1309" s="2821" t="s">
        <v>45</v>
      </c>
      <c r="C1309" s="2828" t="s">
        <v>71</v>
      </c>
      <c r="H1309" s="2807"/>
      <c r="I1309" s="2807"/>
      <c r="J1309" s="2807"/>
    </row>
    <row r="1310" spans="1:11">
      <c r="B1310" s="2793">
        <v>10</v>
      </c>
      <c r="C1310" s="2790" t="s">
        <v>29</v>
      </c>
      <c r="D1310" s="2787" t="s">
        <v>305</v>
      </c>
      <c r="H1310" s="2807">
        <f>J1294+J1300+J1308</f>
        <v>619374.6</v>
      </c>
      <c r="I1310" s="2822" t="s">
        <v>73</v>
      </c>
      <c r="J1310" s="2807">
        <f>ROUND(B1310*H1310/100,2)</f>
        <v>61937.46</v>
      </c>
    </row>
    <row r="1311" spans="1:11" ht="15" customHeight="1">
      <c r="A1311" s="2819"/>
      <c r="B1311" s="2821" t="s">
        <v>47</v>
      </c>
      <c r="C1311" s="2819" t="s">
        <v>44</v>
      </c>
      <c r="F1311" s="2790"/>
      <c r="G1311" s="2790"/>
      <c r="H1311" s="2790"/>
      <c r="I1311" s="2790"/>
      <c r="J1311" s="2847"/>
    </row>
    <row r="1312" spans="1:11" ht="29.25" customHeight="1">
      <c r="A1312" s="2819"/>
      <c r="B1312" s="2812">
        <f>'Input Data'!$D$25</f>
        <v>0</v>
      </c>
      <c r="C1312" s="3014" t="str">
        <f>"Over head charges "&amp;'Input Data'!$D$25*100&amp;"%  on (A) + (B)+(C)+(D)"</f>
        <v>Over head charges 0%  on (A) + (B)+(C)+(D)</v>
      </c>
      <c r="D1312" s="3015"/>
      <c r="E1312" s="3015"/>
      <c r="F1312" s="3015"/>
      <c r="G1312" s="3016"/>
      <c r="H1312" s="2794">
        <f>J1310+J1308+J1300+J1294</f>
        <v>681312.05999999994</v>
      </c>
      <c r="I1312" s="2790"/>
      <c r="J1312" s="2807">
        <f>H1312*B1312</f>
        <v>0</v>
      </c>
    </row>
    <row r="1313" spans="1:10">
      <c r="A1313" s="2819"/>
      <c r="B1313" s="2821" t="s">
        <v>76</v>
      </c>
      <c r="C1313" s="2819" t="s">
        <v>77</v>
      </c>
      <c r="F1313" s="2790"/>
      <c r="G1313" s="2790"/>
      <c r="H1313" s="2790"/>
      <c r="I1313" s="2790"/>
      <c r="J1313" s="2876">
        <f>J1294+J1300+J1308+J1310+J1312</f>
        <v>681312.05999999994</v>
      </c>
    </row>
    <row r="1314" spans="1:10">
      <c r="A1314" s="2819"/>
      <c r="B1314" s="2821" t="s">
        <v>78</v>
      </c>
      <c r="C1314" s="2819" t="s">
        <v>79</v>
      </c>
      <c r="F1314" s="2790"/>
      <c r="G1314" s="2790"/>
      <c r="H1314" s="2790"/>
      <c r="I1314" s="2790"/>
      <c r="J1314" s="2847">
        <f>J1313*10/100</f>
        <v>68131.205999999991</v>
      </c>
    </row>
    <row r="1315" spans="1:10">
      <c r="B1315" s="2811"/>
      <c r="C1315" s="2790"/>
      <c r="D1315" s="2828" t="s">
        <v>158</v>
      </c>
      <c r="H1315" s="2807"/>
      <c r="I1315" s="2807"/>
      <c r="J1315" s="2876">
        <f>SUM(J1313:J1314)</f>
        <v>749443.26599999995</v>
      </c>
    </row>
    <row r="1316" spans="1:10">
      <c r="B1316" s="2811"/>
      <c r="C1316" s="2790"/>
      <c r="D1316" s="2793" t="s">
        <v>81</v>
      </c>
      <c r="H1316" s="2807"/>
      <c r="I1316" s="2807"/>
      <c r="J1316" s="2807">
        <f>ROUND(J1315/120,2)</f>
        <v>6245.36</v>
      </c>
    </row>
    <row r="1317" spans="1:10">
      <c r="D1317" s="2793" t="s">
        <v>52</v>
      </c>
      <c r="H1317" s="2807"/>
      <c r="I1317" s="2807"/>
      <c r="J1317" s="2848">
        <f>ROUND(J1316,0)</f>
        <v>6245</v>
      </c>
    </row>
    <row r="1318" spans="1:10">
      <c r="D1318" s="2793"/>
      <c r="H1318" s="2807"/>
      <c r="I1318" s="2807"/>
      <c r="J1318" s="2847" t="s">
        <v>53</v>
      </c>
    </row>
    <row r="1320" spans="1:10" ht="126.75" customHeight="1">
      <c r="A1320" s="2865" t="s">
        <v>278</v>
      </c>
      <c r="B1320" s="3008" t="s">
        <v>306</v>
      </c>
      <c r="C1320" s="3008"/>
      <c r="D1320" s="3008"/>
      <c r="E1320" s="3008"/>
      <c r="F1320" s="3008"/>
      <c r="G1320" s="3008"/>
      <c r="H1320" s="3008"/>
      <c r="I1320" s="3008"/>
      <c r="J1320" s="3008"/>
    </row>
    <row r="1321" spans="1:10">
      <c r="D1321" s="2793" t="s">
        <v>10</v>
      </c>
      <c r="F1321" s="2819" t="s">
        <v>307</v>
      </c>
      <c r="J1321" s="2787"/>
    </row>
    <row r="1322" spans="1:10">
      <c r="D1322" s="2793" t="s">
        <v>170</v>
      </c>
      <c r="J1322" s="2787"/>
    </row>
    <row r="1323" spans="1:10">
      <c r="B1323" s="2821" t="s">
        <v>36</v>
      </c>
      <c r="C1323" s="2828" t="s">
        <v>37</v>
      </c>
      <c r="J1323" s="2787"/>
    </row>
    <row r="1324" spans="1:10">
      <c r="B1324" s="2811">
        <v>0.88</v>
      </c>
      <c r="C1324" s="2790" t="s">
        <v>57</v>
      </c>
      <c r="D1324" s="2793" t="s">
        <v>156</v>
      </c>
      <c r="H1324" s="2807">
        <f>'SSR-rates'!I$58</f>
        <v>490</v>
      </c>
      <c r="I1324" s="2822" t="s">
        <v>38</v>
      </c>
      <c r="J1324" s="2811">
        <f>ROUND(B1324*H1324,2)</f>
        <v>431.2</v>
      </c>
    </row>
    <row r="1325" spans="1:10">
      <c r="B1325" s="2811">
        <v>3</v>
      </c>
      <c r="C1325" s="2790" t="s">
        <v>57</v>
      </c>
      <c r="D1325" s="2793" t="s">
        <v>58</v>
      </c>
      <c r="H1325" s="2807">
        <f>'SSR-rates'!I59</f>
        <v>524</v>
      </c>
      <c r="I1325" s="2822" t="s">
        <v>38</v>
      </c>
      <c r="J1325" s="2811">
        <f>ROUND(B1325*H1325,2)</f>
        <v>1572</v>
      </c>
    </row>
    <row r="1326" spans="1:10">
      <c r="B1326" s="2811">
        <v>19</v>
      </c>
      <c r="C1326" s="2790" t="s">
        <v>57</v>
      </c>
      <c r="D1326" s="2793" t="s">
        <v>59</v>
      </c>
      <c r="H1326" s="2807">
        <f>'SSR-rates'!I$60</f>
        <v>490</v>
      </c>
      <c r="I1326" s="2822" t="s">
        <v>38</v>
      </c>
      <c r="J1326" s="2811">
        <f>ROUND(B1326*H1326,2)</f>
        <v>9310</v>
      </c>
    </row>
    <row r="1327" spans="1:10">
      <c r="A1327" s="2819"/>
      <c r="B1327" s="2808">
        <f>'Input Data'!$D$23</f>
        <v>0</v>
      </c>
      <c r="C1327" s="2794"/>
      <c r="D1327" s="2787" t="s">
        <v>17</v>
      </c>
      <c r="F1327" s="2790"/>
      <c r="G1327" s="2790"/>
      <c r="H1327" s="2807">
        <f>SUM(J1325:J1326)</f>
        <v>10882</v>
      </c>
      <c r="I1327" s="2822"/>
      <c r="J1327" s="2807">
        <f>B1327*H1327</f>
        <v>0</v>
      </c>
    </row>
    <row r="1328" spans="1:10">
      <c r="B1328" s="2811"/>
      <c r="C1328" s="2790"/>
      <c r="D1328" s="2793" t="s">
        <v>60</v>
      </c>
      <c r="H1328" s="2807"/>
      <c r="I1328" s="2807"/>
      <c r="J1328" s="2811">
        <f>SUM(J1324:J1327)</f>
        <v>11313.2</v>
      </c>
    </row>
    <row r="1329" spans="1:11">
      <c r="B1329" s="2821" t="s">
        <v>39</v>
      </c>
      <c r="C1329" s="2828" t="s">
        <v>61</v>
      </c>
      <c r="H1329" s="2807"/>
      <c r="I1329" s="2807"/>
      <c r="J1329" s="2807"/>
    </row>
    <row r="1330" spans="1:11">
      <c r="B1330" s="2811">
        <v>64.8</v>
      </c>
      <c r="C1330" s="2790" t="s">
        <v>31</v>
      </c>
      <c r="D1330" s="2787" t="s">
        <v>63</v>
      </c>
      <c r="H1330" s="2807">
        <f>lead!J$16</f>
        <v>2005.5179333714741</v>
      </c>
      <c r="I1330" s="2807" t="s">
        <v>31</v>
      </c>
      <c r="J1330" s="2807">
        <f>ROUND(B1330*H1330,2)</f>
        <v>129957.56</v>
      </c>
    </row>
    <row r="1331" spans="1:11">
      <c r="B1331" s="2811">
        <v>43.2</v>
      </c>
      <c r="C1331" s="2790" t="s">
        <v>31</v>
      </c>
      <c r="D1331" s="2787" t="s">
        <v>64</v>
      </c>
      <c r="H1331" s="2807">
        <f>lead!J$18</f>
        <v>1754.5179333714741</v>
      </c>
      <c r="I1331" s="2807" t="s">
        <v>31</v>
      </c>
      <c r="J1331" s="2807">
        <f>ROUND(B1331*H1331,2)</f>
        <v>75795.17</v>
      </c>
    </row>
    <row r="1332" spans="1:11">
      <c r="B1332" s="2811">
        <v>54.6</v>
      </c>
      <c r="C1332" s="2790" t="s">
        <v>31</v>
      </c>
      <c r="D1332" s="2793" t="s">
        <v>65</v>
      </c>
      <c r="H1332" s="2807">
        <f>lead!J12</f>
        <v>1658.7679333714741</v>
      </c>
      <c r="I1332" s="2807" t="s">
        <v>31</v>
      </c>
      <c r="J1332" s="2807">
        <f>ROUND(B1332*H1332,2)</f>
        <v>90568.73</v>
      </c>
    </row>
    <row r="1333" spans="1:11">
      <c r="B1333" s="2924">
        <v>48.79</v>
      </c>
      <c r="C1333" s="2790" t="s">
        <v>66</v>
      </c>
      <c r="D1333" s="2793" t="s">
        <v>67</v>
      </c>
      <c r="H1333" s="2807">
        <f>lead!J$36</f>
        <v>5000</v>
      </c>
      <c r="I1333" s="2807" t="s">
        <v>66</v>
      </c>
      <c r="J1333" s="2807">
        <f>ROUND(B1333*H1333,2)</f>
        <v>243950</v>
      </c>
    </row>
    <row r="1334" spans="1:11">
      <c r="B1334" s="2793"/>
      <c r="D1334" s="2793" t="s">
        <v>60</v>
      </c>
      <c r="H1334" s="2807"/>
      <c r="I1334" s="2807"/>
      <c r="J1334" s="2807">
        <f>SUM(J1330:J1333)</f>
        <v>540271.46</v>
      </c>
      <c r="K1334" s="2793"/>
    </row>
    <row r="1335" spans="1:11">
      <c r="B1335" s="2821" t="s">
        <v>27</v>
      </c>
      <c r="C1335" s="2828" t="s">
        <v>40</v>
      </c>
      <c r="H1335" s="2807"/>
      <c r="I1335" s="2807"/>
      <c r="J1335" s="2807"/>
    </row>
    <row r="1336" spans="1:11">
      <c r="B1336" s="2811">
        <v>6</v>
      </c>
      <c r="C1336" s="2790" t="s">
        <v>41</v>
      </c>
      <c r="D1336" s="2787" t="s">
        <v>171</v>
      </c>
      <c r="H1336" s="2807">
        <f>'SSR-rates'!I$100</f>
        <v>1205.8</v>
      </c>
      <c r="I1336" s="2807" t="s">
        <v>41</v>
      </c>
      <c r="J1336" s="2807">
        <f>ROUND(B1336*H1336,2)</f>
        <v>7234.8</v>
      </c>
    </row>
    <row r="1337" spans="1:11">
      <c r="B1337" s="2811">
        <v>6</v>
      </c>
      <c r="C1337" s="2790" t="s">
        <v>41</v>
      </c>
      <c r="D1337" s="2787" t="s">
        <v>172</v>
      </c>
      <c r="H1337" s="2807">
        <f>'SSR-rates'!I$102</f>
        <v>1261</v>
      </c>
      <c r="I1337" s="2807" t="s">
        <v>41</v>
      </c>
      <c r="J1337" s="2807">
        <f>ROUND(B1337*H1337,2)</f>
        <v>7566</v>
      </c>
    </row>
    <row r="1338" spans="1:11">
      <c r="B1338" s="2811">
        <v>6</v>
      </c>
      <c r="C1338" s="2790" t="s">
        <v>41</v>
      </c>
      <c r="D1338" s="2787" t="s">
        <v>173</v>
      </c>
      <c r="H1338" s="2807">
        <f>'SSR-rates'!I$65</f>
        <v>1844</v>
      </c>
      <c r="I1338" s="2807" t="s">
        <v>41</v>
      </c>
      <c r="J1338" s="2807">
        <f>ROUND(B1338*H1338,2)</f>
        <v>11064</v>
      </c>
    </row>
    <row r="1339" spans="1:11">
      <c r="B1339" s="2811">
        <v>15</v>
      </c>
      <c r="C1339" s="2790" t="s">
        <v>41</v>
      </c>
      <c r="D1339" s="2787" t="s">
        <v>174</v>
      </c>
      <c r="H1339" s="2807">
        <f>'SSR-rates'!I$104</f>
        <v>2532.4</v>
      </c>
      <c r="I1339" s="2807" t="s">
        <v>41</v>
      </c>
      <c r="J1339" s="2807">
        <f>ROUND(B1339*H1339,2)</f>
        <v>37986</v>
      </c>
    </row>
    <row r="1340" spans="1:11" s="2789" customFormat="1" ht="33.75" customHeight="1">
      <c r="A1340" s="2878"/>
      <c r="B1340" s="2811">
        <v>300</v>
      </c>
      <c r="C1340" s="2790" t="s">
        <v>180</v>
      </c>
      <c r="D1340" s="3027" t="s">
        <v>176</v>
      </c>
      <c r="E1340" s="3027"/>
      <c r="F1340" s="3027"/>
      <c r="G1340" s="3027"/>
      <c r="H1340" s="2807">
        <v>0</v>
      </c>
      <c r="I1340" s="2807" t="s">
        <v>41</v>
      </c>
      <c r="J1340" s="2807"/>
    </row>
    <row r="1341" spans="1:11">
      <c r="B1341" s="2811">
        <v>6</v>
      </c>
      <c r="C1341" s="2790" t="s">
        <v>41</v>
      </c>
      <c r="D1341" s="2793" t="s">
        <v>177</v>
      </c>
      <c r="H1341" s="2807">
        <f>'SSR-rates'!I$106</f>
        <v>899</v>
      </c>
      <c r="I1341" s="2807" t="s">
        <v>41</v>
      </c>
      <c r="J1341" s="2807">
        <f>ROUND(B1341*H1341,2)</f>
        <v>5394</v>
      </c>
    </row>
    <row r="1342" spans="1:11" ht="15" customHeight="1">
      <c r="B1342" s="2811"/>
      <c r="C1342" s="2794"/>
      <c r="D1342" s="2793" t="s">
        <v>60</v>
      </c>
      <c r="H1342" s="2807"/>
      <c r="I1342" s="2807"/>
      <c r="J1342" s="2807">
        <f>SUM(J1336:J1341)</f>
        <v>69244.800000000003</v>
      </c>
    </row>
    <row r="1343" spans="1:11">
      <c r="B1343" s="2821" t="s">
        <v>45</v>
      </c>
      <c r="C1343" s="2828" t="s">
        <v>71</v>
      </c>
      <c r="H1343" s="2807"/>
      <c r="I1343" s="2807"/>
      <c r="J1343" s="2807"/>
    </row>
    <row r="1344" spans="1:11">
      <c r="B1344" s="2793">
        <v>20</v>
      </c>
      <c r="C1344" s="2790" t="s">
        <v>29</v>
      </c>
      <c r="D1344" s="2787" t="s">
        <v>161</v>
      </c>
      <c r="H1344" s="2807">
        <f>J1328+J1334+J1342</f>
        <v>620829.46</v>
      </c>
      <c r="I1344" s="2822" t="s">
        <v>73</v>
      </c>
      <c r="J1344" s="2807">
        <f>ROUND(B1344*H1344/100,2)</f>
        <v>124165.89</v>
      </c>
    </row>
    <row r="1345" spans="1:10" ht="15" customHeight="1">
      <c r="A1345" s="2819"/>
      <c r="B1345" s="2821" t="s">
        <v>47</v>
      </c>
      <c r="C1345" s="2819" t="s">
        <v>44</v>
      </c>
      <c r="F1345" s="2790"/>
      <c r="G1345" s="2790"/>
      <c r="H1345" s="2790"/>
      <c r="I1345" s="2790"/>
      <c r="J1345" s="2847"/>
    </row>
    <row r="1346" spans="1:10" ht="29.25" customHeight="1">
      <c r="A1346" s="2819"/>
      <c r="B1346" s="2812">
        <f>'Input Data'!$D$25</f>
        <v>0</v>
      </c>
      <c r="C1346" s="3014" t="str">
        <f>"Over head charges "&amp;'Input Data'!$D$25*100&amp;"%  on (A) + (B)+(C)+(D)"</f>
        <v>Over head charges 0%  on (A) + (B)+(C)+(D)</v>
      </c>
      <c r="D1346" s="3015"/>
      <c r="E1346" s="3015"/>
      <c r="F1346" s="3015"/>
      <c r="G1346" s="3016"/>
      <c r="H1346" s="2794">
        <f>J1344+J1342+J1334+J1328</f>
        <v>744995.34999999986</v>
      </c>
      <c r="I1346" s="2790"/>
      <c r="J1346" s="2807">
        <f>H1346*B1346</f>
        <v>0</v>
      </c>
    </row>
    <row r="1347" spans="1:10">
      <c r="A1347" s="2819"/>
      <c r="B1347" s="2821" t="s">
        <v>76</v>
      </c>
      <c r="C1347" s="2819" t="s">
        <v>77</v>
      </c>
      <c r="F1347" s="2790"/>
      <c r="G1347" s="2790"/>
      <c r="H1347" s="2790"/>
      <c r="I1347" s="2790"/>
      <c r="J1347" s="2847">
        <f>J1328+J1334+J1342+J1344+J1346</f>
        <v>744995.35</v>
      </c>
    </row>
    <row r="1348" spans="1:10">
      <c r="A1348" s="2819"/>
      <c r="B1348" s="2821" t="s">
        <v>78</v>
      </c>
      <c r="C1348" s="2819" t="s">
        <v>79</v>
      </c>
      <c r="F1348" s="2790"/>
      <c r="G1348" s="2790"/>
      <c r="H1348" s="2790"/>
      <c r="I1348" s="2790"/>
      <c r="J1348" s="2847">
        <f>J1347*10/100</f>
        <v>74499.535000000003</v>
      </c>
    </row>
    <row r="1349" spans="1:10">
      <c r="B1349" s="2811"/>
      <c r="C1349" s="2790"/>
      <c r="D1349" s="2828" t="s">
        <v>158</v>
      </c>
      <c r="H1349" s="2807"/>
      <c r="I1349" s="2807"/>
      <c r="J1349" s="2847">
        <f>SUM(J1347:J1348)</f>
        <v>819494.88500000001</v>
      </c>
    </row>
    <row r="1350" spans="1:10">
      <c r="B1350" s="2811"/>
      <c r="C1350" s="2790"/>
      <c r="D1350" s="2793" t="s">
        <v>81</v>
      </c>
      <c r="H1350" s="2807"/>
      <c r="I1350" s="2807"/>
      <c r="J1350" s="2807">
        <f>ROUND(J1349/120,2)</f>
        <v>6829.12</v>
      </c>
    </row>
    <row r="1351" spans="1:10">
      <c r="D1351" s="2793" t="s">
        <v>52</v>
      </c>
      <c r="H1351" s="2807"/>
      <c r="I1351" s="2807"/>
      <c r="J1351" s="2848">
        <f>ROUND(J1350,0)</f>
        <v>6829</v>
      </c>
    </row>
    <row r="1352" spans="1:10">
      <c r="D1352" s="2793"/>
      <c r="H1352" s="2807"/>
      <c r="I1352" s="2807"/>
      <c r="J1352" s="2847" t="s">
        <v>53</v>
      </c>
    </row>
    <row r="1354" spans="1:10" ht="56.25" customHeight="1">
      <c r="A1354" s="2816">
        <v>16</v>
      </c>
      <c r="B1354" s="3008" t="s">
        <v>308</v>
      </c>
      <c r="C1354" s="3008"/>
      <c r="D1354" s="3008"/>
      <c r="E1354" s="3008"/>
      <c r="F1354" s="3008"/>
      <c r="G1354" s="3008"/>
      <c r="H1354" s="3008"/>
      <c r="I1354" s="3008"/>
      <c r="J1354" s="3008"/>
    </row>
    <row r="1355" spans="1:10">
      <c r="A1355" s="2819"/>
      <c r="B1355" s="3009" t="s">
        <v>309</v>
      </c>
      <c r="C1355" s="3009"/>
      <c r="D1355" s="2818"/>
      <c r="E1355" s="2818"/>
      <c r="F1355" s="2818"/>
      <c r="G1355" s="2818"/>
      <c r="H1355" s="2820"/>
      <c r="I1355" s="2820"/>
      <c r="J1355" s="2820"/>
    </row>
    <row r="1356" spans="1:10">
      <c r="A1356" s="2819"/>
      <c r="B1356" s="3009" t="s">
        <v>310</v>
      </c>
      <c r="C1356" s="3009"/>
      <c r="D1356" s="3009"/>
      <c r="E1356" s="3009"/>
      <c r="F1356" s="2819" t="s">
        <v>311</v>
      </c>
      <c r="G1356" s="2818"/>
      <c r="H1356" s="2820"/>
      <c r="I1356" s="2820"/>
      <c r="J1356" s="2820"/>
    </row>
    <row r="1357" spans="1:10">
      <c r="A1357" s="2819"/>
      <c r="B1357" s="2821" t="s">
        <v>36</v>
      </c>
      <c r="C1357" s="2819" t="s">
        <v>37</v>
      </c>
      <c r="D1357" s="2818"/>
      <c r="E1357" s="2818"/>
      <c r="F1357" s="2818"/>
      <c r="G1357" s="2818"/>
      <c r="H1357" s="2820"/>
      <c r="I1357" s="2820"/>
      <c r="J1357" s="2820"/>
    </row>
    <row r="1358" spans="1:10">
      <c r="A1358" s="2819"/>
      <c r="B1358" s="2840">
        <v>0.04</v>
      </c>
      <c r="C1358" s="2794" t="s">
        <v>38</v>
      </c>
      <c r="D1358" s="2818"/>
      <c r="E1358" s="2790" t="s">
        <v>14</v>
      </c>
      <c r="F1358" s="2818"/>
      <c r="G1358" s="2818"/>
      <c r="H1358" s="2807">
        <f>'SSR-rates'!$I$58</f>
        <v>490</v>
      </c>
      <c r="I1358" s="2822" t="s">
        <v>38</v>
      </c>
      <c r="J1358" s="2807">
        <f>ROUND(B1358*H1358,2)</f>
        <v>19.600000000000001</v>
      </c>
    </row>
    <row r="1359" spans="1:10">
      <c r="A1359" s="2819"/>
      <c r="B1359" s="2807">
        <v>0.5</v>
      </c>
      <c r="C1359" s="2794" t="s">
        <v>38</v>
      </c>
      <c r="D1359" s="2790"/>
      <c r="E1359" s="2790" t="s">
        <v>312</v>
      </c>
      <c r="F1359" s="2790"/>
      <c r="G1359" s="2790"/>
      <c r="H1359" s="2807">
        <f>'SSR-rates'!I60</f>
        <v>490</v>
      </c>
      <c r="I1359" s="2822" t="s">
        <v>38</v>
      </c>
      <c r="J1359" s="2807">
        <f>ROUND(B1359*H1359,2)</f>
        <v>245</v>
      </c>
    </row>
    <row r="1360" spans="1:10">
      <c r="A1360" s="2819"/>
      <c r="B1360" s="2807">
        <v>0.5</v>
      </c>
      <c r="C1360" s="2794" t="s">
        <v>38</v>
      </c>
      <c r="D1360" s="2790"/>
      <c r="E1360" s="2790" t="s">
        <v>15</v>
      </c>
      <c r="F1360" s="2790"/>
      <c r="G1360" s="2790"/>
      <c r="H1360" s="2807">
        <f>'SSR-rates'!I59</f>
        <v>524</v>
      </c>
      <c r="I1360" s="2822" t="s">
        <v>38</v>
      </c>
      <c r="J1360" s="2807">
        <f>ROUND(B1360*H1360,2)</f>
        <v>262</v>
      </c>
    </row>
    <row r="1361" spans="1:10" ht="15.75" customHeight="1">
      <c r="A1361" s="2819"/>
      <c r="B1361" s="2808">
        <f>'Input Data'!$D$23</f>
        <v>0</v>
      </c>
      <c r="C1361" s="2794"/>
      <c r="D1361" s="2787" t="s">
        <v>17</v>
      </c>
      <c r="F1361" s="2790"/>
      <c r="G1361" s="2790"/>
      <c r="H1361" s="2807">
        <f>SUM(J1359:J1360)</f>
        <v>507</v>
      </c>
      <c r="I1361" s="2822"/>
      <c r="J1361" s="2807">
        <f>B1361*H1361</f>
        <v>0</v>
      </c>
    </row>
    <row r="1362" spans="1:10">
      <c r="A1362" s="2819"/>
      <c r="B1362" s="2807"/>
      <c r="C1362" s="2794"/>
      <c r="D1362" s="2790"/>
      <c r="E1362" s="2790"/>
      <c r="F1362" s="2790"/>
      <c r="G1362" s="2790"/>
      <c r="H1362" s="2807"/>
      <c r="I1362" s="2822"/>
      <c r="J1362" s="2807">
        <f>SUM(J1358:J1361)</f>
        <v>526.6</v>
      </c>
    </row>
    <row r="1363" spans="1:10">
      <c r="A1363" s="2819"/>
      <c r="B1363" s="2821" t="s">
        <v>39</v>
      </c>
      <c r="C1363" s="2819" t="s">
        <v>61</v>
      </c>
      <c r="F1363" s="2790"/>
      <c r="G1363" s="2790"/>
      <c r="H1363" s="2790"/>
      <c r="I1363" s="2790"/>
      <c r="J1363" s="2787"/>
    </row>
    <row r="1364" spans="1:10" ht="38.25" customHeight="1">
      <c r="A1364" s="2819"/>
      <c r="B1364" s="2825">
        <v>55</v>
      </c>
      <c r="C1364" s="2824" t="s">
        <v>191</v>
      </c>
      <c r="D1364" s="3013" t="s">
        <v>313</v>
      </c>
      <c r="E1364" s="3013"/>
      <c r="F1364" s="3013"/>
      <c r="G1364" s="3013"/>
      <c r="H1364" s="2925">
        <v>605</v>
      </c>
      <c r="I1364" s="2825" t="s">
        <v>191</v>
      </c>
      <c r="J1364" s="2825">
        <f>ROUND(B1364*H1364,2)</f>
        <v>33275</v>
      </c>
    </row>
    <row r="1365" spans="1:10">
      <c r="A1365" s="2819"/>
      <c r="B1365" s="2825"/>
      <c r="C1365" s="2824"/>
      <c r="D1365" s="2826"/>
      <c r="E1365" s="2826"/>
      <c r="F1365" s="2826"/>
      <c r="G1365" s="2826"/>
      <c r="H1365" s="2825"/>
      <c r="I1365" s="2825"/>
      <c r="J1365" s="2825">
        <f>SUM(J1364:J1364)</f>
        <v>33275</v>
      </c>
    </row>
    <row r="1366" spans="1:10">
      <c r="A1366" s="2819"/>
      <c r="B1366" s="2807"/>
      <c r="C1366" s="2794"/>
      <c r="D1366" s="2790"/>
      <c r="F1366" s="2790"/>
      <c r="G1366" s="2790"/>
      <c r="H1366" s="2807"/>
      <c r="I1366" s="2807"/>
      <c r="J1366" s="2787"/>
    </row>
    <row r="1367" spans="1:10">
      <c r="B1367" s="2812">
        <f>'Input Data'!$D$25</f>
        <v>0</v>
      </c>
      <c r="C1367" s="2790" t="str">
        <f>"Over head charges "&amp;'Input Data'!$D$25*100&amp;"%  on (A) + (B)"</f>
        <v>Over head charges 0%  on (A) + (B)</v>
      </c>
      <c r="H1367" s="2793">
        <f>J1365+J1362</f>
        <v>33801.599999999999</v>
      </c>
      <c r="J1367" s="2807">
        <f>H1367*B1367</f>
        <v>0</v>
      </c>
    </row>
    <row r="1368" spans="1:10">
      <c r="A1368" s="2819"/>
      <c r="B1368" s="2821" t="s">
        <v>45</v>
      </c>
      <c r="C1368" s="2790" t="s">
        <v>46</v>
      </c>
      <c r="F1368" s="2790"/>
      <c r="G1368" s="2790"/>
      <c r="H1368" s="2790"/>
      <c r="I1368" s="2790"/>
      <c r="J1368" s="2847">
        <f>J1362+J1365+J1367</f>
        <v>33801.599999999999</v>
      </c>
    </row>
    <row r="1369" spans="1:10">
      <c r="A1369" s="2819"/>
      <c r="B1369" s="2821" t="s">
        <v>47</v>
      </c>
      <c r="C1369" s="2790" t="s">
        <v>48</v>
      </c>
      <c r="D1369" s="2790"/>
      <c r="F1369" s="2790"/>
      <c r="G1369" s="2790"/>
      <c r="H1369" s="2790"/>
      <c r="I1369" s="2790"/>
      <c r="J1369" s="2847">
        <f>J1368*10/100</f>
        <v>3380.16</v>
      </c>
    </row>
    <row r="1370" spans="1:10">
      <c r="A1370" s="2819"/>
      <c r="B1370" s="2790"/>
      <c r="C1370" s="2790" t="s">
        <v>314</v>
      </c>
      <c r="D1370" s="2790"/>
      <c r="F1370" s="2790"/>
      <c r="G1370" s="2790"/>
      <c r="H1370" s="2790"/>
      <c r="I1370" s="2790"/>
      <c r="J1370" s="2847">
        <f>SUM(J1368:J1369)</f>
        <v>37181.759999999995</v>
      </c>
    </row>
    <row r="1371" spans="1:10">
      <c r="A1371" s="2819"/>
      <c r="B1371" s="2790"/>
      <c r="C1371" s="2790" t="s">
        <v>127</v>
      </c>
      <c r="D1371" s="2790"/>
      <c r="F1371" s="2790"/>
      <c r="G1371" s="2790"/>
      <c r="H1371" s="2790"/>
      <c r="I1371" s="2790"/>
      <c r="J1371" s="2807">
        <f>J1370/12</f>
        <v>3098.4799999999996</v>
      </c>
    </row>
    <row r="1372" spans="1:10">
      <c r="A1372" s="2819"/>
      <c r="B1372" s="2807"/>
      <c r="C1372" s="2794"/>
      <c r="D1372" s="3021" t="s">
        <v>315</v>
      </c>
      <c r="E1372" s="3022"/>
      <c r="F1372" s="2793"/>
      <c r="G1372" s="2793"/>
      <c r="H1372" s="2811"/>
      <c r="I1372" s="2793"/>
      <c r="J1372" s="2848">
        <f>ROUND(J1371,0)</f>
        <v>3098</v>
      </c>
    </row>
    <row r="1374" spans="1:10" ht="126.75" customHeight="1">
      <c r="A1374" s="2865" t="s">
        <v>278</v>
      </c>
      <c r="B1374" s="3008" t="s">
        <v>306</v>
      </c>
      <c r="C1374" s="3008"/>
      <c r="D1374" s="3008"/>
      <c r="E1374" s="3008"/>
      <c r="F1374" s="3008"/>
      <c r="G1374" s="3008"/>
      <c r="H1374" s="3008"/>
      <c r="I1374" s="3008"/>
      <c r="J1374" s="3008"/>
    </row>
    <row r="1375" spans="1:10">
      <c r="D1375" s="2793" t="s">
        <v>10</v>
      </c>
      <c r="F1375" s="2819" t="s">
        <v>307</v>
      </c>
      <c r="J1375" s="2787"/>
    </row>
    <row r="1376" spans="1:10">
      <c r="D1376" s="2793" t="s">
        <v>170</v>
      </c>
      <c r="J1376" s="2787"/>
    </row>
    <row r="1377" spans="1:11">
      <c r="B1377" s="2821" t="s">
        <v>36</v>
      </c>
      <c r="C1377" s="2828" t="s">
        <v>37</v>
      </c>
      <c r="J1377" s="2787"/>
    </row>
    <row r="1378" spans="1:11">
      <c r="B1378" s="2811">
        <v>0.88</v>
      </c>
      <c r="C1378" s="2790" t="s">
        <v>57</v>
      </c>
      <c r="D1378" s="2793" t="s">
        <v>156</v>
      </c>
      <c r="H1378" s="2807">
        <f>'SSR-rates'!I$58</f>
        <v>490</v>
      </c>
      <c r="I1378" s="2822" t="s">
        <v>38</v>
      </c>
      <c r="J1378" s="2811">
        <f>ROUND(B1378*H1378,2)</f>
        <v>431.2</v>
      </c>
    </row>
    <row r="1379" spans="1:11">
      <c r="B1379" s="2811">
        <v>3</v>
      </c>
      <c r="C1379" s="2790" t="s">
        <v>57</v>
      </c>
      <c r="D1379" s="2793" t="s">
        <v>58</v>
      </c>
      <c r="H1379" s="2807">
        <v>357</v>
      </c>
      <c r="I1379" s="2822" t="s">
        <v>38</v>
      </c>
      <c r="J1379" s="2811">
        <f>ROUND(B1379*H1379,2)</f>
        <v>1071</v>
      </c>
    </row>
    <row r="1380" spans="1:11">
      <c r="B1380" s="2811">
        <v>19</v>
      </c>
      <c r="C1380" s="2790" t="s">
        <v>57</v>
      </c>
      <c r="D1380" s="2793" t="s">
        <v>59</v>
      </c>
      <c r="H1380" s="2807">
        <f>'SSR-rates'!I$60</f>
        <v>490</v>
      </c>
      <c r="I1380" s="2822" t="s">
        <v>38</v>
      </c>
      <c r="J1380" s="2811">
        <f>ROUND(B1380*H1380,2)</f>
        <v>9310</v>
      </c>
    </row>
    <row r="1381" spans="1:11">
      <c r="A1381" s="2819"/>
      <c r="B1381" s="2808">
        <f>'Input Data'!$D$23</f>
        <v>0</v>
      </c>
      <c r="C1381" s="2794"/>
      <c r="D1381" s="2787" t="s">
        <v>17</v>
      </c>
      <c r="F1381" s="2790"/>
      <c r="G1381" s="2790"/>
      <c r="H1381" s="2807">
        <f>SUM(J1379:J1380)</f>
        <v>10381</v>
      </c>
      <c r="I1381" s="2822"/>
      <c r="J1381" s="2807">
        <f>B1381*H1381</f>
        <v>0</v>
      </c>
    </row>
    <row r="1382" spans="1:11">
      <c r="B1382" s="2811"/>
      <c r="C1382" s="2790"/>
      <c r="D1382" s="2793" t="s">
        <v>60</v>
      </c>
      <c r="H1382" s="2807"/>
      <c r="I1382" s="2807"/>
      <c r="J1382" s="2811">
        <f>SUM(J1378:J1381)</f>
        <v>10812.2</v>
      </c>
    </row>
    <row r="1383" spans="1:11">
      <c r="B1383" s="2821" t="s">
        <v>39</v>
      </c>
      <c r="C1383" s="2828" t="s">
        <v>61</v>
      </c>
      <c r="H1383" s="2807"/>
      <c r="I1383" s="2807"/>
      <c r="J1383" s="2807"/>
    </row>
    <row r="1384" spans="1:11">
      <c r="B1384" s="2811">
        <v>64.8</v>
      </c>
      <c r="C1384" s="2790" t="s">
        <v>31</v>
      </c>
      <c r="D1384" s="2787" t="s">
        <v>63</v>
      </c>
      <c r="H1384" s="2807">
        <f>lead!J$16</f>
        <v>2005.5179333714741</v>
      </c>
      <c r="I1384" s="2807" t="s">
        <v>31</v>
      </c>
      <c r="J1384" s="2807">
        <f>ROUND(B1384*H1384,2)</f>
        <v>129957.56</v>
      </c>
    </row>
    <row r="1385" spans="1:11">
      <c r="B1385" s="2811">
        <v>43.2</v>
      </c>
      <c r="C1385" s="2790" t="s">
        <v>31</v>
      </c>
      <c r="D1385" s="2787" t="s">
        <v>64</v>
      </c>
      <c r="H1385" s="2807">
        <f>lead!J$18</f>
        <v>1754.5179333714741</v>
      </c>
      <c r="I1385" s="2807" t="s">
        <v>31</v>
      </c>
      <c r="J1385" s="2807">
        <f>ROUND(B1385*H1385,2)</f>
        <v>75795.17</v>
      </c>
    </row>
    <row r="1386" spans="1:11">
      <c r="B1386" s="2811">
        <v>54.6</v>
      </c>
      <c r="C1386" s="2790" t="s">
        <v>31</v>
      </c>
      <c r="D1386" s="2793" t="s">
        <v>65</v>
      </c>
      <c r="H1386" s="2807">
        <f>lead!J12</f>
        <v>1658.7679333714741</v>
      </c>
      <c r="I1386" s="2807" t="s">
        <v>31</v>
      </c>
      <c r="J1386" s="2807">
        <f>ROUND(B1386*H1386,2)</f>
        <v>90568.73</v>
      </c>
    </row>
    <row r="1387" spans="1:11">
      <c r="B1387" s="2924">
        <v>48.79</v>
      </c>
      <c r="C1387" s="2790" t="s">
        <v>66</v>
      </c>
      <c r="D1387" s="2793" t="s">
        <v>67</v>
      </c>
      <c r="H1387" s="2807">
        <f>lead!J$36</f>
        <v>5000</v>
      </c>
      <c r="I1387" s="2807" t="s">
        <v>66</v>
      </c>
      <c r="J1387" s="2807">
        <f>ROUND(B1387*H1387,2)</f>
        <v>243950</v>
      </c>
    </row>
    <row r="1388" spans="1:11">
      <c r="B1388" s="2793"/>
      <c r="D1388" s="2793" t="s">
        <v>60</v>
      </c>
      <c r="H1388" s="2807"/>
      <c r="I1388" s="2807"/>
      <c r="J1388" s="2807">
        <f>SUM(J1384:J1387)</f>
        <v>540271.46</v>
      </c>
      <c r="K1388" s="2793"/>
    </row>
    <row r="1389" spans="1:11">
      <c r="B1389" s="2821" t="s">
        <v>27</v>
      </c>
      <c r="C1389" s="2828" t="s">
        <v>40</v>
      </c>
      <c r="H1389" s="2807"/>
      <c r="I1389" s="2807"/>
      <c r="J1389" s="2807"/>
    </row>
    <row r="1390" spans="1:11">
      <c r="B1390" s="2811">
        <v>6</v>
      </c>
      <c r="C1390" s="2790" t="s">
        <v>41</v>
      </c>
      <c r="D1390" s="2787" t="s">
        <v>171</v>
      </c>
      <c r="H1390" s="2807">
        <f>'SSR-rates'!I$100</f>
        <v>1205.8</v>
      </c>
      <c r="I1390" s="2807" t="s">
        <v>41</v>
      </c>
      <c r="J1390" s="2807">
        <f>ROUND(B1390*H1390,2)</f>
        <v>7234.8</v>
      </c>
    </row>
    <row r="1391" spans="1:11">
      <c r="B1391" s="2811">
        <v>6</v>
      </c>
      <c r="C1391" s="2790" t="s">
        <v>41</v>
      </c>
      <c r="D1391" s="2787" t="s">
        <v>172</v>
      </c>
      <c r="H1391" s="2807">
        <f>'SSR-rates'!I$102</f>
        <v>1261</v>
      </c>
      <c r="I1391" s="2807" t="s">
        <v>41</v>
      </c>
      <c r="J1391" s="2807">
        <f>ROUND(B1391*H1391,2)</f>
        <v>7566</v>
      </c>
    </row>
    <row r="1392" spans="1:11">
      <c r="B1392" s="2811">
        <v>6</v>
      </c>
      <c r="C1392" s="2790" t="s">
        <v>41</v>
      </c>
      <c r="D1392" s="2787" t="s">
        <v>173</v>
      </c>
      <c r="H1392" s="2807">
        <f>'SSR-rates'!I$65</f>
        <v>1844</v>
      </c>
      <c r="I1392" s="2807" t="s">
        <v>41</v>
      </c>
      <c r="J1392" s="2807">
        <f>ROUND(B1392*H1392,2)</f>
        <v>11064</v>
      </c>
    </row>
    <row r="1393" spans="1:10">
      <c r="B1393" s="2811">
        <v>15</v>
      </c>
      <c r="C1393" s="2790" t="s">
        <v>41</v>
      </c>
      <c r="D1393" s="2787" t="s">
        <v>174</v>
      </c>
      <c r="H1393" s="2807">
        <f>'SSR-rates'!I$104</f>
        <v>2532.4</v>
      </c>
      <c r="I1393" s="2807" t="s">
        <v>41</v>
      </c>
      <c r="J1393" s="2807">
        <f>ROUND(B1393*H1393,2)</f>
        <v>37986</v>
      </c>
    </row>
    <row r="1394" spans="1:10" s="2789" customFormat="1" ht="33.75" customHeight="1">
      <c r="A1394" s="2878"/>
      <c r="B1394" s="2811">
        <v>300</v>
      </c>
      <c r="C1394" s="2790" t="s">
        <v>180</v>
      </c>
      <c r="D1394" s="3027" t="s">
        <v>176</v>
      </c>
      <c r="E1394" s="3027"/>
      <c r="F1394" s="3027"/>
      <c r="G1394" s="3027"/>
      <c r="H1394" s="2807">
        <v>0</v>
      </c>
      <c r="I1394" s="2807" t="s">
        <v>41</v>
      </c>
      <c r="J1394" s="2807">
        <f>ROUND(B1394*H1394*'Input Data'!$E$17,2)</f>
        <v>0</v>
      </c>
    </row>
    <row r="1395" spans="1:10">
      <c r="B1395" s="2811">
        <v>6</v>
      </c>
      <c r="C1395" s="2790" t="s">
        <v>41</v>
      </c>
      <c r="D1395" s="2793" t="s">
        <v>177</v>
      </c>
      <c r="H1395" s="2807">
        <f>'SSR-rates'!I$106</f>
        <v>899</v>
      </c>
      <c r="I1395" s="2807" t="s">
        <v>41</v>
      </c>
      <c r="J1395" s="2807">
        <f>ROUND(B1395*H1395,2)</f>
        <v>5394</v>
      </c>
    </row>
    <row r="1396" spans="1:10" ht="15" customHeight="1">
      <c r="B1396" s="2811"/>
      <c r="C1396" s="2794"/>
      <c r="D1396" s="2793" t="s">
        <v>60</v>
      </c>
      <c r="H1396" s="2807"/>
      <c r="I1396" s="2807"/>
      <c r="J1396" s="2807">
        <f>SUM(J1390:J1395)</f>
        <v>69244.800000000003</v>
      </c>
    </row>
    <row r="1397" spans="1:10">
      <c r="B1397" s="2821" t="s">
        <v>45</v>
      </c>
      <c r="C1397" s="2828" t="s">
        <v>71</v>
      </c>
      <c r="H1397" s="2807"/>
      <c r="I1397" s="2807"/>
      <c r="J1397" s="2807"/>
    </row>
    <row r="1398" spans="1:10">
      <c r="B1398" s="2793">
        <v>20</v>
      </c>
      <c r="C1398" s="2790" t="s">
        <v>29</v>
      </c>
      <c r="D1398" s="2787" t="s">
        <v>302</v>
      </c>
      <c r="H1398" s="2807">
        <f>J1382+J1388+J1396</f>
        <v>620328.46</v>
      </c>
      <c r="I1398" s="2822" t="s">
        <v>73</v>
      </c>
      <c r="J1398" s="2807">
        <f>ROUND(B1398*H1398/100,2)</f>
        <v>124065.69</v>
      </c>
    </row>
    <row r="1399" spans="1:10" ht="15" customHeight="1">
      <c r="A1399" s="2819"/>
      <c r="B1399" s="2821" t="s">
        <v>47</v>
      </c>
      <c r="C1399" s="2819" t="s">
        <v>44</v>
      </c>
      <c r="F1399" s="2790"/>
      <c r="G1399" s="2790"/>
      <c r="H1399" s="2790"/>
      <c r="I1399" s="2790"/>
      <c r="J1399" s="2847"/>
    </row>
    <row r="1400" spans="1:10" ht="29.25" customHeight="1">
      <c r="A1400" s="2819"/>
      <c r="B1400" s="2812"/>
      <c r="C1400" s="3014" t="str">
        <f>"Over head charges "&amp;'Input Data'!$D$25*100&amp;"%  on (A) + (B)+(C)+(D)"</f>
        <v>Over head charges 0%  on (A) + (B)+(C)+(D)</v>
      </c>
      <c r="D1400" s="3015"/>
      <c r="E1400" s="3015"/>
      <c r="F1400" s="3015"/>
      <c r="G1400" s="3016"/>
      <c r="H1400" s="2794">
        <f>J1398+J1396+J1388+J1382</f>
        <v>744394.14999999991</v>
      </c>
      <c r="I1400" s="2790"/>
      <c r="J1400" s="2807">
        <f>H1400*B1400</f>
        <v>0</v>
      </c>
    </row>
    <row r="1401" spans="1:10">
      <c r="A1401" s="2819"/>
      <c r="B1401" s="2821" t="s">
        <v>76</v>
      </c>
      <c r="C1401" s="2819" t="s">
        <v>77</v>
      </c>
      <c r="F1401" s="2790"/>
      <c r="G1401" s="2790"/>
      <c r="H1401" s="2790"/>
      <c r="I1401" s="2790"/>
      <c r="J1401" s="2876">
        <f>J1382+J1388+J1396+J1398+J1400</f>
        <v>744394.14999999991</v>
      </c>
    </row>
    <row r="1402" spans="1:10">
      <c r="A1402" s="2819"/>
      <c r="B1402" s="2821" t="s">
        <v>78</v>
      </c>
      <c r="C1402" s="2819" t="s">
        <v>79</v>
      </c>
      <c r="F1402" s="2790"/>
      <c r="G1402" s="2790"/>
      <c r="H1402" s="2790"/>
      <c r="I1402" s="2790"/>
      <c r="J1402" s="2847">
        <f>J1401*0/100</f>
        <v>0</v>
      </c>
    </row>
    <row r="1403" spans="1:10">
      <c r="B1403" s="2811"/>
      <c r="C1403" s="2790"/>
      <c r="D1403" s="2828" t="s">
        <v>158</v>
      </c>
      <c r="H1403" s="2807"/>
      <c r="I1403" s="2807"/>
      <c r="J1403" s="2876">
        <f>SUM(J1401:J1402)</f>
        <v>744394.14999999991</v>
      </c>
    </row>
    <row r="1404" spans="1:10">
      <c r="B1404" s="2811"/>
      <c r="C1404" s="2790"/>
      <c r="D1404" s="2793" t="s">
        <v>81</v>
      </c>
      <c r="H1404" s="2807"/>
      <c r="I1404" s="2807"/>
      <c r="J1404" s="2807">
        <f>ROUND(J1403/120,2)</f>
        <v>6203.28</v>
      </c>
    </row>
    <row r="1405" spans="1:10">
      <c r="D1405" s="2793" t="s">
        <v>52</v>
      </c>
      <c r="H1405" s="2807"/>
      <c r="I1405" s="2807"/>
      <c r="J1405" s="2848">
        <f>ROUND(J1404,0)</f>
        <v>6203</v>
      </c>
    </row>
    <row r="1406" spans="1:10">
      <c r="D1406" s="2793"/>
      <c r="H1406" s="2807"/>
      <c r="I1406" s="2807"/>
      <c r="J1406" s="2847" t="s">
        <v>53</v>
      </c>
    </row>
    <row r="1407" spans="1:10" ht="137.25" customHeight="1">
      <c r="A1407" s="2816" t="s">
        <v>316</v>
      </c>
      <c r="B1407" s="3028" t="s">
        <v>317</v>
      </c>
      <c r="C1407" s="3028"/>
      <c r="D1407" s="3028"/>
      <c r="E1407" s="3028"/>
      <c r="F1407" s="3028"/>
      <c r="G1407" s="3028"/>
      <c r="H1407" s="3028"/>
      <c r="I1407" s="3028"/>
      <c r="J1407" s="3028"/>
    </row>
    <row r="1408" spans="1:10">
      <c r="A1408" s="2879"/>
      <c r="B1408" s="2798"/>
      <c r="C1408" s="2798"/>
      <c r="D1408" s="3029" t="s">
        <v>198</v>
      </c>
      <c r="E1408" s="3029"/>
      <c r="F1408" s="3029"/>
      <c r="G1408" s="3029"/>
      <c r="H1408" s="2798"/>
      <c r="I1408" s="2798"/>
      <c r="J1408" s="2831"/>
    </row>
    <row r="1409" spans="1:12">
      <c r="A1409" s="2879"/>
      <c r="B1409" s="2798"/>
      <c r="C1409" s="2798"/>
      <c r="D1409" s="3030" t="s">
        <v>186</v>
      </c>
      <c r="E1409" s="3030"/>
      <c r="F1409" s="3030"/>
      <c r="G1409" s="3030"/>
      <c r="H1409" s="2798"/>
      <c r="I1409" s="2798"/>
      <c r="J1409" s="2831"/>
    </row>
    <row r="1410" spans="1:12">
      <c r="A1410" s="2879"/>
      <c r="B1410" s="2798"/>
      <c r="C1410" s="2803"/>
      <c r="D1410" s="3030" t="s">
        <v>187</v>
      </c>
      <c r="E1410" s="3030"/>
      <c r="F1410" s="3030"/>
      <c r="G1410" s="3030"/>
      <c r="H1410" s="2798"/>
      <c r="I1410" s="2798"/>
      <c r="J1410" s="2831"/>
    </row>
    <row r="1411" spans="1:12">
      <c r="A1411" s="2879"/>
      <c r="B1411" s="2798"/>
      <c r="C1411" s="2804"/>
      <c r="D1411" s="3003" t="s">
        <v>12</v>
      </c>
      <c r="E1411" s="3003"/>
      <c r="F1411" s="3003"/>
      <c r="G1411" s="3003"/>
      <c r="H1411" s="2798"/>
      <c r="I1411" s="2798"/>
      <c r="J1411" s="2831"/>
    </row>
    <row r="1412" spans="1:12">
      <c r="A1412" s="2879"/>
      <c r="B1412" s="2803">
        <v>0.44</v>
      </c>
      <c r="C1412" s="2881" t="s">
        <v>13</v>
      </c>
      <c r="D1412" s="3004" t="s">
        <v>14</v>
      </c>
      <c r="E1412" s="3004"/>
      <c r="F1412" s="3004"/>
      <c r="G1412" s="3004"/>
      <c r="H1412" s="2813">
        <f>'SSR-rates'!$I$58</f>
        <v>490</v>
      </c>
      <c r="I1412" s="2803">
        <v>1</v>
      </c>
      <c r="J1412" s="2832">
        <f>ROUND(B1412*H1412,2)</f>
        <v>215.6</v>
      </c>
      <c r="L1412" s="2787">
        <v>0.44</v>
      </c>
    </row>
    <row r="1413" spans="1:12">
      <c r="A1413" s="2879"/>
      <c r="B1413" s="2803">
        <v>3</v>
      </c>
      <c r="C1413" s="2881" t="s">
        <v>13</v>
      </c>
      <c r="D1413" s="3004" t="s">
        <v>188</v>
      </c>
      <c r="E1413" s="3004"/>
      <c r="F1413" s="3004"/>
      <c r="G1413" s="3004"/>
      <c r="H1413" s="2813">
        <f>'SSR-rates'!$I$92</f>
        <v>540</v>
      </c>
      <c r="I1413" s="2803">
        <v>1</v>
      </c>
      <c r="J1413" s="2832">
        <f>ROUND(B1413*H1413,2)</f>
        <v>1620</v>
      </c>
      <c r="L1413" s="2787">
        <v>3</v>
      </c>
    </row>
    <row r="1414" spans="1:12">
      <c r="A1414" s="2879"/>
      <c r="B1414" s="2803">
        <v>8</v>
      </c>
      <c r="C1414" s="2881" t="s">
        <v>13</v>
      </c>
      <c r="D1414" s="3004" t="s">
        <v>59</v>
      </c>
      <c r="E1414" s="3004"/>
      <c r="F1414" s="3004"/>
      <c r="G1414" s="3004"/>
      <c r="H1414" s="2813">
        <f>'SSR-rates'!$I$60</f>
        <v>490</v>
      </c>
      <c r="I1414" s="2803">
        <v>1</v>
      </c>
      <c r="J1414" s="2832">
        <f>ROUND(B1414*H1414,2)</f>
        <v>3920</v>
      </c>
      <c r="L1414" s="2787">
        <v>8</v>
      </c>
    </row>
    <row r="1415" spans="1:12" ht="15" customHeight="1">
      <c r="A1415" s="2879"/>
      <c r="B1415" s="2808">
        <f>'Input Data'!$D$23</f>
        <v>0</v>
      </c>
      <c r="C1415" s="2794"/>
      <c r="D1415" s="2787" t="s">
        <v>17</v>
      </c>
      <c r="F1415" s="2790"/>
      <c r="G1415" s="2790"/>
      <c r="H1415" s="2807">
        <f>SUM(J1414:J1414)</f>
        <v>3920</v>
      </c>
      <c r="I1415" s="2822"/>
      <c r="J1415" s="2807">
        <f>B1415*H1415</f>
        <v>0</v>
      </c>
    </row>
    <row r="1416" spans="1:12">
      <c r="A1416" s="2879"/>
      <c r="B1416" s="2803"/>
      <c r="C1416" s="2882"/>
      <c r="D1416" s="3005" t="s">
        <v>18</v>
      </c>
      <c r="E1416" s="3005"/>
      <c r="F1416" s="3005"/>
      <c r="G1416" s="3005"/>
      <c r="H1416" s="2803"/>
      <c r="I1416" s="2833" t="s">
        <v>19</v>
      </c>
      <c r="J1416" s="2834">
        <f>SUM(J1412:J1415)</f>
        <v>5755.6</v>
      </c>
    </row>
    <row r="1417" spans="1:12">
      <c r="A1417" s="2879"/>
      <c r="B1417" s="2803"/>
      <c r="C1417" s="2883"/>
      <c r="D1417" s="3003" t="s">
        <v>189</v>
      </c>
      <c r="E1417" s="3003"/>
      <c r="F1417" s="3003"/>
      <c r="G1417" s="3003"/>
      <c r="H1417" s="2803"/>
      <c r="I1417" s="2803"/>
      <c r="J1417" s="2832"/>
    </row>
    <row r="1418" spans="1:12" ht="42" customHeight="1">
      <c r="A1418" s="2879"/>
      <c r="B1418" s="2803">
        <v>1.05</v>
      </c>
      <c r="C1418" s="2881" t="s">
        <v>66</v>
      </c>
      <c r="D1418" s="3031" t="s">
        <v>199</v>
      </c>
      <c r="E1418" s="3032"/>
      <c r="F1418" s="3032"/>
      <c r="G1418" s="3033"/>
      <c r="H1418" s="2803">
        <f>lead!$J$37</f>
        <v>49000</v>
      </c>
      <c r="I1418" s="2803">
        <v>1</v>
      </c>
      <c r="J1418" s="2832">
        <f>ROUND(B1418*H1418,2)</f>
        <v>51450</v>
      </c>
    </row>
    <row r="1419" spans="1:12">
      <c r="A1419" s="2879"/>
      <c r="B1419" s="2803">
        <v>8</v>
      </c>
      <c r="C1419" s="2881" t="s">
        <v>191</v>
      </c>
      <c r="D1419" s="3007" t="s">
        <v>196</v>
      </c>
      <c r="E1419" s="3007"/>
      <c r="F1419" s="3007"/>
      <c r="G1419" s="3007"/>
      <c r="H1419" s="2803">
        <f>'SSR-rates'!I93</f>
        <v>66</v>
      </c>
      <c r="I1419" s="2803">
        <v>1</v>
      </c>
      <c r="J1419" s="2832">
        <f>H1419*B1419</f>
        <v>528</v>
      </c>
    </row>
    <row r="1420" spans="1:12">
      <c r="A1420" s="2879"/>
      <c r="B1420" s="2803"/>
      <c r="C1420" s="2882"/>
      <c r="D1420" s="3005" t="s">
        <v>18</v>
      </c>
      <c r="E1420" s="3005"/>
      <c r="F1420" s="3005"/>
      <c r="G1420" s="3005"/>
      <c r="H1420" s="2803"/>
      <c r="I1420" s="2833" t="s">
        <v>25</v>
      </c>
      <c r="J1420" s="2834">
        <f>SUM(J1418:J1419)</f>
        <v>51978</v>
      </c>
    </row>
    <row r="1421" spans="1:12">
      <c r="A1421" s="2879"/>
      <c r="B1421" s="2813"/>
      <c r="C1421" s="2884"/>
      <c r="D1421" s="3003" t="s">
        <v>26</v>
      </c>
      <c r="E1421" s="3003"/>
      <c r="F1421" s="3003"/>
      <c r="G1421" s="3003"/>
      <c r="H1421" s="2813"/>
      <c r="I1421" s="2895"/>
      <c r="J1421" s="2837">
        <f>J1416+J1420</f>
        <v>57733.599999999999</v>
      </c>
    </row>
    <row r="1422" spans="1:12">
      <c r="A1422" s="2879"/>
      <c r="B1422" s="2812"/>
      <c r="C1422" s="2884"/>
      <c r="D1422" s="3003" t="s">
        <v>193</v>
      </c>
      <c r="E1422" s="3003"/>
      <c r="F1422" s="3003"/>
      <c r="G1422" s="3003"/>
      <c r="H1422" s="2813">
        <f>J1421</f>
        <v>57733.599999999999</v>
      </c>
      <c r="I1422" s="2835"/>
      <c r="J1422" s="2836">
        <f>H1422*B1422</f>
        <v>0</v>
      </c>
    </row>
    <row r="1423" spans="1:12">
      <c r="A1423" s="2879"/>
      <c r="B1423" s="2813"/>
      <c r="C1423" s="2884"/>
      <c r="D1423" s="3003"/>
      <c r="E1423" s="3003"/>
      <c r="F1423" s="3003"/>
      <c r="G1423" s="3003"/>
      <c r="H1423" s="2813"/>
      <c r="I1423" s="2835"/>
      <c r="J1423" s="2836"/>
    </row>
    <row r="1424" spans="1:12">
      <c r="A1424" s="2879"/>
      <c r="B1424" s="2813"/>
      <c r="C1424" s="2884" t="s">
        <v>29</v>
      </c>
      <c r="D1424" s="3003" t="s">
        <v>30</v>
      </c>
      <c r="E1424" s="3003"/>
      <c r="F1424" s="3003"/>
      <c r="G1424" s="3003"/>
      <c r="H1424" s="2813">
        <f>J1421+J1422</f>
        <v>57733.599999999999</v>
      </c>
      <c r="I1424" s="2835"/>
      <c r="J1424" s="2836">
        <f>ROUND(B1424*H1424/100,2)</f>
        <v>0</v>
      </c>
    </row>
    <row r="1425" spans="1:11">
      <c r="A1425" s="2879"/>
      <c r="B1425" s="2813"/>
      <c r="C1425" s="2884"/>
      <c r="D1425" s="3003"/>
      <c r="E1425" s="3003"/>
      <c r="F1425" s="3003"/>
      <c r="G1425" s="3003"/>
      <c r="H1425" s="2813"/>
      <c r="I1425" s="2835"/>
      <c r="J1425" s="2837"/>
    </row>
    <row r="1426" spans="1:11">
      <c r="A1426" s="2879"/>
      <c r="B1426" s="2814">
        <v>1</v>
      </c>
      <c r="C1426" s="2884" t="s">
        <v>66</v>
      </c>
      <c r="D1426" s="3005" t="str">
        <f>CONCATENATE("TOTAL Cost for ",B1426,"  ",C1426,"  =  (A+B+C+D)",)</f>
        <v>TOTAL Cost for 1  MT  =  (A+B+C+D)</v>
      </c>
      <c r="E1426" s="3005"/>
      <c r="F1426" s="3005"/>
      <c r="G1426" s="3005"/>
      <c r="H1426" s="2813"/>
      <c r="I1426" s="2813"/>
      <c r="J1426" s="2836">
        <f>SUM(J1421:J1424)</f>
        <v>57733.599999999999</v>
      </c>
    </row>
    <row r="1427" spans="1:11">
      <c r="A1427" s="2879"/>
      <c r="B1427" s="2813"/>
      <c r="C1427" s="2813"/>
      <c r="D1427" s="3007" t="str">
        <f>CONCATENATE("Rate per  1  ",C1426)</f>
        <v>Rate per  1  MT</v>
      </c>
      <c r="E1427" s="3007"/>
      <c r="F1427" s="3007"/>
      <c r="G1427" s="3007"/>
      <c r="H1427" s="2813"/>
      <c r="I1427" s="2813"/>
      <c r="J1427" s="2832">
        <f>J1426/B1426</f>
        <v>57733.599999999999</v>
      </c>
    </row>
    <row r="1428" spans="1:11">
      <c r="A1428" s="2879"/>
      <c r="B1428" s="2803"/>
      <c r="C1428" s="2803"/>
      <c r="D1428" s="3029" t="str">
        <f>D1427</f>
        <v>Rate per  1  MT</v>
      </c>
      <c r="E1428" s="3029"/>
      <c r="F1428" s="3029"/>
      <c r="G1428" s="3029"/>
      <c r="H1428" s="2813"/>
      <c r="I1428" s="2813"/>
      <c r="J1428" s="2834">
        <f>ROUND(J1427,0)</f>
        <v>57734</v>
      </c>
      <c r="K1428" s="2787">
        <v>58243</v>
      </c>
    </row>
    <row r="1429" spans="1:11" ht="84" customHeight="1">
      <c r="A1429" s="2816">
        <v>16</v>
      </c>
      <c r="B1429" s="3008" t="s">
        <v>318</v>
      </c>
      <c r="C1429" s="3008"/>
      <c r="D1429" s="3008"/>
      <c r="E1429" s="3008"/>
      <c r="F1429" s="3008"/>
      <c r="G1429" s="3008"/>
      <c r="H1429" s="3008"/>
      <c r="I1429" s="3008"/>
      <c r="J1429" s="3008"/>
    </row>
    <row r="1430" spans="1:11">
      <c r="A1430" s="2819"/>
      <c r="B1430" s="3009" t="s">
        <v>309</v>
      </c>
      <c r="C1430" s="3009"/>
      <c r="D1430" s="2818"/>
      <c r="E1430" s="2818"/>
      <c r="F1430" s="2818"/>
      <c r="G1430" s="2818"/>
      <c r="H1430" s="2820"/>
      <c r="I1430" s="2820"/>
      <c r="J1430" s="2820"/>
    </row>
    <row r="1431" spans="1:11">
      <c r="A1431" s="2819"/>
      <c r="B1431" s="3009" t="s">
        <v>319</v>
      </c>
      <c r="C1431" s="3009"/>
      <c r="D1431" s="3009"/>
      <c r="E1431" s="3009"/>
      <c r="F1431" s="2819" t="s">
        <v>320</v>
      </c>
      <c r="G1431" s="2818"/>
      <c r="H1431" s="2820"/>
      <c r="I1431" s="2820"/>
      <c r="J1431" s="2820"/>
    </row>
    <row r="1432" spans="1:11">
      <c r="A1432" s="2819"/>
      <c r="B1432" s="2821" t="s">
        <v>36</v>
      </c>
      <c r="C1432" s="2819" t="s">
        <v>37</v>
      </c>
      <c r="D1432" s="2818"/>
      <c r="E1432" s="2818"/>
      <c r="F1432" s="2818"/>
      <c r="G1432" s="2818"/>
      <c r="H1432" s="2820"/>
      <c r="I1432" s="2820"/>
      <c r="J1432" s="2820"/>
    </row>
    <row r="1433" spans="1:11">
      <c r="A1433" s="2819"/>
      <c r="B1433" s="2840"/>
      <c r="C1433" s="2794" t="s">
        <v>38</v>
      </c>
      <c r="D1433" s="2818"/>
      <c r="E1433" s="2790" t="s">
        <v>14</v>
      </c>
      <c r="F1433" s="2818"/>
      <c r="G1433" s="2818"/>
      <c r="H1433" s="2807">
        <f>'SSR-rates'!$I$58</f>
        <v>490</v>
      </c>
      <c r="I1433" s="2822" t="s">
        <v>38</v>
      </c>
      <c r="J1433" s="2807">
        <f>ROUND(B1433*H1433,2)</f>
        <v>0</v>
      </c>
    </row>
    <row r="1434" spans="1:11">
      <c r="A1434" s="2819"/>
      <c r="B1434" s="2807"/>
      <c r="C1434" s="2794" t="s">
        <v>38</v>
      </c>
      <c r="D1434" s="2790"/>
      <c r="E1434" s="2790" t="s">
        <v>312</v>
      </c>
      <c r="F1434" s="2790"/>
      <c r="G1434" s="2790"/>
      <c r="H1434" s="2807">
        <f>'SSR-rates'!I81</f>
        <v>2875</v>
      </c>
      <c r="I1434" s="2822" t="s">
        <v>38</v>
      </c>
      <c r="J1434" s="2807">
        <f>ROUND(B1434*H1434,2)</f>
        <v>0</v>
      </c>
    </row>
    <row r="1435" spans="1:11">
      <c r="A1435" s="2819"/>
      <c r="B1435" s="2807"/>
      <c r="C1435" s="2794" t="s">
        <v>38</v>
      </c>
      <c r="D1435" s="2790"/>
      <c r="E1435" s="2790" t="s">
        <v>15</v>
      </c>
      <c r="F1435" s="2790"/>
      <c r="G1435" s="2790"/>
      <c r="H1435" s="2807">
        <f>'SSR-rates'!I80</f>
        <v>2519</v>
      </c>
      <c r="I1435" s="2822" t="s">
        <v>38</v>
      </c>
      <c r="J1435" s="2807">
        <f>ROUND(B1435*H1435,2)</f>
        <v>0</v>
      </c>
    </row>
    <row r="1436" spans="1:11" ht="15.75" customHeight="1">
      <c r="A1436" s="2819"/>
      <c r="B1436" s="2808">
        <f>'Input Data'!$D$23</f>
        <v>0</v>
      </c>
      <c r="C1436" s="2794"/>
      <c r="D1436" s="2787" t="s">
        <v>17</v>
      </c>
      <c r="F1436" s="2790"/>
      <c r="G1436" s="2790"/>
      <c r="H1436" s="2807">
        <f>SUM(J1434:J1435)</f>
        <v>0</v>
      </c>
      <c r="I1436" s="2822"/>
      <c r="J1436" s="2807">
        <f>B1436*H1436</f>
        <v>0</v>
      </c>
    </row>
    <row r="1437" spans="1:11">
      <c r="A1437" s="2819"/>
      <c r="B1437" s="2807"/>
      <c r="C1437" s="2794"/>
      <c r="D1437" s="2790"/>
      <c r="E1437" s="2790"/>
      <c r="F1437" s="2790"/>
      <c r="G1437" s="2790"/>
      <c r="H1437" s="2807"/>
      <c r="I1437" s="2822"/>
      <c r="J1437" s="2807">
        <f>SUM(J1433:J1436)</f>
        <v>0</v>
      </c>
    </row>
    <row r="1438" spans="1:11">
      <c r="A1438" s="2819"/>
      <c r="B1438" s="2821" t="s">
        <v>39</v>
      </c>
      <c r="C1438" s="2819" t="s">
        <v>61</v>
      </c>
      <c r="F1438" s="2790"/>
      <c r="G1438" s="2790"/>
      <c r="H1438" s="2790"/>
      <c r="I1438" s="2790"/>
      <c r="J1438" s="2787"/>
    </row>
    <row r="1439" spans="1:11">
      <c r="A1439" s="2819"/>
      <c r="B1439" s="2825">
        <v>4.0919999999999996</v>
      </c>
      <c r="C1439" s="2824" t="s">
        <v>73</v>
      </c>
      <c r="D1439" s="3013" t="s">
        <v>321</v>
      </c>
      <c r="E1439" s="3013"/>
      <c r="F1439" s="3013"/>
      <c r="G1439" s="3013"/>
      <c r="H1439" s="2925">
        <f>J1405</f>
        <v>6203</v>
      </c>
      <c r="I1439" s="2825" t="s">
        <v>191</v>
      </c>
      <c r="J1439" s="2825">
        <f>ROUND(B1439*H1439,2)</f>
        <v>25382.68</v>
      </c>
    </row>
    <row r="1440" spans="1:11" ht="30" customHeight="1">
      <c r="A1440" s="2819"/>
      <c r="B1440" s="2825"/>
      <c r="C1440" s="2824"/>
      <c r="D1440" s="3010" t="s">
        <v>322</v>
      </c>
      <c r="E1440" s="3011"/>
      <c r="F1440" s="3011"/>
      <c r="G1440" s="3012"/>
      <c r="H1440" s="2925"/>
      <c r="I1440" s="2825"/>
      <c r="J1440" s="2825">
        <f>J1439*0.05</f>
        <v>1269.134</v>
      </c>
    </row>
    <row r="1441" spans="1:10">
      <c r="A1441" s="2819"/>
      <c r="B1441" s="2825">
        <v>0.86499999999999999</v>
      </c>
      <c r="C1441" s="2824" t="s">
        <v>66</v>
      </c>
      <c r="D1441" s="3013" t="s">
        <v>323</v>
      </c>
      <c r="E1441" s="3013"/>
      <c r="F1441" s="3013"/>
      <c r="G1441" s="3013"/>
      <c r="H1441" s="2925">
        <f>J1428</f>
        <v>57734</v>
      </c>
      <c r="I1441" s="2825" t="s">
        <v>191</v>
      </c>
      <c r="J1441" s="2825">
        <f>ROUND(B1441*H1441,2)</f>
        <v>49939.91</v>
      </c>
    </row>
    <row r="1442" spans="1:10" ht="33" customHeight="1">
      <c r="A1442" s="2819"/>
      <c r="B1442" s="2825"/>
      <c r="C1442" s="2824"/>
      <c r="D1442" s="3010" t="s">
        <v>324</v>
      </c>
      <c r="E1442" s="3011"/>
      <c r="F1442" s="3011"/>
      <c r="G1442" s="3012"/>
      <c r="H1442" s="2925"/>
      <c r="I1442" s="2825"/>
      <c r="J1442" s="2825">
        <f>J1441*0.05</f>
        <v>2496.9955000000004</v>
      </c>
    </row>
    <row r="1443" spans="1:10">
      <c r="A1443" s="2819"/>
      <c r="B1443" s="2825"/>
      <c r="C1443" s="2824"/>
      <c r="D1443" s="2826"/>
      <c r="E1443" s="2826"/>
      <c r="F1443" s="2826"/>
      <c r="G1443" s="2826"/>
      <c r="H1443" s="2825"/>
      <c r="I1443" s="2825"/>
      <c r="J1443" s="2825">
        <f>SUM(J1439:J1441)</f>
        <v>76591.724000000002</v>
      </c>
    </row>
    <row r="1444" spans="1:10">
      <c r="A1444" s="2819"/>
      <c r="B1444" s="2807"/>
      <c r="C1444" s="2794"/>
      <c r="D1444" s="2790"/>
      <c r="F1444" s="2790"/>
      <c r="G1444" s="2790"/>
      <c r="H1444" s="2807"/>
      <c r="I1444" s="2807"/>
      <c r="J1444" s="2787"/>
    </row>
    <row r="1445" spans="1:10">
      <c r="B1445" s="2812">
        <f>'Input Data'!$D$25</f>
        <v>0</v>
      </c>
      <c r="C1445" s="2790" t="str">
        <f>"Over head charges "&amp;'Input Data'!$D$25*100&amp;"%  on (A) + (B)"</f>
        <v>Over head charges 0%  on (A) + (B)</v>
      </c>
      <c r="H1445" s="2793">
        <f>J1443+J1437</f>
        <v>76591.724000000002</v>
      </c>
      <c r="J1445" s="2807">
        <f>H1445*B1445</f>
        <v>0</v>
      </c>
    </row>
    <row r="1446" spans="1:10">
      <c r="A1446" s="2819"/>
      <c r="B1446" s="2821" t="s">
        <v>45</v>
      </c>
      <c r="C1446" s="2790" t="s">
        <v>46</v>
      </c>
      <c r="F1446" s="2790"/>
      <c r="G1446" s="2790"/>
      <c r="H1446" s="2790"/>
      <c r="I1446" s="2790"/>
      <c r="J1446" s="2847">
        <f>J1437+J1443+J1445</f>
        <v>76591.724000000002</v>
      </c>
    </row>
    <row r="1447" spans="1:10">
      <c r="A1447" s="2819"/>
      <c r="B1447" s="2821" t="s">
        <v>47</v>
      </c>
      <c r="C1447" s="2790" t="s">
        <v>48</v>
      </c>
      <c r="D1447" s="2790"/>
      <c r="F1447" s="2790"/>
      <c r="G1447" s="2790"/>
      <c r="H1447" s="2790"/>
      <c r="I1447" s="2790"/>
      <c r="J1447" s="2847">
        <f>J1446*10/100</f>
        <v>7659.1723999999995</v>
      </c>
    </row>
    <row r="1448" spans="1:10">
      <c r="A1448" s="2819"/>
      <c r="B1448" s="2790"/>
      <c r="C1448" s="2790" t="s">
        <v>325</v>
      </c>
      <c r="D1448" s="2790"/>
      <c r="F1448" s="2790"/>
      <c r="G1448" s="2790"/>
      <c r="H1448" s="2790"/>
      <c r="I1448" s="2790"/>
      <c r="J1448" s="2847">
        <f>SUM(J1446:J1447)</f>
        <v>84250.896399999998</v>
      </c>
    </row>
    <row r="1449" spans="1:10">
      <c r="A1449" s="2819"/>
      <c r="B1449" s="2790"/>
      <c r="C1449" s="2790" t="s">
        <v>127</v>
      </c>
      <c r="D1449" s="2790"/>
      <c r="F1449" s="2790"/>
      <c r="G1449" s="2790"/>
      <c r="H1449" s="2790"/>
      <c r="I1449" s="2790"/>
      <c r="J1449" s="2807">
        <f>J1448/48</f>
        <v>1755.2270083333333</v>
      </c>
    </row>
    <row r="1450" spans="1:10">
      <c r="A1450" s="2819"/>
      <c r="B1450" s="2807"/>
      <c r="C1450" s="2794"/>
      <c r="D1450" s="3021" t="s">
        <v>315</v>
      </c>
      <c r="E1450" s="3022"/>
      <c r="F1450" s="2793"/>
      <c r="G1450" s="2793"/>
      <c r="H1450" s="2811"/>
      <c r="I1450" s="2793"/>
      <c r="J1450" s="2848">
        <f>ROUND(J1449,0)</f>
        <v>1755</v>
      </c>
    </row>
    <row r="1453" spans="1:10" ht="125.25" customHeight="1">
      <c r="A1453" s="2865">
        <v>6.07</v>
      </c>
      <c r="B1453" s="3008" t="s">
        <v>326</v>
      </c>
      <c r="C1453" s="3008"/>
      <c r="D1453" s="3008"/>
      <c r="E1453" s="3008"/>
      <c r="F1453" s="3008"/>
      <c r="G1453" s="3008"/>
      <c r="H1453" s="3008"/>
      <c r="I1453" s="3008"/>
      <c r="J1453" s="3008"/>
    </row>
    <row r="1454" spans="1:10">
      <c r="D1454" s="2793" t="s">
        <v>10</v>
      </c>
      <c r="F1454" s="2819" t="s">
        <v>327</v>
      </c>
      <c r="J1454" s="2787"/>
    </row>
    <row r="1455" spans="1:10">
      <c r="D1455" s="2793" t="s">
        <v>56</v>
      </c>
      <c r="J1455" s="2787"/>
    </row>
    <row r="1456" spans="1:10">
      <c r="B1456" s="2821" t="s">
        <v>36</v>
      </c>
      <c r="C1456" s="2828" t="s">
        <v>37</v>
      </c>
      <c r="J1456" s="2787"/>
    </row>
    <row r="1457" spans="1:10">
      <c r="B1457" s="2811">
        <v>0.86</v>
      </c>
      <c r="C1457" s="2790" t="s">
        <v>57</v>
      </c>
      <c r="D1457" s="2793" t="s">
        <v>156</v>
      </c>
      <c r="H1457" s="2807">
        <f>'SSR-rates'!I$58</f>
        <v>490</v>
      </c>
      <c r="I1457" s="2822" t="s">
        <v>38</v>
      </c>
      <c r="J1457" s="2811">
        <f>ROUND(B1457*H1457,2)</f>
        <v>421.4</v>
      </c>
    </row>
    <row r="1458" spans="1:10">
      <c r="B1458" s="2811">
        <v>1.5</v>
      </c>
      <c r="C1458" s="2790" t="s">
        <v>57</v>
      </c>
      <c r="D1458" s="2793" t="s">
        <v>58</v>
      </c>
      <c r="H1458" s="2807">
        <f>'SSR-rates'!I$58</f>
        <v>490</v>
      </c>
      <c r="I1458" s="2822" t="s">
        <v>38</v>
      </c>
      <c r="J1458" s="2811">
        <f>ROUND(B1458*H1458,2)</f>
        <v>735</v>
      </c>
    </row>
    <row r="1459" spans="1:10">
      <c r="B1459" s="2811">
        <v>20</v>
      </c>
      <c r="C1459" s="2790" t="s">
        <v>57</v>
      </c>
      <c r="D1459" s="2793" t="s">
        <v>59</v>
      </c>
      <c r="H1459" s="2807">
        <f>'SSR-rates'!I$60</f>
        <v>490</v>
      </c>
      <c r="I1459" s="2822" t="s">
        <v>38</v>
      </c>
      <c r="J1459" s="2811">
        <f>ROUND(B1459*H1459,2)</f>
        <v>9800</v>
      </c>
    </row>
    <row r="1460" spans="1:10">
      <c r="A1460" s="2819"/>
      <c r="B1460" s="2808">
        <f>'Input Data'!$D$23</f>
        <v>0</v>
      </c>
      <c r="C1460" s="2794"/>
      <c r="D1460" s="2787" t="s">
        <v>17</v>
      </c>
      <c r="F1460" s="2790"/>
      <c r="G1460" s="2790"/>
      <c r="H1460" s="2807">
        <f>SUM(J1457:J1459)</f>
        <v>10956.4</v>
      </c>
      <c r="I1460" s="2822"/>
      <c r="J1460" s="2807">
        <f>B1460*H1460</f>
        <v>0</v>
      </c>
    </row>
    <row r="1461" spans="1:10">
      <c r="B1461" s="2811"/>
      <c r="C1461" s="2790"/>
      <c r="D1461" s="2793" t="s">
        <v>60</v>
      </c>
      <c r="H1461" s="2807"/>
      <c r="I1461" s="2807"/>
      <c r="J1461" s="2811">
        <f>SUM(J1457:J1460)</f>
        <v>10956.4</v>
      </c>
    </row>
    <row r="1462" spans="1:10">
      <c r="B1462" s="2821" t="s">
        <v>39</v>
      </c>
      <c r="C1462" s="2828" t="s">
        <v>61</v>
      </c>
      <c r="H1462" s="2807"/>
      <c r="I1462" s="2807"/>
      <c r="J1462" s="2807"/>
    </row>
    <row r="1463" spans="1:10">
      <c r="B1463" s="2811">
        <v>5.4</v>
      </c>
      <c r="C1463" s="2790" t="s">
        <v>31</v>
      </c>
      <c r="D1463" s="2787" t="s">
        <v>62</v>
      </c>
      <c r="H1463" s="2807">
        <f>lead!J14</f>
        <v>1706.5179333714741</v>
      </c>
      <c r="I1463" s="2807" t="s">
        <v>31</v>
      </c>
      <c r="J1463" s="2807">
        <f>ROUND(B1463*H1463,2)</f>
        <v>9215.2000000000007</v>
      </c>
    </row>
    <row r="1464" spans="1:10">
      <c r="B1464" s="2811">
        <v>5.4</v>
      </c>
      <c r="C1464" s="2790" t="s">
        <v>31</v>
      </c>
      <c r="D1464" s="2787" t="s">
        <v>63</v>
      </c>
      <c r="H1464" s="2807">
        <f>lead!J$16</f>
        <v>2005.5179333714741</v>
      </c>
      <c r="I1464" s="2807" t="s">
        <v>31</v>
      </c>
      <c r="J1464" s="2807">
        <f>ROUND(B1464*H1464,2)</f>
        <v>10829.8</v>
      </c>
    </row>
    <row r="1465" spans="1:10">
      <c r="B1465" s="2811">
        <v>2.7</v>
      </c>
      <c r="C1465" s="2790" t="s">
        <v>31</v>
      </c>
      <c r="D1465" s="2787" t="s">
        <v>64</v>
      </c>
      <c r="H1465" s="2807">
        <f>lead!J$18</f>
        <v>1754.5179333714741</v>
      </c>
      <c r="I1465" s="2807" t="s">
        <v>31</v>
      </c>
      <c r="J1465" s="2807">
        <f>ROUND(B1465*H1465,2)</f>
        <v>4737.2</v>
      </c>
    </row>
    <row r="1466" spans="1:10">
      <c r="B1466" s="2811">
        <v>6.75</v>
      </c>
      <c r="C1466" s="2790" t="s">
        <v>31</v>
      </c>
      <c r="D1466" s="2793" t="s">
        <v>65</v>
      </c>
      <c r="H1466" s="2807">
        <f>lead!J12</f>
        <v>1658.7679333714741</v>
      </c>
      <c r="I1466" s="2807" t="s">
        <v>31</v>
      </c>
      <c r="J1466" s="2807">
        <f>ROUND(B1466*H1466,2)</f>
        <v>11196.68</v>
      </c>
    </row>
    <row r="1467" spans="1:10">
      <c r="B1467" s="2872">
        <v>6.08</v>
      </c>
      <c r="C1467" s="2790" t="s">
        <v>66</v>
      </c>
      <c r="D1467" s="2793" t="s">
        <v>67</v>
      </c>
      <c r="H1467" s="2807">
        <f>lead!J$36</f>
        <v>5000</v>
      </c>
      <c r="I1467" s="2807" t="s">
        <v>66</v>
      </c>
      <c r="J1467" s="2807">
        <f>ROUND(B1467*H1467,2)</f>
        <v>30400</v>
      </c>
    </row>
    <row r="1468" spans="1:10">
      <c r="B1468" s="2793"/>
      <c r="D1468" s="2793" t="s">
        <v>60</v>
      </c>
      <c r="H1468" s="2807"/>
      <c r="I1468" s="2807"/>
      <c r="J1468" s="2807">
        <f>SUM(J1464:J1467)</f>
        <v>57163.68</v>
      </c>
    </row>
    <row r="1469" spans="1:10">
      <c r="B1469" s="2821" t="s">
        <v>27</v>
      </c>
      <c r="C1469" s="2828" t="s">
        <v>40</v>
      </c>
      <c r="H1469" s="2807"/>
      <c r="I1469" s="2807"/>
      <c r="J1469" s="2807"/>
    </row>
    <row r="1470" spans="1:10">
      <c r="B1470" s="2811">
        <v>6</v>
      </c>
      <c r="C1470" s="2790" t="s">
        <v>41</v>
      </c>
      <c r="D1470" s="2787" t="s">
        <v>68</v>
      </c>
      <c r="H1470" s="2807">
        <f>'SSR-rates'!$I$88</f>
        <v>627.6</v>
      </c>
      <c r="I1470" s="2807" t="s">
        <v>41</v>
      </c>
      <c r="J1470" s="2807">
        <f>ROUND(B1470*H1470,2)</f>
        <v>3765.6</v>
      </c>
    </row>
    <row r="1471" spans="1:10">
      <c r="B1471" s="2811">
        <v>6</v>
      </c>
      <c r="C1471" s="2790" t="s">
        <v>41</v>
      </c>
      <c r="D1471" s="2787" t="s">
        <v>224</v>
      </c>
      <c r="H1471" s="2807">
        <f>'SSR-rates'!$I$87</f>
        <v>1237.4000000000001</v>
      </c>
      <c r="I1471" s="2807" t="s">
        <v>41</v>
      </c>
      <c r="J1471" s="2807">
        <f>ROUND(B1471*H1471,2)</f>
        <v>7424.4</v>
      </c>
    </row>
    <row r="1472" spans="1:10">
      <c r="B1472" s="2811"/>
      <c r="C1472" s="2794"/>
      <c r="D1472" s="2793" t="s">
        <v>60</v>
      </c>
      <c r="H1472" s="2807"/>
      <c r="I1472" s="2807"/>
      <c r="J1472" s="2807">
        <f>SUM(J1470:J1471)</f>
        <v>11190</v>
      </c>
    </row>
    <row r="1473" spans="1:10">
      <c r="B1473" s="2821" t="s">
        <v>45</v>
      </c>
      <c r="C1473" s="2828" t="s">
        <v>71</v>
      </c>
      <c r="H1473" s="2807"/>
      <c r="I1473" s="2807"/>
      <c r="J1473" s="2807"/>
    </row>
    <row r="1474" spans="1:10">
      <c r="B1474" s="2793">
        <v>2</v>
      </c>
      <c r="C1474" s="2790" t="s">
        <v>29</v>
      </c>
      <c r="D1474" s="2787" t="s">
        <v>181</v>
      </c>
      <c r="H1474" s="2807">
        <f>J1461+J1468+J1472</f>
        <v>79310.080000000002</v>
      </c>
      <c r="I1474" s="2822" t="s">
        <v>73</v>
      </c>
      <c r="J1474" s="2807">
        <f>ROUND(B1474*H1474/100,2)</f>
        <v>1586.2</v>
      </c>
    </row>
    <row r="1475" spans="1:10">
      <c r="A1475" s="2819"/>
      <c r="B1475" s="2821" t="s">
        <v>47</v>
      </c>
      <c r="C1475" s="2819" t="s">
        <v>97</v>
      </c>
      <c r="F1475" s="2790"/>
      <c r="G1475" s="2790"/>
      <c r="H1475" s="2790"/>
      <c r="I1475" s="2790"/>
      <c r="J1475" s="2847"/>
    </row>
    <row r="1476" spans="1:10" ht="27" customHeight="1">
      <c r="A1476" s="2819"/>
      <c r="B1476" s="2812">
        <f>'Input Data'!$D$25</f>
        <v>0</v>
      </c>
      <c r="C1476" s="3017" t="str">
        <f>"Over head charges "&amp;'Input Data'!$D$25*100&amp;"%  on (A) + (B)+(C)+(D)"</f>
        <v>Over head charges 0%  on (A) + (B)+(C)+(D)</v>
      </c>
      <c r="D1476" s="3018"/>
      <c r="E1476" s="3018"/>
      <c r="F1476" s="3018"/>
      <c r="G1476" s="3019"/>
      <c r="H1476" s="2794">
        <f>J1474+J1472+J1468+J1461</f>
        <v>80896.28</v>
      </c>
      <c r="I1476" s="2790"/>
      <c r="J1476" s="2807">
        <f>H1476*B1476</f>
        <v>0</v>
      </c>
    </row>
    <row r="1477" spans="1:10">
      <c r="A1477" s="2819"/>
      <c r="B1477" s="2821" t="s">
        <v>76</v>
      </c>
      <c r="C1477" s="2819" t="s">
        <v>77</v>
      </c>
      <c r="F1477" s="2790"/>
      <c r="G1477" s="2790"/>
      <c r="H1477" s="2790"/>
      <c r="I1477" s="2790"/>
      <c r="J1477" s="2847">
        <f>J1461+J1468+J1472+J1474+J1476</f>
        <v>80896.28</v>
      </c>
    </row>
    <row r="1478" spans="1:10">
      <c r="A1478" s="2819"/>
      <c r="B1478" s="2821" t="s">
        <v>78</v>
      </c>
      <c r="C1478" s="2819" t="s">
        <v>79</v>
      </c>
      <c r="F1478" s="2790"/>
      <c r="G1478" s="2790"/>
      <c r="H1478" s="2790"/>
      <c r="I1478" s="2790"/>
      <c r="J1478" s="2847">
        <f>J1477*10/100</f>
        <v>8089.6280000000006</v>
      </c>
    </row>
    <row r="1479" spans="1:10">
      <c r="B1479" s="2811"/>
      <c r="C1479" s="2790"/>
      <c r="D1479" s="2828" t="s">
        <v>80</v>
      </c>
      <c r="H1479" s="2807"/>
      <c r="I1479" s="2807"/>
      <c r="J1479" s="2847">
        <f>SUM(J1477:J1478)</f>
        <v>88985.907999999996</v>
      </c>
    </row>
    <row r="1480" spans="1:10">
      <c r="B1480" s="2811"/>
      <c r="C1480" s="2790"/>
      <c r="D1480" s="2793" t="s">
        <v>81</v>
      </c>
      <c r="H1480" s="2807"/>
      <c r="I1480" s="2807"/>
      <c r="J1480" s="2807">
        <f>ROUND(J1479/15,2)</f>
        <v>5932.39</v>
      </c>
    </row>
    <row r="1481" spans="1:10">
      <c r="D1481" s="2793" t="s">
        <v>52</v>
      </c>
      <c r="H1481" s="2807"/>
      <c r="I1481" s="2807"/>
      <c r="J1481" s="2848">
        <f>ROUND(J1480,0)</f>
        <v>5932</v>
      </c>
    </row>
    <row r="1482" spans="1:10">
      <c r="D1482" s="2793"/>
      <c r="H1482" s="2807"/>
      <c r="I1482" s="2807"/>
      <c r="J1482" s="2847" t="s">
        <v>53</v>
      </c>
    </row>
  </sheetData>
  <mergeCells count="320">
    <mergeCell ref="D1442:G1442"/>
    <mergeCell ref="D1450:E1450"/>
    <mergeCell ref="B1453:J1453"/>
    <mergeCell ref="C1476:G1476"/>
    <mergeCell ref="D2:J3"/>
    <mergeCell ref="D1426:G1426"/>
    <mergeCell ref="D1427:G1427"/>
    <mergeCell ref="D1428:G1428"/>
    <mergeCell ref="B1429:J1429"/>
    <mergeCell ref="B1430:C1430"/>
    <mergeCell ref="B1431:E1431"/>
    <mergeCell ref="D1439:G1439"/>
    <mergeCell ref="D1440:G1440"/>
    <mergeCell ref="D1441:G1441"/>
    <mergeCell ref="D1417:G1417"/>
    <mergeCell ref="D1418:G1418"/>
    <mergeCell ref="D1419:G1419"/>
    <mergeCell ref="D1420:G1420"/>
    <mergeCell ref="D1421:G1421"/>
    <mergeCell ref="D1422:G1422"/>
    <mergeCell ref="D1423:G1423"/>
    <mergeCell ref="D1424:G1424"/>
    <mergeCell ref="D1425:G1425"/>
    <mergeCell ref="B1407:J1407"/>
    <mergeCell ref="D1408:G1408"/>
    <mergeCell ref="D1409:G1409"/>
    <mergeCell ref="D1410:G1410"/>
    <mergeCell ref="D1411:G1411"/>
    <mergeCell ref="D1412:G1412"/>
    <mergeCell ref="D1413:G1413"/>
    <mergeCell ref="D1414:G1414"/>
    <mergeCell ref="D1416:G1416"/>
    <mergeCell ref="C1346:G1346"/>
    <mergeCell ref="B1354:J1354"/>
    <mergeCell ref="B1355:C1355"/>
    <mergeCell ref="B1356:E1356"/>
    <mergeCell ref="D1364:G1364"/>
    <mergeCell ref="D1372:E1372"/>
    <mergeCell ref="B1374:J1374"/>
    <mergeCell ref="D1394:G1394"/>
    <mergeCell ref="C1400:G1400"/>
    <mergeCell ref="D1237:G1237"/>
    <mergeCell ref="B1252:J1252"/>
    <mergeCell ref="D1272:G1272"/>
    <mergeCell ref="C1278:G1278"/>
    <mergeCell ref="B1286:J1286"/>
    <mergeCell ref="D1306:G1306"/>
    <mergeCell ref="C1312:G1312"/>
    <mergeCell ref="B1320:J1320"/>
    <mergeCell ref="D1340:G1340"/>
    <mergeCell ref="C1161:G1161"/>
    <mergeCell ref="B1170:J1170"/>
    <mergeCell ref="C1192:G1192"/>
    <mergeCell ref="B1201:J1201"/>
    <mergeCell ref="D1215:G1215"/>
    <mergeCell ref="C1219:G1219"/>
    <mergeCell ref="B1228:J1228"/>
    <mergeCell ref="B1229:C1229"/>
    <mergeCell ref="B1230:E1230"/>
    <mergeCell ref="B1085:J1085"/>
    <mergeCell ref="B1088:J1088"/>
    <mergeCell ref="C1108:G1108"/>
    <mergeCell ref="B1116:J1116"/>
    <mergeCell ref="B1117:C1117"/>
    <mergeCell ref="B1118:E1118"/>
    <mergeCell ref="D1126:G1126"/>
    <mergeCell ref="D1134:E1134"/>
    <mergeCell ref="B1139:J1139"/>
    <mergeCell ref="D1004:G1004"/>
    <mergeCell ref="D1005:G1005"/>
    <mergeCell ref="D1006:G1006"/>
    <mergeCell ref="D1007:G1007"/>
    <mergeCell ref="D1008:G1008"/>
    <mergeCell ref="B1013:J1013"/>
    <mergeCell ref="B1051:J1051"/>
    <mergeCell ref="D1071:G1071"/>
    <mergeCell ref="C1077:G1077"/>
    <mergeCell ref="D994:G994"/>
    <mergeCell ref="D996:G996"/>
    <mergeCell ref="D997:G997"/>
    <mergeCell ref="D998:G998"/>
    <mergeCell ref="D999:G999"/>
    <mergeCell ref="D1000:G1000"/>
    <mergeCell ref="D1001:G1001"/>
    <mergeCell ref="D1002:G1002"/>
    <mergeCell ref="D1003:G1003"/>
    <mergeCell ref="B951:J951"/>
    <mergeCell ref="D952:G952"/>
    <mergeCell ref="D953:G953"/>
    <mergeCell ref="D958:G958"/>
    <mergeCell ref="D976:G976"/>
    <mergeCell ref="D990:G990"/>
    <mergeCell ref="D991:G991"/>
    <mergeCell ref="D992:G992"/>
    <mergeCell ref="D993:G993"/>
    <mergeCell ref="D931:F931"/>
    <mergeCell ref="D933:F933"/>
    <mergeCell ref="D934:F934"/>
    <mergeCell ref="D937:F937"/>
    <mergeCell ref="D939:F939"/>
    <mergeCell ref="D940:F940"/>
    <mergeCell ref="D942:F942"/>
    <mergeCell ref="D944:F944"/>
    <mergeCell ref="D945:F945"/>
    <mergeCell ref="D922:F922"/>
    <mergeCell ref="D923:F923"/>
    <mergeCell ref="D924:F924"/>
    <mergeCell ref="D925:F925"/>
    <mergeCell ref="D926:F926"/>
    <mergeCell ref="D927:F927"/>
    <mergeCell ref="D928:F928"/>
    <mergeCell ref="D929:F929"/>
    <mergeCell ref="D930:F930"/>
    <mergeCell ref="D912:F912"/>
    <mergeCell ref="D913:F913"/>
    <mergeCell ref="D914:F914"/>
    <mergeCell ref="D916:F916"/>
    <mergeCell ref="D917:F917"/>
    <mergeCell ref="D918:F918"/>
    <mergeCell ref="D919:F919"/>
    <mergeCell ref="D920:F920"/>
    <mergeCell ref="D921:F921"/>
    <mergeCell ref="D902:F902"/>
    <mergeCell ref="D903:F903"/>
    <mergeCell ref="D904:F904"/>
    <mergeCell ref="C905:H905"/>
    <mergeCell ref="D906:F906"/>
    <mergeCell ref="D907:F907"/>
    <mergeCell ref="D908:F908"/>
    <mergeCell ref="D910:F910"/>
    <mergeCell ref="D911:F911"/>
    <mergeCell ref="D834:G834"/>
    <mergeCell ref="D835:G835"/>
    <mergeCell ref="D836:G836"/>
    <mergeCell ref="D837:G837"/>
    <mergeCell ref="D838:G838"/>
    <mergeCell ref="D839:G839"/>
    <mergeCell ref="B840:J840"/>
    <mergeCell ref="B870:J870"/>
    <mergeCell ref="B901:J901"/>
    <mergeCell ref="D825:G825"/>
    <mergeCell ref="D826:G826"/>
    <mergeCell ref="D827:G827"/>
    <mergeCell ref="D828:G828"/>
    <mergeCell ref="D829:G829"/>
    <mergeCell ref="D830:G830"/>
    <mergeCell ref="D831:G831"/>
    <mergeCell ref="D832:G832"/>
    <mergeCell ref="D833:G833"/>
    <mergeCell ref="D815:G815"/>
    <mergeCell ref="D816:G816"/>
    <mergeCell ref="D817:G817"/>
    <mergeCell ref="D818:G818"/>
    <mergeCell ref="D819:G819"/>
    <mergeCell ref="D820:G820"/>
    <mergeCell ref="D821:G821"/>
    <mergeCell ref="D822:G822"/>
    <mergeCell ref="D824:G824"/>
    <mergeCell ref="C746:G746"/>
    <mergeCell ref="B754:J754"/>
    <mergeCell ref="C777:G777"/>
    <mergeCell ref="C802:G802"/>
    <mergeCell ref="B809:J809"/>
    <mergeCell ref="D810:G810"/>
    <mergeCell ref="D811:G811"/>
    <mergeCell ref="D813:G813"/>
    <mergeCell ref="D814:G814"/>
    <mergeCell ref="B701:J701"/>
    <mergeCell ref="B702:C702"/>
    <mergeCell ref="B703:E703"/>
    <mergeCell ref="D710:G710"/>
    <mergeCell ref="D712:G712"/>
    <mergeCell ref="D713:G713"/>
    <mergeCell ref="D714:G714"/>
    <mergeCell ref="C724:F724"/>
    <mergeCell ref="B726:J726"/>
    <mergeCell ref="D691:G691"/>
    <mergeCell ref="D692:G692"/>
    <mergeCell ref="D693:G693"/>
    <mergeCell ref="D694:G694"/>
    <mergeCell ref="D695:G695"/>
    <mergeCell ref="D696:G696"/>
    <mergeCell ref="B698:J698"/>
    <mergeCell ref="D699:F699"/>
    <mergeCell ref="D700:F700"/>
    <mergeCell ref="D681:G681"/>
    <mergeCell ref="D682:G682"/>
    <mergeCell ref="D684:G684"/>
    <mergeCell ref="D685:G685"/>
    <mergeCell ref="D686:G686"/>
    <mergeCell ref="D687:G687"/>
    <mergeCell ref="D688:G688"/>
    <mergeCell ref="D689:G689"/>
    <mergeCell ref="D690:G690"/>
    <mergeCell ref="D672:G672"/>
    <mergeCell ref="D673:G673"/>
    <mergeCell ref="D674:G674"/>
    <mergeCell ref="B675:J675"/>
    <mergeCell ref="D676:G676"/>
    <mergeCell ref="D677:G677"/>
    <mergeCell ref="D678:G678"/>
    <mergeCell ref="D679:G679"/>
    <mergeCell ref="D680:G680"/>
    <mergeCell ref="D663:G663"/>
    <mergeCell ref="D664:G664"/>
    <mergeCell ref="D665:G665"/>
    <mergeCell ref="D666:G666"/>
    <mergeCell ref="D667:G667"/>
    <mergeCell ref="D668:G668"/>
    <mergeCell ref="D669:G669"/>
    <mergeCell ref="D670:G670"/>
    <mergeCell ref="D671:G671"/>
    <mergeCell ref="B653:J653"/>
    <mergeCell ref="D654:G654"/>
    <mergeCell ref="D655:G655"/>
    <mergeCell ref="D656:G656"/>
    <mergeCell ref="D657:G657"/>
    <mergeCell ref="D658:G658"/>
    <mergeCell ref="D659:G659"/>
    <mergeCell ref="D660:G660"/>
    <mergeCell ref="D662:G662"/>
    <mergeCell ref="D644:G644"/>
    <mergeCell ref="D645:G645"/>
    <mergeCell ref="D646:G646"/>
    <mergeCell ref="D647:G647"/>
    <mergeCell ref="D648:G648"/>
    <mergeCell ref="D649:G649"/>
    <mergeCell ref="D650:G650"/>
    <mergeCell ref="D651:G651"/>
    <mergeCell ref="D652:G652"/>
    <mergeCell ref="D634:G634"/>
    <mergeCell ref="D635:G635"/>
    <mergeCell ref="D636:G636"/>
    <mergeCell ref="D637:G637"/>
    <mergeCell ref="D638:G638"/>
    <mergeCell ref="D640:G640"/>
    <mergeCell ref="D641:G641"/>
    <mergeCell ref="D642:G642"/>
    <mergeCell ref="D643:G643"/>
    <mergeCell ref="B564:J564"/>
    <mergeCell ref="D584:G584"/>
    <mergeCell ref="C590:G590"/>
    <mergeCell ref="B597:J597"/>
    <mergeCell ref="D617:G617"/>
    <mergeCell ref="C623:G623"/>
    <mergeCell ref="B631:J631"/>
    <mergeCell ref="D632:G632"/>
    <mergeCell ref="D633:G633"/>
    <mergeCell ref="B451:J451"/>
    <mergeCell ref="C473:G473"/>
    <mergeCell ref="B480:J480"/>
    <mergeCell ref="C503:G503"/>
    <mergeCell ref="C520:G520"/>
    <mergeCell ref="B526:J526"/>
    <mergeCell ref="B531:J531"/>
    <mergeCell ref="D551:G551"/>
    <mergeCell ref="C557:G557"/>
    <mergeCell ref="C298:G298"/>
    <mergeCell ref="B306:J306"/>
    <mergeCell ref="C323:G323"/>
    <mergeCell ref="B331:J331"/>
    <mergeCell ref="C354:G354"/>
    <mergeCell ref="B361:J361"/>
    <mergeCell ref="C384:G384"/>
    <mergeCell ref="B391:J391"/>
    <mergeCell ref="B421:J421"/>
    <mergeCell ref="B236:J236"/>
    <mergeCell ref="B237:C237"/>
    <mergeCell ref="B238:E238"/>
    <mergeCell ref="D246:G246"/>
    <mergeCell ref="D255:E255"/>
    <mergeCell ref="B258:J258"/>
    <mergeCell ref="C272:G272"/>
    <mergeCell ref="B281:J281"/>
    <mergeCell ref="D294:G294"/>
    <mergeCell ref="C102:G102"/>
    <mergeCell ref="B110:J110"/>
    <mergeCell ref="B140:J140"/>
    <mergeCell ref="C162:G162"/>
    <mergeCell ref="B171:J171"/>
    <mergeCell ref="B193:J193"/>
    <mergeCell ref="C207:G207"/>
    <mergeCell ref="B215:J215"/>
    <mergeCell ref="C230:G230"/>
    <mergeCell ref="B30:J30"/>
    <mergeCell ref="B31:C31"/>
    <mergeCell ref="B32:E32"/>
    <mergeCell ref="D39:G39"/>
    <mergeCell ref="D40:G40"/>
    <mergeCell ref="B53:J53"/>
    <mergeCell ref="C77:G77"/>
    <mergeCell ref="B85:J85"/>
    <mergeCell ref="D98:G98"/>
    <mergeCell ref="D21:G21"/>
    <mergeCell ref="D22:G22"/>
    <mergeCell ref="D23:G23"/>
    <mergeCell ref="D24:G24"/>
    <mergeCell ref="D25:G25"/>
    <mergeCell ref="D26:G26"/>
    <mergeCell ref="D27:G27"/>
    <mergeCell ref="D28:G28"/>
    <mergeCell ref="D29:G29"/>
    <mergeCell ref="D13:G13"/>
    <mergeCell ref="D15:G15"/>
    <mergeCell ref="D16:G16"/>
    <mergeCell ref="L16:O16"/>
    <mergeCell ref="D17:G17"/>
    <mergeCell ref="D18:G18"/>
    <mergeCell ref="L18:O18"/>
    <mergeCell ref="D19:G19"/>
    <mergeCell ref="D20:G20"/>
    <mergeCell ref="B1:J1"/>
    <mergeCell ref="B4:C4"/>
    <mergeCell ref="D4:G4"/>
    <mergeCell ref="A5:J5"/>
    <mergeCell ref="B6:J6"/>
    <mergeCell ref="D7:G7"/>
    <mergeCell ref="D10:G10"/>
    <mergeCell ref="D11:G11"/>
    <mergeCell ref="D12:G12"/>
  </mergeCells>
  <conditionalFormatting sqref="A6">
    <cfRule type="cellIs" dxfId="41" priority="6" stopIfTrue="1" operator="equal">
      <formula>A2273</formula>
    </cfRule>
  </conditionalFormatting>
  <conditionalFormatting sqref="A7:A13">
    <cfRule type="cellIs" dxfId="40" priority="7" stopIfTrue="1" operator="equal">
      <formula>A6</formula>
    </cfRule>
  </conditionalFormatting>
  <conditionalFormatting sqref="A15:A17 A20:A29">
    <cfRule type="cellIs" dxfId="39" priority="9" stopIfTrue="1" operator="equal">
      <formula>A14</formula>
    </cfRule>
  </conditionalFormatting>
  <conditionalFormatting sqref="A18">
    <cfRule type="cellIs" dxfId="38" priority="4" stopIfTrue="1" operator="equal">
      <formula>A16</formula>
    </cfRule>
  </conditionalFormatting>
  <conditionalFormatting sqref="A19">
    <cfRule type="cellIs" dxfId="37" priority="5" stopIfTrue="1" operator="equal">
      <formula>#REF!</formula>
    </cfRule>
  </conditionalFormatting>
  <conditionalFormatting sqref="A698">
    <cfRule type="cellIs" dxfId="36" priority="2" stopIfTrue="1" operator="equal">
      <formula>A527</formula>
    </cfRule>
  </conditionalFormatting>
  <conditionalFormatting sqref="A699:A700">
    <cfRule type="cellIs" dxfId="35" priority="3" stopIfTrue="1" operator="equal">
      <formula>A698</formula>
    </cfRule>
  </conditionalFormatting>
  <conditionalFormatting sqref="A901">
    <cfRule type="cellIs" dxfId="34" priority="1" stopIfTrue="1" operator="equal">
      <formula>A234</formula>
    </cfRule>
  </conditionalFormatting>
  <conditionalFormatting sqref="A902:A909 A911:A945">
    <cfRule type="cellIs" dxfId="33" priority="11" stopIfTrue="1" operator="equal">
      <formula>A901</formula>
    </cfRule>
  </conditionalFormatting>
  <conditionalFormatting sqref="A910">
    <cfRule type="cellIs" dxfId="32" priority="10" stopIfTrue="1" operator="equal">
      <formula>A908</formula>
    </cfRule>
  </conditionalFormatting>
  <printOptions headings="1"/>
  <pageMargins left="0.62992125984252001" right="0.196850393700787" top="0.511811023622047" bottom="0.23622047244094499" header="0.511811023622047" footer="0.39370078740157499"/>
  <pageSetup paperSize="9" scale="96" orientation="portrait" r:id="rId1"/>
  <headerFooter alignWithMargins="0"/>
</worksheet>
</file>

<file path=xl/worksheets/sheet4.xml><?xml version="1.0" encoding="utf-8"?>
<worksheet xmlns="http://schemas.openxmlformats.org/spreadsheetml/2006/main" xmlns:r="http://schemas.openxmlformats.org/officeDocument/2006/relationships">
  <sheetPr codeName="Sheet12">
    <tabColor indexed="57"/>
  </sheetPr>
  <dimension ref="A1:H29"/>
  <sheetViews>
    <sheetView workbookViewId="0">
      <selection activeCell="C7" sqref="C7"/>
    </sheetView>
  </sheetViews>
  <sheetFormatPr defaultColWidth="9" defaultRowHeight="12.75"/>
  <cols>
    <col min="1" max="1" width="22.28515625" style="3" customWidth="1"/>
    <col min="2" max="2" width="31" style="3" customWidth="1"/>
    <col min="3" max="3" width="32.28515625" style="3" customWidth="1"/>
    <col min="4" max="4" width="15" style="3" customWidth="1"/>
    <col min="5" max="5" width="14.42578125" style="3" customWidth="1"/>
    <col min="6" max="6" width="15.42578125" style="3" customWidth="1"/>
    <col min="7" max="7" width="9.42578125" style="2764" customWidth="1"/>
    <col min="8" max="8" width="14" style="3" customWidth="1"/>
    <col min="9" max="256" width="9.140625" style="3"/>
    <col min="257" max="257" width="25.5703125" style="3" customWidth="1"/>
    <col min="258" max="258" width="34.140625" style="3" customWidth="1"/>
    <col min="259" max="259" width="27.140625" style="3" customWidth="1"/>
    <col min="260" max="260" width="11.5703125" style="3" customWidth="1"/>
    <col min="261" max="261" width="13" style="3" customWidth="1"/>
    <col min="262" max="262" width="21" style="3" customWidth="1"/>
    <col min="263" max="263" width="9.42578125" style="3" customWidth="1"/>
    <col min="264" max="264" width="12.140625" style="3" customWidth="1"/>
    <col min="265" max="512" width="9.140625" style="3"/>
    <col min="513" max="513" width="25.5703125" style="3" customWidth="1"/>
    <col min="514" max="514" width="34.140625" style="3" customWidth="1"/>
    <col min="515" max="515" width="27.140625" style="3" customWidth="1"/>
    <col min="516" max="516" width="11.5703125" style="3" customWidth="1"/>
    <col min="517" max="517" width="13" style="3" customWidth="1"/>
    <col min="518" max="518" width="21" style="3" customWidth="1"/>
    <col min="519" max="519" width="9.42578125" style="3" customWidth="1"/>
    <col min="520" max="520" width="12.140625" style="3" customWidth="1"/>
    <col min="521" max="768" width="9.140625" style="3"/>
    <col min="769" max="769" width="25.5703125" style="3" customWidth="1"/>
    <col min="770" max="770" width="34.140625" style="3" customWidth="1"/>
    <col min="771" max="771" width="27.140625" style="3" customWidth="1"/>
    <col min="772" max="772" width="11.5703125" style="3" customWidth="1"/>
    <col min="773" max="773" width="13" style="3" customWidth="1"/>
    <col min="774" max="774" width="21" style="3" customWidth="1"/>
    <col min="775" max="775" width="9.42578125" style="3" customWidth="1"/>
    <col min="776" max="776" width="12.140625" style="3" customWidth="1"/>
    <col min="777" max="1024" width="9.140625" style="3"/>
    <col min="1025" max="1025" width="25.5703125" style="3" customWidth="1"/>
    <col min="1026" max="1026" width="34.140625" style="3" customWidth="1"/>
    <col min="1027" max="1027" width="27.140625" style="3" customWidth="1"/>
    <col min="1028" max="1028" width="11.5703125" style="3" customWidth="1"/>
    <col min="1029" max="1029" width="13" style="3" customWidth="1"/>
    <col min="1030" max="1030" width="21" style="3" customWidth="1"/>
    <col min="1031" max="1031" width="9.42578125" style="3" customWidth="1"/>
    <col min="1032" max="1032" width="12.140625" style="3" customWidth="1"/>
    <col min="1033" max="1280" width="9.140625" style="3"/>
    <col min="1281" max="1281" width="25.5703125" style="3" customWidth="1"/>
    <col min="1282" max="1282" width="34.140625" style="3" customWidth="1"/>
    <col min="1283" max="1283" width="27.140625" style="3" customWidth="1"/>
    <col min="1284" max="1284" width="11.5703125" style="3" customWidth="1"/>
    <col min="1285" max="1285" width="13" style="3" customWidth="1"/>
    <col min="1286" max="1286" width="21" style="3" customWidth="1"/>
    <col min="1287" max="1287" width="9.42578125" style="3" customWidth="1"/>
    <col min="1288" max="1288" width="12.140625" style="3" customWidth="1"/>
    <col min="1289" max="1536" width="9.140625" style="3"/>
    <col min="1537" max="1537" width="25.5703125" style="3" customWidth="1"/>
    <col min="1538" max="1538" width="34.140625" style="3" customWidth="1"/>
    <col min="1539" max="1539" width="27.140625" style="3" customWidth="1"/>
    <col min="1540" max="1540" width="11.5703125" style="3" customWidth="1"/>
    <col min="1541" max="1541" width="13" style="3" customWidth="1"/>
    <col min="1542" max="1542" width="21" style="3" customWidth="1"/>
    <col min="1543" max="1543" width="9.42578125" style="3" customWidth="1"/>
    <col min="1544" max="1544" width="12.140625" style="3" customWidth="1"/>
    <col min="1545" max="1792" width="9.140625" style="3"/>
    <col min="1793" max="1793" width="25.5703125" style="3" customWidth="1"/>
    <col min="1794" max="1794" width="34.140625" style="3" customWidth="1"/>
    <col min="1795" max="1795" width="27.140625" style="3" customWidth="1"/>
    <col min="1796" max="1796" width="11.5703125" style="3" customWidth="1"/>
    <col min="1797" max="1797" width="13" style="3" customWidth="1"/>
    <col min="1798" max="1798" width="21" style="3" customWidth="1"/>
    <col min="1799" max="1799" width="9.42578125" style="3" customWidth="1"/>
    <col min="1800" max="1800" width="12.140625" style="3" customWidth="1"/>
    <col min="1801" max="2048" width="9.140625" style="3"/>
    <col min="2049" max="2049" width="25.5703125" style="3" customWidth="1"/>
    <col min="2050" max="2050" width="34.140625" style="3" customWidth="1"/>
    <col min="2051" max="2051" width="27.140625" style="3" customWidth="1"/>
    <col min="2052" max="2052" width="11.5703125" style="3" customWidth="1"/>
    <col min="2053" max="2053" width="13" style="3" customWidth="1"/>
    <col min="2054" max="2054" width="21" style="3" customWidth="1"/>
    <col min="2055" max="2055" width="9.42578125" style="3" customWidth="1"/>
    <col min="2056" max="2056" width="12.140625" style="3" customWidth="1"/>
    <col min="2057" max="2304" width="9.140625" style="3"/>
    <col min="2305" max="2305" width="25.5703125" style="3" customWidth="1"/>
    <col min="2306" max="2306" width="34.140625" style="3" customWidth="1"/>
    <col min="2307" max="2307" width="27.140625" style="3" customWidth="1"/>
    <col min="2308" max="2308" width="11.5703125" style="3" customWidth="1"/>
    <col min="2309" max="2309" width="13" style="3" customWidth="1"/>
    <col min="2310" max="2310" width="21" style="3" customWidth="1"/>
    <col min="2311" max="2311" width="9.42578125" style="3" customWidth="1"/>
    <col min="2312" max="2312" width="12.140625" style="3" customWidth="1"/>
    <col min="2313" max="2560" width="9.140625" style="3"/>
    <col min="2561" max="2561" width="25.5703125" style="3" customWidth="1"/>
    <col min="2562" max="2562" width="34.140625" style="3" customWidth="1"/>
    <col min="2563" max="2563" width="27.140625" style="3" customWidth="1"/>
    <col min="2564" max="2564" width="11.5703125" style="3" customWidth="1"/>
    <col min="2565" max="2565" width="13" style="3" customWidth="1"/>
    <col min="2566" max="2566" width="21" style="3" customWidth="1"/>
    <col min="2567" max="2567" width="9.42578125" style="3" customWidth="1"/>
    <col min="2568" max="2568" width="12.140625" style="3" customWidth="1"/>
    <col min="2569" max="2816" width="9.140625" style="3"/>
    <col min="2817" max="2817" width="25.5703125" style="3" customWidth="1"/>
    <col min="2818" max="2818" width="34.140625" style="3" customWidth="1"/>
    <col min="2819" max="2819" width="27.140625" style="3" customWidth="1"/>
    <col min="2820" max="2820" width="11.5703125" style="3" customWidth="1"/>
    <col min="2821" max="2821" width="13" style="3" customWidth="1"/>
    <col min="2822" max="2822" width="21" style="3" customWidth="1"/>
    <col min="2823" max="2823" width="9.42578125" style="3" customWidth="1"/>
    <col min="2824" max="2824" width="12.140625" style="3" customWidth="1"/>
    <col min="2825" max="3072" width="9.140625" style="3"/>
    <col min="3073" max="3073" width="25.5703125" style="3" customWidth="1"/>
    <col min="3074" max="3074" width="34.140625" style="3" customWidth="1"/>
    <col min="3075" max="3075" width="27.140625" style="3" customWidth="1"/>
    <col min="3076" max="3076" width="11.5703125" style="3" customWidth="1"/>
    <col min="3077" max="3077" width="13" style="3" customWidth="1"/>
    <col min="3078" max="3078" width="21" style="3" customWidth="1"/>
    <col min="3079" max="3079" width="9.42578125" style="3" customWidth="1"/>
    <col min="3080" max="3080" width="12.140625" style="3" customWidth="1"/>
    <col min="3081" max="3328" width="9.140625" style="3"/>
    <col min="3329" max="3329" width="25.5703125" style="3" customWidth="1"/>
    <col min="3330" max="3330" width="34.140625" style="3" customWidth="1"/>
    <col min="3331" max="3331" width="27.140625" style="3" customWidth="1"/>
    <col min="3332" max="3332" width="11.5703125" style="3" customWidth="1"/>
    <col min="3333" max="3333" width="13" style="3" customWidth="1"/>
    <col min="3334" max="3334" width="21" style="3" customWidth="1"/>
    <col min="3335" max="3335" width="9.42578125" style="3" customWidth="1"/>
    <col min="3336" max="3336" width="12.140625" style="3" customWidth="1"/>
    <col min="3337" max="3584" width="9.140625" style="3"/>
    <col min="3585" max="3585" width="25.5703125" style="3" customWidth="1"/>
    <col min="3586" max="3586" width="34.140625" style="3" customWidth="1"/>
    <col min="3587" max="3587" width="27.140625" style="3" customWidth="1"/>
    <col min="3588" max="3588" width="11.5703125" style="3" customWidth="1"/>
    <col min="3589" max="3589" width="13" style="3" customWidth="1"/>
    <col min="3590" max="3590" width="21" style="3" customWidth="1"/>
    <col min="3591" max="3591" width="9.42578125" style="3" customWidth="1"/>
    <col min="3592" max="3592" width="12.140625" style="3" customWidth="1"/>
    <col min="3593" max="3840" width="9.140625" style="3"/>
    <col min="3841" max="3841" width="25.5703125" style="3" customWidth="1"/>
    <col min="3842" max="3842" width="34.140625" style="3" customWidth="1"/>
    <col min="3843" max="3843" width="27.140625" style="3" customWidth="1"/>
    <col min="3844" max="3844" width="11.5703125" style="3" customWidth="1"/>
    <col min="3845" max="3845" width="13" style="3" customWidth="1"/>
    <col min="3846" max="3846" width="21" style="3" customWidth="1"/>
    <col min="3847" max="3847" width="9.42578125" style="3" customWidth="1"/>
    <col min="3848" max="3848" width="12.140625" style="3" customWidth="1"/>
    <col min="3849" max="4096" width="9.140625" style="3"/>
    <col min="4097" max="4097" width="25.5703125" style="3" customWidth="1"/>
    <col min="4098" max="4098" width="34.140625" style="3" customWidth="1"/>
    <col min="4099" max="4099" width="27.140625" style="3" customWidth="1"/>
    <col min="4100" max="4100" width="11.5703125" style="3" customWidth="1"/>
    <col min="4101" max="4101" width="13" style="3" customWidth="1"/>
    <col min="4102" max="4102" width="21" style="3" customWidth="1"/>
    <col min="4103" max="4103" width="9.42578125" style="3" customWidth="1"/>
    <col min="4104" max="4104" width="12.140625" style="3" customWidth="1"/>
    <col min="4105" max="4352" width="9.140625" style="3"/>
    <col min="4353" max="4353" width="25.5703125" style="3" customWidth="1"/>
    <col min="4354" max="4354" width="34.140625" style="3" customWidth="1"/>
    <col min="4355" max="4355" width="27.140625" style="3" customWidth="1"/>
    <col min="4356" max="4356" width="11.5703125" style="3" customWidth="1"/>
    <col min="4357" max="4357" width="13" style="3" customWidth="1"/>
    <col min="4358" max="4358" width="21" style="3" customWidth="1"/>
    <col min="4359" max="4359" width="9.42578125" style="3" customWidth="1"/>
    <col min="4360" max="4360" width="12.140625" style="3" customWidth="1"/>
    <col min="4361" max="4608" width="9.140625" style="3"/>
    <col min="4609" max="4609" width="25.5703125" style="3" customWidth="1"/>
    <col min="4610" max="4610" width="34.140625" style="3" customWidth="1"/>
    <col min="4611" max="4611" width="27.140625" style="3" customWidth="1"/>
    <col min="4612" max="4612" width="11.5703125" style="3" customWidth="1"/>
    <col min="4613" max="4613" width="13" style="3" customWidth="1"/>
    <col min="4614" max="4614" width="21" style="3" customWidth="1"/>
    <col min="4615" max="4615" width="9.42578125" style="3" customWidth="1"/>
    <col min="4616" max="4616" width="12.140625" style="3" customWidth="1"/>
    <col min="4617" max="4864" width="9.140625" style="3"/>
    <col min="4865" max="4865" width="25.5703125" style="3" customWidth="1"/>
    <col min="4866" max="4866" width="34.140625" style="3" customWidth="1"/>
    <col min="4867" max="4867" width="27.140625" style="3" customWidth="1"/>
    <col min="4868" max="4868" width="11.5703125" style="3" customWidth="1"/>
    <col min="4869" max="4869" width="13" style="3" customWidth="1"/>
    <col min="4870" max="4870" width="21" style="3" customWidth="1"/>
    <col min="4871" max="4871" width="9.42578125" style="3" customWidth="1"/>
    <col min="4872" max="4872" width="12.140625" style="3" customWidth="1"/>
    <col min="4873" max="5120" width="9.140625" style="3"/>
    <col min="5121" max="5121" width="25.5703125" style="3" customWidth="1"/>
    <col min="5122" max="5122" width="34.140625" style="3" customWidth="1"/>
    <col min="5123" max="5123" width="27.140625" style="3" customWidth="1"/>
    <col min="5124" max="5124" width="11.5703125" style="3" customWidth="1"/>
    <col min="5125" max="5125" width="13" style="3" customWidth="1"/>
    <col min="5126" max="5126" width="21" style="3" customWidth="1"/>
    <col min="5127" max="5127" width="9.42578125" style="3" customWidth="1"/>
    <col min="5128" max="5128" width="12.140625" style="3" customWidth="1"/>
    <col min="5129" max="5376" width="9.140625" style="3"/>
    <col min="5377" max="5377" width="25.5703125" style="3" customWidth="1"/>
    <col min="5378" max="5378" width="34.140625" style="3" customWidth="1"/>
    <col min="5379" max="5379" width="27.140625" style="3" customWidth="1"/>
    <col min="5380" max="5380" width="11.5703125" style="3" customWidth="1"/>
    <col min="5381" max="5381" width="13" style="3" customWidth="1"/>
    <col min="5382" max="5382" width="21" style="3" customWidth="1"/>
    <col min="5383" max="5383" width="9.42578125" style="3" customWidth="1"/>
    <col min="5384" max="5384" width="12.140625" style="3" customWidth="1"/>
    <col min="5385" max="5632" width="9.140625" style="3"/>
    <col min="5633" max="5633" width="25.5703125" style="3" customWidth="1"/>
    <col min="5634" max="5634" width="34.140625" style="3" customWidth="1"/>
    <col min="5635" max="5635" width="27.140625" style="3" customWidth="1"/>
    <col min="5636" max="5636" width="11.5703125" style="3" customWidth="1"/>
    <col min="5637" max="5637" width="13" style="3" customWidth="1"/>
    <col min="5638" max="5638" width="21" style="3" customWidth="1"/>
    <col min="5639" max="5639" width="9.42578125" style="3" customWidth="1"/>
    <col min="5640" max="5640" width="12.140625" style="3" customWidth="1"/>
    <col min="5641" max="5888" width="9.140625" style="3"/>
    <col min="5889" max="5889" width="25.5703125" style="3" customWidth="1"/>
    <col min="5890" max="5890" width="34.140625" style="3" customWidth="1"/>
    <col min="5891" max="5891" width="27.140625" style="3" customWidth="1"/>
    <col min="5892" max="5892" width="11.5703125" style="3" customWidth="1"/>
    <col min="5893" max="5893" width="13" style="3" customWidth="1"/>
    <col min="5894" max="5894" width="21" style="3" customWidth="1"/>
    <col min="5895" max="5895" width="9.42578125" style="3" customWidth="1"/>
    <col min="5896" max="5896" width="12.140625" style="3" customWidth="1"/>
    <col min="5897" max="6144" width="9.140625" style="3"/>
    <col min="6145" max="6145" width="25.5703125" style="3" customWidth="1"/>
    <col min="6146" max="6146" width="34.140625" style="3" customWidth="1"/>
    <col min="6147" max="6147" width="27.140625" style="3" customWidth="1"/>
    <col min="6148" max="6148" width="11.5703125" style="3" customWidth="1"/>
    <col min="6149" max="6149" width="13" style="3" customWidth="1"/>
    <col min="6150" max="6150" width="21" style="3" customWidth="1"/>
    <col min="6151" max="6151" width="9.42578125" style="3" customWidth="1"/>
    <col min="6152" max="6152" width="12.140625" style="3" customWidth="1"/>
    <col min="6153" max="6400" width="9.140625" style="3"/>
    <col min="6401" max="6401" width="25.5703125" style="3" customWidth="1"/>
    <col min="6402" max="6402" width="34.140625" style="3" customWidth="1"/>
    <col min="6403" max="6403" width="27.140625" style="3" customWidth="1"/>
    <col min="6404" max="6404" width="11.5703125" style="3" customWidth="1"/>
    <col min="6405" max="6405" width="13" style="3" customWidth="1"/>
    <col min="6406" max="6406" width="21" style="3" customWidth="1"/>
    <col min="6407" max="6407" width="9.42578125" style="3" customWidth="1"/>
    <col min="6408" max="6408" width="12.140625" style="3" customWidth="1"/>
    <col min="6409" max="6656" width="9.140625" style="3"/>
    <col min="6657" max="6657" width="25.5703125" style="3" customWidth="1"/>
    <col min="6658" max="6658" width="34.140625" style="3" customWidth="1"/>
    <col min="6659" max="6659" width="27.140625" style="3" customWidth="1"/>
    <col min="6660" max="6660" width="11.5703125" style="3" customWidth="1"/>
    <col min="6661" max="6661" width="13" style="3" customWidth="1"/>
    <col min="6662" max="6662" width="21" style="3" customWidth="1"/>
    <col min="6663" max="6663" width="9.42578125" style="3" customWidth="1"/>
    <col min="6664" max="6664" width="12.140625" style="3" customWidth="1"/>
    <col min="6665" max="6912" width="9.140625" style="3"/>
    <col min="6913" max="6913" width="25.5703125" style="3" customWidth="1"/>
    <col min="6914" max="6914" width="34.140625" style="3" customWidth="1"/>
    <col min="6915" max="6915" width="27.140625" style="3" customWidth="1"/>
    <col min="6916" max="6916" width="11.5703125" style="3" customWidth="1"/>
    <col min="6917" max="6917" width="13" style="3" customWidth="1"/>
    <col min="6918" max="6918" width="21" style="3" customWidth="1"/>
    <col min="6919" max="6919" width="9.42578125" style="3" customWidth="1"/>
    <col min="6920" max="6920" width="12.140625" style="3" customWidth="1"/>
    <col min="6921" max="7168" width="9.140625" style="3"/>
    <col min="7169" max="7169" width="25.5703125" style="3" customWidth="1"/>
    <col min="7170" max="7170" width="34.140625" style="3" customWidth="1"/>
    <col min="7171" max="7171" width="27.140625" style="3" customWidth="1"/>
    <col min="7172" max="7172" width="11.5703125" style="3" customWidth="1"/>
    <col min="7173" max="7173" width="13" style="3" customWidth="1"/>
    <col min="7174" max="7174" width="21" style="3" customWidth="1"/>
    <col min="7175" max="7175" width="9.42578125" style="3" customWidth="1"/>
    <col min="7176" max="7176" width="12.140625" style="3" customWidth="1"/>
    <col min="7177" max="7424" width="9.140625" style="3"/>
    <col min="7425" max="7425" width="25.5703125" style="3" customWidth="1"/>
    <col min="7426" max="7426" width="34.140625" style="3" customWidth="1"/>
    <col min="7427" max="7427" width="27.140625" style="3" customWidth="1"/>
    <col min="7428" max="7428" width="11.5703125" style="3" customWidth="1"/>
    <col min="7429" max="7429" width="13" style="3" customWidth="1"/>
    <col min="7430" max="7430" width="21" style="3" customWidth="1"/>
    <col min="7431" max="7431" width="9.42578125" style="3" customWidth="1"/>
    <col min="7432" max="7432" width="12.140625" style="3" customWidth="1"/>
    <col min="7433" max="7680" width="9.140625" style="3"/>
    <col min="7681" max="7681" width="25.5703125" style="3" customWidth="1"/>
    <col min="7682" max="7682" width="34.140625" style="3" customWidth="1"/>
    <col min="7683" max="7683" width="27.140625" style="3" customWidth="1"/>
    <col min="7684" max="7684" width="11.5703125" style="3" customWidth="1"/>
    <col min="7685" max="7685" width="13" style="3" customWidth="1"/>
    <col min="7686" max="7686" width="21" style="3" customWidth="1"/>
    <col min="7687" max="7687" width="9.42578125" style="3" customWidth="1"/>
    <col min="7688" max="7688" width="12.140625" style="3" customWidth="1"/>
    <col min="7689" max="7936" width="9.140625" style="3"/>
    <col min="7937" max="7937" width="25.5703125" style="3" customWidth="1"/>
    <col min="7938" max="7938" width="34.140625" style="3" customWidth="1"/>
    <col min="7939" max="7939" width="27.140625" style="3" customWidth="1"/>
    <col min="7940" max="7940" width="11.5703125" style="3" customWidth="1"/>
    <col min="7941" max="7941" width="13" style="3" customWidth="1"/>
    <col min="7942" max="7942" width="21" style="3" customWidth="1"/>
    <col min="7943" max="7943" width="9.42578125" style="3" customWidth="1"/>
    <col min="7944" max="7944" width="12.140625" style="3" customWidth="1"/>
    <col min="7945" max="8192" width="9.140625" style="3"/>
    <col min="8193" max="8193" width="25.5703125" style="3" customWidth="1"/>
    <col min="8194" max="8194" width="34.140625" style="3" customWidth="1"/>
    <col min="8195" max="8195" width="27.140625" style="3" customWidth="1"/>
    <col min="8196" max="8196" width="11.5703125" style="3" customWidth="1"/>
    <col min="8197" max="8197" width="13" style="3" customWidth="1"/>
    <col min="8198" max="8198" width="21" style="3" customWidth="1"/>
    <col min="8199" max="8199" width="9.42578125" style="3" customWidth="1"/>
    <col min="8200" max="8200" width="12.140625" style="3" customWidth="1"/>
    <col min="8201" max="8448" width="9.140625" style="3"/>
    <col min="8449" max="8449" width="25.5703125" style="3" customWidth="1"/>
    <col min="8450" max="8450" width="34.140625" style="3" customWidth="1"/>
    <col min="8451" max="8451" width="27.140625" style="3" customWidth="1"/>
    <col min="8452" max="8452" width="11.5703125" style="3" customWidth="1"/>
    <col min="8453" max="8453" width="13" style="3" customWidth="1"/>
    <col min="8454" max="8454" width="21" style="3" customWidth="1"/>
    <col min="8455" max="8455" width="9.42578125" style="3" customWidth="1"/>
    <col min="8456" max="8456" width="12.140625" style="3" customWidth="1"/>
    <col min="8457" max="8704" width="9.140625" style="3"/>
    <col min="8705" max="8705" width="25.5703125" style="3" customWidth="1"/>
    <col min="8706" max="8706" width="34.140625" style="3" customWidth="1"/>
    <col min="8707" max="8707" width="27.140625" style="3" customWidth="1"/>
    <col min="8708" max="8708" width="11.5703125" style="3" customWidth="1"/>
    <col min="8709" max="8709" width="13" style="3" customWidth="1"/>
    <col min="8710" max="8710" width="21" style="3" customWidth="1"/>
    <col min="8711" max="8711" width="9.42578125" style="3" customWidth="1"/>
    <col min="8712" max="8712" width="12.140625" style="3" customWidth="1"/>
    <col min="8713" max="8960" width="9.140625" style="3"/>
    <col min="8961" max="8961" width="25.5703125" style="3" customWidth="1"/>
    <col min="8962" max="8962" width="34.140625" style="3" customWidth="1"/>
    <col min="8963" max="8963" width="27.140625" style="3" customWidth="1"/>
    <col min="8964" max="8964" width="11.5703125" style="3" customWidth="1"/>
    <col min="8965" max="8965" width="13" style="3" customWidth="1"/>
    <col min="8966" max="8966" width="21" style="3" customWidth="1"/>
    <col min="8967" max="8967" width="9.42578125" style="3" customWidth="1"/>
    <col min="8968" max="8968" width="12.140625" style="3" customWidth="1"/>
    <col min="8969" max="9216" width="9.140625" style="3"/>
    <col min="9217" max="9217" width="25.5703125" style="3" customWidth="1"/>
    <col min="9218" max="9218" width="34.140625" style="3" customWidth="1"/>
    <col min="9219" max="9219" width="27.140625" style="3" customWidth="1"/>
    <col min="9220" max="9220" width="11.5703125" style="3" customWidth="1"/>
    <col min="9221" max="9221" width="13" style="3" customWidth="1"/>
    <col min="9222" max="9222" width="21" style="3" customWidth="1"/>
    <col min="9223" max="9223" width="9.42578125" style="3" customWidth="1"/>
    <col min="9224" max="9224" width="12.140625" style="3" customWidth="1"/>
    <col min="9225" max="9472" width="9.140625" style="3"/>
    <col min="9473" max="9473" width="25.5703125" style="3" customWidth="1"/>
    <col min="9474" max="9474" width="34.140625" style="3" customWidth="1"/>
    <col min="9475" max="9475" width="27.140625" style="3" customWidth="1"/>
    <col min="9476" max="9476" width="11.5703125" style="3" customWidth="1"/>
    <col min="9477" max="9477" width="13" style="3" customWidth="1"/>
    <col min="9478" max="9478" width="21" style="3" customWidth="1"/>
    <col min="9479" max="9479" width="9.42578125" style="3" customWidth="1"/>
    <col min="9480" max="9480" width="12.140625" style="3" customWidth="1"/>
    <col min="9481" max="9728" width="9.140625" style="3"/>
    <col min="9729" max="9729" width="25.5703125" style="3" customWidth="1"/>
    <col min="9730" max="9730" width="34.140625" style="3" customWidth="1"/>
    <col min="9731" max="9731" width="27.140625" style="3" customWidth="1"/>
    <col min="9732" max="9732" width="11.5703125" style="3" customWidth="1"/>
    <col min="9733" max="9733" width="13" style="3" customWidth="1"/>
    <col min="9734" max="9734" width="21" style="3" customWidth="1"/>
    <col min="9735" max="9735" width="9.42578125" style="3" customWidth="1"/>
    <col min="9736" max="9736" width="12.140625" style="3" customWidth="1"/>
    <col min="9737" max="9984" width="9.140625" style="3"/>
    <col min="9985" max="9985" width="25.5703125" style="3" customWidth="1"/>
    <col min="9986" max="9986" width="34.140625" style="3" customWidth="1"/>
    <col min="9987" max="9987" width="27.140625" style="3" customWidth="1"/>
    <col min="9988" max="9988" width="11.5703125" style="3" customWidth="1"/>
    <col min="9989" max="9989" width="13" style="3" customWidth="1"/>
    <col min="9990" max="9990" width="21" style="3" customWidth="1"/>
    <col min="9991" max="9991" width="9.42578125" style="3" customWidth="1"/>
    <col min="9992" max="9992" width="12.140625" style="3" customWidth="1"/>
    <col min="9993" max="10240" width="9.140625" style="3"/>
    <col min="10241" max="10241" width="25.5703125" style="3" customWidth="1"/>
    <col min="10242" max="10242" width="34.140625" style="3" customWidth="1"/>
    <col min="10243" max="10243" width="27.140625" style="3" customWidth="1"/>
    <col min="10244" max="10244" width="11.5703125" style="3" customWidth="1"/>
    <col min="10245" max="10245" width="13" style="3" customWidth="1"/>
    <col min="10246" max="10246" width="21" style="3" customWidth="1"/>
    <col min="10247" max="10247" width="9.42578125" style="3" customWidth="1"/>
    <col min="10248" max="10248" width="12.140625" style="3" customWidth="1"/>
    <col min="10249" max="10496" width="9.140625" style="3"/>
    <col min="10497" max="10497" width="25.5703125" style="3" customWidth="1"/>
    <col min="10498" max="10498" width="34.140625" style="3" customWidth="1"/>
    <col min="10499" max="10499" width="27.140625" style="3" customWidth="1"/>
    <col min="10500" max="10500" width="11.5703125" style="3" customWidth="1"/>
    <col min="10501" max="10501" width="13" style="3" customWidth="1"/>
    <col min="10502" max="10502" width="21" style="3" customWidth="1"/>
    <col min="10503" max="10503" width="9.42578125" style="3" customWidth="1"/>
    <col min="10504" max="10504" width="12.140625" style="3" customWidth="1"/>
    <col min="10505" max="10752" width="9.140625" style="3"/>
    <col min="10753" max="10753" width="25.5703125" style="3" customWidth="1"/>
    <col min="10754" max="10754" width="34.140625" style="3" customWidth="1"/>
    <col min="10755" max="10755" width="27.140625" style="3" customWidth="1"/>
    <col min="10756" max="10756" width="11.5703125" style="3" customWidth="1"/>
    <col min="10757" max="10757" width="13" style="3" customWidth="1"/>
    <col min="10758" max="10758" width="21" style="3" customWidth="1"/>
    <col min="10759" max="10759" width="9.42578125" style="3" customWidth="1"/>
    <col min="10760" max="10760" width="12.140625" style="3" customWidth="1"/>
    <col min="10761" max="11008" width="9.140625" style="3"/>
    <col min="11009" max="11009" width="25.5703125" style="3" customWidth="1"/>
    <col min="11010" max="11010" width="34.140625" style="3" customWidth="1"/>
    <col min="11011" max="11011" width="27.140625" style="3" customWidth="1"/>
    <col min="11012" max="11012" width="11.5703125" style="3" customWidth="1"/>
    <col min="11013" max="11013" width="13" style="3" customWidth="1"/>
    <col min="11014" max="11014" width="21" style="3" customWidth="1"/>
    <col min="11015" max="11015" width="9.42578125" style="3" customWidth="1"/>
    <col min="11016" max="11016" width="12.140625" style="3" customWidth="1"/>
    <col min="11017" max="11264" width="9.140625" style="3"/>
    <col min="11265" max="11265" width="25.5703125" style="3" customWidth="1"/>
    <col min="11266" max="11266" width="34.140625" style="3" customWidth="1"/>
    <col min="11267" max="11267" width="27.140625" style="3" customWidth="1"/>
    <col min="11268" max="11268" width="11.5703125" style="3" customWidth="1"/>
    <col min="11269" max="11269" width="13" style="3" customWidth="1"/>
    <col min="11270" max="11270" width="21" style="3" customWidth="1"/>
    <col min="11271" max="11271" width="9.42578125" style="3" customWidth="1"/>
    <col min="11272" max="11272" width="12.140625" style="3" customWidth="1"/>
    <col min="11273" max="11520" width="9.140625" style="3"/>
    <col min="11521" max="11521" width="25.5703125" style="3" customWidth="1"/>
    <col min="11522" max="11522" width="34.140625" style="3" customWidth="1"/>
    <col min="11523" max="11523" width="27.140625" style="3" customWidth="1"/>
    <col min="11524" max="11524" width="11.5703125" style="3" customWidth="1"/>
    <col min="11525" max="11525" width="13" style="3" customWidth="1"/>
    <col min="11526" max="11526" width="21" style="3" customWidth="1"/>
    <col min="11527" max="11527" width="9.42578125" style="3" customWidth="1"/>
    <col min="11528" max="11528" width="12.140625" style="3" customWidth="1"/>
    <col min="11529" max="11776" width="9.140625" style="3"/>
    <col min="11777" max="11777" width="25.5703125" style="3" customWidth="1"/>
    <col min="11778" max="11778" width="34.140625" style="3" customWidth="1"/>
    <col min="11779" max="11779" width="27.140625" style="3" customWidth="1"/>
    <col min="11780" max="11780" width="11.5703125" style="3" customWidth="1"/>
    <col min="11781" max="11781" width="13" style="3" customWidth="1"/>
    <col min="11782" max="11782" width="21" style="3" customWidth="1"/>
    <col min="11783" max="11783" width="9.42578125" style="3" customWidth="1"/>
    <col min="11784" max="11784" width="12.140625" style="3" customWidth="1"/>
    <col min="11785" max="12032" width="9.140625" style="3"/>
    <col min="12033" max="12033" width="25.5703125" style="3" customWidth="1"/>
    <col min="12034" max="12034" width="34.140625" style="3" customWidth="1"/>
    <col min="12035" max="12035" width="27.140625" style="3" customWidth="1"/>
    <col min="12036" max="12036" width="11.5703125" style="3" customWidth="1"/>
    <col min="12037" max="12037" width="13" style="3" customWidth="1"/>
    <col min="12038" max="12038" width="21" style="3" customWidth="1"/>
    <col min="12039" max="12039" width="9.42578125" style="3" customWidth="1"/>
    <col min="12040" max="12040" width="12.140625" style="3" customWidth="1"/>
    <col min="12041" max="12288" width="9.140625" style="3"/>
    <col min="12289" max="12289" width="25.5703125" style="3" customWidth="1"/>
    <col min="12290" max="12290" width="34.140625" style="3" customWidth="1"/>
    <col min="12291" max="12291" width="27.140625" style="3" customWidth="1"/>
    <col min="12292" max="12292" width="11.5703125" style="3" customWidth="1"/>
    <col min="12293" max="12293" width="13" style="3" customWidth="1"/>
    <col min="12294" max="12294" width="21" style="3" customWidth="1"/>
    <col min="12295" max="12295" width="9.42578125" style="3" customWidth="1"/>
    <col min="12296" max="12296" width="12.140625" style="3" customWidth="1"/>
    <col min="12297" max="12544" width="9.140625" style="3"/>
    <col min="12545" max="12545" width="25.5703125" style="3" customWidth="1"/>
    <col min="12546" max="12546" width="34.140625" style="3" customWidth="1"/>
    <col min="12547" max="12547" width="27.140625" style="3" customWidth="1"/>
    <col min="12548" max="12548" width="11.5703125" style="3" customWidth="1"/>
    <col min="12549" max="12549" width="13" style="3" customWidth="1"/>
    <col min="12550" max="12550" width="21" style="3" customWidth="1"/>
    <col min="12551" max="12551" width="9.42578125" style="3" customWidth="1"/>
    <col min="12552" max="12552" width="12.140625" style="3" customWidth="1"/>
    <col min="12553" max="12800" width="9.140625" style="3"/>
    <col min="12801" max="12801" width="25.5703125" style="3" customWidth="1"/>
    <col min="12802" max="12802" width="34.140625" style="3" customWidth="1"/>
    <col min="12803" max="12803" width="27.140625" style="3" customWidth="1"/>
    <col min="12804" max="12804" width="11.5703125" style="3" customWidth="1"/>
    <col min="12805" max="12805" width="13" style="3" customWidth="1"/>
    <col min="12806" max="12806" width="21" style="3" customWidth="1"/>
    <col min="12807" max="12807" width="9.42578125" style="3" customWidth="1"/>
    <col min="12808" max="12808" width="12.140625" style="3" customWidth="1"/>
    <col min="12809" max="13056" width="9.140625" style="3"/>
    <col min="13057" max="13057" width="25.5703125" style="3" customWidth="1"/>
    <col min="13058" max="13058" width="34.140625" style="3" customWidth="1"/>
    <col min="13059" max="13059" width="27.140625" style="3" customWidth="1"/>
    <col min="13060" max="13060" width="11.5703125" style="3" customWidth="1"/>
    <col min="13061" max="13061" width="13" style="3" customWidth="1"/>
    <col min="13062" max="13062" width="21" style="3" customWidth="1"/>
    <col min="13063" max="13063" width="9.42578125" style="3" customWidth="1"/>
    <col min="13064" max="13064" width="12.140625" style="3" customWidth="1"/>
    <col min="13065" max="13312" width="9.140625" style="3"/>
    <col min="13313" max="13313" width="25.5703125" style="3" customWidth="1"/>
    <col min="13314" max="13314" width="34.140625" style="3" customWidth="1"/>
    <col min="13315" max="13315" width="27.140625" style="3" customWidth="1"/>
    <col min="13316" max="13316" width="11.5703125" style="3" customWidth="1"/>
    <col min="13317" max="13317" width="13" style="3" customWidth="1"/>
    <col min="13318" max="13318" width="21" style="3" customWidth="1"/>
    <col min="13319" max="13319" width="9.42578125" style="3" customWidth="1"/>
    <col min="13320" max="13320" width="12.140625" style="3" customWidth="1"/>
    <col min="13321" max="13568" width="9.140625" style="3"/>
    <col min="13569" max="13569" width="25.5703125" style="3" customWidth="1"/>
    <col min="13570" max="13570" width="34.140625" style="3" customWidth="1"/>
    <col min="13571" max="13571" width="27.140625" style="3" customWidth="1"/>
    <col min="13572" max="13572" width="11.5703125" style="3" customWidth="1"/>
    <col min="13573" max="13573" width="13" style="3" customWidth="1"/>
    <col min="13574" max="13574" width="21" style="3" customWidth="1"/>
    <col min="13575" max="13575" width="9.42578125" style="3" customWidth="1"/>
    <col min="13576" max="13576" width="12.140625" style="3" customWidth="1"/>
    <col min="13577" max="13824" width="9.140625" style="3"/>
    <col min="13825" max="13825" width="25.5703125" style="3" customWidth="1"/>
    <col min="13826" max="13826" width="34.140625" style="3" customWidth="1"/>
    <col min="13827" max="13827" width="27.140625" style="3" customWidth="1"/>
    <col min="13828" max="13828" width="11.5703125" style="3" customWidth="1"/>
    <col min="13829" max="13829" width="13" style="3" customWidth="1"/>
    <col min="13830" max="13830" width="21" style="3" customWidth="1"/>
    <col min="13831" max="13831" width="9.42578125" style="3" customWidth="1"/>
    <col min="13832" max="13832" width="12.140625" style="3" customWidth="1"/>
    <col min="13833" max="14080" width="9.140625" style="3"/>
    <col min="14081" max="14081" width="25.5703125" style="3" customWidth="1"/>
    <col min="14082" max="14082" width="34.140625" style="3" customWidth="1"/>
    <col min="14083" max="14083" width="27.140625" style="3" customWidth="1"/>
    <col min="14084" max="14084" width="11.5703125" style="3" customWidth="1"/>
    <col min="14085" max="14085" width="13" style="3" customWidth="1"/>
    <col min="14086" max="14086" width="21" style="3" customWidth="1"/>
    <col min="14087" max="14087" width="9.42578125" style="3" customWidth="1"/>
    <col min="14088" max="14088" width="12.140625" style="3" customWidth="1"/>
    <col min="14089" max="14336" width="9.140625" style="3"/>
    <col min="14337" max="14337" width="25.5703125" style="3" customWidth="1"/>
    <col min="14338" max="14338" width="34.140625" style="3" customWidth="1"/>
    <col min="14339" max="14339" width="27.140625" style="3" customWidth="1"/>
    <col min="14340" max="14340" width="11.5703125" style="3" customWidth="1"/>
    <col min="14341" max="14341" width="13" style="3" customWidth="1"/>
    <col min="14342" max="14342" width="21" style="3" customWidth="1"/>
    <col min="14343" max="14343" width="9.42578125" style="3" customWidth="1"/>
    <col min="14344" max="14344" width="12.140625" style="3" customWidth="1"/>
    <col min="14345" max="14592" width="9.140625" style="3"/>
    <col min="14593" max="14593" width="25.5703125" style="3" customWidth="1"/>
    <col min="14594" max="14594" width="34.140625" style="3" customWidth="1"/>
    <col min="14595" max="14595" width="27.140625" style="3" customWidth="1"/>
    <col min="14596" max="14596" width="11.5703125" style="3" customWidth="1"/>
    <col min="14597" max="14597" width="13" style="3" customWidth="1"/>
    <col min="14598" max="14598" width="21" style="3" customWidth="1"/>
    <col min="14599" max="14599" width="9.42578125" style="3" customWidth="1"/>
    <col min="14600" max="14600" width="12.140625" style="3" customWidth="1"/>
    <col min="14601" max="14848" width="9.140625" style="3"/>
    <col min="14849" max="14849" width="25.5703125" style="3" customWidth="1"/>
    <col min="14850" max="14850" width="34.140625" style="3" customWidth="1"/>
    <col min="14851" max="14851" width="27.140625" style="3" customWidth="1"/>
    <col min="14852" max="14852" width="11.5703125" style="3" customWidth="1"/>
    <col min="14853" max="14853" width="13" style="3" customWidth="1"/>
    <col min="14854" max="14854" width="21" style="3" customWidth="1"/>
    <col min="14855" max="14855" width="9.42578125" style="3" customWidth="1"/>
    <col min="14856" max="14856" width="12.140625" style="3" customWidth="1"/>
    <col min="14857" max="15104" width="9.140625" style="3"/>
    <col min="15105" max="15105" width="25.5703125" style="3" customWidth="1"/>
    <col min="15106" max="15106" width="34.140625" style="3" customWidth="1"/>
    <col min="15107" max="15107" width="27.140625" style="3" customWidth="1"/>
    <col min="15108" max="15108" width="11.5703125" style="3" customWidth="1"/>
    <col min="15109" max="15109" width="13" style="3" customWidth="1"/>
    <col min="15110" max="15110" width="21" style="3" customWidth="1"/>
    <col min="15111" max="15111" width="9.42578125" style="3" customWidth="1"/>
    <col min="15112" max="15112" width="12.140625" style="3" customWidth="1"/>
    <col min="15113" max="15360" width="9.140625" style="3"/>
    <col min="15361" max="15361" width="25.5703125" style="3" customWidth="1"/>
    <col min="15362" max="15362" width="34.140625" style="3" customWidth="1"/>
    <col min="15363" max="15363" width="27.140625" style="3" customWidth="1"/>
    <col min="15364" max="15364" width="11.5703125" style="3" customWidth="1"/>
    <col min="15365" max="15365" width="13" style="3" customWidth="1"/>
    <col min="15366" max="15366" width="21" style="3" customWidth="1"/>
    <col min="15367" max="15367" width="9.42578125" style="3" customWidth="1"/>
    <col min="15368" max="15368" width="12.140625" style="3" customWidth="1"/>
    <col min="15369" max="15616" width="9.140625" style="3"/>
    <col min="15617" max="15617" width="25.5703125" style="3" customWidth="1"/>
    <col min="15618" max="15618" width="34.140625" style="3" customWidth="1"/>
    <col min="15619" max="15619" width="27.140625" style="3" customWidth="1"/>
    <col min="15620" max="15620" width="11.5703125" style="3" customWidth="1"/>
    <col min="15621" max="15621" width="13" style="3" customWidth="1"/>
    <col min="15622" max="15622" width="21" style="3" customWidth="1"/>
    <col min="15623" max="15623" width="9.42578125" style="3" customWidth="1"/>
    <col min="15624" max="15624" width="12.140625" style="3" customWidth="1"/>
    <col min="15625" max="15872" width="9.140625" style="3"/>
    <col min="15873" max="15873" width="25.5703125" style="3" customWidth="1"/>
    <col min="15874" max="15874" width="34.140625" style="3" customWidth="1"/>
    <col min="15875" max="15875" width="27.140625" style="3" customWidth="1"/>
    <col min="15876" max="15876" width="11.5703125" style="3" customWidth="1"/>
    <col min="15877" max="15877" width="13" style="3" customWidth="1"/>
    <col min="15878" max="15878" width="21" style="3" customWidth="1"/>
    <col min="15879" max="15879" width="9.42578125" style="3" customWidth="1"/>
    <col min="15880" max="15880" width="12.140625" style="3" customWidth="1"/>
    <col min="15881" max="16128" width="9.140625" style="3"/>
    <col min="16129" max="16129" width="25.5703125" style="3" customWidth="1"/>
    <col min="16130" max="16130" width="34.140625" style="3" customWidth="1"/>
    <col min="16131" max="16131" width="27.140625" style="3" customWidth="1"/>
    <col min="16132" max="16132" width="11.5703125" style="3" customWidth="1"/>
    <col min="16133" max="16133" width="13" style="3" customWidth="1"/>
    <col min="16134" max="16134" width="21" style="3" customWidth="1"/>
    <col min="16135" max="16135" width="9.42578125" style="3" customWidth="1"/>
    <col min="16136" max="16136" width="12.140625" style="3" customWidth="1"/>
    <col min="16137" max="16384" width="9.140625" style="3"/>
  </cols>
  <sheetData>
    <row r="1" spans="1:7" ht="15.75">
      <c r="A1" s="3065" t="str">
        <f>'Schedule-A'!D3</f>
        <v>R/F A to B in Wanaparthy Mandal of Wanaparthy District</v>
      </c>
      <c r="B1" s="3065"/>
      <c r="C1" s="3065"/>
      <c r="D1" s="3065"/>
      <c r="E1" s="3065"/>
      <c r="F1" s="3065"/>
      <c r="G1" s="3065"/>
    </row>
    <row r="2" spans="1:7" ht="15.75">
      <c r="A2" s="2"/>
      <c r="B2" s="2" t="str">
        <f>'Schedule-A'!H4</f>
        <v>NIT.No--</v>
      </c>
      <c r="C2" s="2765" t="s">
        <v>328</v>
      </c>
      <c r="D2" s="2766">
        <f>'Schedule-A'!C4</f>
        <v>100</v>
      </c>
      <c r="E2" s="2" t="s">
        <v>329</v>
      </c>
      <c r="F2" s="2"/>
      <c r="G2" s="2"/>
    </row>
    <row r="3" spans="1:7" s="9" customFormat="1" ht="24.95" customHeight="1">
      <c r="A3" s="2767" t="s">
        <v>330</v>
      </c>
      <c r="B3" s="2768">
        <f>'Schedule-A'!H189</f>
        <v>8076412</v>
      </c>
      <c r="C3" s="7">
        <f>B3</f>
        <v>8076412</v>
      </c>
      <c r="D3" s="2926" t="s">
        <v>331</v>
      </c>
      <c r="E3" s="8">
        <v>1.4999999999999999E-2</v>
      </c>
      <c r="F3" s="8">
        <v>2.5000000000000001E-2</v>
      </c>
      <c r="G3" s="2769"/>
    </row>
    <row r="4" spans="1:7" s="9" customFormat="1" ht="22.5" customHeight="1">
      <c r="A4" s="10" t="s">
        <v>332</v>
      </c>
      <c r="B4" s="11" t="s">
        <v>333</v>
      </c>
      <c r="C4" s="12">
        <f>CEILING(1%*B3,100)</f>
        <v>80800</v>
      </c>
      <c r="D4" s="13">
        <f>CEILING(1%*C3,100)</f>
        <v>80800</v>
      </c>
      <c r="E4" s="13">
        <f>CEILING(1.5%*C3,100)</f>
        <v>121200</v>
      </c>
      <c r="F4" s="13">
        <f>SUM(D4:E4)</f>
        <v>202000</v>
      </c>
      <c r="G4" s="2769"/>
    </row>
    <row r="5" spans="1:7" s="9" customFormat="1" ht="25.5" customHeight="1">
      <c r="A5" s="14" t="s">
        <v>334</v>
      </c>
      <c r="B5" s="15" t="s">
        <v>335</v>
      </c>
      <c r="C5" s="16" t="s">
        <v>336</v>
      </c>
      <c r="D5" s="2770">
        <f>1.12368*(ROUND(0.03%*C3,0))</f>
        <v>2722.6766400000001</v>
      </c>
      <c r="E5" s="2771" t="s">
        <v>337</v>
      </c>
      <c r="F5" s="2772"/>
      <c r="G5" s="2769"/>
    </row>
    <row r="6" spans="1:7" s="9" customFormat="1" ht="33.75" customHeight="1">
      <c r="A6" s="2773" t="s">
        <v>338</v>
      </c>
      <c r="B6" s="2774">
        <f>IF(B3&lt;=20000000,12,15)</f>
        <v>12</v>
      </c>
      <c r="C6" s="2775" t="s">
        <v>339</v>
      </c>
      <c r="G6" s="2769"/>
    </row>
    <row r="7" spans="1:7" s="9" customFormat="1" ht="30.75" customHeight="1">
      <c r="A7" s="10" t="s">
        <v>340</v>
      </c>
      <c r="B7" s="2776" t="s">
        <v>341</v>
      </c>
      <c r="C7" s="2777">
        <f>ROUNDUP((3*C3)/(B6),0)</f>
        <v>2019103</v>
      </c>
      <c r="D7" s="30" t="s">
        <v>342</v>
      </c>
      <c r="E7" s="2778" t="e">
        <f>'Schedule-A'!#REF!</f>
        <v>#REF!</v>
      </c>
      <c r="F7" s="2779" t="e">
        <f>'Schedule-A'!#REF!</f>
        <v>#REF!</v>
      </c>
      <c r="G7" s="2769"/>
    </row>
    <row r="8" spans="1:7" s="9" customFormat="1" ht="29.25" customHeight="1">
      <c r="A8" s="10" t="s">
        <v>343</v>
      </c>
      <c r="B8" s="9" t="s">
        <v>344</v>
      </c>
      <c r="C8" s="2777">
        <f>ROUNDUP(50%*C3*12/B6,0)</f>
        <v>4038206</v>
      </c>
      <c r="G8" s="2769"/>
    </row>
    <row r="9" spans="1:7" s="9" customFormat="1" ht="19.5" customHeight="1">
      <c r="A9" s="10" t="s">
        <v>345</v>
      </c>
      <c r="B9" s="9" t="s">
        <v>330</v>
      </c>
      <c r="C9" s="2777">
        <f>C3</f>
        <v>8076412</v>
      </c>
      <c r="G9" s="2769"/>
    </row>
    <row r="10" spans="1:7" s="9" customFormat="1" ht="24.95" customHeight="1">
      <c r="A10" s="10" t="s">
        <v>346</v>
      </c>
      <c r="B10" s="23" t="s">
        <v>347</v>
      </c>
      <c r="C10" s="2780" t="s">
        <v>348</v>
      </c>
      <c r="D10" s="23"/>
      <c r="G10" s="2769"/>
    </row>
    <row r="11" spans="1:7" s="9" customFormat="1" ht="24.95" customHeight="1">
      <c r="A11" s="10" t="s">
        <v>349</v>
      </c>
      <c r="B11" s="34">
        <v>0</v>
      </c>
      <c r="C11" s="35">
        <f>ROUNDUP(B11*50%*12/B6,0)</f>
        <v>0</v>
      </c>
      <c r="D11" s="23" t="s">
        <v>31</v>
      </c>
      <c r="G11" s="2769"/>
    </row>
    <row r="12" spans="1:7" s="9" customFormat="1" ht="24.95" customHeight="1">
      <c r="A12" s="10" t="s">
        <v>350</v>
      </c>
      <c r="B12" s="34">
        <v>0</v>
      </c>
      <c r="C12" s="35">
        <f>ROUNDUP(B12*50%*12/B6,0)</f>
        <v>0</v>
      </c>
      <c r="D12" s="23" t="s">
        <v>31</v>
      </c>
      <c r="G12" s="2769"/>
    </row>
    <row r="13" spans="1:7" s="9" customFormat="1" ht="24.95" customHeight="1">
      <c r="A13" s="10" t="s">
        <v>351</v>
      </c>
      <c r="B13" s="34">
        <v>0</v>
      </c>
      <c r="C13" s="35">
        <f>ROUNDUP(B13*50%*12/B6,0)</f>
        <v>0</v>
      </c>
      <c r="D13" s="23" t="s">
        <v>31</v>
      </c>
      <c r="G13" s="2769"/>
    </row>
    <row r="14" spans="1:7" s="9" customFormat="1" ht="24.95" customHeight="1">
      <c r="A14" s="10" t="s">
        <v>352</v>
      </c>
      <c r="B14" s="34">
        <v>0</v>
      </c>
      <c r="C14" s="35">
        <f>ROUNDUP(B14*50%*12/B6,0)</f>
        <v>0</v>
      </c>
      <c r="D14" s="23" t="s">
        <v>353</v>
      </c>
      <c r="G14" s="2769"/>
    </row>
    <row r="15" spans="1:7" s="9" customFormat="1" ht="24.95" customHeight="1">
      <c r="A15" s="2781" t="s">
        <v>354</v>
      </c>
      <c r="B15" s="34">
        <v>0</v>
      </c>
      <c r="C15" s="35">
        <f>ROUNDUP(B15*50%*12/B6,0)</f>
        <v>0</v>
      </c>
      <c r="D15" s="23" t="s">
        <v>31</v>
      </c>
      <c r="G15" s="2769"/>
    </row>
    <row r="16" spans="1:7">
      <c r="A16" s="37"/>
      <c r="C16" s="38"/>
    </row>
    <row r="17" spans="1:8">
      <c r="A17" s="10" t="s">
        <v>355</v>
      </c>
      <c r="B17" s="39" t="s">
        <v>356</v>
      </c>
      <c r="C17" s="2782">
        <f>(C9/3)</f>
        <v>2692137.3333333335</v>
      </c>
      <c r="D17" s="41">
        <f>C17*0.5</f>
        <v>1346068.6666666667</v>
      </c>
      <c r="E17" s="3">
        <f>ROUND(D17*0.1%,0)</f>
        <v>1346</v>
      </c>
    </row>
    <row r="18" spans="1:8">
      <c r="A18" s="10"/>
      <c r="B18" s="39" t="s">
        <v>357</v>
      </c>
      <c r="C18" s="2782">
        <f>2*C17</f>
        <v>5384274.666666667</v>
      </c>
      <c r="D18" s="41">
        <f t="shared" ref="D18:D19" si="0">C18*0.5</f>
        <v>2692137.3333333335</v>
      </c>
      <c r="E18" s="3">
        <f t="shared" ref="E18:E19" si="1">ROUND(D18*0.1%,0)</f>
        <v>2692</v>
      </c>
    </row>
    <row r="19" spans="1:8" ht="13.5" customHeight="1">
      <c r="A19" s="10"/>
      <c r="B19" s="39" t="s">
        <v>358</v>
      </c>
      <c r="C19" s="2782">
        <f>3*C17</f>
        <v>8076412</v>
      </c>
      <c r="D19" s="41">
        <f t="shared" si="0"/>
        <v>4038206</v>
      </c>
      <c r="E19" s="3">
        <f t="shared" si="1"/>
        <v>4038</v>
      </c>
    </row>
    <row r="20" spans="1:8" s="9" customFormat="1" ht="24.75" customHeight="1">
      <c r="B20" s="42"/>
      <c r="C20" s="44"/>
      <c r="D20" s="44">
        <f>SUM(D17:D19)</f>
        <v>8076412</v>
      </c>
      <c r="E20" s="23"/>
      <c r="F20" s="45" t="s">
        <v>359</v>
      </c>
      <c r="G20" s="2769" t="s">
        <v>360</v>
      </c>
      <c r="H20" s="44">
        <f>C20*0.5%</f>
        <v>0</v>
      </c>
    </row>
    <row r="21" spans="1:8">
      <c r="A21" s="10" t="s">
        <v>361</v>
      </c>
      <c r="B21" s="39" t="s">
        <v>362</v>
      </c>
      <c r="C21" s="2783">
        <f>ROUND(((C3/3)/1000),0)</f>
        <v>2692</v>
      </c>
      <c r="D21" s="47">
        <f>C21*10%</f>
        <v>269.2</v>
      </c>
      <c r="E21" s="48">
        <f>C3/3</f>
        <v>2692137.3333333335</v>
      </c>
      <c r="F21" s="49">
        <f>E21*100/100000</f>
        <v>2692.1373333333336</v>
      </c>
      <c r="G21" s="2784">
        <f>C21-F21</f>
        <v>-0.13733333333357223</v>
      </c>
    </row>
    <row r="22" spans="1:8">
      <c r="B22" s="39" t="s">
        <v>363</v>
      </c>
      <c r="C22" s="2783">
        <f>C21</f>
        <v>2692</v>
      </c>
      <c r="D22" s="47">
        <f t="shared" ref="D22:D23" si="2">C22*10%</f>
        <v>269.2</v>
      </c>
      <c r="E22" s="48">
        <f>E21*2</f>
        <v>5384274.666666667</v>
      </c>
      <c r="F22" s="49">
        <f>E22*100/100000</f>
        <v>5384.2746666666671</v>
      </c>
      <c r="G22" s="2784">
        <f>C22-F22</f>
        <v>-2692.2746666666671</v>
      </c>
    </row>
    <row r="23" spans="1:8">
      <c r="B23" s="39" t="s">
        <v>364</v>
      </c>
      <c r="C23" s="2783">
        <f>C22</f>
        <v>2692</v>
      </c>
      <c r="D23" s="47">
        <f t="shared" si="2"/>
        <v>269.2</v>
      </c>
      <c r="E23" s="48">
        <f>E21*3</f>
        <v>8076412</v>
      </c>
      <c r="F23" s="49">
        <f>E23*100/100000</f>
        <v>8076.4120000000003</v>
      </c>
      <c r="G23" s="2784">
        <f>C23-F23</f>
        <v>-5384.4120000000003</v>
      </c>
    </row>
    <row r="24" spans="1:8">
      <c r="A24" s="50"/>
      <c r="B24" s="51"/>
      <c r="C24" s="39"/>
      <c r="E24" s="52"/>
      <c r="F24" s="52"/>
    </row>
    <row r="25" spans="1:8" ht="18.75" customHeight="1">
      <c r="B25" s="43" t="s">
        <v>60</v>
      </c>
      <c r="C25" s="53">
        <f>C21*3</f>
        <v>8076</v>
      </c>
      <c r="D25" s="39"/>
      <c r="E25" s="51" t="s">
        <v>365</v>
      </c>
      <c r="F25" s="2785" t="s">
        <v>366</v>
      </c>
      <c r="H25" s="47">
        <f>D17*10%</f>
        <v>134606.86666666667</v>
      </c>
    </row>
    <row r="26" spans="1:8" ht="18.75" customHeight="1">
      <c r="D26" s="39" t="s">
        <v>367</v>
      </c>
      <c r="E26" s="48">
        <f>C3/3</f>
        <v>2692137.3333333335</v>
      </c>
      <c r="F26" s="49">
        <f>E26*0.1%</f>
        <v>2692.1373333333336</v>
      </c>
      <c r="G26" s="2784">
        <f>C21-F26</f>
        <v>-0.13733333333357223</v>
      </c>
      <c r="H26" s="47">
        <f>D18*10%</f>
        <v>269213.73333333334</v>
      </c>
    </row>
    <row r="27" spans="1:8" ht="18.75" customHeight="1">
      <c r="D27" s="39" t="s">
        <v>368</v>
      </c>
      <c r="E27" s="48">
        <f>E26*2</f>
        <v>5384274.666666667</v>
      </c>
      <c r="F27" s="49">
        <f>E27*0.1%</f>
        <v>5384.2746666666671</v>
      </c>
      <c r="G27" s="2784">
        <f>C22-F27</f>
        <v>-2692.2746666666671</v>
      </c>
      <c r="H27" s="47">
        <f>D19*10%</f>
        <v>403820.60000000003</v>
      </c>
    </row>
    <row r="28" spans="1:8" ht="18.75" customHeight="1">
      <c r="D28" s="39" t="s">
        <v>369</v>
      </c>
      <c r="E28" s="48">
        <f>E26*3</f>
        <v>8076412</v>
      </c>
      <c r="F28" s="49">
        <f>E28*0.1%</f>
        <v>8076.4120000000003</v>
      </c>
      <c r="G28" s="2784">
        <f>C23-F28</f>
        <v>-5384.4120000000003</v>
      </c>
      <c r="H28" s="47">
        <f>SUM(H25:H27)</f>
        <v>807641.2</v>
      </c>
    </row>
    <row r="29" spans="1:8" ht="18.75" customHeight="1"/>
  </sheetData>
  <mergeCells count="1">
    <mergeCell ref="A1:G1"/>
  </mergeCells>
  <printOptions headings="1"/>
  <pageMargins left="0.35" right="0.17" top="0.511811023622047" bottom="0.23622047244094499" header="0.511811023622047" footer="0.511811023622047"/>
  <pageSetup paperSize="9" scale="89" orientation="landscape"/>
  <headerFooter alignWithMargins="0"/>
</worksheet>
</file>

<file path=xl/worksheets/sheet5.xml><?xml version="1.0" encoding="utf-8"?>
<worksheet xmlns="http://schemas.openxmlformats.org/spreadsheetml/2006/main" xmlns:r="http://schemas.openxmlformats.org/officeDocument/2006/relationships">
  <sheetPr codeName="Sheet7">
    <tabColor rgb="FFFF0000"/>
  </sheetPr>
  <dimension ref="A1:O35"/>
  <sheetViews>
    <sheetView topLeftCell="A10" zoomScaleSheetLayoutView="100" workbookViewId="0">
      <selection activeCell="E19" sqref="E19"/>
    </sheetView>
  </sheetViews>
  <sheetFormatPr defaultColWidth="8.85546875" defaultRowHeight="15.75"/>
  <cols>
    <col min="1" max="1" width="3.140625" style="483" customWidth="1"/>
    <col min="2" max="2" width="6.5703125" style="483" customWidth="1"/>
    <col min="3" max="3" width="36.7109375" style="483" customWidth="1"/>
    <col min="4" max="4" width="18.7109375" style="483" customWidth="1"/>
    <col min="5" max="5" width="9.42578125" style="483" customWidth="1"/>
    <col min="6" max="6" width="3" style="483" customWidth="1"/>
    <col min="7" max="7" width="7.42578125" style="483" customWidth="1"/>
    <col min="8" max="8" width="19" style="483" customWidth="1"/>
    <col min="9" max="9" width="27.42578125" style="483" customWidth="1"/>
    <col min="10" max="10" width="17.28515625" style="483" customWidth="1"/>
    <col min="11" max="11" width="9" style="483" customWidth="1"/>
    <col min="12" max="12" width="14.42578125" style="483" customWidth="1"/>
    <col min="13" max="13" width="17.42578125" style="483" customWidth="1"/>
    <col min="14" max="14" width="10.85546875" style="483" customWidth="1"/>
    <col min="15" max="16384" width="8.85546875" style="483"/>
  </cols>
  <sheetData>
    <row r="1" spans="1:15" s="484" customFormat="1" ht="35.450000000000003" customHeight="1">
      <c r="A1" s="859"/>
      <c r="B1" s="3071" t="s">
        <v>370</v>
      </c>
      <c r="C1" s="3071"/>
      <c r="D1" s="2716"/>
      <c r="E1" s="3072" t="s">
        <v>2747</v>
      </c>
      <c r="F1" s="3073"/>
      <c r="G1" s="3073"/>
      <c r="H1" s="3073"/>
      <c r="I1" s="3073"/>
      <c r="J1" s="3074"/>
    </row>
    <row r="2" spans="1:15" s="484" customFormat="1" ht="19.5" customHeight="1">
      <c r="A2" s="859"/>
      <c r="B2" s="2717"/>
      <c r="C2" s="2717"/>
      <c r="D2" s="2717"/>
      <c r="E2" s="2717"/>
      <c r="F2" s="2717"/>
      <c r="G2" s="2717"/>
      <c r="H2" s="3070" t="s">
        <v>371</v>
      </c>
      <c r="I2" s="3070"/>
      <c r="J2" s="3070"/>
      <c r="K2" s="488" t="s">
        <v>372</v>
      </c>
      <c r="L2" s="488" t="s">
        <v>373</v>
      </c>
      <c r="M2" s="488" t="s">
        <v>374</v>
      </c>
    </row>
    <row r="3" spans="1:15" s="484" customFormat="1" ht="35.25" customHeight="1">
      <c r="A3" s="859"/>
      <c r="B3" s="2718">
        <v>1</v>
      </c>
      <c r="C3" s="2719" t="s">
        <v>375</v>
      </c>
      <c r="D3" s="2950" t="s">
        <v>2777</v>
      </c>
      <c r="E3" s="2951" t="s">
        <v>2778</v>
      </c>
      <c r="F3" s="2720"/>
      <c r="G3" s="859"/>
      <c r="H3" s="2721" t="s">
        <v>376</v>
      </c>
      <c r="I3" s="3075" t="str">
        <f>"G.O.Rt.No."&amp;K3&amp;"  dt: "&amp;L3&amp;" of PR &amp; RD(Roads) Dept. Sl.No."&amp;M3</f>
        <v>G.O.Rt.No.273  dt: 20.07.2023 of PR &amp; RD(Roads) Dept. Sl.No.1</v>
      </c>
      <c r="J3" s="3075"/>
      <c r="K3" s="2740">
        <v>273</v>
      </c>
      <c r="L3" s="2943" t="s">
        <v>2773</v>
      </c>
      <c r="M3" s="2942">
        <v>1</v>
      </c>
    </row>
    <row r="4" spans="1:15" s="484" customFormat="1" ht="32.25" customHeight="1">
      <c r="A4" s="859"/>
      <c r="B4" s="2718">
        <v>2</v>
      </c>
      <c r="C4" s="2719" t="s">
        <v>377</v>
      </c>
      <c r="D4" s="2950" t="s">
        <v>2748</v>
      </c>
      <c r="F4" s="2720"/>
      <c r="G4" s="859"/>
      <c r="H4" s="2721" t="s">
        <v>378</v>
      </c>
      <c r="I4" s="2741" t="s">
        <v>379</v>
      </c>
      <c r="J4" s="2953">
        <f>K4</f>
        <v>100</v>
      </c>
      <c r="K4" s="2955">
        <v>100</v>
      </c>
      <c r="L4" s="2742" t="s">
        <v>380</v>
      </c>
    </row>
    <row r="5" spans="1:15" s="484" customFormat="1" ht="34.5" customHeight="1">
      <c r="A5" s="859"/>
      <c r="B5" s="2718">
        <v>3</v>
      </c>
      <c r="C5" s="2719" t="s">
        <v>381</v>
      </c>
      <c r="D5" s="2950" t="s">
        <v>2748</v>
      </c>
      <c r="F5" s="2720"/>
      <c r="G5" s="859"/>
      <c r="H5" s="2721" t="s">
        <v>382</v>
      </c>
      <c r="I5" s="2741" t="s">
        <v>383</v>
      </c>
      <c r="J5" s="2954">
        <v>1</v>
      </c>
      <c r="K5" s="2954">
        <v>1</v>
      </c>
      <c r="L5" s="2743" t="s">
        <v>384</v>
      </c>
    </row>
    <row r="6" spans="1:15" s="484" customFormat="1" ht="33.75" customHeight="1">
      <c r="A6" s="859"/>
      <c r="B6" s="2718">
        <v>4</v>
      </c>
      <c r="C6" s="2719" t="s">
        <v>385</v>
      </c>
      <c r="D6" s="2950" t="s">
        <v>2748</v>
      </c>
      <c r="F6" s="2720"/>
      <c r="G6" s="859"/>
      <c r="H6" s="2721" t="s">
        <v>386</v>
      </c>
      <c r="I6" s="2744" t="s">
        <v>2804</v>
      </c>
      <c r="J6" s="2745" t="str">
        <f>H7&amp;""&amp;I6&amp;"-"&amp;I7</f>
        <v>CRR-2024-25</v>
      </c>
      <c r="K6" s="2746" t="s">
        <v>387</v>
      </c>
      <c r="L6" s="2747">
        <v>0</v>
      </c>
      <c r="M6" s="486"/>
    </row>
    <row r="7" spans="1:15" s="484" customFormat="1" ht="24" customHeight="1">
      <c r="A7" s="859"/>
      <c r="B7" s="2718">
        <v>5</v>
      </c>
      <c r="C7" s="2719" t="s">
        <v>388</v>
      </c>
      <c r="D7" s="2950" t="s">
        <v>2748</v>
      </c>
      <c r="F7" s="2720"/>
      <c r="G7" s="859"/>
      <c r="H7" s="2722"/>
      <c r="I7" s="2722" t="s">
        <v>2803</v>
      </c>
      <c r="J7" s="2748"/>
      <c r="K7" s="2749"/>
      <c r="L7" s="2749"/>
      <c r="M7" s="2750"/>
    </row>
    <row r="8" spans="1:15">
      <c r="A8" s="861"/>
      <c r="B8" s="861"/>
      <c r="C8" s="861"/>
      <c r="D8" s="861"/>
      <c r="E8" s="861"/>
      <c r="F8" s="861"/>
      <c r="G8" s="861"/>
      <c r="H8" s="861"/>
      <c r="I8" s="861"/>
      <c r="J8" s="861"/>
      <c r="K8" s="2751"/>
    </row>
    <row r="9" spans="1:15">
      <c r="A9" s="861"/>
      <c r="B9" s="3076" t="s">
        <v>389</v>
      </c>
      <c r="C9" s="3077"/>
      <c r="D9" s="3077"/>
      <c r="E9" s="3078"/>
      <c r="F9" s="912"/>
      <c r="G9" s="3068" t="s">
        <v>390</v>
      </c>
      <c r="H9" s="3068"/>
      <c r="I9" s="3068"/>
      <c r="J9" s="3068"/>
      <c r="K9" s="2751"/>
      <c r="O9" s="2752"/>
    </row>
    <row r="10" spans="1:15" s="484" customFormat="1" ht="34.5" customHeight="1">
      <c r="A10" s="859"/>
      <c r="B10" s="2718" t="s">
        <v>391</v>
      </c>
      <c r="C10" s="2718" t="s">
        <v>392</v>
      </c>
      <c r="D10" s="2718" t="s">
        <v>393</v>
      </c>
      <c r="E10" s="2718" t="s">
        <v>394</v>
      </c>
      <c r="F10" s="2717"/>
      <c r="G10" s="3066" t="s">
        <v>395</v>
      </c>
      <c r="H10" s="3067"/>
      <c r="I10" s="2753" t="s">
        <v>396</v>
      </c>
      <c r="J10" s="3069" t="s">
        <v>397</v>
      </c>
      <c r="K10" s="2754"/>
      <c r="O10" s="2752"/>
    </row>
    <row r="11" spans="1:15" ht="18.75" customHeight="1">
      <c r="A11" s="861"/>
      <c r="B11" s="893">
        <v>1</v>
      </c>
      <c r="C11" s="884" t="s">
        <v>398</v>
      </c>
      <c r="D11" s="2945" t="s">
        <v>2748</v>
      </c>
      <c r="E11" s="2994">
        <v>57</v>
      </c>
      <c r="F11" s="861"/>
      <c r="G11" s="2718" t="s">
        <v>391</v>
      </c>
      <c r="H11" s="2718" t="s">
        <v>399</v>
      </c>
      <c r="I11" s="2718" t="s">
        <v>392</v>
      </c>
      <c r="J11" s="3070"/>
      <c r="N11" s="2755"/>
      <c r="O11" s="2752"/>
    </row>
    <row r="12" spans="1:15" ht="18.75" customHeight="1">
      <c r="A12" s="861"/>
      <c r="B12" s="893">
        <v>2</v>
      </c>
      <c r="C12" s="2723" t="s">
        <v>400</v>
      </c>
      <c r="D12" s="2946" t="str">
        <f>D11</f>
        <v>Wanaparthy</v>
      </c>
      <c r="E12" s="2994">
        <f>E11</f>
        <v>57</v>
      </c>
      <c r="F12" s="861"/>
      <c r="G12" s="2724"/>
      <c r="H12" s="2725"/>
      <c r="I12" s="2724"/>
      <c r="J12" s="2756"/>
      <c r="N12" s="2755"/>
      <c r="O12" s="2752"/>
    </row>
    <row r="13" spans="1:15" ht="18.75" customHeight="1">
      <c r="A13" s="861"/>
      <c r="B13" s="893">
        <v>3</v>
      </c>
      <c r="C13" s="884" t="s">
        <v>401</v>
      </c>
      <c r="D13" s="2946" t="s">
        <v>2748</v>
      </c>
      <c r="E13" s="2994">
        <v>82</v>
      </c>
      <c r="F13" s="861"/>
      <c r="G13" s="2724"/>
      <c r="H13" s="2725"/>
      <c r="I13" s="2724"/>
      <c r="J13" s="2756"/>
      <c r="N13" s="2755"/>
    </row>
    <row r="14" spans="1:15" ht="18.75" customHeight="1">
      <c r="A14" s="861"/>
      <c r="B14" s="893">
        <v>4</v>
      </c>
      <c r="C14" s="884" t="s">
        <v>402</v>
      </c>
      <c r="D14" s="2946" t="s">
        <v>403</v>
      </c>
      <c r="E14" s="2994">
        <v>5</v>
      </c>
      <c r="F14" s="861"/>
      <c r="G14" s="882">
        <v>1</v>
      </c>
      <c r="H14" s="2991">
        <v>45536</v>
      </c>
      <c r="I14" s="2944" t="s">
        <v>404</v>
      </c>
      <c r="J14" s="2990">
        <v>40352</v>
      </c>
      <c r="N14" s="2755"/>
    </row>
    <row r="15" spans="1:15" ht="18.75" customHeight="1">
      <c r="A15" s="861"/>
      <c r="B15" s="893">
        <v>5</v>
      </c>
      <c r="C15" s="884" t="s">
        <v>405</v>
      </c>
      <c r="D15" s="2946" t="s">
        <v>403</v>
      </c>
      <c r="E15" s="2994">
        <v>5</v>
      </c>
      <c r="F15" s="861"/>
      <c r="G15" s="882">
        <v>2</v>
      </c>
      <c r="H15" s="2978">
        <f>H14</f>
        <v>45536</v>
      </c>
      <c r="I15" s="2944" t="s">
        <v>406</v>
      </c>
      <c r="J15" s="2990">
        <v>73459</v>
      </c>
      <c r="N15" s="2755"/>
    </row>
    <row r="16" spans="1:15" ht="18.75" customHeight="1">
      <c r="A16" s="861"/>
      <c r="B16" s="893">
        <v>6</v>
      </c>
      <c r="C16" s="884" t="s">
        <v>407</v>
      </c>
      <c r="D16" s="2946" t="s">
        <v>2748</v>
      </c>
      <c r="E16" s="2994">
        <v>102</v>
      </c>
      <c r="F16" s="861"/>
      <c r="G16" s="882">
        <v>3</v>
      </c>
      <c r="H16" s="2978">
        <f>H15</f>
        <v>45536</v>
      </c>
      <c r="I16" s="2944" t="s">
        <v>408</v>
      </c>
      <c r="J16" s="2990">
        <v>39765</v>
      </c>
      <c r="N16" s="2755"/>
    </row>
    <row r="17" spans="1:15" ht="18.75" customHeight="1">
      <c r="A17" s="861"/>
      <c r="B17" s="2726">
        <v>7</v>
      </c>
      <c r="C17" s="520" t="s">
        <v>409</v>
      </c>
      <c r="D17" s="2947"/>
      <c r="E17" s="2994">
        <v>1</v>
      </c>
      <c r="F17" s="861"/>
      <c r="G17" s="861"/>
      <c r="H17" s="2727"/>
      <c r="I17" s="861"/>
      <c r="J17" s="2757"/>
      <c r="N17" s="2755"/>
    </row>
    <row r="18" spans="1:15" ht="18.75" customHeight="1">
      <c r="A18" s="861"/>
      <c r="B18" s="2726">
        <v>8</v>
      </c>
      <c r="C18" s="520" t="s">
        <v>410</v>
      </c>
      <c r="D18" s="2948" t="s">
        <v>403</v>
      </c>
      <c r="E18" s="2994">
        <v>5</v>
      </c>
      <c r="F18" s="861"/>
      <c r="G18" s="861"/>
      <c r="H18" s="2727"/>
      <c r="I18" s="861"/>
      <c r="J18" s="2758"/>
      <c r="N18" s="2755"/>
    </row>
    <row r="19" spans="1:15">
      <c r="A19" s="861"/>
      <c r="B19" s="893">
        <v>9</v>
      </c>
      <c r="C19" s="2728" t="s">
        <v>411</v>
      </c>
      <c r="D19" s="2949" t="s">
        <v>403</v>
      </c>
      <c r="E19" s="2994">
        <v>5</v>
      </c>
      <c r="F19" s="861"/>
      <c r="G19" s="861"/>
      <c r="H19" s="2729" t="s">
        <v>412</v>
      </c>
      <c r="I19" s="2979" t="s">
        <v>2815</v>
      </c>
      <c r="J19" s="2758"/>
      <c r="N19" s="2755"/>
      <c r="O19" s="2759"/>
    </row>
    <row r="20" spans="1:15" ht="22.15" customHeight="1">
      <c r="A20" s="861"/>
      <c r="B20" s="893">
        <v>10</v>
      </c>
      <c r="C20" s="2728" t="s">
        <v>413</v>
      </c>
      <c r="D20" s="2949" t="s">
        <v>414</v>
      </c>
      <c r="E20" s="2994">
        <v>665</v>
      </c>
      <c r="F20" s="861"/>
      <c r="G20" s="861"/>
      <c r="H20" s="2730"/>
      <c r="I20" s="2760"/>
      <c r="J20" s="2758"/>
      <c r="N20" s="2755"/>
      <c r="O20" s="2759"/>
    </row>
    <row r="21" spans="1:15" ht="20.45" customHeight="1">
      <c r="A21" s="861"/>
      <c r="B21" s="893">
        <v>11</v>
      </c>
      <c r="C21" s="2731" t="s">
        <v>415</v>
      </c>
      <c r="D21" s="2946" t="str">
        <f>D11</f>
        <v>Wanaparthy</v>
      </c>
      <c r="E21" s="2994">
        <f>E11</f>
        <v>57</v>
      </c>
      <c r="F21" s="861"/>
      <c r="G21" s="861"/>
      <c r="H21" s="2727"/>
      <c r="I21" s="861"/>
      <c r="J21" s="2758"/>
      <c r="N21" s="2755"/>
    </row>
    <row r="22" spans="1:15">
      <c r="A22" s="861"/>
      <c r="B22" s="3068" t="s">
        <v>416</v>
      </c>
      <c r="C22" s="3068"/>
      <c r="D22" s="3068"/>
      <c r="E22" s="3068"/>
      <c r="F22" s="861"/>
      <c r="G22" s="3068" t="s">
        <v>417</v>
      </c>
      <c r="H22" s="3068"/>
      <c r="I22" s="3068"/>
      <c r="J22" s="861"/>
      <c r="N22" s="2755"/>
    </row>
    <row r="23" spans="1:15" ht="23.25" customHeight="1">
      <c r="A23" s="861"/>
      <c r="B23" s="893">
        <v>1</v>
      </c>
      <c r="C23" s="882" t="s">
        <v>418</v>
      </c>
      <c r="D23" s="2732">
        <v>0</v>
      </c>
      <c r="F23" s="861"/>
      <c r="G23" s="2733" t="s">
        <v>391</v>
      </c>
      <c r="H23" s="2733" t="s">
        <v>392</v>
      </c>
      <c r="I23" s="2733" t="s">
        <v>419</v>
      </c>
      <c r="J23" s="861"/>
      <c r="N23" s="2755"/>
    </row>
    <row r="24" spans="1:15" s="484" customFormat="1" ht="34.5" customHeight="1">
      <c r="A24" s="859"/>
      <c r="B24" s="488">
        <v>2</v>
      </c>
      <c r="C24" s="2734" t="s">
        <v>420</v>
      </c>
      <c r="D24" s="2735">
        <v>0.13614999999999999</v>
      </c>
      <c r="E24" s="2736">
        <v>0</v>
      </c>
      <c r="F24" s="859"/>
      <c r="G24" s="863">
        <v>1</v>
      </c>
      <c r="H24" s="2737" t="str">
        <f>"Cement, "&amp;I19&amp;""</f>
        <v>Cement, sep' 2024</v>
      </c>
      <c r="I24" s="2956">
        <v>5000</v>
      </c>
      <c r="J24" s="2761"/>
      <c r="K24" s="2762"/>
      <c r="L24" s="483"/>
      <c r="M24" s="483"/>
      <c r="N24" s="2755"/>
    </row>
    <row r="25" spans="1:15" s="484" customFormat="1" ht="34.5" customHeight="1">
      <c r="A25" s="859"/>
      <c r="B25" s="863">
        <v>3</v>
      </c>
      <c r="C25" s="864" t="s">
        <v>421</v>
      </c>
      <c r="D25" s="2952">
        <v>0</v>
      </c>
      <c r="F25" s="859"/>
      <c r="G25" s="863">
        <v>2</v>
      </c>
      <c r="H25" s="2737" t="str">
        <f>"Steel HYSD-Fe-500 Bars, "&amp;I19&amp;""</f>
        <v>Steel HYSD-Fe-500 Bars, sep' 2024</v>
      </c>
      <c r="I25" s="2956">
        <v>49000</v>
      </c>
      <c r="J25" s="859"/>
      <c r="K25" s="2763"/>
      <c r="L25" s="483"/>
      <c r="M25" s="483"/>
      <c r="N25" s="2755"/>
    </row>
    <row r="26" spans="1:15" s="484" customFormat="1" ht="31.5">
      <c r="A26" s="859"/>
      <c r="B26" s="893">
        <v>4</v>
      </c>
      <c r="C26" s="2718" t="s">
        <v>422</v>
      </c>
      <c r="D26" s="2732" t="s">
        <v>423</v>
      </c>
      <c r="E26" s="2738"/>
      <c r="F26" s="859"/>
      <c r="G26" s="863">
        <v>3</v>
      </c>
      <c r="H26" s="2737" t="str">
        <f>"Mild Steel Bars, "&amp;I19&amp;""</f>
        <v>Mild Steel Bars, sep' 2024</v>
      </c>
      <c r="I26" s="2956">
        <v>60000</v>
      </c>
      <c r="J26" s="859"/>
      <c r="L26" s="483"/>
      <c r="M26" s="483"/>
      <c r="N26" s="2755"/>
    </row>
    <row r="27" spans="1:15" s="484" customFormat="1" ht="31.5">
      <c r="A27" s="859"/>
      <c r="B27" s="859"/>
      <c r="C27" s="859"/>
      <c r="D27" s="859"/>
      <c r="E27" s="859"/>
      <c r="F27" s="859"/>
      <c r="G27" s="863">
        <v>4</v>
      </c>
      <c r="H27" s="2737" t="str">
        <f>"6mm M.S. Rods, "&amp;I19&amp;""</f>
        <v>6mm M.S. Rods, sep' 2024</v>
      </c>
      <c r="I27" s="2956">
        <v>55000</v>
      </c>
      <c r="J27" s="859"/>
      <c r="L27" s="483"/>
      <c r="M27" s="483"/>
      <c r="N27" s="2755"/>
    </row>
    <row r="28" spans="1:15">
      <c r="N28" s="2755"/>
    </row>
    <row r="29" spans="1:15">
      <c r="N29" s="2755"/>
    </row>
    <row r="31" spans="1:15">
      <c r="D31" s="2739"/>
    </row>
    <row r="32" spans="1:15">
      <c r="D32" s="2739"/>
    </row>
    <row r="33" spans="4:4">
      <c r="D33" s="2739"/>
    </row>
    <row r="35" spans="4:4">
      <c r="D35" s="2739"/>
    </row>
  </sheetData>
  <protectedRanges>
    <protectedRange password="CC6F" sqref="B17:D17 B18:C18" name="Range1"/>
    <protectedRange password="CC6F" sqref="D18" name="Range1_1"/>
  </protectedRanges>
  <mergeCells count="10">
    <mergeCell ref="G10:H10"/>
    <mergeCell ref="B22:E22"/>
    <mergeCell ref="G22:I22"/>
    <mergeCell ref="J10:J11"/>
    <mergeCell ref="B1:C1"/>
    <mergeCell ref="E1:J1"/>
    <mergeCell ref="H2:J2"/>
    <mergeCell ref="I3:J3"/>
    <mergeCell ref="B9:E9"/>
    <mergeCell ref="G9:J9"/>
  </mergeCells>
  <printOptions horizontalCentered="1"/>
  <pageMargins left="0.5" right="0.25" top="0.5" bottom="0.5" header="0.3" footer="0.3"/>
  <pageSetup paperSize="9" scale="71" orientation="landscape" r:id="rId1"/>
  <rowBreaks count="1" manualBreakCount="1">
    <brk id="27" max="9" man="1"/>
  </rowBreaks>
</worksheet>
</file>

<file path=xl/worksheets/sheet6.xml><?xml version="1.0" encoding="utf-8"?>
<worksheet xmlns="http://schemas.openxmlformats.org/spreadsheetml/2006/main" xmlns:r="http://schemas.openxmlformats.org/officeDocument/2006/relationships">
  <dimension ref="B1:AJ37"/>
  <sheetViews>
    <sheetView view="pageBreakPreview" topLeftCell="A21" workbookViewId="0">
      <selection activeCell="J14" sqref="J14:P14"/>
    </sheetView>
  </sheetViews>
  <sheetFormatPr defaultColWidth="9.140625" defaultRowHeight="12.75"/>
  <cols>
    <col min="1" max="5" width="5.28515625" style="2685" customWidth="1"/>
    <col min="6" max="6" width="7.28515625" style="2685" customWidth="1"/>
    <col min="7" max="7" width="5.28515625" style="2685" customWidth="1"/>
    <col min="8" max="10" width="4.7109375" style="2685" customWidth="1"/>
    <col min="11" max="15" width="5.28515625" style="2685" customWidth="1"/>
    <col min="16" max="16" width="6.85546875" style="2685" customWidth="1"/>
    <col min="17" max="17" width="5.28515625" style="2685" customWidth="1"/>
    <col min="18" max="21" width="1.5703125" style="2685" customWidth="1"/>
    <col min="22" max="35" width="2.7109375" style="2685" customWidth="1"/>
    <col min="36" max="16384" width="9.140625" style="2685"/>
  </cols>
  <sheetData>
    <row r="1" spans="2:36" ht="25.5" customHeight="1"/>
    <row r="2" spans="2:36" ht="25.5" customHeight="1"/>
    <row r="3" spans="2:36" ht="25.5" customHeight="1">
      <c r="B3" s="2686"/>
      <c r="C3" s="3082" t="s">
        <v>424</v>
      </c>
      <c r="D3" s="3082"/>
      <c r="E3" s="3082"/>
      <c r="F3" s="3082"/>
      <c r="G3" s="3082"/>
      <c r="H3" s="3082"/>
      <c r="I3" s="3082"/>
      <c r="J3" s="3082"/>
      <c r="K3" s="3082"/>
      <c r="L3" s="3082"/>
      <c r="M3" s="3082"/>
      <c r="N3" s="3082"/>
      <c r="O3" s="3082"/>
      <c r="P3" s="2701"/>
      <c r="Q3" s="2686"/>
    </row>
    <row r="4" spans="2:36" ht="31.5">
      <c r="B4" s="2686"/>
      <c r="C4" s="3082"/>
      <c r="D4" s="3082"/>
      <c r="E4" s="3082"/>
      <c r="F4" s="3082"/>
      <c r="G4" s="3082"/>
      <c r="H4" s="3082"/>
      <c r="I4" s="3082"/>
      <c r="J4" s="3082"/>
      <c r="K4" s="3082"/>
      <c r="L4" s="3082"/>
      <c r="M4" s="3082"/>
      <c r="N4" s="3082"/>
      <c r="O4" s="3082"/>
      <c r="P4" s="2701"/>
      <c r="Q4" s="2686"/>
      <c r="AJ4" s="2715"/>
    </row>
    <row r="5" spans="2:36" ht="12.75" customHeight="1">
      <c r="B5" s="2687"/>
      <c r="C5" s="3082"/>
      <c r="D5" s="3082"/>
      <c r="E5" s="3082"/>
      <c r="F5" s="3082"/>
      <c r="G5" s="3082"/>
      <c r="H5" s="3082"/>
      <c r="I5" s="3082"/>
      <c r="J5" s="3082"/>
      <c r="K5" s="3082"/>
      <c r="L5" s="3082"/>
      <c r="M5" s="3082"/>
      <c r="N5" s="3082"/>
      <c r="O5" s="3082"/>
      <c r="P5" s="2688"/>
      <c r="Q5" s="2687"/>
    </row>
    <row r="6" spans="2:36" ht="40.5" customHeight="1">
      <c r="B6" s="2687"/>
      <c r="C6" s="2688"/>
      <c r="D6" s="2688"/>
      <c r="E6" s="2688"/>
      <c r="F6" s="2688"/>
      <c r="G6" s="2688"/>
      <c r="H6" s="2688"/>
      <c r="I6" s="2688"/>
      <c r="J6" s="2688"/>
      <c r="K6" s="2688"/>
      <c r="L6" s="2688"/>
      <c r="M6" s="2688"/>
      <c r="N6" s="2688"/>
      <c r="O6" s="2688"/>
      <c r="P6" s="2688"/>
      <c r="Q6" s="2687"/>
    </row>
    <row r="7" spans="2:36" ht="25.5" customHeight="1">
      <c r="B7" s="2687"/>
      <c r="C7" s="3083" t="s">
        <v>425</v>
      </c>
      <c r="D7" s="3083"/>
      <c r="E7" s="3083"/>
      <c r="F7" s="3083"/>
      <c r="G7" s="3083"/>
      <c r="H7" s="3083"/>
      <c r="I7" s="3083"/>
      <c r="J7" s="3083"/>
      <c r="K7" s="3083"/>
      <c r="L7" s="3083"/>
      <c r="M7" s="3083"/>
      <c r="N7" s="3083"/>
      <c r="O7" s="3083"/>
      <c r="P7" s="2688"/>
      <c r="Q7" s="2687"/>
    </row>
    <row r="8" spans="2:36" ht="30" customHeight="1">
      <c r="B8" s="2687"/>
      <c r="C8" s="3083"/>
      <c r="D8" s="3083"/>
      <c r="E8" s="3083"/>
      <c r="F8" s="3083"/>
      <c r="G8" s="3083"/>
      <c r="H8" s="3083"/>
      <c r="I8" s="3083"/>
      <c r="J8" s="3083"/>
      <c r="K8" s="3083"/>
      <c r="L8" s="3083"/>
      <c r="M8" s="3083"/>
      <c r="N8" s="3083"/>
      <c r="O8" s="3083"/>
      <c r="P8" s="2688"/>
      <c r="Q8" s="2687"/>
    </row>
    <row r="9" spans="2:36" ht="3" hidden="1" customHeight="1">
      <c r="B9" s="2687"/>
      <c r="C9" s="3083"/>
      <c r="D9" s="3083"/>
      <c r="E9" s="3083"/>
      <c r="F9" s="3083"/>
      <c r="G9" s="3083"/>
      <c r="H9" s="3083"/>
      <c r="I9" s="3083"/>
      <c r="J9" s="3083"/>
      <c r="K9" s="3083"/>
      <c r="L9" s="3083"/>
      <c r="M9" s="3083"/>
      <c r="N9" s="3083"/>
      <c r="O9" s="3083"/>
      <c r="P9" s="2688"/>
      <c r="Q9" s="2687"/>
    </row>
    <row r="10" spans="2:36" ht="6.75" customHeight="1">
      <c r="B10" s="2687"/>
      <c r="C10" s="2688"/>
      <c r="D10" s="2689"/>
      <c r="E10" s="2689"/>
      <c r="F10" s="2689"/>
      <c r="G10" s="2689"/>
      <c r="H10" s="2689"/>
      <c r="I10" s="2689"/>
      <c r="J10" s="2689"/>
      <c r="K10" s="2689"/>
      <c r="L10" s="2689"/>
      <c r="M10" s="2689"/>
      <c r="N10" s="2689"/>
      <c r="O10" s="2688"/>
      <c r="P10" s="2688"/>
      <c r="Q10" s="2687"/>
    </row>
    <row r="11" spans="2:36" ht="15" customHeight="1">
      <c r="B11" s="2690"/>
      <c r="C11" s="2691"/>
      <c r="D11" s="2690"/>
      <c r="E11" s="2690"/>
      <c r="F11" s="2690"/>
      <c r="G11" s="2690"/>
      <c r="H11" s="2690"/>
      <c r="I11" s="2689"/>
      <c r="J11" s="3085"/>
      <c r="K11" s="3085"/>
      <c r="L11" s="3085"/>
      <c r="M11" s="3085"/>
      <c r="N11" s="2690"/>
      <c r="O11" s="2690"/>
      <c r="P11" s="2690"/>
      <c r="Q11" s="2687"/>
      <c r="Y11" s="2714"/>
    </row>
    <row r="12" spans="2:36" ht="12" customHeight="1">
      <c r="B12" s="2690"/>
      <c r="D12" s="2690"/>
      <c r="E12" s="2690"/>
      <c r="F12" s="2690"/>
      <c r="G12" s="2690"/>
      <c r="H12" s="2690"/>
      <c r="K12" s="2690"/>
      <c r="L12" s="2690"/>
      <c r="M12" s="2690"/>
      <c r="N12" s="2690"/>
      <c r="O12" s="2690"/>
      <c r="P12" s="2690"/>
      <c r="Q12" s="2687"/>
      <c r="Y12" s="2714"/>
    </row>
    <row r="13" spans="2:36" ht="15.75" customHeight="1">
      <c r="B13" s="2690"/>
      <c r="C13" s="2690"/>
      <c r="D13" s="2690"/>
      <c r="E13" s="2690"/>
      <c r="F13" s="2690"/>
      <c r="G13" s="2690"/>
      <c r="H13" s="2690"/>
      <c r="I13" s="2690"/>
      <c r="J13" s="2690"/>
      <c r="K13" s="2690"/>
      <c r="L13" s="2690"/>
      <c r="M13" s="2690"/>
      <c r="N13" s="2690"/>
      <c r="O13" s="2690"/>
      <c r="P13" s="2690"/>
    </row>
    <row r="14" spans="2:36" ht="37.5" customHeight="1">
      <c r="B14" s="2690"/>
      <c r="C14" s="3086" t="s">
        <v>426</v>
      </c>
      <c r="D14" s="3086"/>
      <c r="E14" s="3086"/>
      <c r="F14" s="3086"/>
      <c r="G14" s="3086"/>
      <c r="H14" s="3086"/>
      <c r="I14" s="2689" t="s">
        <v>427</v>
      </c>
      <c r="J14" s="3087" t="str">
        <f>'Input Data'!J6</f>
        <v>CRR-2024-25</v>
      </c>
      <c r="K14" s="3088"/>
      <c r="L14" s="3088"/>
      <c r="M14" s="3088"/>
      <c r="N14" s="3088"/>
      <c r="O14" s="3088"/>
      <c r="P14" s="3088"/>
    </row>
    <row r="15" spans="2:36" ht="15.75" customHeight="1">
      <c r="B15" s="2690"/>
      <c r="C15" s="2690"/>
      <c r="D15" s="2690"/>
      <c r="E15" s="2690"/>
      <c r="F15" s="2690"/>
      <c r="G15" s="2690"/>
      <c r="H15" s="2690"/>
      <c r="I15" s="2690"/>
      <c r="J15" s="2690"/>
      <c r="K15" s="2690"/>
      <c r="L15" s="2690"/>
      <c r="M15" s="2690"/>
      <c r="N15" s="2690"/>
      <c r="O15" s="2690"/>
      <c r="P15" s="2690"/>
    </row>
    <row r="16" spans="2:36" ht="25.5" customHeight="1">
      <c r="B16" s="2692"/>
      <c r="C16" s="2693" t="s">
        <v>428</v>
      </c>
      <c r="D16" s="2692"/>
      <c r="E16" s="2692"/>
      <c r="F16" s="2692"/>
      <c r="G16" s="2690"/>
      <c r="H16" s="2690"/>
      <c r="I16" s="2694"/>
      <c r="J16" s="2694"/>
      <c r="K16" s="2694"/>
      <c r="L16" s="2694"/>
      <c r="M16" s="2694"/>
      <c r="N16" s="2694"/>
      <c r="O16" s="2694"/>
      <c r="P16" s="2702"/>
      <c r="Q16" s="2710"/>
    </row>
    <row r="17" spans="3:18" ht="24.75" customHeight="1">
      <c r="C17" s="3084" t="str">
        <f>'Input Data'!E1</f>
        <v>R/F A to B in Wanaparthy Mandal of Wanaparthy District</v>
      </c>
      <c r="D17" s="3084"/>
      <c r="E17" s="3084"/>
      <c r="F17" s="3084"/>
      <c r="G17" s="3084"/>
      <c r="H17" s="3084"/>
      <c r="I17" s="3084"/>
      <c r="J17" s="3084"/>
      <c r="K17" s="3084"/>
      <c r="L17" s="3084"/>
      <c r="M17" s="3084"/>
      <c r="N17" s="3084"/>
      <c r="O17" s="3084"/>
      <c r="P17" s="3084"/>
      <c r="Q17" s="2710"/>
    </row>
    <row r="18" spans="3:18" ht="48.75" customHeight="1">
      <c r="C18" s="3084"/>
      <c r="D18" s="3084"/>
      <c r="E18" s="3084"/>
      <c r="F18" s="3084"/>
      <c r="G18" s="3084"/>
      <c r="H18" s="3084"/>
      <c r="I18" s="3084"/>
      <c r="J18" s="3084"/>
      <c r="K18" s="3084"/>
      <c r="L18" s="3084"/>
      <c r="M18" s="3084"/>
      <c r="N18" s="3084"/>
      <c r="O18" s="3084"/>
      <c r="P18" s="3084"/>
      <c r="Q18" s="2710"/>
    </row>
    <row r="19" spans="3:18" ht="26.25" hidden="1">
      <c r="C19" s="3084"/>
      <c r="D19" s="3084"/>
      <c r="E19" s="3084"/>
      <c r="F19" s="3084"/>
      <c r="G19" s="3084"/>
      <c r="H19" s="3084"/>
      <c r="I19" s="3084"/>
      <c r="J19" s="3084"/>
      <c r="K19" s="3084"/>
      <c r="L19" s="3084"/>
      <c r="M19" s="3084"/>
      <c r="N19" s="3084"/>
      <c r="O19" s="3084"/>
      <c r="P19" s="3084"/>
      <c r="Q19" s="2710"/>
    </row>
    <row r="20" spans="3:18" ht="39.75" hidden="1" customHeight="1">
      <c r="C20" s="3084"/>
      <c r="D20" s="3084"/>
      <c r="E20" s="3084"/>
      <c r="F20" s="3084"/>
      <c r="G20" s="3084"/>
      <c r="H20" s="3084"/>
      <c r="I20" s="3084"/>
      <c r="J20" s="3084"/>
      <c r="K20" s="3084"/>
      <c r="L20" s="3084"/>
      <c r="M20" s="3084"/>
      <c r="N20" s="3084"/>
      <c r="O20" s="3084"/>
      <c r="P20" s="3084"/>
      <c r="Q20" s="2710"/>
      <c r="R20" s="2710"/>
    </row>
    <row r="21" spans="3:18" ht="25.5" customHeight="1">
      <c r="D21" s="2694"/>
      <c r="E21" s="2694"/>
      <c r="F21" s="2694"/>
      <c r="G21" s="2694"/>
      <c r="H21" s="2694"/>
      <c r="I21" s="2694"/>
      <c r="J21" s="2694"/>
      <c r="K21" s="2694"/>
      <c r="L21" s="2694"/>
      <c r="M21" s="2694"/>
      <c r="N21" s="2694"/>
      <c r="O21" s="2694"/>
      <c r="P21" s="2694"/>
      <c r="Q21" s="2710"/>
      <c r="R21" s="2710"/>
    </row>
    <row r="22" spans="3:18" s="2683" customFormat="1" ht="25.5" customHeight="1">
      <c r="D22" s="3080" t="s">
        <v>429</v>
      </c>
      <c r="E22" s="3080"/>
      <c r="F22" s="3080"/>
      <c r="G22" s="3080"/>
      <c r="H22" s="3080"/>
      <c r="I22" s="3080"/>
      <c r="J22" s="3080"/>
      <c r="K22" s="2703" t="s">
        <v>427</v>
      </c>
      <c r="L22" s="2704" t="s">
        <v>430</v>
      </c>
      <c r="M22" s="3081">
        <f>'Input Data'!K4</f>
        <v>100</v>
      </c>
      <c r="N22" s="3081"/>
      <c r="O22" s="2705" t="s">
        <v>329</v>
      </c>
      <c r="P22" s="2706"/>
      <c r="Q22" s="2711"/>
      <c r="R22" s="2711"/>
    </row>
    <row r="23" spans="3:18" s="2683" customFormat="1" ht="25.5" hidden="1" customHeight="1">
      <c r="C23" s="2695"/>
      <c r="D23" s="3080" t="s">
        <v>431</v>
      </c>
      <c r="E23" s="3080"/>
      <c r="F23" s="3080"/>
      <c r="G23" s="3080"/>
      <c r="H23" s="3080"/>
      <c r="I23" s="3080"/>
      <c r="J23" s="3080"/>
      <c r="K23" s="2703" t="s">
        <v>427</v>
      </c>
      <c r="L23" s="3081">
        <f>'Input Data'!K5</f>
        <v>1</v>
      </c>
      <c r="M23" s="3081"/>
      <c r="N23" s="2704" t="s">
        <v>394</v>
      </c>
      <c r="O23" s="2695"/>
      <c r="P23" s="2695"/>
      <c r="Q23" s="2712"/>
    </row>
    <row r="24" spans="3:18" s="2684" customFormat="1" ht="25.5" customHeight="1">
      <c r="C24" s="2696"/>
      <c r="D24" s="2685"/>
      <c r="E24" s="2685"/>
      <c r="F24" s="2685"/>
      <c r="G24" s="2685"/>
      <c r="H24" s="2685"/>
      <c r="I24" s="2685"/>
      <c r="J24" s="2685"/>
      <c r="K24" s="2685"/>
      <c r="L24" s="2685"/>
      <c r="M24" s="2685"/>
      <c r="N24" s="2696"/>
      <c r="O24" s="2707"/>
      <c r="P24" s="2708"/>
      <c r="Q24" s="2713"/>
    </row>
    <row r="25" spans="3:18" s="2684" customFormat="1" ht="30" customHeight="1">
      <c r="C25" s="3079" t="s">
        <v>432</v>
      </c>
      <c r="D25" s="3079"/>
      <c r="E25" s="3079"/>
      <c r="F25" s="3079"/>
      <c r="G25" s="2698" t="s">
        <v>433</v>
      </c>
      <c r="H25" s="3079" t="str">
        <f>'Input Data'!D3</f>
        <v>Warangal</v>
      </c>
      <c r="I25" s="3079"/>
      <c r="J25" s="3079"/>
      <c r="K25" s="3079"/>
      <c r="L25" s="3079"/>
      <c r="M25" s="3079"/>
      <c r="N25" s="3079"/>
      <c r="O25" s="3079"/>
      <c r="P25" s="3079"/>
      <c r="Q25" s="2699"/>
    </row>
    <row r="26" spans="3:18" s="2684" customFormat="1" ht="30" customHeight="1">
      <c r="C26" s="3079" t="s">
        <v>377</v>
      </c>
      <c r="D26" s="3079"/>
      <c r="E26" s="3079"/>
      <c r="F26" s="3079"/>
      <c r="G26" s="2698" t="s">
        <v>433</v>
      </c>
      <c r="H26" s="3079" t="str">
        <f>'Input Data'!D4</f>
        <v>Wanaparthy</v>
      </c>
      <c r="I26" s="3079"/>
      <c r="J26" s="3079"/>
      <c r="K26" s="3079"/>
      <c r="L26" s="3079"/>
      <c r="M26" s="3079"/>
      <c r="N26" s="3079"/>
      <c r="O26" s="3079"/>
      <c r="P26" s="3079"/>
      <c r="Q26" s="2699"/>
    </row>
    <row r="27" spans="3:18" s="2684" customFormat="1" ht="30" customHeight="1">
      <c r="C27" s="3079" t="s">
        <v>381</v>
      </c>
      <c r="D27" s="3079"/>
      <c r="E27" s="3079"/>
      <c r="F27" s="3079"/>
      <c r="G27" s="2698" t="s">
        <v>433</v>
      </c>
      <c r="H27" s="3079" t="str">
        <f>'Input Data'!D5</f>
        <v>Wanaparthy</v>
      </c>
      <c r="I27" s="3079"/>
      <c r="J27" s="3079"/>
      <c r="K27" s="3079"/>
      <c r="L27" s="3079"/>
      <c r="M27" s="3079"/>
      <c r="N27" s="3079"/>
      <c r="O27" s="3079"/>
      <c r="P27" s="2709"/>
      <c r="Q27" s="2699"/>
    </row>
    <row r="28" spans="3:18" s="2684" customFormat="1" ht="30" customHeight="1">
      <c r="C28" s="3079" t="s">
        <v>385</v>
      </c>
      <c r="D28" s="3079"/>
      <c r="E28" s="3079"/>
      <c r="F28" s="3079"/>
      <c r="G28" s="2698" t="s">
        <v>433</v>
      </c>
      <c r="H28" s="3079" t="str">
        <f>'Input Data'!D6</f>
        <v>Wanaparthy</v>
      </c>
      <c r="I28" s="3079"/>
      <c r="J28" s="3079"/>
      <c r="K28" s="3079"/>
      <c r="L28" s="3079"/>
      <c r="M28" s="3079"/>
      <c r="N28" s="3079"/>
      <c r="O28" s="3079"/>
      <c r="P28" s="2697"/>
      <c r="Q28" s="2699"/>
    </row>
    <row r="29" spans="3:18" s="2684" customFormat="1" ht="30" customHeight="1">
      <c r="C29" s="3079" t="s">
        <v>388</v>
      </c>
      <c r="D29" s="3079"/>
      <c r="E29" s="3079"/>
      <c r="F29" s="3079"/>
      <c r="G29" s="2698" t="s">
        <v>433</v>
      </c>
      <c r="H29" s="3079" t="str">
        <f>'Input Data'!D7</f>
        <v>Wanaparthy</v>
      </c>
      <c r="I29" s="3079"/>
      <c r="J29" s="3079"/>
      <c r="K29" s="3079"/>
      <c r="L29" s="3079"/>
      <c r="M29" s="3079"/>
      <c r="N29" s="3079"/>
      <c r="O29" s="3079"/>
      <c r="P29" s="3079"/>
      <c r="Q29" s="2699"/>
    </row>
    <row r="30" spans="3:18" s="2684" customFormat="1" ht="25.5" customHeight="1">
      <c r="C30" s="2699"/>
      <c r="D30" s="2699"/>
      <c r="E30" s="2699"/>
      <c r="F30" s="2699"/>
      <c r="G30" s="2699"/>
      <c r="H30" s="2699"/>
      <c r="I30" s="2699"/>
      <c r="J30" s="2699"/>
      <c r="K30" s="2699"/>
      <c r="L30" s="2699"/>
      <c r="M30" s="2699"/>
      <c r="N30" s="2699"/>
      <c r="O30" s="2699"/>
      <c r="P30" s="2699"/>
      <c r="Q30" s="2699"/>
    </row>
    <row r="31" spans="3:18" s="2684" customFormat="1" ht="25.5" customHeight="1">
      <c r="C31" s="2699"/>
      <c r="D31" s="2699"/>
      <c r="E31" s="2699"/>
      <c r="F31" s="2699"/>
      <c r="G31" s="2699"/>
      <c r="H31" s="2699"/>
      <c r="I31" s="2699"/>
      <c r="J31" s="2699"/>
      <c r="K31" s="2699"/>
      <c r="L31" s="2699"/>
      <c r="M31" s="2699"/>
      <c r="N31" s="2699"/>
      <c r="O31" s="2699"/>
      <c r="P31" s="2699"/>
      <c r="Q31" s="2699"/>
    </row>
    <row r="37" spans="8:8">
      <c r="H37" s="2700"/>
    </row>
  </sheetData>
  <mergeCells count="20">
    <mergeCell ref="C3:O5"/>
    <mergeCell ref="C7:O9"/>
    <mergeCell ref="C17:P20"/>
    <mergeCell ref="C27:F27"/>
    <mergeCell ref="H27:O27"/>
    <mergeCell ref="J11:M11"/>
    <mergeCell ref="C14:H14"/>
    <mergeCell ref="J14:P14"/>
    <mergeCell ref="D22:J22"/>
    <mergeCell ref="M22:N22"/>
    <mergeCell ref="C28:F28"/>
    <mergeCell ref="H28:O28"/>
    <mergeCell ref="C29:F29"/>
    <mergeCell ref="H29:P29"/>
    <mergeCell ref="D23:J23"/>
    <mergeCell ref="L23:M23"/>
    <mergeCell ref="C25:F25"/>
    <mergeCell ref="H25:P25"/>
    <mergeCell ref="C26:F26"/>
    <mergeCell ref="H26:P26"/>
  </mergeCells>
  <printOptions horizontalCentered="1"/>
  <pageMargins left="0.75138888888888899" right="0.30277777777777798" top="0.89305555555555505" bottom="0.5" header="0.5" footer="0.5"/>
  <pageSetup paperSize="9" orientation="portrait" r:id="rId1"/>
  <drawing r:id="rId2"/>
</worksheet>
</file>

<file path=xl/worksheets/sheet7.xml><?xml version="1.0" encoding="utf-8"?>
<worksheet xmlns="http://schemas.openxmlformats.org/spreadsheetml/2006/main" xmlns:r="http://schemas.openxmlformats.org/officeDocument/2006/relationships">
  <sheetPr codeName="Sheet15" filterMode="1">
    <tabColor indexed="14"/>
  </sheetPr>
  <dimension ref="A1:AD199"/>
  <sheetViews>
    <sheetView view="pageBreakPreview" topLeftCell="A154" workbookViewId="0">
      <selection activeCell="F156" sqref="F156:G156"/>
    </sheetView>
  </sheetViews>
  <sheetFormatPr defaultColWidth="8" defaultRowHeight="15"/>
  <cols>
    <col min="1" max="1" width="4.28515625" style="2395" customWidth="1"/>
    <col min="2" max="2" width="12" style="2386" customWidth="1"/>
    <col min="3" max="3" width="8" style="2386" customWidth="1"/>
    <col min="4" max="4" width="11" style="2386" customWidth="1"/>
    <col min="5" max="5" width="15.42578125" style="2386" customWidth="1"/>
    <col min="6" max="6" width="9.5703125" style="2395" customWidth="1"/>
    <col min="7" max="7" width="10.28515625" style="2395" customWidth="1"/>
    <col min="8" max="8" width="15" style="2386" customWidth="1"/>
    <col min="9" max="9" width="12.42578125" style="2386" customWidth="1"/>
    <col min="10" max="10" width="13.28515625" style="2386" customWidth="1"/>
    <col min="11" max="11" width="12.140625" style="2388" customWidth="1"/>
    <col min="12" max="12" width="19.42578125" style="2386" customWidth="1"/>
    <col min="13" max="13" width="15.140625" style="2386" customWidth="1"/>
    <col min="14" max="14" width="12.28515625" style="2386" customWidth="1"/>
    <col min="15" max="15" width="11.5703125" style="2386" customWidth="1"/>
    <col min="16" max="16" width="12.7109375" style="2386" customWidth="1"/>
    <col min="17" max="17" width="4.140625" style="2386" customWidth="1"/>
    <col min="18" max="18" width="3.85546875" style="2386" customWidth="1"/>
    <col min="19" max="16384" width="8" style="2386"/>
  </cols>
  <sheetData>
    <row r="1" spans="1:21" ht="20.25" customHeight="1">
      <c r="A1" s="2396"/>
      <c r="B1" s="3101" t="s">
        <v>434</v>
      </c>
      <c r="C1" s="3102"/>
      <c r="D1" s="3102"/>
      <c r="E1" s="3102"/>
      <c r="F1" s="3102"/>
      <c r="G1" s="3102"/>
      <c r="H1" s="3102"/>
      <c r="I1" s="3102"/>
      <c r="J1" s="3102"/>
      <c r="K1" s="2388" t="s">
        <v>435</v>
      </c>
      <c r="L1" s="2440" t="str">
        <f>'Input Data'!D3</f>
        <v>Warangal</v>
      </c>
      <c r="P1" s="2441" t="s">
        <v>436</v>
      </c>
      <c r="Q1" s="2535"/>
      <c r="R1" s="2536"/>
    </row>
    <row r="2" spans="1:21" ht="20.25" customHeight="1">
      <c r="A2" s="2397"/>
      <c r="B2" s="3103" t="str">
        <f>"Note file.No. "&amp;$L$2</f>
        <v>Note file.No. AE-DEE-Wanaparthy-Wgl-CRR-2024-25</v>
      </c>
      <c r="C2" s="3104"/>
      <c r="D2" s="3104"/>
      <c r="E2" s="3104"/>
      <c r="F2" s="3104"/>
      <c r="G2" s="3104"/>
      <c r="H2" s="3104"/>
      <c r="I2" s="3104"/>
      <c r="J2" s="3104"/>
      <c r="L2" s="2440" t="str">
        <f>"AE-DEE-"&amp;'Input Data'!D7&amp;"-"&amp;N4</f>
        <v>AE-DEE-Wanaparthy-Wgl-CRR-2024-25</v>
      </c>
      <c r="P2" s="2442" t="s">
        <v>2814</v>
      </c>
      <c r="Q2" s="2537"/>
      <c r="R2" s="2538"/>
    </row>
    <row r="3" spans="1:21" ht="48.75" customHeight="1">
      <c r="A3" s="2397" t="s">
        <v>85</v>
      </c>
      <c r="B3" s="2398" t="s">
        <v>437</v>
      </c>
      <c r="C3" s="3105" t="str">
        <f>"PR Circle: "&amp;L1&amp;" - "&amp;$L$7&amp;" Dist"&amp;'Input Data'!J6&amp;" - "&amp;$L$3&amp;"- Estt.Cost.Rs."&amp;$L$4&amp;".00 Lakhs Detailed estimates Submitted for Technical Sanction - regarding"</f>
        <v>PR Circle: Warangal - Wanaparthy DistCRR-2024-25 - R/F A to B in Wanaparthy Mandal of Wanaparthy District- Estt.Cost.Rs.100.00 Lakhs Detailed estimates Submitted for Technical Sanction - regarding</v>
      </c>
      <c r="D3" s="3106"/>
      <c r="E3" s="3106"/>
      <c r="F3" s="3106"/>
      <c r="G3" s="3106"/>
      <c r="H3" s="3106"/>
      <c r="I3" s="3106"/>
      <c r="J3" s="3106"/>
      <c r="K3" s="2443" t="s">
        <v>438</v>
      </c>
      <c r="L3" s="2444" t="str">
        <f>'Input Data'!E1</f>
        <v>R/F A to B in Wanaparthy Mandal of Wanaparthy District</v>
      </c>
      <c r="M3" s="2445"/>
      <c r="N3" s="2446"/>
      <c r="O3" s="2446"/>
      <c r="P3" s="2447"/>
    </row>
    <row r="4" spans="1:21" ht="25.5" customHeight="1">
      <c r="A4" s="3249"/>
      <c r="B4" s="3250" t="s">
        <v>439</v>
      </c>
      <c r="C4" s="3107" t="str">
        <f>"1)."&amp;'Input Data'!I3&amp;"."</f>
        <v>1).G.O.Rt.No.273  dt: 20.07.2023 of PR &amp; RD(Roads) Dept. Sl.No.1.</v>
      </c>
      <c r="D4" s="3107"/>
      <c r="E4" s="3107"/>
      <c r="F4" s="3107"/>
      <c r="G4" s="3107"/>
      <c r="H4" s="3107"/>
      <c r="I4" s="3107"/>
      <c r="J4" s="3107"/>
      <c r="K4" s="2448" t="s">
        <v>440</v>
      </c>
      <c r="L4" s="2449">
        <f>'Input Data'!J4</f>
        <v>100</v>
      </c>
      <c r="M4" s="2450" t="s">
        <v>441</v>
      </c>
      <c r="N4" s="2451" t="str">
        <f>'Input Data'!E3&amp;"-"&amp;'Input Data'!J6&amp;""</f>
        <v>Wgl-CRR-2024-25</v>
      </c>
      <c r="O4" s="2452"/>
      <c r="Q4" s="2539">
        <f>'Input Data'!L6</f>
        <v>0</v>
      </c>
    </row>
    <row r="5" spans="1:21" ht="24" customHeight="1">
      <c r="A5" s="3249"/>
      <c r="B5" s="3251"/>
      <c r="C5" s="3107" t="str">
        <f>"2). SE,PR,"&amp;$L$1&amp;$O$7</f>
        <v>2). SE,PR,Warangal vide Lr.No.T4/CRR/Wanaparthy/22 Dt: 06.09.2022</v>
      </c>
      <c r="D5" s="3107"/>
      <c r="E5" s="3107"/>
      <c r="F5" s="3107"/>
      <c r="G5" s="3107"/>
      <c r="H5" s="3107"/>
      <c r="I5" s="3107"/>
      <c r="J5" s="3107"/>
      <c r="K5" s="2448" t="s">
        <v>388</v>
      </c>
      <c r="L5" s="2453" t="str">
        <f>'Input Data'!D7</f>
        <v>Wanaparthy</v>
      </c>
      <c r="M5" s="2454" t="s">
        <v>442</v>
      </c>
      <c r="N5" s="2455">
        <f>'Input Data'!J5</f>
        <v>1</v>
      </c>
      <c r="O5" s="3108"/>
      <c r="P5" s="3108"/>
      <c r="Q5" s="3108"/>
      <c r="R5" s="3108"/>
    </row>
    <row r="6" spans="1:21" s="2387" customFormat="1" ht="20.25" hidden="1" customHeight="1">
      <c r="A6" s="2399"/>
      <c r="B6" s="2400"/>
      <c r="C6" s="3109" t="s">
        <v>443</v>
      </c>
      <c r="D6" s="3110"/>
      <c r="E6" s="3110"/>
      <c r="F6" s="3110"/>
      <c r="G6" s="3110"/>
      <c r="H6" s="3110"/>
      <c r="I6" s="3110"/>
      <c r="J6" s="3111"/>
      <c r="K6" s="2456"/>
      <c r="L6" s="2457"/>
      <c r="M6" s="2458"/>
      <c r="N6" s="2459"/>
      <c r="O6" s="2460"/>
      <c r="P6" s="2460"/>
      <c r="Q6" s="2460"/>
      <c r="R6" s="2460"/>
    </row>
    <row r="7" spans="1:21" ht="15.75" customHeight="1">
      <c r="A7" s="2397"/>
      <c r="B7" s="3112"/>
      <c r="C7" s="3113"/>
      <c r="D7" s="3113"/>
      <c r="E7" s="3114" t="s">
        <v>444</v>
      </c>
      <c r="F7" s="3113"/>
      <c r="G7" s="3113"/>
      <c r="H7" s="3113"/>
      <c r="I7" s="3113"/>
      <c r="J7" s="3115"/>
      <c r="K7" s="2461" t="s">
        <v>445</v>
      </c>
      <c r="L7" s="2453" t="str">
        <f>'Input Data'!D4</f>
        <v>Wanaparthy</v>
      </c>
      <c r="M7" s="2462" t="s">
        <v>446</v>
      </c>
      <c r="N7" s="2463">
        <f>'Input Data'!K5</f>
        <v>1</v>
      </c>
      <c r="O7" s="2464" t="s">
        <v>2749</v>
      </c>
      <c r="P7" s="2465"/>
      <c r="Q7" s="2465"/>
      <c r="R7" s="2465"/>
      <c r="T7" s="2540"/>
    </row>
    <row r="8" spans="1:21" ht="26.25" customHeight="1">
      <c r="A8" s="2397"/>
      <c r="B8" s="3091" t="s">
        <v>447</v>
      </c>
      <c r="C8" s="3092"/>
      <c r="D8" s="3092"/>
      <c r="E8" s="3092"/>
      <c r="F8" s="3092"/>
      <c r="G8" s="3092"/>
      <c r="H8" s="3092"/>
      <c r="I8" s="3092"/>
      <c r="J8" s="3093"/>
      <c r="K8" s="2461" t="s">
        <v>448</v>
      </c>
      <c r="L8" s="2466" t="str">
        <f>"P.R."&amp;'Input Data'!D5</f>
        <v>P.R.Wanaparthy</v>
      </c>
      <c r="M8" s="2467"/>
      <c r="N8" s="2468"/>
      <c r="O8" s="2469"/>
      <c r="P8" s="2469"/>
      <c r="Q8" s="2469"/>
      <c r="R8" s="2541"/>
      <c r="T8" s="2542"/>
    </row>
    <row r="9" spans="1:21" ht="51.75" customHeight="1">
      <c r="A9" s="2401"/>
      <c r="B9" s="3094" t="s">
        <v>2813</v>
      </c>
      <c r="C9" s="3095"/>
      <c r="D9" s="3095"/>
      <c r="E9" s="3095"/>
      <c r="F9" s="3095"/>
      <c r="G9" s="3095"/>
      <c r="H9" s="3095"/>
      <c r="I9" s="3095"/>
      <c r="J9" s="3096"/>
      <c r="K9" s="2461" t="s">
        <v>449</v>
      </c>
      <c r="L9" s="2470">
        <f>ROUND(GA!E21/100000,2)</f>
        <v>100</v>
      </c>
      <c r="M9" s="2471"/>
      <c r="N9" s="2472"/>
      <c r="O9" s="2472"/>
      <c r="P9" s="2472"/>
      <c r="Q9" s="2472"/>
      <c r="R9" s="2472"/>
    </row>
    <row r="10" spans="1:21" ht="28.5" customHeight="1">
      <c r="A10" s="2402">
        <v>1</v>
      </c>
      <c r="B10" s="3097" t="s">
        <v>450</v>
      </c>
      <c r="C10" s="3098"/>
      <c r="D10" s="3099"/>
      <c r="E10" s="2402" t="s">
        <v>427</v>
      </c>
      <c r="F10" s="3089" t="str">
        <f>'Input Data'!D4</f>
        <v>Wanaparthy</v>
      </c>
      <c r="G10" s="3089"/>
      <c r="H10" s="3089"/>
      <c r="I10" s="3089"/>
      <c r="J10" s="3089"/>
      <c r="K10" s="2473" t="s">
        <v>451</v>
      </c>
      <c r="L10" s="2474">
        <f>'Schedule-A'!H188</f>
        <v>8076412</v>
      </c>
      <c r="M10" s="2475"/>
      <c r="N10" s="2476"/>
      <c r="O10" s="3100"/>
      <c r="P10" s="3100"/>
      <c r="Q10" s="3100"/>
      <c r="R10" s="3100"/>
      <c r="S10" s="2543"/>
      <c r="T10" s="2543"/>
      <c r="U10" s="2543"/>
    </row>
    <row r="11" spans="1:21" ht="28.5" customHeight="1">
      <c r="A11" s="2402">
        <v>2</v>
      </c>
      <c r="B11" s="3097" t="s">
        <v>452</v>
      </c>
      <c r="C11" s="3098"/>
      <c r="D11" s="3099"/>
      <c r="E11" s="2402" t="s">
        <v>427</v>
      </c>
      <c r="F11" s="3089" t="str">
        <f>L8</f>
        <v>P.R.Wanaparthy</v>
      </c>
      <c r="G11" s="3089"/>
      <c r="H11" s="3089"/>
      <c r="I11" s="3089"/>
      <c r="J11" s="3089"/>
      <c r="K11" s="2473" t="s">
        <v>453</v>
      </c>
      <c r="L11" s="2474" t="e">
        <f>'Schedule-A'!#REF!</f>
        <v>#REF!</v>
      </c>
      <c r="M11" s="2471"/>
      <c r="N11" s="2472"/>
      <c r="O11" s="2472"/>
      <c r="P11" s="2472"/>
      <c r="Q11" s="2472"/>
      <c r="R11" s="2472"/>
      <c r="S11" s="2543"/>
      <c r="T11" s="2543"/>
      <c r="U11" s="2543"/>
    </row>
    <row r="12" spans="1:21" ht="28.5" customHeight="1">
      <c r="A12" s="2402">
        <v>3</v>
      </c>
      <c r="B12" s="3097" t="s">
        <v>454</v>
      </c>
      <c r="C12" s="3098"/>
      <c r="D12" s="3099"/>
      <c r="E12" s="2402" t="s">
        <v>427</v>
      </c>
      <c r="F12" s="3089" t="str">
        <f>L5</f>
        <v>Wanaparthy</v>
      </c>
      <c r="G12" s="3089"/>
      <c r="H12" s="3089"/>
      <c r="I12" s="3089"/>
      <c r="J12" s="3089"/>
      <c r="K12" s="2477" t="s">
        <v>330</v>
      </c>
      <c r="L12" s="2478" t="e">
        <f>CEILING(SUM(L10:L11),1)</f>
        <v>#REF!</v>
      </c>
      <c r="M12" s="2479" t="e">
        <f>L13-L12</f>
        <v>#REF!</v>
      </c>
      <c r="N12" s="2472"/>
      <c r="O12" s="2472"/>
      <c r="P12" s="2472"/>
      <c r="Q12" s="2472"/>
      <c r="R12" s="2472"/>
      <c r="S12" s="2544"/>
      <c r="T12" s="2544"/>
      <c r="U12" s="2544"/>
    </row>
    <row r="13" spans="1:21" ht="50.25" customHeight="1">
      <c r="A13" s="2402">
        <v>4</v>
      </c>
      <c r="B13" s="3089" t="s">
        <v>438</v>
      </c>
      <c r="C13" s="3089"/>
      <c r="D13" s="3089"/>
      <c r="E13" s="2402" t="s">
        <v>427</v>
      </c>
      <c r="F13" s="3090" t="str">
        <f>L3</f>
        <v>R/F A to B in Wanaparthy Mandal of Wanaparthy District</v>
      </c>
      <c r="G13" s="3090"/>
      <c r="H13" s="3090"/>
      <c r="I13" s="3090"/>
      <c r="J13" s="3090"/>
      <c r="K13" s="2480"/>
      <c r="L13" s="2481">
        <f>'Schedule-A'!H189</f>
        <v>8076412</v>
      </c>
      <c r="M13" s="2482" t="s">
        <v>455</v>
      </c>
      <c r="N13" s="2472"/>
      <c r="O13" s="2472"/>
      <c r="P13" s="2472"/>
      <c r="Q13" s="2472"/>
      <c r="R13" s="2472"/>
      <c r="S13" s="2544"/>
      <c r="T13" s="2544"/>
      <c r="U13" s="2544"/>
    </row>
    <row r="14" spans="1:21" ht="33.75" customHeight="1">
      <c r="A14" s="2402">
        <v>5</v>
      </c>
      <c r="B14" s="3090" t="s">
        <v>456</v>
      </c>
      <c r="C14" s="3090"/>
      <c r="D14" s="3090"/>
      <c r="E14" s="2402" t="s">
        <v>427</v>
      </c>
      <c r="F14" s="3090" t="str">
        <f>'Input Data'!I3</f>
        <v>G.O.Rt.No.273  dt: 20.07.2023 of PR &amp; RD(Roads) Dept. Sl.No.1</v>
      </c>
      <c r="G14" s="3090"/>
      <c r="H14" s="3090"/>
      <c r="I14" s="3090"/>
      <c r="J14" s="3090"/>
      <c r="K14" s="2483"/>
      <c r="L14" s="2483"/>
      <c r="M14" s="2484"/>
      <c r="N14" s="2483">
        <f>7.5*3</f>
        <v>22.5</v>
      </c>
      <c r="O14" s="2483">
        <f>2*7.5*3</f>
        <v>45</v>
      </c>
      <c r="P14" s="2483"/>
      <c r="Q14" s="2483"/>
      <c r="R14" s="2483"/>
      <c r="S14" s="2483"/>
      <c r="T14" s="2483"/>
      <c r="U14" s="2483"/>
    </row>
    <row r="15" spans="1:21" ht="22.9" customHeight="1">
      <c r="A15" s="2402">
        <v>6</v>
      </c>
      <c r="B15" s="3089" t="s">
        <v>457</v>
      </c>
      <c r="C15" s="3089"/>
      <c r="D15" s="3089"/>
      <c r="E15" s="2402" t="s">
        <v>427</v>
      </c>
      <c r="F15" s="3089" t="str">
        <f>'Input Data'!J6</f>
        <v>CRR-2024-25</v>
      </c>
      <c r="G15" s="3089"/>
      <c r="H15" s="3089"/>
      <c r="I15" s="3089"/>
      <c r="J15" s="3089"/>
      <c r="K15" s="2485"/>
      <c r="L15" s="2395"/>
      <c r="N15" s="2386">
        <f>(0.91+0.76)/2</f>
        <v>0.83499999999999996</v>
      </c>
      <c r="O15" s="2386">
        <f>2.7/2</f>
        <v>1.35</v>
      </c>
    </row>
    <row r="16" spans="1:21">
      <c r="A16" s="2402">
        <v>7</v>
      </c>
      <c r="B16" s="3089" t="s">
        <v>458</v>
      </c>
      <c r="C16" s="3089"/>
      <c r="D16" s="3089"/>
      <c r="E16" s="2402" t="s">
        <v>427</v>
      </c>
      <c r="F16" s="3116">
        <f>L4</f>
        <v>100</v>
      </c>
      <c r="G16" s="3116"/>
      <c r="H16" s="3116"/>
      <c r="I16" s="3116"/>
      <c r="J16" s="3116"/>
      <c r="K16" s="2485"/>
      <c r="L16" s="2388"/>
      <c r="M16" s="2388"/>
      <c r="N16" s="2388">
        <f>N14*N15</f>
        <v>18.787499999999998</v>
      </c>
      <c r="O16" s="2388">
        <f>O14*O15</f>
        <v>60.750000000000007</v>
      </c>
      <c r="P16" s="2486"/>
    </row>
    <row r="17" spans="1:28">
      <c r="A17" s="2406">
        <v>8</v>
      </c>
      <c r="B17" s="3117" t="s">
        <v>446</v>
      </c>
      <c r="C17" s="3117"/>
      <c r="D17" s="3117"/>
      <c r="E17" s="2406" t="s">
        <v>427</v>
      </c>
      <c r="F17" s="3118">
        <f>'Input Data'!J5</f>
        <v>1</v>
      </c>
      <c r="G17" s="3118"/>
      <c r="H17" s="3118"/>
      <c r="I17" s="3118"/>
      <c r="J17" s="3118"/>
      <c r="K17" s="2487">
        <f>F17*3</f>
        <v>3</v>
      </c>
      <c r="L17" s="2395"/>
    </row>
    <row r="18" spans="1:28">
      <c r="A18" s="2402">
        <v>9</v>
      </c>
      <c r="B18" s="3119" t="s">
        <v>459</v>
      </c>
      <c r="C18" s="3120"/>
      <c r="D18" s="3120"/>
      <c r="E18" s="3120"/>
      <c r="F18" s="3120"/>
      <c r="G18" s="3120"/>
      <c r="H18" s="3120"/>
      <c r="I18" s="3120"/>
      <c r="J18" s="3121"/>
      <c r="K18" s="2485"/>
      <c r="L18" s="2489"/>
      <c r="M18" s="2490"/>
      <c r="N18" s="2490"/>
      <c r="O18" s="2491"/>
      <c r="P18" s="2492"/>
      <c r="Q18" s="2545"/>
      <c r="X18" s="2488"/>
      <c r="Y18" s="2403"/>
      <c r="Z18" s="2404"/>
      <c r="AA18" s="2404"/>
      <c r="AB18" s="2405"/>
    </row>
    <row r="19" spans="1:28" s="2388" customFormat="1">
      <c r="A19" s="3131" t="s">
        <v>460</v>
      </c>
      <c r="B19" s="3131"/>
      <c r="C19" s="3122" t="s">
        <v>454</v>
      </c>
      <c r="D19" s="3123"/>
      <c r="E19" s="3123"/>
      <c r="F19" s="3122" t="s">
        <v>461</v>
      </c>
      <c r="G19" s="3261"/>
      <c r="H19" s="3124" t="s">
        <v>462</v>
      </c>
      <c r="I19" s="3125"/>
      <c r="J19" s="3126"/>
      <c r="K19" s="2485"/>
      <c r="L19" s="2493"/>
      <c r="M19" s="3127"/>
      <c r="N19" s="3127"/>
      <c r="O19" s="3127"/>
      <c r="P19" s="3127"/>
      <c r="Q19" s="3127"/>
      <c r="R19" s="3127"/>
      <c r="S19" s="3127"/>
      <c r="T19" s="3128">
        <v>1505</v>
      </c>
      <c r="U19" s="3128"/>
      <c r="V19" s="3129" t="s">
        <v>463</v>
      </c>
      <c r="W19" s="3129"/>
      <c r="X19" s="3129"/>
      <c r="Y19" s="3129"/>
      <c r="Z19" s="2555"/>
      <c r="AA19" s="2555"/>
      <c r="AB19" s="2556"/>
    </row>
    <row r="20" spans="1:28" s="2388" customFormat="1">
      <c r="A20" s="3131"/>
      <c r="B20" s="3131"/>
      <c r="C20" s="2408"/>
      <c r="D20" s="2409"/>
      <c r="E20" s="2409"/>
      <c r="F20" s="3262"/>
      <c r="G20" s="3263"/>
      <c r="H20" s="2407" t="s">
        <v>464</v>
      </c>
      <c r="I20" s="2407" t="s">
        <v>465</v>
      </c>
      <c r="J20" s="2407" t="s">
        <v>466</v>
      </c>
      <c r="K20" s="2485"/>
      <c r="L20" s="2493"/>
      <c r="M20" s="2494"/>
      <c r="N20" s="2494"/>
      <c r="O20" s="2494"/>
      <c r="P20" s="2494"/>
      <c r="Q20" s="2494"/>
      <c r="R20" s="2494"/>
      <c r="S20" s="2494"/>
      <c r="T20" s="2546"/>
      <c r="U20" s="2546"/>
      <c r="V20" s="2493"/>
      <c r="W20" s="2493"/>
      <c r="X20" s="2493"/>
      <c r="Y20" s="2493"/>
      <c r="Z20" s="2555"/>
      <c r="AA20" s="2555"/>
      <c r="AB20" s="2556"/>
    </row>
    <row r="21" spans="1:28">
      <c r="A21" s="3130">
        <v>1</v>
      </c>
      <c r="B21" s="3130"/>
      <c r="C21" s="3131" t="str">
        <f>SPR!C12</f>
        <v xml:space="preserve">Peddavangara </v>
      </c>
      <c r="D21" s="3131"/>
      <c r="E21" s="3131"/>
      <c r="F21" s="3131" t="str">
        <f>SPR!F12</f>
        <v xml:space="preserve">Peddavangara </v>
      </c>
      <c r="G21" s="3131"/>
      <c r="H21" s="2410">
        <f>SPR!J12</f>
        <v>1008</v>
      </c>
      <c r="I21" s="2410">
        <f>SPR!L12</f>
        <v>66</v>
      </c>
      <c r="J21" s="2410">
        <f>SPR!O12</f>
        <v>2196</v>
      </c>
      <c r="K21" s="2485"/>
      <c r="L21" s="2495"/>
      <c r="M21" s="2496"/>
      <c r="N21" s="2496"/>
      <c r="O21" s="2496"/>
      <c r="P21" s="2496"/>
      <c r="Q21" s="2496"/>
      <c r="R21" s="2496"/>
      <c r="S21" s="2496"/>
      <c r="T21" s="2547"/>
      <c r="U21" s="2547"/>
      <c r="V21" s="2495"/>
      <c r="W21" s="2495"/>
      <c r="X21" s="2495"/>
      <c r="Y21" s="2495"/>
      <c r="Z21" s="2555"/>
      <c r="AA21" s="2555"/>
      <c r="AB21" s="2556"/>
    </row>
    <row r="22" spans="1:28">
      <c r="A22" s="3130">
        <v>2</v>
      </c>
      <c r="B22" s="3130"/>
      <c r="C22" s="3131" t="str">
        <f>SPR!C12</f>
        <v xml:space="preserve">Peddavangara </v>
      </c>
      <c r="D22" s="3131"/>
      <c r="E22" s="3131"/>
      <c r="F22" s="3131" t="str">
        <f>SPR!F13</f>
        <v>Hadru Thanda</v>
      </c>
      <c r="G22" s="3131"/>
      <c r="H22" s="2410">
        <f>SPR!J13</f>
        <v>0</v>
      </c>
      <c r="I22" s="2410">
        <f>SPR!L13</f>
        <v>58</v>
      </c>
      <c r="J22" s="2410">
        <f>SPR!O13</f>
        <v>0</v>
      </c>
      <c r="K22" s="2485"/>
      <c r="L22" s="2497"/>
      <c r="M22" s="2498"/>
      <c r="N22" s="2498"/>
      <c r="O22" s="2498"/>
      <c r="P22" s="2498"/>
      <c r="Q22" s="2498"/>
      <c r="R22" s="2498"/>
      <c r="S22" s="2498"/>
      <c r="T22" s="2548"/>
      <c r="U22" s="2548"/>
      <c r="V22" s="2497"/>
      <c r="W22" s="2497"/>
      <c r="X22" s="2497"/>
      <c r="Y22" s="2497"/>
      <c r="Z22" s="2557"/>
      <c r="AA22" s="2557"/>
      <c r="AB22" s="2557"/>
    </row>
    <row r="23" spans="1:28">
      <c r="A23" s="3132" t="s">
        <v>60</v>
      </c>
      <c r="B23" s="3133"/>
      <c r="C23" s="3133"/>
      <c r="D23" s="3133"/>
      <c r="E23" s="3133"/>
      <c r="F23" s="3133"/>
      <c r="G23" s="3133"/>
      <c r="H23" s="3134"/>
      <c r="I23" s="3135">
        <f>H21+I21+J21+H22+I22+J22</f>
        <v>3328</v>
      </c>
      <c r="J23" s="3136"/>
      <c r="K23" s="2485"/>
    </row>
    <row r="24" spans="1:28">
      <c r="A24" s="3137" t="str">
        <f>"The true extract of the Inspection report of the SE, PR, "&amp;L1&amp;""&amp;'Inspection Report'!E6&amp;""</f>
        <v>The true extract of the Inspection report of the SE, PR, Warangal</v>
      </c>
      <c r="B24" s="3138"/>
      <c r="C24" s="3138"/>
      <c r="D24" s="3138"/>
      <c r="E24" s="3138"/>
      <c r="F24" s="3138"/>
      <c r="G24" s="3138"/>
      <c r="H24" s="3138"/>
      <c r="I24" s="3138"/>
      <c r="J24" s="3139"/>
      <c r="K24" s="2485"/>
    </row>
    <row r="25" spans="1:28">
      <c r="A25" s="3137" t="str">
        <f>'Inspection Report'!C16</f>
        <v>The total length of the Road is 1.000 Km.   The total length is Earthen Surface.  The both sides of the road is of Wet Fields,  Hence Carted Earth is proposed.</v>
      </c>
      <c r="B25" s="3138"/>
      <c r="C25" s="3138"/>
      <c r="D25" s="3138"/>
      <c r="E25" s="3138"/>
      <c r="F25" s="3138"/>
      <c r="G25" s="3138"/>
      <c r="H25" s="3138"/>
      <c r="I25" s="3138"/>
      <c r="J25" s="3139"/>
      <c r="K25" s="2485"/>
    </row>
    <row r="26" spans="1:28" ht="27.75" customHeight="1">
      <c r="A26" s="3137" t="str">
        <f>'Inspection Report'!C17</f>
        <v>Provide  BT From Km 0/0 to 0/800 as per SP-72-2015 with GSB 175mm and Wmm 150mm as per traffic conditions</v>
      </c>
      <c r="B26" s="3138"/>
      <c r="C26" s="3138"/>
      <c r="D26" s="3138"/>
      <c r="E26" s="3138"/>
      <c r="F26" s="3138"/>
      <c r="G26" s="3138"/>
      <c r="H26" s="3138"/>
      <c r="I26" s="3138"/>
      <c r="J26" s="3139"/>
      <c r="K26" s="2485"/>
    </row>
    <row r="27" spans="1:28">
      <c r="A27" s="3137" t="str">
        <f>'Inspection Report'!C18</f>
        <v>Provide  CC M30 with 200 mm thick From  Km 0/800 to 1/00 in Village Portion,with GSB 100mm and WMM 75mm thick as per SP 62-2014</v>
      </c>
      <c r="B27" s="3138"/>
      <c r="C27" s="3138"/>
      <c r="D27" s="3138"/>
      <c r="E27" s="3138"/>
      <c r="F27" s="3138"/>
      <c r="G27" s="3138"/>
      <c r="H27" s="3138"/>
      <c r="I27" s="3138"/>
      <c r="J27" s="3139"/>
      <c r="K27" s="2485"/>
    </row>
    <row r="28" spans="1:28">
      <c r="A28" s="3137" t="str">
        <f>'Inspection Report'!C19</f>
        <v xml:space="preserve">The entire road stretch is passing through BC, Slushy soils and Fertile lands. Therefore Iron Cage Wheel tractors are regularly being passed on the road for cultivation purpose. Providing 20mm thick OGPC cannot be sustained Iron Cage Wheel load of tractors and Bituminous surface will damage due to cutting of edges and penetration of water through it at several places. Hence, Bituminous Concrete of 30mm thick is proposed as a special case to overcome the above problem as the design mix will have more strength than recipe mixes like OGPC and MSS etc., and duly keeping in view of life time of pavement with better performance.  </v>
      </c>
      <c r="B28" s="3138"/>
      <c r="C28" s="3138"/>
      <c r="D28" s="3138"/>
      <c r="E28" s="3138"/>
      <c r="F28" s="3138"/>
      <c r="G28" s="3138"/>
      <c r="H28" s="3138"/>
      <c r="I28" s="3138"/>
      <c r="J28" s="3139"/>
      <c r="K28" s="2485"/>
    </row>
    <row r="29" spans="1:28">
      <c r="A29" s="3137" t="str">
        <f>'Inspection Report'!C20</f>
        <v>CD Works:</v>
      </c>
      <c r="B29" s="3138"/>
      <c r="C29" s="3138"/>
      <c r="D29" s="3138"/>
      <c r="E29" s="3138"/>
      <c r="F29" s="3138"/>
      <c r="G29" s="3138"/>
      <c r="H29" s="3138"/>
      <c r="I29" s="3138"/>
      <c r="J29" s="3139"/>
      <c r="K29" s="2485"/>
    </row>
    <row r="30" spans="1:28">
      <c r="A30" s="3137" t="str">
        <f>'Inspection Report'!C21</f>
        <v>Provide Culvert 2V and 1V of 1000mm dia NP4 Pipes as per field conditions.</v>
      </c>
      <c r="B30" s="3138"/>
      <c r="C30" s="3138"/>
      <c r="D30" s="3138"/>
      <c r="E30" s="3138"/>
      <c r="F30" s="3138"/>
      <c r="G30" s="3138"/>
      <c r="H30" s="3138"/>
      <c r="I30" s="3138"/>
      <c r="J30" s="3139"/>
      <c r="K30" s="2485"/>
    </row>
    <row r="31" spans="1:28">
      <c r="A31" s="3137">
        <f>'Inspection Report'!C22</f>
        <v>0</v>
      </c>
      <c r="B31" s="3138"/>
      <c r="C31" s="3138"/>
      <c r="D31" s="3138"/>
      <c r="E31" s="3138"/>
      <c r="F31" s="3138"/>
      <c r="G31" s="3138"/>
      <c r="H31" s="3138"/>
      <c r="I31" s="3138"/>
      <c r="J31" s="3139"/>
      <c r="K31" s="2485"/>
      <c r="L31" s="2395" t="s">
        <v>467</v>
      </c>
      <c r="M31" s="2395" t="s">
        <v>468</v>
      </c>
      <c r="N31" s="2395" t="s">
        <v>469</v>
      </c>
    </row>
    <row r="32" spans="1:28">
      <c r="A32" s="3137">
        <f>'Inspection Report'!C23</f>
        <v>0</v>
      </c>
      <c r="B32" s="3138"/>
      <c r="C32" s="3138"/>
      <c r="D32" s="3138"/>
      <c r="E32" s="3138"/>
      <c r="F32" s="3138"/>
      <c r="G32" s="3138"/>
      <c r="H32" s="3138"/>
      <c r="I32" s="3138"/>
      <c r="J32" s="3139"/>
      <c r="K32" s="2485"/>
      <c r="L32" s="2499">
        <f>'TRAFF-Count-ESAL-Cal'!N11</f>
        <v>21</v>
      </c>
      <c r="M32" s="2395">
        <f>'ESAL-result'!K16</f>
        <v>3</v>
      </c>
      <c r="N32" s="2500">
        <f>'ESAL-result'!E29/100</f>
        <v>0.04</v>
      </c>
    </row>
    <row r="33" spans="1:28">
      <c r="A33" s="2411">
        <v>10</v>
      </c>
      <c r="B33" s="3140" t="s">
        <v>470</v>
      </c>
      <c r="C33" s="3140"/>
      <c r="D33" s="3140"/>
      <c r="E33" s="3140" t="s">
        <v>471</v>
      </c>
      <c r="F33" s="3140"/>
      <c r="G33" s="3140"/>
      <c r="H33" s="2407" t="s">
        <v>472</v>
      </c>
      <c r="I33" s="2414" t="s">
        <v>473</v>
      </c>
      <c r="J33" s="2414" t="s">
        <v>474</v>
      </c>
      <c r="K33" s="2485"/>
      <c r="L33" s="2501" t="s">
        <v>470</v>
      </c>
      <c r="M33" s="2502"/>
      <c r="N33" s="2502"/>
      <c r="O33" s="2502"/>
      <c r="P33" s="2502"/>
      <c r="Q33" s="2502"/>
      <c r="R33" s="2502"/>
      <c r="S33" s="2502"/>
      <c r="T33" s="2502"/>
      <c r="U33" s="2502"/>
      <c r="V33" s="2502"/>
      <c r="W33" s="2502"/>
      <c r="X33" s="2502"/>
      <c r="Y33" s="2502"/>
      <c r="Z33" s="2558"/>
      <c r="AA33" s="2558"/>
      <c r="AB33" s="2558"/>
    </row>
    <row r="34" spans="1:28" ht="32.25" customHeight="1">
      <c r="A34" s="2410">
        <v>1</v>
      </c>
      <c r="B34" s="3130" t="str">
        <f>SPR!C20</f>
        <v>Earthen</v>
      </c>
      <c r="C34" s="3130"/>
      <c r="D34" s="3130"/>
      <c r="E34" s="3141" t="str">
        <f>SPR!F20</f>
        <v>BT Portion 0/00 to 0/800KM</v>
      </c>
      <c r="F34" s="3142"/>
      <c r="G34" s="3143"/>
      <c r="H34" s="2413">
        <f>SPR!K20</f>
        <v>800</v>
      </c>
      <c r="I34" s="2413" t="str">
        <f>B34</f>
        <v>Earthen</v>
      </c>
      <c r="J34" s="2410" t="s">
        <v>475</v>
      </c>
      <c r="K34" s="2485"/>
      <c r="L34" s="2493"/>
      <c r="M34" s="2503"/>
      <c r="N34" s="2504"/>
      <c r="O34" s="2505"/>
      <c r="P34" s="2503"/>
      <c r="Q34" s="2504"/>
      <c r="R34" s="2504"/>
      <c r="S34" s="2504"/>
      <c r="T34" s="2505"/>
      <c r="U34" s="2503"/>
      <c r="V34" s="2505"/>
      <c r="W34" s="2503"/>
      <c r="X34" s="2504"/>
      <c r="Y34" s="2504"/>
      <c r="Z34" s="2505"/>
      <c r="AA34" s="2558"/>
      <c r="AB34" s="2558"/>
    </row>
    <row r="35" spans="1:28">
      <c r="A35" s="2410">
        <v>2</v>
      </c>
      <c r="B35" s="3130" t="str">
        <f>SPR!C21</f>
        <v>Earthen</v>
      </c>
      <c r="C35" s="3130"/>
      <c r="D35" s="3130"/>
      <c r="E35" s="3130" t="str">
        <f>SPR!F21</f>
        <v>CC 0/800to 1/00km</v>
      </c>
      <c r="F35" s="3130"/>
      <c r="G35" s="3130"/>
      <c r="H35" s="2413">
        <f>SPR!K21</f>
        <v>200</v>
      </c>
      <c r="I35" s="2413" t="str">
        <f>B35</f>
        <v>Earthen</v>
      </c>
      <c r="J35" s="2410" t="s">
        <v>476</v>
      </c>
      <c r="K35" s="2485"/>
      <c r="L35" s="2493">
        <f>45+10+40+55+8+20</f>
        <v>178</v>
      </c>
      <c r="M35" s="2503"/>
      <c r="N35" s="2504"/>
      <c r="O35" s="2505"/>
      <c r="P35" s="2503"/>
      <c r="Q35" s="2504"/>
      <c r="R35" s="2504"/>
      <c r="S35" s="2504"/>
      <c r="T35" s="2505"/>
      <c r="U35" s="2503"/>
      <c r="V35" s="2505"/>
      <c r="W35" s="2503"/>
      <c r="X35" s="2504"/>
      <c r="Y35" s="2504"/>
      <c r="Z35" s="2505"/>
      <c r="AA35" s="2558"/>
      <c r="AB35" s="2558"/>
    </row>
    <row r="36" spans="1:28">
      <c r="A36" s="2414"/>
      <c r="B36" s="3144"/>
      <c r="C36" s="3144"/>
      <c r="D36" s="3144"/>
      <c r="E36" s="3145"/>
      <c r="F36" s="3145"/>
      <c r="G36" s="3145"/>
      <c r="H36" s="2415">
        <f>SUBTOTAL(9,H34:H35)</f>
        <v>1000</v>
      </c>
      <c r="I36" s="2414"/>
      <c r="J36" s="2414"/>
      <c r="K36" s="2485"/>
      <c r="L36" s="2506"/>
      <c r="M36" s="3146" t="s">
        <v>60</v>
      </c>
      <c r="N36" s="3146"/>
      <c r="O36" s="3146"/>
      <c r="P36" s="3147" t="s">
        <v>477</v>
      </c>
      <c r="Q36" s="3147"/>
      <c r="R36" s="3147"/>
      <c r="S36" s="3147"/>
      <c r="T36" s="3147"/>
      <c r="U36" s="3147" t="e">
        <f>SUM(#REF!)</f>
        <v>#REF!</v>
      </c>
      <c r="V36" s="3147"/>
      <c r="W36" s="3148"/>
      <c r="X36" s="3149"/>
      <c r="Y36" s="3149"/>
      <c r="Z36" s="3150"/>
      <c r="AA36" s="2558"/>
      <c r="AB36" s="2558"/>
    </row>
    <row r="37" spans="1:28" s="349" customFormat="1" ht="14.25" hidden="1">
      <c r="A37" s="3151"/>
      <c r="B37" s="3151"/>
      <c r="C37" s="3151"/>
      <c r="D37" s="3151"/>
      <c r="E37" s="3151"/>
      <c r="F37" s="3151"/>
      <c r="G37" s="3151"/>
      <c r="H37" s="3151"/>
      <c r="I37" s="3151"/>
      <c r="J37" s="3151"/>
      <c r="K37" s="2507"/>
      <c r="L37" s="2508"/>
      <c r="M37" s="2509"/>
      <c r="N37" s="2509"/>
      <c r="O37" s="2509"/>
      <c r="P37" s="2510"/>
      <c r="Q37" s="2510"/>
      <c r="R37" s="2510"/>
      <c r="S37" s="2510"/>
      <c r="T37" s="2510"/>
      <c r="U37" s="2510"/>
      <c r="V37" s="2510"/>
      <c r="W37" s="2550"/>
      <c r="X37" s="2550"/>
      <c r="Y37" s="2550"/>
      <c r="Z37" s="2550"/>
      <c r="AA37" s="2559"/>
      <c r="AB37" s="2559"/>
    </row>
    <row r="38" spans="1:28">
      <c r="A38" s="2416">
        <v>11</v>
      </c>
      <c r="B38" s="2417" t="str">
        <f>"Traffic Count: "&amp;L32&amp;" CVPD"</f>
        <v>Traffic Count: 21 CVPD</v>
      </c>
      <c r="C38" s="2418"/>
      <c r="D38" s="2418"/>
      <c r="E38" s="2419" t="s">
        <v>478</v>
      </c>
      <c r="F38" s="2420">
        <f>'TRAFF-Count-ESAL-Cal'!G30</f>
        <v>72982.87</v>
      </c>
      <c r="G38" s="3152" t="str">
        <f>"Adopting T"&amp;M32&amp;" curve with CBR "&amp;'ESAL-result'!E29&amp;"% as per SPR72-2015"</f>
        <v>Adopting T3 curve with CBR 4% as per SPR72-2015</v>
      </c>
      <c r="H38" s="3153"/>
      <c r="I38" s="3153"/>
      <c r="J38" s="3154"/>
      <c r="K38" s="2485"/>
      <c r="L38" s="2511"/>
      <c r="M38" s="2512"/>
      <c r="N38" s="2512"/>
      <c r="O38" s="2512"/>
      <c r="P38" s="2513"/>
      <c r="Q38" s="2513"/>
      <c r="R38" s="2513"/>
      <c r="S38" s="2513"/>
      <c r="T38" s="2513"/>
      <c r="U38" s="2513"/>
      <c r="V38" s="2513"/>
      <c r="W38" s="2549"/>
      <c r="X38" s="2549"/>
      <c r="Y38" s="2549"/>
      <c r="Z38" s="2549"/>
      <c r="AA38" s="2558"/>
      <c r="AB38" s="2558"/>
    </row>
    <row r="39" spans="1:28" s="349" customFormat="1" ht="13.5" hidden="1">
      <c r="A39" s="2421"/>
      <c r="B39" s="2422"/>
      <c r="C39" s="2422"/>
      <c r="D39" s="2422"/>
      <c r="E39" s="2422"/>
      <c r="F39" s="2422"/>
      <c r="G39" s="2422"/>
      <c r="H39" s="2422"/>
      <c r="I39" s="2422"/>
      <c r="J39" s="2514"/>
      <c r="K39" s="2507"/>
      <c r="L39" s="2508"/>
      <c r="M39" s="2509"/>
      <c r="N39" s="2509"/>
      <c r="O39" s="2509"/>
      <c r="P39" s="2510"/>
      <c r="Q39" s="2510"/>
      <c r="R39" s="2510"/>
      <c r="S39" s="2510"/>
      <c r="T39" s="2510"/>
      <c r="U39" s="2510"/>
      <c r="V39" s="2510"/>
      <c r="W39" s="2550"/>
      <c r="X39" s="2550"/>
      <c r="Y39" s="2550"/>
      <c r="Z39" s="2550"/>
      <c r="AA39" s="2559"/>
      <c r="AB39" s="2559"/>
    </row>
    <row r="40" spans="1:28" s="349" customFormat="1" ht="13.5" hidden="1">
      <c r="A40" s="2423"/>
      <c r="B40" s="2424"/>
      <c r="C40" s="2424"/>
      <c r="D40" s="2424"/>
      <c r="E40" s="2424"/>
      <c r="F40" s="2424"/>
      <c r="G40" s="2424"/>
      <c r="H40" s="2424"/>
      <c r="I40" s="2424"/>
      <c r="J40" s="2515"/>
      <c r="K40" s="2507"/>
      <c r="L40" s="2508"/>
      <c r="M40" s="2509"/>
      <c r="N40" s="2509"/>
      <c r="O40" s="2509"/>
      <c r="P40" s="2510"/>
      <c r="Q40" s="2510"/>
      <c r="R40" s="2510"/>
      <c r="S40" s="2510"/>
      <c r="T40" s="2510"/>
      <c r="U40" s="2510"/>
      <c r="V40" s="2510"/>
      <c r="W40" s="2550"/>
      <c r="X40" s="2550"/>
      <c r="Y40" s="2550"/>
      <c r="Z40" s="2550"/>
      <c r="AA40" s="2559"/>
      <c r="AB40" s="2559"/>
    </row>
    <row r="41" spans="1:28" s="349" customFormat="1" ht="13.5" hidden="1">
      <c r="A41" s="2423"/>
      <c r="B41" s="2424"/>
      <c r="C41" s="2424"/>
      <c r="D41" s="2424"/>
      <c r="E41" s="2424"/>
      <c r="F41" s="2424"/>
      <c r="G41" s="2424"/>
      <c r="H41" s="2424"/>
      <c r="I41" s="2424"/>
      <c r="J41" s="2515"/>
      <c r="K41" s="2507"/>
      <c r="L41" s="2508"/>
      <c r="M41" s="2509"/>
      <c r="N41" s="2509"/>
      <c r="O41" s="2509"/>
      <c r="P41" s="2510"/>
      <c r="Q41" s="2510"/>
      <c r="R41" s="2510"/>
      <c r="S41" s="2510"/>
      <c r="T41" s="2510"/>
      <c r="U41" s="2510"/>
      <c r="V41" s="2510"/>
      <c r="W41" s="2550"/>
      <c r="X41" s="2550"/>
      <c r="Y41" s="2550"/>
      <c r="Z41" s="2550"/>
      <c r="AA41" s="2559"/>
      <c r="AB41" s="2559"/>
    </row>
    <row r="42" spans="1:28" s="349" customFormat="1" ht="13.5" hidden="1">
      <c r="A42" s="2423"/>
      <c r="B42" s="2424"/>
      <c r="C42" s="2424"/>
      <c r="D42" s="2424"/>
      <c r="E42" s="2424"/>
      <c r="F42" s="2424"/>
      <c r="G42" s="2424"/>
      <c r="H42" s="2424"/>
      <c r="I42" s="2424"/>
      <c r="J42" s="2515"/>
      <c r="K42" s="2507"/>
      <c r="L42" s="2508"/>
      <c r="M42" s="2509"/>
      <c r="N42" s="2509"/>
      <c r="O42" s="2509"/>
      <c r="P42" s="2510"/>
      <c r="Q42" s="2510"/>
      <c r="R42" s="2510"/>
      <c r="S42" s="2510"/>
      <c r="T42" s="2510"/>
      <c r="U42" s="2510"/>
      <c r="V42" s="2510"/>
      <c r="W42" s="2550"/>
      <c r="X42" s="2550"/>
      <c r="Y42" s="2550"/>
      <c r="Z42" s="2550"/>
      <c r="AA42" s="2559"/>
      <c r="AB42" s="2559"/>
    </row>
    <row r="43" spans="1:28" s="349" customFormat="1" ht="13.5" hidden="1">
      <c r="A43" s="2423"/>
      <c r="B43" s="2424"/>
      <c r="C43" s="2424"/>
      <c r="D43" s="2424"/>
      <c r="E43" s="2424"/>
      <c r="F43" s="2424"/>
      <c r="G43" s="2424"/>
      <c r="H43" s="2424"/>
      <c r="I43" s="2424"/>
      <c r="J43" s="2515"/>
      <c r="K43" s="2507"/>
      <c r="L43" s="2508"/>
      <c r="M43" s="2509"/>
      <c r="N43" s="2509"/>
      <c r="O43" s="2509"/>
      <c r="P43" s="2510"/>
      <c r="Q43" s="2510"/>
      <c r="R43" s="2510"/>
      <c r="S43" s="2510"/>
      <c r="T43" s="2510"/>
      <c r="U43" s="2510"/>
      <c r="V43" s="2510"/>
      <c r="W43" s="2550"/>
      <c r="X43" s="2550"/>
      <c r="Y43" s="2550"/>
      <c r="Z43" s="2550"/>
      <c r="AA43" s="2559"/>
      <c r="AB43" s="2559"/>
    </row>
    <row r="44" spans="1:28" s="349" customFormat="1" ht="13.5" hidden="1">
      <c r="A44" s="2423"/>
      <c r="B44" s="2424"/>
      <c r="C44" s="2424"/>
      <c r="D44" s="2424"/>
      <c r="E44" s="2424"/>
      <c r="F44" s="2424"/>
      <c r="G44" s="2424"/>
      <c r="H44" s="2424"/>
      <c r="I44" s="2424"/>
      <c r="J44" s="2515"/>
      <c r="K44" s="2507"/>
      <c r="L44" s="2508"/>
      <c r="M44" s="2509"/>
      <c r="N44" s="2509"/>
      <c r="O44" s="2509"/>
      <c r="P44" s="2510"/>
      <c r="Q44" s="2510"/>
      <c r="R44" s="2510"/>
      <c r="S44" s="2510"/>
      <c r="T44" s="2510"/>
      <c r="U44" s="2510"/>
      <c r="V44" s="2510"/>
      <c r="W44" s="2550"/>
      <c r="X44" s="2550"/>
      <c r="Y44" s="2550"/>
      <c r="Z44" s="2550"/>
      <c r="AA44" s="2559"/>
      <c r="AB44" s="2559"/>
    </row>
    <row r="45" spans="1:28" s="349" customFormat="1" ht="13.5" hidden="1">
      <c r="A45" s="2423"/>
      <c r="B45" s="2424"/>
      <c r="C45" s="2424"/>
      <c r="D45" s="2424"/>
      <c r="E45" s="2424"/>
      <c r="F45" s="2424"/>
      <c r="G45" s="2424"/>
      <c r="H45" s="2424"/>
      <c r="I45" s="2424"/>
      <c r="J45" s="2515"/>
      <c r="K45" s="2507"/>
      <c r="L45" s="2508"/>
      <c r="M45" s="2509"/>
      <c r="N45" s="2509"/>
      <c r="O45" s="2509"/>
      <c r="P45" s="2510"/>
      <c r="Q45" s="2510"/>
      <c r="R45" s="2510"/>
      <c r="S45" s="2510"/>
      <c r="T45" s="2510"/>
      <c r="U45" s="2510"/>
      <c r="V45" s="2510"/>
      <c r="W45" s="2550"/>
      <c r="X45" s="2550"/>
      <c r="Y45" s="2550"/>
      <c r="Z45" s="2550"/>
      <c r="AA45" s="2559"/>
      <c r="AB45" s="2559"/>
    </row>
    <row r="46" spans="1:28" s="349" customFormat="1" ht="13.5" hidden="1">
      <c r="A46" s="2423"/>
      <c r="B46" s="2424"/>
      <c r="C46" s="2424"/>
      <c r="D46" s="2424"/>
      <c r="E46" s="2424"/>
      <c r="F46" s="2424"/>
      <c r="G46" s="2424"/>
      <c r="H46" s="2424"/>
      <c r="I46" s="2424"/>
      <c r="J46" s="2515"/>
      <c r="K46" s="2507"/>
      <c r="L46" s="2508"/>
      <c r="M46" s="2509"/>
      <c r="N46" s="2509"/>
      <c r="O46" s="2509"/>
      <c r="P46" s="2510"/>
      <c r="Q46" s="2510"/>
      <c r="R46" s="2510"/>
      <c r="S46" s="2510"/>
      <c r="T46" s="2510"/>
      <c r="U46" s="2510"/>
      <c r="V46" s="2510"/>
      <c r="W46" s="2550"/>
      <c r="X46" s="2550"/>
      <c r="Y46" s="2550"/>
      <c r="Z46" s="2550"/>
      <c r="AA46" s="2559"/>
      <c r="AB46" s="2559"/>
    </row>
    <row r="47" spans="1:28" s="349" customFormat="1" ht="13.5" hidden="1">
      <c r="A47" s="2423"/>
      <c r="B47" s="2424"/>
      <c r="C47" s="2424"/>
      <c r="D47" s="2424"/>
      <c r="E47" s="2424"/>
      <c r="F47" s="2424"/>
      <c r="G47" s="2424"/>
      <c r="H47" s="2424"/>
      <c r="I47" s="2424"/>
      <c r="J47" s="2515"/>
      <c r="K47" s="2507"/>
      <c r="L47" s="2508"/>
      <c r="M47" s="2509"/>
      <c r="N47" s="2509"/>
      <c r="O47" s="2509"/>
      <c r="P47" s="2510"/>
      <c r="Q47" s="2510"/>
      <c r="R47" s="2510"/>
      <c r="S47" s="2510"/>
      <c r="T47" s="2510"/>
      <c r="U47" s="2510"/>
      <c r="V47" s="2510"/>
      <c r="W47" s="2550"/>
      <c r="X47" s="2550"/>
      <c r="Y47" s="2550"/>
      <c r="Z47" s="2550"/>
      <c r="AA47" s="2559"/>
      <c r="AB47" s="2559"/>
    </row>
    <row r="48" spans="1:28" s="349" customFormat="1" ht="13.5" hidden="1">
      <c r="A48" s="2425"/>
      <c r="B48" s="2426"/>
      <c r="C48" s="2426"/>
      <c r="D48" s="2426"/>
      <c r="E48" s="2426"/>
      <c r="F48" s="2426"/>
      <c r="G48" s="2426"/>
      <c r="H48" s="2426"/>
      <c r="I48" s="2426"/>
      <c r="J48" s="2516"/>
      <c r="K48" s="2507"/>
      <c r="L48" s="2508"/>
      <c r="M48" s="2509"/>
      <c r="N48" s="2509"/>
      <c r="O48" s="2509"/>
      <c r="P48" s="2510"/>
      <c r="Q48" s="2510"/>
      <c r="R48" s="2510"/>
      <c r="S48" s="2510"/>
      <c r="T48" s="2510"/>
      <c r="U48" s="2510"/>
      <c r="V48" s="2510"/>
      <c r="W48" s="2550"/>
      <c r="X48" s="2550"/>
      <c r="Y48" s="2550"/>
      <c r="Z48" s="2550"/>
      <c r="AA48" s="2559"/>
      <c r="AB48" s="2559"/>
    </row>
    <row r="49" spans="1:30" s="2389" customFormat="1" ht="15.75" hidden="1">
      <c r="A49" s="2427"/>
      <c r="B49" s="3155" t="s">
        <v>479</v>
      </c>
      <c r="C49" s="3155"/>
      <c r="D49" s="3155"/>
      <c r="E49" s="3155"/>
      <c r="F49" s="3155" t="s">
        <v>480</v>
      </c>
      <c r="G49" s="3155"/>
      <c r="H49" s="3155"/>
      <c r="I49" s="3155"/>
      <c r="J49" s="3155"/>
      <c r="K49" s="2517"/>
      <c r="L49" s="2517"/>
      <c r="M49" s="2517"/>
      <c r="N49" s="2517"/>
      <c r="O49" s="2517"/>
      <c r="P49" s="2517"/>
      <c r="Q49" s="2517"/>
      <c r="R49" s="2517"/>
      <c r="S49" s="2517"/>
      <c r="T49" s="2551"/>
    </row>
    <row r="50" spans="1:30" s="2389" customFormat="1" ht="15.75" hidden="1">
      <c r="A50" s="2427"/>
      <c r="B50" s="3156" t="s">
        <v>481</v>
      </c>
      <c r="C50" s="3156"/>
      <c r="D50" s="2429" t="s">
        <v>482</v>
      </c>
      <c r="E50" s="2428" t="s">
        <v>483</v>
      </c>
      <c r="F50" s="2429"/>
      <c r="G50" s="2428"/>
      <c r="H50" s="3157" t="s">
        <v>484</v>
      </c>
      <c r="I50" s="3158"/>
      <c r="J50" s="2518" t="s">
        <v>485</v>
      </c>
      <c r="K50" s="2519"/>
      <c r="L50" s="2518"/>
      <c r="M50" s="2432"/>
      <c r="N50" s="2518"/>
      <c r="O50" s="3159"/>
      <c r="P50" s="3159"/>
      <c r="Q50" s="3159"/>
      <c r="R50" s="3159"/>
      <c r="S50" s="3159"/>
      <c r="T50" s="2552"/>
    </row>
    <row r="51" spans="1:30" s="2389" customFormat="1" ht="15.75" hidden="1">
      <c r="A51" s="2427"/>
      <c r="B51" s="3155" t="s">
        <v>486</v>
      </c>
      <c r="C51" s="3155"/>
      <c r="D51" s="3155"/>
      <c r="E51" s="3155"/>
      <c r="F51" s="3155" t="s">
        <v>487</v>
      </c>
      <c r="G51" s="3155"/>
      <c r="H51" s="2430"/>
      <c r="I51" s="2430"/>
      <c r="J51" s="2430"/>
      <c r="K51" s="2520"/>
      <c r="L51" s="2520"/>
      <c r="M51" s="2520"/>
      <c r="N51" s="2521"/>
      <c r="O51" s="3160"/>
      <c r="P51" s="3160"/>
      <c r="Q51" s="3160"/>
      <c r="R51" s="3160"/>
      <c r="S51" s="3160"/>
      <c r="T51" s="3260"/>
    </row>
    <row r="52" spans="1:30" s="2389" customFormat="1" ht="31.5" hidden="1">
      <c r="A52" s="2427"/>
      <c r="B52" s="2431" t="s">
        <v>474</v>
      </c>
      <c r="C52" s="3156" t="s">
        <v>488</v>
      </c>
      <c r="D52" s="3156"/>
      <c r="E52" s="2429" t="s">
        <v>489</v>
      </c>
      <c r="F52" s="2432" t="s">
        <v>490</v>
      </c>
      <c r="G52" s="2429" t="s">
        <v>491</v>
      </c>
      <c r="H52" s="2429" t="s">
        <v>488</v>
      </c>
      <c r="I52" s="2429" t="s">
        <v>492</v>
      </c>
      <c r="J52" s="2429" t="s">
        <v>493</v>
      </c>
      <c r="K52" s="2518"/>
      <c r="L52" s="2518"/>
      <c r="M52" s="2432"/>
      <c r="N52" s="2518"/>
      <c r="O52" s="2432"/>
      <c r="P52" s="2519"/>
      <c r="Q52" s="2518"/>
      <c r="R52" s="3156"/>
      <c r="S52" s="3156"/>
      <c r="T52" s="3260"/>
    </row>
    <row r="53" spans="1:30" s="2389" customFormat="1" ht="15.75" hidden="1">
      <c r="A53" s="2427"/>
      <c r="B53" s="2431" t="s">
        <v>474</v>
      </c>
      <c r="C53" s="3156" t="s">
        <v>494</v>
      </c>
      <c r="D53" s="3156"/>
      <c r="E53" s="2429" t="s">
        <v>495</v>
      </c>
      <c r="F53" s="2432" t="s">
        <v>494</v>
      </c>
      <c r="G53" s="2429" t="s">
        <v>496</v>
      </c>
      <c r="H53" s="2432" t="s">
        <v>494</v>
      </c>
      <c r="I53" s="2429" t="s">
        <v>497</v>
      </c>
      <c r="J53" s="2429"/>
      <c r="K53" s="2518"/>
      <c r="L53" s="2518"/>
      <c r="M53" s="2432"/>
      <c r="N53" s="2518"/>
      <c r="O53" s="2432"/>
      <c r="P53" s="2519"/>
      <c r="Q53" s="2518"/>
      <c r="R53" s="3156"/>
      <c r="S53" s="3156"/>
      <c r="T53" s="3260"/>
    </row>
    <row r="54" spans="1:30" s="2389" customFormat="1" ht="31.5" hidden="1">
      <c r="A54" s="2427"/>
      <c r="B54" s="2431" t="s">
        <v>474</v>
      </c>
      <c r="C54" s="3156" t="s">
        <v>498</v>
      </c>
      <c r="D54" s="3156"/>
      <c r="E54" s="2429" t="s">
        <v>499</v>
      </c>
      <c r="F54" s="2432" t="s">
        <v>498</v>
      </c>
      <c r="G54" s="2429" t="s">
        <v>500</v>
      </c>
      <c r="H54" s="2432" t="s">
        <v>498</v>
      </c>
      <c r="I54" s="2429" t="s">
        <v>501</v>
      </c>
      <c r="J54" s="2429"/>
      <c r="K54" s="2518"/>
      <c r="L54" s="2518"/>
      <c r="M54" s="2432"/>
      <c r="N54" s="2518"/>
      <c r="O54" s="2432"/>
      <c r="P54" s="2519"/>
      <c r="Q54" s="2518"/>
      <c r="R54" s="3156"/>
      <c r="S54" s="3156"/>
      <c r="T54" s="3260"/>
    </row>
    <row r="55" spans="1:30" s="2389" customFormat="1" ht="31.5" hidden="1">
      <c r="A55" s="2427"/>
      <c r="B55" s="2431" t="s">
        <v>502</v>
      </c>
      <c r="C55" s="3156" t="s">
        <v>503</v>
      </c>
      <c r="D55" s="3156"/>
      <c r="E55" s="2429" t="s">
        <v>504</v>
      </c>
      <c r="F55" s="2432" t="s">
        <v>503</v>
      </c>
      <c r="G55" s="2429" t="s">
        <v>497</v>
      </c>
      <c r="H55" s="2432" t="s">
        <v>503</v>
      </c>
      <c r="I55" s="2429" t="s">
        <v>504</v>
      </c>
      <c r="J55" s="2429"/>
      <c r="K55" s="2518"/>
      <c r="L55" s="2518"/>
      <c r="M55" s="2432"/>
      <c r="N55" s="2518"/>
      <c r="O55" s="2432"/>
      <c r="P55" s="2519"/>
      <c r="Q55" s="2518"/>
      <c r="R55" s="3156"/>
      <c r="S55" s="3156"/>
      <c r="T55" s="3260"/>
    </row>
    <row r="56" spans="1:30" s="2389" customFormat="1" ht="31.5" hidden="1">
      <c r="A56" s="2427"/>
      <c r="B56" s="2431" t="s">
        <v>502</v>
      </c>
      <c r="C56" s="3156" t="s">
        <v>505</v>
      </c>
      <c r="D56" s="3156"/>
      <c r="E56" s="2429" t="s">
        <v>497</v>
      </c>
      <c r="F56" s="2432" t="s">
        <v>505</v>
      </c>
      <c r="G56" s="2429" t="s">
        <v>497</v>
      </c>
      <c r="H56" s="2432" t="s">
        <v>505</v>
      </c>
      <c r="I56" s="2429" t="s">
        <v>497</v>
      </c>
      <c r="J56" s="2429"/>
      <c r="K56" s="2518">
        <f>225+100+50+150</f>
        <v>525</v>
      </c>
      <c r="L56" s="2518"/>
      <c r="M56" s="2432"/>
      <c r="N56" s="2518"/>
      <c r="O56" s="2432"/>
      <c r="P56" s="2519"/>
      <c r="Q56" s="2518"/>
      <c r="R56" s="3156"/>
      <c r="S56" s="3156"/>
      <c r="T56" s="3260"/>
    </row>
    <row r="57" spans="1:30" s="2389" customFormat="1" ht="38.25" hidden="1">
      <c r="A57" s="2427"/>
      <c r="B57" s="3155" t="s">
        <v>506</v>
      </c>
      <c r="C57" s="3155"/>
      <c r="D57" s="3155"/>
      <c r="E57" s="2430" t="s">
        <v>507</v>
      </c>
      <c r="F57" s="2433"/>
      <c r="G57" s="2430" t="s">
        <v>507</v>
      </c>
      <c r="H57" s="2434" t="s">
        <v>508</v>
      </c>
      <c r="I57" s="2430" t="s">
        <v>509</v>
      </c>
      <c r="J57" s="2430"/>
      <c r="K57" s="2521"/>
      <c r="L57" s="2521"/>
      <c r="M57" s="2432"/>
      <c r="N57" s="2518"/>
      <c r="O57" s="2522"/>
      <c r="P57" s="2523"/>
      <c r="Q57" s="2553"/>
      <c r="R57" s="3155"/>
      <c r="S57" s="3155"/>
      <c r="T57" s="3260"/>
    </row>
    <row r="58" spans="1:30" ht="26.25" customHeight="1">
      <c r="A58" s="2435">
        <v>12</v>
      </c>
      <c r="B58" s="3161" t="s">
        <v>510</v>
      </c>
      <c r="C58" s="3162"/>
      <c r="D58" s="3162"/>
      <c r="E58" s="3162"/>
      <c r="F58" s="3162"/>
      <c r="G58" s="3162"/>
      <c r="H58" s="3162"/>
      <c r="I58" s="3162"/>
      <c r="J58" s="3163"/>
      <c r="K58" s="2524" t="s">
        <v>511</v>
      </c>
      <c r="L58" s="2525" t="s">
        <v>512</v>
      </c>
      <c r="M58" s="2525"/>
      <c r="N58" s="2525"/>
      <c r="O58" s="2526" t="s">
        <v>513</v>
      </c>
      <c r="P58" s="2527" t="s">
        <v>514</v>
      </c>
      <c r="Q58" s="2554" t="s">
        <v>515</v>
      </c>
      <c r="R58" s="2554"/>
      <c r="S58" s="2554"/>
      <c r="T58" s="2554"/>
      <c r="U58" s="2554"/>
      <c r="V58" s="2554"/>
      <c r="W58" s="2554"/>
      <c r="X58" s="2554"/>
      <c r="Y58" s="2554"/>
      <c r="Z58" s="2554"/>
      <c r="AA58" s="2554"/>
      <c r="AB58" s="2527" t="s">
        <v>516</v>
      </c>
      <c r="AC58" s="2554" t="s">
        <v>517</v>
      </c>
      <c r="AD58" s="2554"/>
    </row>
    <row r="59" spans="1:30" ht="43.5" customHeight="1">
      <c r="A59" s="3145"/>
      <c r="B59" s="3169" t="s">
        <v>518</v>
      </c>
      <c r="C59" s="3169"/>
      <c r="D59" s="3169" t="s">
        <v>469</v>
      </c>
      <c r="E59" s="3169" t="s">
        <v>519</v>
      </c>
      <c r="F59" s="2412" t="s">
        <v>520</v>
      </c>
      <c r="G59" s="3164" t="s">
        <v>521</v>
      </c>
      <c r="H59" s="3165"/>
      <c r="I59" s="3165"/>
      <c r="J59" s="3166"/>
      <c r="K59" s="2524"/>
      <c r="L59" s="2525"/>
      <c r="M59" s="2525"/>
      <c r="N59" s="2525"/>
      <c r="O59" s="2526"/>
      <c r="P59" s="2527"/>
      <c r="Q59" s="2554" t="s">
        <v>405</v>
      </c>
      <c r="R59" s="2554"/>
      <c r="S59" s="2554" t="s">
        <v>522</v>
      </c>
      <c r="T59" s="2554"/>
      <c r="U59" s="2554" t="s">
        <v>523</v>
      </c>
      <c r="V59" s="2554"/>
      <c r="W59" s="2554" t="s">
        <v>494</v>
      </c>
      <c r="X59" s="2554"/>
      <c r="Y59" s="2554" t="s">
        <v>506</v>
      </c>
      <c r="Z59" s="2554"/>
      <c r="AA59" s="2554"/>
      <c r="AB59" s="2527"/>
      <c r="AC59" s="2554"/>
      <c r="AD59" s="2554"/>
    </row>
    <row r="60" spans="1:30" ht="24" customHeight="1">
      <c r="A60" s="3145"/>
      <c r="B60" s="3169"/>
      <c r="C60" s="3169"/>
      <c r="D60" s="3169"/>
      <c r="E60" s="3169"/>
      <c r="F60" s="2413" t="s">
        <v>405</v>
      </c>
      <c r="G60" s="2413" t="s">
        <v>524</v>
      </c>
      <c r="H60" s="2413" t="s">
        <v>494</v>
      </c>
      <c r="I60" s="3141" t="s">
        <v>525</v>
      </c>
      <c r="J60" s="3143"/>
      <c r="K60" s="2524"/>
      <c r="L60" s="2525"/>
      <c r="M60" s="2525"/>
      <c r="N60" s="2525"/>
      <c r="O60" s="2526"/>
      <c r="P60" s="2527"/>
      <c r="Q60" s="2527" t="s">
        <v>502</v>
      </c>
      <c r="R60" s="2527" t="s">
        <v>474</v>
      </c>
      <c r="S60" s="2527" t="s">
        <v>502</v>
      </c>
      <c r="T60" s="2527" t="s">
        <v>474</v>
      </c>
      <c r="U60" s="2527" t="s">
        <v>502</v>
      </c>
      <c r="V60" s="2527" t="s">
        <v>474</v>
      </c>
      <c r="W60" s="2527" t="s">
        <v>502</v>
      </c>
      <c r="X60" s="2527" t="s">
        <v>474</v>
      </c>
      <c r="Y60" s="2527" t="s">
        <v>502</v>
      </c>
      <c r="Z60" s="2527" t="s">
        <v>474</v>
      </c>
      <c r="AA60" s="2527" t="s">
        <v>60</v>
      </c>
      <c r="AB60" s="2527"/>
      <c r="AC60" s="2527" t="s">
        <v>502</v>
      </c>
      <c r="AD60" s="2527" t="s">
        <v>474</v>
      </c>
    </row>
    <row r="61" spans="1:30" ht="31.5" customHeight="1">
      <c r="A61" s="2410">
        <v>1</v>
      </c>
      <c r="B61" s="3141" t="str">
        <f>E34</f>
        <v>BT Portion 0/00 to 0/800KM</v>
      </c>
      <c r="C61" s="3143"/>
      <c r="D61" s="2436">
        <f>N32</f>
        <v>0.04</v>
      </c>
      <c r="E61" s="2413">
        <f>'ESAL-result'!K29</f>
        <v>325</v>
      </c>
      <c r="F61" s="2413">
        <f>SPR!I36</f>
        <v>0</v>
      </c>
      <c r="G61" s="2413">
        <f>SPR!L36</f>
        <v>175</v>
      </c>
      <c r="H61" s="2413">
        <f>SPR!N36</f>
        <v>150</v>
      </c>
      <c r="I61" s="3167" t="s">
        <v>526</v>
      </c>
      <c r="J61" s="3168"/>
      <c r="K61" s="3167" t="s">
        <v>527</v>
      </c>
      <c r="L61" s="3168"/>
      <c r="M61" s="2528"/>
      <c r="N61" s="2529"/>
      <c r="O61" s="2526"/>
      <c r="P61" s="2527"/>
      <c r="Q61" s="2527"/>
      <c r="R61" s="2527"/>
      <c r="S61" s="2527"/>
      <c r="T61" s="2527"/>
      <c r="U61" s="2527"/>
      <c r="V61" s="2527"/>
      <c r="W61" s="2527"/>
      <c r="X61" s="2527"/>
      <c r="Y61" s="2527"/>
      <c r="Z61" s="2527"/>
      <c r="AA61" s="2527"/>
      <c r="AB61" s="2527"/>
      <c r="AC61" s="2527"/>
      <c r="AD61" s="2527"/>
    </row>
    <row r="62" spans="1:30" ht="21" customHeight="1">
      <c r="A62" s="2413">
        <v>2</v>
      </c>
      <c r="B62" s="3169" t="str">
        <f>E35</f>
        <v>CC 0/800to 1/00km</v>
      </c>
      <c r="C62" s="3169"/>
      <c r="D62" s="2437"/>
      <c r="E62" s="2413"/>
      <c r="F62" s="2413">
        <f>SPR!I37</f>
        <v>0</v>
      </c>
      <c r="G62" s="2413">
        <f>SPR!L37</f>
        <v>100</v>
      </c>
      <c r="H62" s="2413">
        <f>SPR!N37</f>
        <v>75</v>
      </c>
      <c r="I62" s="3167" t="s">
        <v>527</v>
      </c>
      <c r="J62" s="3168"/>
      <c r="K62" s="2495"/>
      <c r="L62" s="2530"/>
      <c r="M62" s="2531"/>
      <c r="N62" s="2532"/>
      <c r="O62" s="2533"/>
      <c r="P62" s="2493"/>
      <c r="Q62" s="2493"/>
      <c r="R62" s="2493"/>
      <c r="S62" s="2493"/>
      <c r="T62" s="2493"/>
      <c r="U62" s="2493"/>
      <c r="V62" s="2493"/>
      <c r="W62" s="2493"/>
      <c r="X62" s="2493"/>
      <c r="Y62" s="2493"/>
      <c r="Z62" s="2493"/>
      <c r="AA62" s="2493"/>
      <c r="AB62" s="2560"/>
      <c r="AC62" s="2495"/>
      <c r="AD62" s="2495"/>
    </row>
    <row r="63" spans="1:30" s="2390" customFormat="1">
      <c r="A63" s="2438">
        <v>13</v>
      </c>
      <c r="B63" s="3170" t="s">
        <v>528</v>
      </c>
      <c r="C63" s="3170"/>
      <c r="D63" s="3170"/>
      <c r="E63" s="3170"/>
      <c r="F63" s="3170"/>
      <c r="G63" s="3170"/>
      <c r="H63" s="3170"/>
      <c r="I63" s="3170"/>
      <c r="J63" s="3171"/>
      <c r="K63" s="2534"/>
      <c r="L63" s="2498"/>
      <c r="M63" s="3172"/>
      <c r="N63" s="3172"/>
      <c r="O63" s="3172"/>
      <c r="P63" s="3173"/>
      <c r="Q63" s="3173"/>
      <c r="R63" s="3173"/>
      <c r="S63" s="3173"/>
      <c r="T63" s="3173"/>
      <c r="U63" s="3173"/>
      <c r="V63" s="3173"/>
      <c r="W63" s="3174"/>
      <c r="X63" s="3174"/>
      <c r="Y63" s="3174"/>
      <c r="Z63" s="3174"/>
    </row>
    <row r="64" spans="1:30" ht="29.25" customHeight="1">
      <c r="A64" s="3178" t="s">
        <v>529</v>
      </c>
      <c r="B64" s="3175" t="s">
        <v>530</v>
      </c>
      <c r="C64" s="3176"/>
      <c r="D64" s="3176"/>
      <c r="E64" s="3177"/>
      <c r="F64" s="3178" t="s">
        <v>531</v>
      </c>
      <c r="G64" s="3178"/>
      <c r="H64" s="3178"/>
      <c r="I64" s="3175" t="s">
        <v>485</v>
      </c>
      <c r="J64" s="3177"/>
    </row>
    <row r="65" spans="1:13" ht="29.25" customHeight="1">
      <c r="A65" s="3178"/>
      <c r="B65" s="3179"/>
      <c r="C65" s="3180"/>
      <c r="D65" s="3180"/>
      <c r="E65" s="3181"/>
      <c r="F65" s="2561" t="s">
        <v>3</v>
      </c>
      <c r="G65" s="2439" t="s">
        <v>5</v>
      </c>
      <c r="H65" s="2561" t="s">
        <v>532</v>
      </c>
      <c r="I65" s="3175"/>
      <c r="J65" s="3177"/>
      <c r="K65" s="2603">
        <v>1</v>
      </c>
      <c r="L65" s="2603">
        <v>0</v>
      </c>
      <c r="M65" s="2604">
        <v>5.6</v>
      </c>
    </row>
    <row r="66" spans="1:13" ht="20.25" customHeight="1">
      <c r="A66" s="2562">
        <f>K66</f>
        <v>1</v>
      </c>
      <c r="B66" s="3182" t="s">
        <v>533</v>
      </c>
      <c r="C66" s="3183"/>
      <c r="D66" s="3183"/>
      <c r="E66" s="3184"/>
      <c r="F66" s="2563">
        <f>'Schedule-A'!B12</f>
        <v>3000</v>
      </c>
      <c r="G66" s="2563">
        <f>'Schedule-A'!G12</f>
        <v>3.93</v>
      </c>
      <c r="H66" s="2564">
        <f>ROUND(F66*G66,0)</f>
        <v>11790</v>
      </c>
      <c r="I66" s="3175"/>
      <c r="J66" s="3177" t="str">
        <f>IF(H66&lt;E66,E66-H66,"")</f>
        <v/>
      </c>
      <c r="K66" s="2605">
        <f t="shared" ref="K66:K78" si="0">IF(L66=L65,0,L66)</f>
        <v>1</v>
      </c>
      <c r="L66" s="2605">
        <f>IF(M66&gt;0,(L65+1),L65)</f>
        <v>1</v>
      </c>
      <c r="M66" s="2604">
        <f>F66</f>
        <v>3000</v>
      </c>
    </row>
    <row r="67" spans="1:13" s="349" customFormat="1" ht="22.9" hidden="1" customHeight="1">
      <c r="A67" s="2565">
        <f t="shared" ref="A67:A83" si="1">K67</f>
        <v>0</v>
      </c>
      <c r="B67" s="3185" t="s">
        <v>534</v>
      </c>
      <c r="C67" s="3186"/>
      <c r="D67" s="3186"/>
      <c r="E67" s="3187"/>
      <c r="F67" s="2566">
        <f>'Schedule-A'!B14</f>
        <v>0</v>
      </c>
      <c r="G67" s="2566">
        <f>'Schedule-A'!G14</f>
        <v>127.41</v>
      </c>
      <c r="H67" s="2567">
        <f t="shared" ref="H67:H79" si="2">ROUND(F67*G67,0)</f>
        <v>0</v>
      </c>
      <c r="I67" s="3188"/>
      <c r="J67" s="3189"/>
      <c r="K67" s="2044">
        <f t="shared" si="0"/>
        <v>0</v>
      </c>
      <c r="L67" s="2044">
        <f t="shared" ref="L67:L78" si="3">IF(M67&gt;0,(L66+1),L66)</f>
        <v>1</v>
      </c>
      <c r="M67" s="2606">
        <f t="shared" ref="M67:M78" si="4">F67</f>
        <v>0</v>
      </c>
    </row>
    <row r="68" spans="1:13" ht="31.5" customHeight="1">
      <c r="A68" s="2562">
        <f t="shared" si="1"/>
        <v>2</v>
      </c>
      <c r="B68" s="3182" t="s">
        <v>535</v>
      </c>
      <c r="C68" s="3183"/>
      <c r="D68" s="3183"/>
      <c r="E68" s="3184"/>
      <c r="F68" s="2563">
        <f>'Schedule-A'!B15</f>
        <v>2500</v>
      </c>
      <c r="G68" s="2563">
        <f>'Schedule-A'!G15</f>
        <v>270.81</v>
      </c>
      <c r="H68" s="2564">
        <f t="shared" si="2"/>
        <v>677025</v>
      </c>
      <c r="I68" s="3175"/>
      <c r="J68" s="3177" t="str">
        <f t="shared" ref="J68:J69" si="5">IF(H68&lt;E68,E68-H68,"")</f>
        <v/>
      </c>
      <c r="K68" s="2605">
        <f t="shared" si="0"/>
        <v>2</v>
      </c>
      <c r="L68" s="2605">
        <f t="shared" si="3"/>
        <v>2</v>
      </c>
      <c r="M68" s="2604">
        <f t="shared" si="4"/>
        <v>2500</v>
      </c>
    </row>
    <row r="69" spans="1:13" ht="18.75" customHeight="1">
      <c r="A69" s="2562">
        <f t="shared" si="1"/>
        <v>3</v>
      </c>
      <c r="B69" s="3182" t="s">
        <v>536</v>
      </c>
      <c r="C69" s="3183"/>
      <c r="D69" s="3183"/>
      <c r="E69" s="3184"/>
      <c r="F69" s="2563">
        <f>'Schedule-A'!B17</f>
        <v>600</v>
      </c>
      <c r="G69" s="2563">
        <f>'Schedule-A'!G17</f>
        <v>288.3</v>
      </c>
      <c r="H69" s="2564">
        <f t="shared" si="2"/>
        <v>172980</v>
      </c>
      <c r="I69" s="3175"/>
      <c r="J69" s="3177" t="str">
        <f t="shared" si="5"/>
        <v/>
      </c>
      <c r="K69" s="2605">
        <f t="shared" si="0"/>
        <v>3</v>
      </c>
      <c r="L69" s="2605">
        <f t="shared" si="3"/>
        <v>3</v>
      </c>
      <c r="M69" s="2604">
        <f t="shared" si="4"/>
        <v>600</v>
      </c>
    </row>
    <row r="70" spans="1:13" s="349" customFormat="1" ht="27.75" hidden="1" customHeight="1">
      <c r="A70" s="2565">
        <f t="shared" si="1"/>
        <v>0</v>
      </c>
      <c r="B70" s="3185" t="s">
        <v>537</v>
      </c>
      <c r="C70" s="3186"/>
      <c r="D70" s="3186"/>
      <c r="E70" s="3187"/>
      <c r="F70" s="2566">
        <f>'Schedule-A'!B13</f>
        <v>0</v>
      </c>
      <c r="G70" s="2566">
        <f>'Schedule-A'!G16</f>
        <v>10.220000000000001</v>
      </c>
      <c r="H70" s="2567">
        <f t="shared" si="2"/>
        <v>0</v>
      </c>
      <c r="I70" s="3188"/>
      <c r="J70" s="3189"/>
      <c r="K70" s="2044">
        <f t="shared" si="0"/>
        <v>0</v>
      </c>
      <c r="L70" s="2044">
        <f t="shared" si="3"/>
        <v>3</v>
      </c>
      <c r="M70" s="2606">
        <f t="shared" si="4"/>
        <v>0</v>
      </c>
    </row>
    <row r="71" spans="1:13" ht="16.5" customHeight="1">
      <c r="A71" s="2562">
        <f t="shared" si="1"/>
        <v>4</v>
      </c>
      <c r="B71" s="3182" t="s">
        <v>538</v>
      </c>
      <c r="C71" s="3183"/>
      <c r="D71" s="3183"/>
      <c r="E71" s="3184"/>
      <c r="F71" s="2563">
        <f>'Schedule-A'!B18</f>
        <v>640</v>
      </c>
      <c r="G71" s="2563">
        <f>'Schedule-A'!G18</f>
        <v>2686.07</v>
      </c>
      <c r="H71" s="2564">
        <f t="shared" si="2"/>
        <v>1719085</v>
      </c>
      <c r="I71" s="3175"/>
      <c r="J71" s="3177" t="str">
        <f>IF(H71&lt;E71,E71-H71,"")</f>
        <v/>
      </c>
      <c r="K71" s="2605">
        <f t="shared" si="0"/>
        <v>4</v>
      </c>
      <c r="L71" s="2605">
        <f t="shared" si="3"/>
        <v>4</v>
      </c>
      <c r="M71" s="2604">
        <f t="shared" si="4"/>
        <v>640</v>
      </c>
    </row>
    <row r="72" spans="1:13" s="349" customFormat="1" ht="21.75" hidden="1" customHeight="1">
      <c r="A72" s="2565">
        <f t="shared" si="1"/>
        <v>0</v>
      </c>
      <c r="B72" s="3185" t="s">
        <v>539</v>
      </c>
      <c r="C72" s="3186"/>
      <c r="D72" s="3186"/>
      <c r="E72" s="3187"/>
      <c r="F72" s="2566">
        <f>'Schedule-A'!B19</f>
        <v>0</v>
      </c>
      <c r="G72" s="2566">
        <f>'Schedule-A'!G19</f>
        <v>2889.56</v>
      </c>
      <c r="H72" s="2567">
        <f t="shared" si="2"/>
        <v>0</v>
      </c>
      <c r="I72" s="3188"/>
      <c r="J72" s="3189"/>
      <c r="K72" s="2044">
        <f t="shared" si="0"/>
        <v>0</v>
      </c>
      <c r="L72" s="2044">
        <f t="shared" si="3"/>
        <v>4</v>
      </c>
      <c r="M72" s="2606">
        <f t="shared" si="4"/>
        <v>0</v>
      </c>
    </row>
    <row r="73" spans="1:13" s="349" customFormat="1" ht="24" hidden="1" customHeight="1">
      <c r="A73" s="2565">
        <f t="shared" si="1"/>
        <v>0</v>
      </c>
      <c r="B73" s="3185" t="s">
        <v>540</v>
      </c>
      <c r="C73" s="3186"/>
      <c r="D73" s="3186"/>
      <c r="E73" s="3187"/>
      <c r="F73" s="2566">
        <f>'Schedule-A'!B20</f>
        <v>0</v>
      </c>
      <c r="G73" s="2566">
        <f>'Schedule-A'!G20</f>
        <v>3079</v>
      </c>
      <c r="H73" s="2567">
        <f t="shared" si="2"/>
        <v>0</v>
      </c>
      <c r="I73" s="3188"/>
      <c r="J73" s="3189"/>
      <c r="K73" s="2044">
        <f t="shared" si="0"/>
        <v>0</v>
      </c>
      <c r="L73" s="2044">
        <f t="shared" si="3"/>
        <v>4</v>
      </c>
      <c r="M73" s="2606">
        <f t="shared" si="4"/>
        <v>0</v>
      </c>
    </row>
    <row r="74" spans="1:13" ht="24.75" customHeight="1">
      <c r="A74" s="2562">
        <f t="shared" si="1"/>
        <v>5</v>
      </c>
      <c r="B74" s="3182" t="s">
        <v>541</v>
      </c>
      <c r="C74" s="3183"/>
      <c r="D74" s="3183"/>
      <c r="E74" s="3184"/>
      <c r="F74" s="2563">
        <f>'Schedule-A'!B21</f>
        <v>506.25</v>
      </c>
      <c r="G74" s="2563">
        <f>'Schedule-A'!G21</f>
        <v>3062.5</v>
      </c>
      <c r="H74" s="2564">
        <f t="shared" si="2"/>
        <v>1550391</v>
      </c>
      <c r="I74" s="3175"/>
      <c r="J74" s="3177" t="str">
        <f t="shared" ref="J74:J76" si="6">IF(H74&lt;E74,E74-H74,"")</f>
        <v/>
      </c>
      <c r="K74" s="2605">
        <f t="shared" si="0"/>
        <v>5</v>
      </c>
      <c r="L74" s="2605">
        <f t="shared" si="3"/>
        <v>5</v>
      </c>
      <c r="M74" s="2604">
        <f t="shared" si="4"/>
        <v>506.25</v>
      </c>
    </row>
    <row r="75" spans="1:13" ht="27.75" customHeight="1">
      <c r="A75" s="2562">
        <f t="shared" si="1"/>
        <v>6</v>
      </c>
      <c r="B75" s="3182" t="s">
        <v>542</v>
      </c>
      <c r="C75" s="3183"/>
      <c r="D75" s="3183"/>
      <c r="E75" s="3184"/>
      <c r="F75" s="2563">
        <f>'Schedule-A'!B22</f>
        <v>3000</v>
      </c>
      <c r="G75" s="2563">
        <f>'Schedule-A'!G22</f>
        <v>55.37</v>
      </c>
      <c r="H75" s="2564">
        <f t="shared" si="2"/>
        <v>166110</v>
      </c>
      <c r="I75" s="3175"/>
      <c r="J75" s="3177" t="str">
        <f t="shared" si="6"/>
        <v/>
      </c>
      <c r="K75" s="2605">
        <f t="shared" si="0"/>
        <v>6</v>
      </c>
      <c r="L75" s="2605">
        <f t="shared" si="3"/>
        <v>6</v>
      </c>
      <c r="M75" s="2604">
        <f t="shared" si="4"/>
        <v>3000</v>
      </c>
    </row>
    <row r="76" spans="1:13" ht="27.75" customHeight="1">
      <c r="A76" s="2562">
        <f t="shared" si="1"/>
        <v>7</v>
      </c>
      <c r="B76" s="3182" t="s">
        <v>543</v>
      </c>
      <c r="C76" s="3183"/>
      <c r="D76" s="3183"/>
      <c r="E76" s="3184"/>
      <c r="F76" s="2563">
        <f>'Schedule-A'!B23</f>
        <v>3000</v>
      </c>
      <c r="G76" s="2563">
        <f>'Schedule-A'!G23</f>
        <v>15.66</v>
      </c>
      <c r="H76" s="2564">
        <f t="shared" si="2"/>
        <v>46980</v>
      </c>
      <c r="I76" s="3175"/>
      <c r="J76" s="3177" t="str">
        <f t="shared" si="6"/>
        <v/>
      </c>
      <c r="K76" s="2605">
        <f t="shared" si="0"/>
        <v>7</v>
      </c>
      <c r="L76" s="2605">
        <f t="shared" si="3"/>
        <v>7</v>
      </c>
      <c r="M76" s="2604">
        <f t="shared" si="4"/>
        <v>3000</v>
      </c>
    </row>
    <row r="77" spans="1:13" s="349" customFormat="1" ht="27.75" hidden="1" customHeight="1">
      <c r="A77" s="2565">
        <f t="shared" si="1"/>
        <v>0</v>
      </c>
      <c r="B77" s="3185" t="s">
        <v>544</v>
      </c>
      <c r="C77" s="3186"/>
      <c r="D77" s="3186"/>
      <c r="E77" s="3187"/>
      <c r="F77" s="2566">
        <f>'Schedule-A'!B24</f>
        <v>0</v>
      </c>
      <c r="G77" s="2566">
        <f>'Schedule-A'!G24</f>
        <v>147.13999999999999</v>
      </c>
      <c r="H77" s="2567">
        <f t="shared" si="2"/>
        <v>0</v>
      </c>
      <c r="I77" s="3188"/>
      <c r="J77" s="3189"/>
      <c r="K77" s="2044">
        <f t="shared" si="0"/>
        <v>0</v>
      </c>
      <c r="L77" s="2044">
        <f t="shared" si="3"/>
        <v>7</v>
      </c>
      <c r="M77" s="2606">
        <f t="shared" si="4"/>
        <v>0</v>
      </c>
    </row>
    <row r="78" spans="1:13" s="349" customFormat="1" ht="27.75" hidden="1" customHeight="1">
      <c r="A78" s="2565">
        <f t="shared" si="1"/>
        <v>0</v>
      </c>
      <c r="B78" s="3185" t="s">
        <v>545</v>
      </c>
      <c r="C78" s="3186"/>
      <c r="D78" s="3186"/>
      <c r="E78" s="3187"/>
      <c r="F78" s="2566">
        <f>'Schedule-A'!B25</f>
        <v>0</v>
      </c>
      <c r="G78" s="2566">
        <f>'Schedule-A'!G25</f>
        <v>58.07</v>
      </c>
      <c r="H78" s="2567">
        <f t="shared" si="2"/>
        <v>0</v>
      </c>
      <c r="I78" s="3188"/>
      <c r="J78" s="3189"/>
      <c r="K78" s="2044">
        <f t="shared" si="0"/>
        <v>0</v>
      </c>
      <c r="L78" s="2044">
        <f t="shared" si="3"/>
        <v>7</v>
      </c>
      <c r="M78" s="2606">
        <f t="shared" si="4"/>
        <v>0</v>
      </c>
    </row>
    <row r="79" spans="1:13" s="349" customFormat="1" ht="27.75" hidden="1" customHeight="1">
      <c r="A79" s="2565">
        <f t="shared" si="1"/>
        <v>0</v>
      </c>
      <c r="B79" s="3185" t="s">
        <v>546</v>
      </c>
      <c r="C79" s="3186"/>
      <c r="D79" s="3186"/>
      <c r="E79" s="3187"/>
      <c r="F79" s="2566">
        <f>'Schedule-A'!B26</f>
        <v>0</v>
      </c>
      <c r="G79" s="2566">
        <f>'Schedule-A'!G26</f>
        <v>9744.4699999999993</v>
      </c>
      <c r="H79" s="2567">
        <f t="shared" si="2"/>
        <v>0</v>
      </c>
      <c r="I79" s="3188"/>
      <c r="J79" s="3189"/>
      <c r="K79" s="2044">
        <f t="shared" ref="K79:K83" si="7">IF(L79=L78,0,L79)</f>
        <v>0</v>
      </c>
      <c r="L79" s="2044">
        <f t="shared" ref="L79:L83" si="8">IF(M79&gt;0,(L78+1),L78)</f>
        <v>7</v>
      </c>
      <c r="M79" s="2606">
        <f t="shared" ref="M79:M84" si="9">F79</f>
        <v>0</v>
      </c>
    </row>
    <row r="80" spans="1:13" s="349" customFormat="1" ht="27.75" hidden="1" customHeight="1">
      <c r="A80" s="2565">
        <f t="shared" si="1"/>
        <v>0</v>
      </c>
      <c r="B80" s="3185" t="s">
        <v>547</v>
      </c>
      <c r="C80" s="3186"/>
      <c r="D80" s="3186"/>
      <c r="E80" s="3187"/>
      <c r="F80" s="2566">
        <f>'Schedule-A'!B27</f>
        <v>0</v>
      </c>
      <c r="G80" s="2566">
        <f>'Schedule-A'!G27</f>
        <v>11.97</v>
      </c>
      <c r="H80" s="2567">
        <f t="shared" ref="H80:H83" si="10">ROUND(F80*G80,0)</f>
        <v>0</v>
      </c>
      <c r="I80" s="3188"/>
      <c r="J80" s="3189"/>
      <c r="K80" s="2044">
        <f t="shared" si="7"/>
        <v>0</v>
      </c>
      <c r="L80" s="2044">
        <f t="shared" si="8"/>
        <v>7</v>
      </c>
      <c r="M80" s="2606">
        <f t="shared" si="9"/>
        <v>0</v>
      </c>
    </row>
    <row r="81" spans="1:15" s="349" customFormat="1" ht="27.75" hidden="1" customHeight="1">
      <c r="A81" s="2565">
        <f t="shared" si="1"/>
        <v>0</v>
      </c>
      <c r="B81" s="3185" t="s">
        <v>548</v>
      </c>
      <c r="C81" s="3186"/>
      <c r="D81" s="3186"/>
      <c r="E81" s="3187"/>
      <c r="F81" s="2566">
        <f>'Schedule-A'!B28</f>
        <v>0</v>
      </c>
      <c r="G81" s="2566">
        <f>'Schedule-A'!G28</f>
        <v>10227.82</v>
      </c>
      <c r="H81" s="2567">
        <f t="shared" si="10"/>
        <v>0</v>
      </c>
      <c r="I81" s="3188"/>
      <c r="J81" s="3189"/>
      <c r="K81" s="2044">
        <f t="shared" si="7"/>
        <v>0</v>
      </c>
      <c r="L81" s="2044">
        <f t="shared" si="8"/>
        <v>7</v>
      </c>
      <c r="M81" s="2606">
        <f t="shared" si="9"/>
        <v>0</v>
      </c>
    </row>
    <row r="82" spans="1:15" ht="27.75" customHeight="1">
      <c r="A82" s="2562">
        <f t="shared" si="1"/>
        <v>8</v>
      </c>
      <c r="B82" s="3182" t="s">
        <v>549</v>
      </c>
      <c r="C82" s="3183">
        <v>99</v>
      </c>
      <c r="D82" s="3183">
        <v>9895.44</v>
      </c>
      <c r="E82" s="3184">
        <f>ROUND(C82*D82,0)</f>
        <v>979649</v>
      </c>
      <c r="F82" s="2563">
        <f>'Schedule-A'!B29</f>
        <v>90</v>
      </c>
      <c r="G82" s="2563">
        <f>'Schedule-A'!G29</f>
        <v>10932.2</v>
      </c>
      <c r="H82" s="2564">
        <f t="shared" si="10"/>
        <v>983898</v>
      </c>
      <c r="I82" s="3175"/>
      <c r="J82" s="3177"/>
      <c r="K82" s="2605">
        <f t="shared" si="7"/>
        <v>8</v>
      </c>
      <c r="L82" s="2605">
        <f t="shared" si="8"/>
        <v>8</v>
      </c>
      <c r="M82" s="2604">
        <f t="shared" si="9"/>
        <v>90</v>
      </c>
    </row>
    <row r="83" spans="1:15" ht="15" customHeight="1">
      <c r="A83" s="2568">
        <f t="shared" si="1"/>
        <v>9</v>
      </c>
      <c r="B83" s="3182" t="s">
        <v>550</v>
      </c>
      <c r="C83" s="3183">
        <v>277.5</v>
      </c>
      <c r="D83" s="3183">
        <v>6839.26</v>
      </c>
      <c r="E83" s="3184">
        <f>ROUND(C83*D83,0)</f>
        <v>1897895</v>
      </c>
      <c r="F83" s="2563">
        <f>'Schedule-A'!B30</f>
        <v>150</v>
      </c>
      <c r="G83" s="2563">
        <f>'Schedule-A'!G30</f>
        <v>7502.51</v>
      </c>
      <c r="H83" s="2564">
        <f t="shared" si="10"/>
        <v>1125377</v>
      </c>
      <c r="I83" s="3175"/>
      <c r="J83" s="3177"/>
      <c r="K83" s="2605">
        <f t="shared" si="7"/>
        <v>9</v>
      </c>
      <c r="L83" s="2605">
        <f t="shared" si="8"/>
        <v>9</v>
      </c>
      <c r="M83" s="2604">
        <f t="shared" si="9"/>
        <v>150</v>
      </c>
    </row>
    <row r="84" spans="1:15" ht="13.5" customHeight="1">
      <c r="A84" s="2562"/>
      <c r="B84" s="2569"/>
      <c r="C84" s="2570"/>
      <c r="D84" s="2570"/>
      <c r="E84" s="2571"/>
      <c r="F84" s="2572"/>
      <c r="G84" s="2572"/>
      <c r="H84" s="2573"/>
      <c r="I84" s="3175"/>
      <c r="J84" s="3177"/>
      <c r="K84" s="2607" t="e">
        <f>IF(L84=#REF!,0,L84)</f>
        <v>#REF!</v>
      </c>
      <c r="L84" s="2607" t="e">
        <f>IF(M84&gt;0,(#REF!+1),#REF!)</f>
        <v>#REF!</v>
      </c>
      <c r="M84" s="2608">
        <f t="shared" si="9"/>
        <v>0</v>
      </c>
    </row>
    <row r="85" spans="1:15">
      <c r="A85" s="2568"/>
      <c r="B85" s="3182" t="s">
        <v>551</v>
      </c>
      <c r="C85" s="3183"/>
      <c r="D85" s="3183"/>
      <c r="E85" s="3184">
        <f>SUBTOTAL(9,E66:E83)</f>
        <v>2877544</v>
      </c>
      <c r="F85" s="2564"/>
      <c r="G85" s="2564"/>
      <c r="H85" s="2574">
        <f>SUBTOTAL(9,H66:H83)</f>
        <v>6453636</v>
      </c>
      <c r="I85" s="3175"/>
      <c r="J85" s="3177"/>
      <c r="K85" s="2605" t="e">
        <f>IF(L85=L84,0,L85)</f>
        <v>#REF!</v>
      </c>
      <c r="L85" s="2605" t="e">
        <f>IF(M85&gt;0,(L84+1),L84)</f>
        <v>#REF!</v>
      </c>
    </row>
    <row r="86" spans="1:15">
      <c r="A86" s="2410"/>
      <c r="B86" s="3182" t="s">
        <v>552</v>
      </c>
      <c r="C86" s="3183"/>
      <c r="D86" s="3183"/>
      <c r="E86" s="3184"/>
      <c r="F86" s="2564"/>
      <c r="G86" s="2564"/>
      <c r="H86" s="2564"/>
      <c r="I86" s="3175"/>
      <c r="J86" s="3177"/>
    </row>
    <row r="87" spans="1:15" ht="15" customHeight="1">
      <c r="A87" s="2568"/>
      <c r="B87" s="3190" t="s">
        <v>553</v>
      </c>
      <c r="C87" s="3191"/>
      <c r="D87" s="3191"/>
      <c r="E87" s="3192" t="s">
        <v>554</v>
      </c>
      <c r="F87" s="2575" t="s">
        <v>555</v>
      </c>
      <c r="G87" s="2575" t="s">
        <v>5</v>
      </c>
      <c r="H87" s="2575" t="s">
        <v>532</v>
      </c>
      <c r="I87" s="3175"/>
      <c r="J87" s="3177"/>
    </row>
    <row r="88" spans="1:15" ht="75">
      <c r="A88" s="2562" t="s">
        <v>556</v>
      </c>
      <c r="B88" s="3182" t="str">
        <f>M88</f>
        <v xml:space="preserve">Construction of HP Culvert 1V of 1000mm Dia.NP4 Pipes at Km </v>
      </c>
      <c r="C88" s="3183"/>
      <c r="D88" s="3183"/>
      <c r="E88" s="3184">
        <f>N88</f>
        <v>3</v>
      </c>
      <c r="F88" s="2576">
        <f>'CD Abs'!C5</f>
        <v>3</v>
      </c>
      <c r="G88" s="2576">
        <f>'CD Abs'!D5</f>
        <v>346940</v>
      </c>
      <c r="H88" s="2573">
        <f>F88*G88</f>
        <v>1040820</v>
      </c>
      <c r="I88" s="3175"/>
      <c r="J88" s="3177"/>
      <c r="L88" s="2562" t="s">
        <v>557</v>
      </c>
      <c r="M88" s="2609" t="str">
        <f>'Schedule-A'!D32</f>
        <v xml:space="preserve">Construction of HP Culvert 1V of 1000mm Dia.NP4 Pipes at Km </v>
      </c>
      <c r="N88" s="2609">
        <f>'Schedule-A'!E32</f>
        <v>3</v>
      </c>
      <c r="O88" s="2610">
        <f>'Schedule-A'!I39</f>
        <v>1040819</v>
      </c>
    </row>
    <row r="89" spans="1:15" s="2391" customFormat="1" ht="39.75" customHeight="1">
      <c r="A89" s="2577" t="s">
        <v>558</v>
      </c>
      <c r="B89" s="3182"/>
      <c r="C89" s="3183"/>
      <c r="D89" s="3183"/>
      <c r="E89" s="3184"/>
      <c r="F89" s="2576">
        <f>'CD Abs'!C6</f>
        <v>1</v>
      </c>
      <c r="G89" s="2576">
        <f>'CD Abs'!D6</f>
        <v>530080</v>
      </c>
      <c r="H89" s="2573">
        <f>F89*G89</f>
        <v>530080</v>
      </c>
      <c r="I89" s="3188"/>
      <c r="J89" s="3189"/>
      <c r="K89" s="2611"/>
      <c r="L89" s="2577" t="s">
        <v>559</v>
      </c>
      <c r="M89" s="2612" t="str">
        <f>'Schedule-A'!D40</f>
        <v>Construction of HP Culvert 2V of 1000mm Dia.NP4 Pipes at Km</v>
      </c>
      <c r="N89" s="2612">
        <f>'Schedule-A'!E40</f>
        <v>1</v>
      </c>
      <c r="O89" s="2613">
        <f>'Schedule-A'!I47</f>
        <v>530080</v>
      </c>
    </row>
    <row r="90" spans="1:15" s="2391" customFormat="1" ht="90">
      <c r="A90" s="2577"/>
      <c r="B90" s="3182"/>
      <c r="C90" s="3183"/>
      <c r="D90" s="3183"/>
      <c r="E90" s="3184"/>
      <c r="F90" s="3193"/>
      <c r="G90" s="3193"/>
      <c r="H90" s="2578"/>
      <c r="I90" s="3188"/>
      <c r="J90" s="3189"/>
      <c r="K90" s="2611"/>
      <c r="L90" s="2577" t="s">
        <v>559</v>
      </c>
      <c r="M90" s="2612" t="str">
        <f>'Schedule-A'!D48</f>
        <v>Construction of HP Culvert 1 V of 1000mm Dia.NP4 Pipes  0 Nos at 2/150 (Skew) Kms</v>
      </c>
      <c r="N90" s="2612">
        <f>'Schedule-A'!E48</f>
        <v>0</v>
      </c>
      <c r="O90" s="2613">
        <f>'Schedule-A'!I54</f>
        <v>0</v>
      </c>
    </row>
    <row r="91" spans="1:15">
      <c r="A91" s="2568"/>
      <c r="B91" s="3190" t="s">
        <v>560</v>
      </c>
      <c r="C91" s="3191"/>
      <c r="D91" s="3191"/>
      <c r="E91" s="3192">
        <f>SUM(E89:E90)</f>
        <v>0</v>
      </c>
      <c r="F91" s="2579"/>
      <c r="G91" s="2579"/>
      <c r="H91" s="2564">
        <f>SUM(H88:H90)</f>
        <v>1570900</v>
      </c>
      <c r="I91" s="3175"/>
      <c r="J91" s="3177"/>
    </row>
    <row r="92" spans="1:15" ht="18.75" customHeight="1">
      <c r="A92" s="2568"/>
      <c r="B92" s="3182" t="s">
        <v>561</v>
      </c>
      <c r="C92" s="3183"/>
      <c r="D92" s="3183"/>
      <c r="E92" s="3184"/>
      <c r="F92" s="2580"/>
      <c r="G92" s="2580"/>
      <c r="H92" s="2564">
        <f>GA!E9</f>
        <v>37461</v>
      </c>
      <c r="I92" s="3175"/>
      <c r="J92" s="3177"/>
    </row>
    <row r="93" spans="1:15" ht="18.75" customHeight="1">
      <c r="A93" s="2568"/>
      <c r="B93" s="3182" t="s">
        <v>562</v>
      </c>
      <c r="C93" s="3183"/>
      <c r="D93" s="3183"/>
      <c r="E93" s="3184"/>
      <c r="F93" s="2580"/>
      <c r="G93" s="2580"/>
      <c r="H93" s="2564">
        <f>GA!E10</f>
        <v>14416</v>
      </c>
      <c r="I93" s="3175"/>
      <c r="J93" s="3177"/>
    </row>
    <row r="94" spans="1:15" ht="15" customHeight="1">
      <c r="A94" s="2568"/>
      <c r="B94" s="3194" t="s">
        <v>563</v>
      </c>
      <c r="C94" s="3195"/>
      <c r="D94" s="3195"/>
      <c r="E94" s="3196"/>
      <c r="F94" s="2581" t="s">
        <v>564</v>
      </c>
      <c r="G94" s="2581"/>
      <c r="H94" s="2574">
        <f>SUM(H93+H92+H91+H85)</f>
        <v>8076413</v>
      </c>
      <c r="I94" s="3175"/>
      <c r="J94" s="3177"/>
    </row>
    <row r="95" spans="1:15" ht="18.75" customHeight="1">
      <c r="A95" s="2568">
        <f>+A92+1</f>
        <v>1</v>
      </c>
      <c r="B95" s="3197" t="str">
        <f>[2]GA!B11</f>
        <v>Q.C. Charges @ 0.50%</v>
      </c>
      <c r="C95" s="3198"/>
      <c r="D95" s="3198"/>
      <c r="E95" s="3199"/>
      <c r="F95" s="2581"/>
      <c r="G95" s="2581"/>
      <c r="H95" s="2564">
        <f>GA!E12</f>
        <v>42411</v>
      </c>
      <c r="I95" s="3175"/>
      <c r="J95" s="3177"/>
    </row>
    <row r="96" spans="1:15" ht="18.75" customHeight="1">
      <c r="A96" s="2568">
        <f t="shared" ref="A96:A102" si="11">A95+1</f>
        <v>2</v>
      </c>
      <c r="B96" s="3197" t="str">
        <f>[2]GA!B12</f>
        <v>NAC @ 0.10%</v>
      </c>
      <c r="C96" s="3198"/>
      <c r="D96" s="3198"/>
      <c r="E96" s="3199"/>
      <c r="F96" s="2581"/>
      <c r="G96" s="2581"/>
      <c r="H96" s="2564">
        <f>GA!E13</f>
        <v>8482</v>
      </c>
      <c r="I96" s="3175"/>
      <c r="J96" s="3177"/>
    </row>
    <row r="97" spans="1:19" ht="18.75" customHeight="1">
      <c r="A97" s="2568">
        <f t="shared" si="11"/>
        <v>3</v>
      </c>
      <c r="B97" s="3197" t="str">
        <f>[2]GA!B13</f>
        <v>Seignarage Charges</v>
      </c>
      <c r="C97" s="3198"/>
      <c r="D97" s="3198"/>
      <c r="E97" s="3199"/>
      <c r="F97" s="2581"/>
      <c r="G97" s="2581"/>
      <c r="H97" s="2564">
        <f>GA!E14</f>
        <v>297019</v>
      </c>
      <c r="I97" s="3175"/>
      <c r="J97" s="3177"/>
    </row>
    <row r="98" spans="1:19" ht="30.75" customHeight="1">
      <c r="A98" s="2568">
        <f t="shared" si="11"/>
        <v>4</v>
      </c>
      <c r="B98" s="3197" t="str">
        <f>[2]GA!B14</f>
        <v>Add DMF @ 30% on Seignarage amount</v>
      </c>
      <c r="C98" s="3198"/>
      <c r="D98" s="3198"/>
      <c r="E98" s="3199"/>
      <c r="F98" s="2581"/>
      <c r="G98" s="2581"/>
      <c r="H98" s="2564">
        <f>GA!E15</f>
        <v>89106</v>
      </c>
      <c r="I98" s="3175"/>
      <c r="J98" s="3177"/>
    </row>
    <row r="99" spans="1:19" ht="28.9" customHeight="1">
      <c r="A99" s="2568">
        <f t="shared" si="11"/>
        <v>5</v>
      </c>
      <c r="B99" s="3197" t="str">
        <f>[2]GA!B15</f>
        <v>Add SMET @2% on Seignarage amount</v>
      </c>
      <c r="C99" s="3198"/>
      <c r="D99" s="3198"/>
      <c r="E99" s="3199"/>
      <c r="F99" s="2581"/>
      <c r="G99" s="2581"/>
      <c r="H99" s="2564">
        <f>GA!E16</f>
        <v>5940</v>
      </c>
      <c r="I99" s="3175"/>
      <c r="J99" s="3177"/>
      <c r="O99" s="2386">
        <v>548734</v>
      </c>
      <c r="P99" s="2386">
        <v>568729</v>
      </c>
      <c r="S99" s="2386">
        <f>O99-P99</f>
        <v>-19995</v>
      </c>
    </row>
    <row r="100" spans="1:19" ht="28.9" customHeight="1">
      <c r="A100" s="2568">
        <f t="shared" si="11"/>
        <v>6</v>
      </c>
      <c r="B100" s="3197" t="str">
        <f>GA!B17</f>
        <v>Add 0.8 times permit fee on Seign Charges</v>
      </c>
      <c r="C100" s="3198"/>
      <c r="D100" s="3198"/>
      <c r="E100" s="3199"/>
      <c r="F100" s="2581"/>
      <c r="G100" s="2581"/>
      <c r="H100" s="2564">
        <f>GA!E17</f>
        <v>237615</v>
      </c>
      <c r="I100" s="2985"/>
      <c r="J100" s="2986"/>
    </row>
    <row r="101" spans="1:19" ht="22.9" customHeight="1">
      <c r="A101" s="2568">
        <f t="shared" si="11"/>
        <v>7</v>
      </c>
      <c r="B101" s="3197" t="s">
        <v>565</v>
      </c>
      <c r="C101" s="3198"/>
      <c r="D101" s="3198"/>
      <c r="E101" s="3199"/>
      <c r="F101" s="2581"/>
      <c r="G101" s="2581"/>
      <c r="H101" s="2564">
        <f>GA!E19</f>
        <v>1649306</v>
      </c>
      <c r="I101" s="3175"/>
      <c r="J101" s="3177"/>
      <c r="O101" s="2386">
        <v>199305</v>
      </c>
      <c r="P101" s="2386">
        <v>202046</v>
      </c>
      <c r="S101" s="2386">
        <f t="shared" ref="S101:S103" si="12">O101-P101</f>
        <v>-2741</v>
      </c>
    </row>
    <row r="102" spans="1:19" ht="42.75" customHeight="1">
      <c r="A102" s="2568">
        <f t="shared" si="11"/>
        <v>8</v>
      </c>
      <c r="B102" s="3197" t="s">
        <v>566</v>
      </c>
      <c r="C102" s="3198"/>
      <c r="D102" s="3198"/>
      <c r="E102" s="3199"/>
      <c r="F102" s="2580"/>
      <c r="G102" s="2580"/>
      <c r="H102" s="2564">
        <f>GA!E20</f>
        <v>-812116</v>
      </c>
      <c r="I102" s="3175"/>
      <c r="J102" s="3177"/>
      <c r="K102" s="2614">
        <f>L4</f>
        <v>100</v>
      </c>
      <c r="O102" s="2386">
        <v>4231119</v>
      </c>
      <c r="P102" s="2386">
        <v>4185149</v>
      </c>
      <c r="S102" s="2386">
        <f t="shared" si="12"/>
        <v>45970</v>
      </c>
    </row>
    <row r="103" spans="1:19" ht="18" customHeight="1">
      <c r="A103" s="2568"/>
      <c r="B103" s="3200" t="s">
        <v>567</v>
      </c>
      <c r="C103" s="3201"/>
      <c r="D103" s="3202"/>
      <c r="E103" s="2582"/>
      <c r="G103" s="2581"/>
      <c r="H103" s="2583">
        <f>SUBTOTAL(9,H94:H102)</f>
        <v>9594176</v>
      </c>
      <c r="I103" s="2583"/>
      <c r="J103" s="2583"/>
      <c r="K103" s="2615">
        <f>K102*100000-SUM(H94:I96)</f>
        <v>1872694</v>
      </c>
      <c r="O103" s="2386">
        <f>O99+O101+O102</f>
        <v>4979158</v>
      </c>
      <c r="P103" s="2386">
        <f>P99+P101+P102</f>
        <v>4955924</v>
      </c>
      <c r="S103" s="2386">
        <f t="shared" si="12"/>
        <v>23234</v>
      </c>
    </row>
    <row r="104" spans="1:19" s="2387" customFormat="1" ht="18" hidden="1" customHeight="1">
      <c r="A104" s="2584"/>
      <c r="B104" s="2585"/>
      <c r="C104" s="2585"/>
      <c r="D104" s="2585"/>
      <c r="E104" s="2586"/>
      <c r="F104" s="2587"/>
      <c r="G104" s="2587"/>
      <c r="H104" s="2586"/>
      <c r="I104" s="2616"/>
      <c r="J104" s="2617"/>
      <c r="K104" s="2618"/>
    </row>
    <row r="105" spans="1:19" s="2387" customFormat="1" ht="18" hidden="1" customHeight="1">
      <c r="A105" s="2588"/>
      <c r="B105" s="3203" t="s">
        <v>568</v>
      </c>
      <c r="C105" s="3203"/>
      <c r="D105" s="3203"/>
      <c r="E105" s="2589">
        <f>E103</f>
        <v>0</v>
      </c>
      <c r="F105" s="2590"/>
      <c r="G105" s="2591" t="s">
        <v>569</v>
      </c>
      <c r="H105" s="2589">
        <f>I103</f>
        <v>0</v>
      </c>
      <c r="I105" s="2619"/>
      <c r="J105" s="2619"/>
      <c r="K105" s="2618"/>
    </row>
    <row r="106" spans="1:19" s="2387" customFormat="1" ht="18" hidden="1" customHeight="1">
      <c r="A106" s="2588"/>
      <c r="B106" s="3203" t="s">
        <v>570</v>
      </c>
      <c r="C106" s="3203"/>
      <c r="D106" s="3203"/>
      <c r="E106" s="2589">
        <f>H103</f>
        <v>9594176</v>
      </c>
      <c r="F106" s="2590"/>
      <c r="G106" s="2591" t="s">
        <v>571</v>
      </c>
      <c r="H106" s="2589">
        <f>J103</f>
        <v>0</v>
      </c>
      <c r="I106" s="2619"/>
      <c r="J106" s="2619"/>
      <c r="K106" s="2618"/>
    </row>
    <row r="107" spans="1:19" s="2387" customFormat="1" ht="18" hidden="1" customHeight="1">
      <c r="A107" s="2588"/>
      <c r="B107" s="3203" t="s">
        <v>572</v>
      </c>
      <c r="C107" s="3203"/>
      <c r="D107" s="3203"/>
      <c r="E107" s="2592">
        <f>E105-E106</f>
        <v>-9594176</v>
      </c>
      <c r="F107" s="2590"/>
      <c r="G107" s="2591" t="s">
        <v>455</v>
      </c>
      <c r="H107" s="2592">
        <f>H105-H106</f>
        <v>0</v>
      </c>
      <c r="I107" s="2619"/>
      <c r="J107" s="2619"/>
      <c r="K107" s="2618"/>
    </row>
    <row r="108" spans="1:19" s="2387" customFormat="1" ht="45.75" hidden="1" customHeight="1">
      <c r="A108" s="2593"/>
      <c r="B108" s="3204" t="s">
        <v>573</v>
      </c>
      <c r="C108" s="3204"/>
      <c r="D108" s="3204"/>
      <c r="E108" s="3204"/>
      <c r="F108" s="3204"/>
      <c r="G108" s="3204"/>
      <c r="H108" s="3204"/>
      <c r="I108" s="3204"/>
      <c r="J108" s="3205"/>
      <c r="K108" s="2618"/>
    </row>
    <row r="109" spans="1:19" ht="17.45" customHeight="1">
      <c r="A109" s="2594"/>
      <c r="B109" s="3206" t="s">
        <v>574</v>
      </c>
      <c r="C109" s="3206"/>
      <c r="D109" s="3206"/>
      <c r="E109" s="3206"/>
      <c r="F109" s="3206"/>
      <c r="G109" s="3206"/>
      <c r="H109" s="3206"/>
      <c r="I109" s="3206"/>
      <c r="J109" s="2620"/>
    </row>
    <row r="110" spans="1:19" ht="16.899999999999999" customHeight="1">
      <c r="A110" s="2595"/>
      <c r="B110" s="3207" t="s">
        <v>575</v>
      </c>
      <c r="C110" s="3207"/>
      <c r="D110" s="3207"/>
      <c r="E110" s="3207"/>
      <c r="F110" s="3207"/>
      <c r="G110" s="3207"/>
      <c r="H110" s="3208" t="s">
        <v>2812</v>
      </c>
      <c r="I110" s="3209"/>
      <c r="J110" s="2621"/>
    </row>
    <row r="111" spans="1:19" s="2390" customFormat="1" ht="26.25" customHeight="1">
      <c r="A111" s="2596">
        <v>14</v>
      </c>
      <c r="B111" s="2597" t="s">
        <v>576</v>
      </c>
      <c r="C111" s="2597"/>
      <c r="D111" s="2597"/>
      <c r="E111" s="2597"/>
      <c r="F111" s="2597"/>
      <c r="G111" s="2597"/>
      <c r="H111" s="2597"/>
      <c r="I111" s="2597"/>
      <c r="J111" s="2622"/>
      <c r="K111" s="2623"/>
    </row>
    <row r="112" spans="1:19" ht="36.75" customHeight="1">
      <c r="A112" s="2598" t="s">
        <v>577</v>
      </c>
      <c r="B112" s="3210" t="s">
        <v>578</v>
      </c>
      <c r="C112" s="3210"/>
      <c r="D112" s="3210"/>
      <c r="E112" s="3210" t="s">
        <v>579</v>
      </c>
      <c r="F112" s="3210"/>
      <c r="G112" s="2402" t="s">
        <v>580</v>
      </c>
      <c r="H112" s="2477" t="s">
        <v>581</v>
      </c>
      <c r="I112" s="3211" t="s">
        <v>582</v>
      </c>
      <c r="J112" s="3211"/>
      <c r="L112" s="2624" t="s">
        <v>405</v>
      </c>
      <c r="M112" s="2625" t="str">
        <f>'Input Data'!D15</f>
        <v>Local</v>
      </c>
      <c r="N112" s="2626">
        <f>'Input Data'!E15</f>
        <v>5</v>
      </c>
      <c r="P112" s="2627"/>
      <c r="Q112" s="2638"/>
      <c r="R112" s="2639"/>
    </row>
    <row r="113" spans="1:18" ht="15" customHeight="1">
      <c r="A113" s="2599">
        <v>1</v>
      </c>
      <c r="B113" s="3089" t="s">
        <v>583</v>
      </c>
      <c r="C113" s="3089"/>
      <c r="D113" s="3089"/>
      <c r="E113" s="3212">
        <f>'Input Data'!I24</f>
        <v>5000</v>
      </c>
      <c r="F113" s="3213"/>
      <c r="G113" s="2599" t="s">
        <v>66</v>
      </c>
      <c r="H113" s="2600"/>
      <c r="I113" s="3214" t="str">
        <f>'Input Data'!H24</f>
        <v>Cement, sep' 2024</v>
      </c>
      <c r="J113" s="3215"/>
      <c r="L113" s="2624" t="s">
        <v>584</v>
      </c>
      <c r="M113" s="2625" t="str">
        <f>'Input Data'!D19</f>
        <v>Local</v>
      </c>
      <c r="N113" s="2626">
        <f>'Input Data'!E19</f>
        <v>5</v>
      </c>
      <c r="P113" s="2628"/>
      <c r="Q113" s="2638"/>
      <c r="R113" s="2639"/>
    </row>
    <row r="114" spans="1:18" ht="35.25" customHeight="1">
      <c r="A114" s="2599">
        <v>2</v>
      </c>
      <c r="B114" s="3216" t="s">
        <v>585</v>
      </c>
      <c r="C114" s="3217"/>
      <c r="D114" s="3218"/>
      <c r="E114" s="3212">
        <f>'Input Data'!I25</f>
        <v>49000</v>
      </c>
      <c r="F114" s="3213"/>
      <c r="G114" s="2599" t="s">
        <v>66</v>
      </c>
      <c r="H114" s="2600"/>
      <c r="I114" s="3214" t="str">
        <f>'Input Data'!H25</f>
        <v>Steel HYSD-Fe-500 Bars, sep' 2024</v>
      </c>
      <c r="J114" s="3215"/>
      <c r="L114" s="2624" t="s">
        <v>586</v>
      </c>
      <c r="M114" s="2625" t="str">
        <f>'Input Data'!D13</f>
        <v>Wanaparthy</v>
      </c>
      <c r="N114" s="2626">
        <f>'Input Data'!E13</f>
        <v>82</v>
      </c>
      <c r="P114" s="2628"/>
      <c r="Q114" s="2638"/>
      <c r="R114" s="2639"/>
    </row>
    <row r="115" spans="1:18" ht="15.75" customHeight="1">
      <c r="A115" s="2599">
        <v>3</v>
      </c>
      <c r="B115" s="3219" t="str">
        <f>"BT (60/70 grade) -("&amp;M119&amp;")"</f>
        <v>BT (60/70 grade) -(Chennai)</v>
      </c>
      <c r="C115" s="3219"/>
      <c r="D115" s="3219"/>
      <c r="E115" s="3212">
        <f>'Input Data'!J14</f>
        <v>40352</v>
      </c>
      <c r="F115" s="3213"/>
      <c r="G115" s="2599" t="s">
        <v>66</v>
      </c>
      <c r="H115" s="2601">
        <f>N119</f>
        <v>665</v>
      </c>
      <c r="I115" s="3220">
        <f>'Input Data'!H14</f>
        <v>45536</v>
      </c>
      <c r="J115" s="3221"/>
      <c r="L115" s="2624" t="s">
        <v>402</v>
      </c>
      <c r="M115" s="2625" t="str">
        <f>'Input Data'!D14</f>
        <v>Local</v>
      </c>
      <c r="N115" s="2626">
        <f>'Input Data'!E14</f>
        <v>5</v>
      </c>
      <c r="P115" s="2628"/>
      <c r="Q115" s="2638"/>
      <c r="R115" s="2639"/>
    </row>
    <row r="116" spans="1:18" ht="15.75" customHeight="1">
      <c r="A116" s="2599">
        <v>4</v>
      </c>
      <c r="B116" s="3089" t="s">
        <v>587</v>
      </c>
      <c r="C116" s="3089"/>
      <c r="D116" s="3089"/>
      <c r="E116" s="3212">
        <f>'Input Data'!J15</f>
        <v>73459</v>
      </c>
      <c r="F116" s="3213"/>
      <c r="G116" s="2599" t="s">
        <v>66</v>
      </c>
      <c r="H116" s="2601">
        <f>H115</f>
        <v>665</v>
      </c>
      <c r="I116" s="3222" t="s">
        <v>588</v>
      </c>
      <c r="J116" s="3215"/>
      <c r="L116" s="2624"/>
      <c r="M116" s="2625"/>
      <c r="N116" s="2626"/>
      <c r="P116" s="2628"/>
      <c r="Q116" s="2638"/>
      <c r="R116" s="2639"/>
    </row>
    <row r="117" spans="1:18" ht="15.75" customHeight="1">
      <c r="A117" s="2599">
        <v>5</v>
      </c>
      <c r="B117" s="3089" t="s">
        <v>589</v>
      </c>
      <c r="C117" s="3089"/>
      <c r="D117" s="3089"/>
      <c r="E117" s="3212">
        <f>'Input Data'!J16</f>
        <v>39765</v>
      </c>
      <c r="F117" s="3213"/>
      <c r="G117" s="2599" t="s">
        <v>66</v>
      </c>
      <c r="H117" s="2601">
        <f>H116</f>
        <v>665</v>
      </c>
      <c r="I117" s="3222" t="s">
        <v>588</v>
      </c>
      <c r="J117" s="3215"/>
      <c r="L117" s="2624" t="s">
        <v>590</v>
      </c>
      <c r="M117" s="2625" t="str">
        <f>'Input Data'!D21</f>
        <v>Wanaparthy</v>
      </c>
      <c r="N117" s="2626">
        <f>'Input Data'!E21</f>
        <v>57</v>
      </c>
      <c r="P117" s="2628"/>
      <c r="Q117" s="2638"/>
      <c r="R117" s="2639"/>
    </row>
    <row r="118" spans="1:18" ht="15.75" customHeight="1">
      <c r="A118" s="2599">
        <v>6</v>
      </c>
      <c r="B118" s="3089" t="s">
        <v>591</v>
      </c>
      <c r="C118" s="3089"/>
      <c r="D118" s="3089"/>
      <c r="E118" s="3223" t="s">
        <v>592</v>
      </c>
      <c r="F118" s="3213"/>
      <c r="G118" s="2599" t="s">
        <v>73</v>
      </c>
      <c r="H118" s="2601">
        <f>N117</f>
        <v>57</v>
      </c>
      <c r="I118" s="3224" t="str">
        <f>M117</f>
        <v>Wanaparthy</v>
      </c>
      <c r="J118" s="3225"/>
      <c r="L118" s="2624" t="s">
        <v>593</v>
      </c>
      <c r="M118" s="2625" t="str">
        <f>M117</f>
        <v>Wanaparthy</v>
      </c>
      <c r="N118" s="2626">
        <f>N117</f>
        <v>57</v>
      </c>
      <c r="P118" s="2629"/>
      <c r="Q118" s="2638"/>
      <c r="R118" s="2639"/>
    </row>
    <row r="119" spans="1:18" ht="15.75" customHeight="1">
      <c r="A119" s="2599">
        <v>7</v>
      </c>
      <c r="B119" s="3089" t="s">
        <v>594</v>
      </c>
      <c r="C119" s="3089"/>
      <c r="D119" s="3089"/>
      <c r="E119" s="3223" t="s">
        <v>592</v>
      </c>
      <c r="F119" s="3213"/>
      <c r="G119" s="2599" t="s">
        <v>73</v>
      </c>
      <c r="H119" s="2601">
        <f>N118</f>
        <v>57</v>
      </c>
      <c r="I119" s="3224" t="str">
        <f>M118</f>
        <v>Wanaparthy</v>
      </c>
      <c r="J119" s="3225"/>
      <c r="L119" s="2624" t="s">
        <v>595</v>
      </c>
      <c r="M119" s="2625" t="s">
        <v>596</v>
      </c>
      <c r="N119" s="2626">
        <f>'Input Data'!E20</f>
        <v>665</v>
      </c>
      <c r="P119" s="2629"/>
      <c r="Q119" s="2638"/>
      <c r="R119" s="2639"/>
    </row>
    <row r="120" spans="1:18" ht="15.75" customHeight="1">
      <c r="A120" s="2599">
        <v>8</v>
      </c>
      <c r="B120" s="3089" t="s">
        <v>586</v>
      </c>
      <c r="C120" s="3089"/>
      <c r="D120" s="3089"/>
      <c r="E120" s="3223" t="s">
        <v>592</v>
      </c>
      <c r="F120" s="3213"/>
      <c r="G120" s="2599" t="s">
        <v>73</v>
      </c>
      <c r="H120" s="2601">
        <f>N114</f>
        <v>82</v>
      </c>
      <c r="I120" s="3224" t="str">
        <f>M114</f>
        <v>Wanaparthy</v>
      </c>
      <c r="J120" s="3225"/>
      <c r="L120" s="2624"/>
      <c r="M120" s="2625"/>
      <c r="N120" s="2626"/>
      <c r="P120" s="2630"/>
      <c r="Q120" s="2638"/>
      <c r="R120" s="2639"/>
    </row>
    <row r="121" spans="1:18" ht="15.75" customHeight="1">
      <c r="A121" s="2599">
        <v>9</v>
      </c>
      <c r="B121" s="3089" t="str">
        <f>L121</f>
        <v>Manufactured Sand (Rock Sand)</v>
      </c>
      <c r="C121" s="3089"/>
      <c r="D121" s="3089"/>
      <c r="E121" s="3223" t="s">
        <v>592</v>
      </c>
      <c r="F121" s="3213"/>
      <c r="G121" s="2599" t="s">
        <v>73</v>
      </c>
      <c r="H121" s="2601">
        <f>N121</f>
        <v>57</v>
      </c>
      <c r="I121" s="3224" t="str">
        <f>M121</f>
        <v>Wanaparthy</v>
      </c>
      <c r="J121" s="3225"/>
      <c r="L121" s="2624" t="str">
        <f>'Input Data'!C12</f>
        <v>Manufactured Sand (Rock Sand)</v>
      </c>
      <c r="M121" s="2625" t="str">
        <f>'Input Data'!D12</f>
        <v>Wanaparthy</v>
      </c>
      <c r="N121" s="2626">
        <f>'Input Data'!E12</f>
        <v>57</v>
      </c>
      <c r="P121" s="2630"/>
      <c r="Q121" s="2638"/>
      <c r="R121" s="2639"/>
    </row>
    <row r="122" spans="1:18" ht="15.75" customHeight="1">
      <c r="A122" s="2599">
        <v>10</v>
      </c>
      <c r="B122" s="3089" t="s">
        <v>597</v>
      </c>
      <c r="C122" s="3089"/>
      <c r="D122" s="3089"/>
      <c r="E122" s="3223" t="s">
        <v>592</v>
      </c>
      <c r="F122" s="3213"/>
      <c r="G122" s="2599" t="s">
        <v>73</v>
      </c>
      <c r="H122" s="2601">
        <f>N115</f>
        <v>5</v>
      </c>
      <c r="I122" s="3224" t="str">
        <f>M115</f>
        <v>Local</v>
      </c>
      <c r="J122" s="3225"/>
      <c r="L122" s="2624" t="s">
        <v>598</v>
      </c>
      <c r="M122" s="2625" t="str">
        <f>'Input Data'!D16</f>
        <v>Wanaparthy</v>
      </c>
      <c r="N122" s="2626">
        <f>'Input Data'!E16</f>
        <v>102</v>
      </c>
      <c r="P122" s="2628"/>
      <c r="Q122" s="2638"/>
      <c r="R122" s="2639"/>
    </row>
    <row r="123" spans="1:18" ht="15.75" customHeight="1">
      <c r="A123" s="2599">
        <v>11</v>
      </c>
      <c r="B123" s="3089" t="s">
        <v>599</v>
      </c>
      <c r="C123" s="3089"/>
      <c r="D123" s="3089"/>
      <c r="E123" s="3223" t="s">
        <v>592</v>
      </c>
      <c r="F123" s="3213"/>
      <c r="G123" s="2599" t="s">
        <v>73</v>
      </c>
      <c r="H123" s="2601">
        <f>N112</f>
        <v>5</v>
      </c>
      <c r="I123" s="3224" t="str">
        <f>M112</f>
        <v>Local</v>
      </c>
      <c r="J123" s="3225"/>
      <c r="L123" s="2631" t="s">
        <v>600</v>
      </c>
      <c r="M123" s="2625">
        <f t="shared" ref="M123:M125" si="13">Q123</f>
        <v>0</v>
      </c>
      <c r="N123" s="2632">
        <f>'Input Data'!D23</f>
        <v>0</v>
      </c>
      <c r="P123" s="2633"/>
      <c r="Q123" s="2640"/>
      <c r="R123" s="2640"/>
    </row>
    <row r="124" spans="1:18" ht="15.75" customHeight="1">
      <c r="A124" s="2599">
        <v>12</v>
      </c>
      <c r="B124" s="3089" t="s">
        <v>584</v>
      </c>
      <c r="C124" s="3089"/>
      <c r="D124" s="3089"/>
      <c r="E124" s="3223" t="s">
        <v>592</v>
      </c>
      <c r="F124" s="3213"/>
      <c r="G124" s="2599" t="s">
        <v>73</v>
      </c>
      <c r="H124" s="2601">
        <f>N113</f>
        <v>5</v>
      </c>
      <c r="I124" s="3224" t="str">
        <f>M113</f>
        <v>Local</v>
      </c>
      <c r="J124" s="3225"/>
      <c r="L124" s="2624" t="s">
        <v>422</v>
      </c>
      <c r="M124" s="2625">
        <f t="shared" si="13"/>
        <v>0</v>
      </c>
      <c r="N124" s="2626" t="s">
        <v>423</v>
      </c>
      <c r="P124" s="2634"/>
      <c r="Q124" s="2640"/>
      <c r="R124" s="2640"/>
    </row>
    <row r="125" spans="1:18" ht="15.75" customHeight="1">
      <c r="A125" s="2599">
        <v>13</v>
      </c>
      <c r="B125" s="3089" t="s">
        <v>598</v>
      </c>
      <c r="C125" s="3089"/>
      <c r="D125" s="3089"/>
      <c r="E125" s="3223" t="s">
        <v>592</v>
      </c>
      <c r="F125" s="3213"/>
      <c r="G125" s="2599" t="s">
        <v>601</v>
      </c>
      <c r="H125" s="2601">
        <f>N122</f>
        <v>102</v>
      </c>
      <c r="I125" s="3224" t="str">
        <f>M122</f>
        <v>Wanaparthy</v>
      </c>
      <c r="J125" s="3225"/>
      <c r="L125" s="2631" t="s">
        <v>602</v>
      </c>
      <c r="M125" s="2625">
        <f t="shared" si="13"/>
        <v>0</v>
      </c>
      <c r="N125" s="2626">
        <v>2</v>
      </c>
      <c r="P125" s="2633"/>
      <c r="Q125" s="2640"/>
      <c r="R125" s="2640"/>
    </row>
    <row r="126" spans="1:18" ht="15.75" customHeight="1">
      <c r="A126" s="2599">
        <v>14</v>
      </c>
      <c r="B126" s="3089" t="s">
        <v>603</v>
      </c>
      <c r="C126" s="3089"/>
      <c r="D126" s="3089"/>
      <c r="E126" s="3213"/>
      <c r="F126" s="3213"/>
      <c r="G126" s="2599"/>
      <c r="H126" s="2601"/>
      <c r="I126" s="3226">
        <f>N123/100</f>
        <v>0</v>
      </c>
      <c r="J126" s="3226"/>
      <c r="L126" s="2635"/>
      <c r="M126" s="2636"/>
      <c r="N126" s="2636"/>
    </row>
    <row r="127" spans="1:18" ht="15.75" customHeight="1">
      <c r="A127" s="2599">
        <v>15</v>
      </c>
      <c r="B127" s="3089" t="s">
        <v>604</v>
      </c>
      <c r="C127" s="3089"/>
      <c r="D127" s="3089"/>
      <c r="E127" s="3213"/>
      <c r="F127" s="3213"/>
      <c r="G127" s="2599"/>
      <c r="H127" s="2601"/>
      <c r="I127" s="3213" t="str">
        <f>N124</f>
        <v>N</v>
      </c>
      <c r="J127" s="3213"/>
      <c r="L127" s="2635"/>
      <c r="M127" s="2636"/>
      <c r="N127" s="2636"/>
    </row>
    <row r="128" spans="1:18" ht="18.75" customHeight="1">
      <c r="A128" s="2594"/>
      <c r="B128" s="3227"/>
      <c r="C128" s="3227"/>
      <c r="D128" s="3227"/>
      <c r="E128" s="3227"/>
      <c r="F128" s="3227"/>
      <c r="G128" s="3227"/>
      <c r="H128" s="3227"/>
      <c r="I128" s="3227"/>
      <c r="J128" s="3228"/>
    </row>
    <row r="129" spans="1:13">
      <c r="B129" s="3229" t="str">
        <f>"             The Following points are observed during scrutiny of the estiamte submitted by the SE PR."&amp;L1</f>
        <v xml:space="preserve">             The Following points are observed during scrutiny of the estiamte submitted by the SE PR.Warangal</v>
      </c>
      <c r="C129" s="3229"/>
      <c r="D129" s="3229"/>
      <c r="E129" s="3229"/>
      <c r="F129" s="3229"/>
      <c r="G129" s="3229"/>
      <c r="H129" s="3229"/>
      <c r="I129" s="3229"/>
      <c r="J129" s="3229"/>
      <c r="L129" s="2637" t="s">
        <v>605</v>
      </c>
      <c r="M129" s="2637"/>
    </row>
    <row r="130" spans="1:13" ht="43.5" customHeight="1">
      <c r="A130" s="2940">
        <v>1</v>
      </c>
      <c r="B130" s="3230" t="s">
        <v>606</v>
      </c>
      <c r="C130" s="3230"/>
      <c r="D130" s="3230"/>
      <c r="E130" s="3230"/>
      <c r="F130" s="3230"/>
      <c r="G130" s="3230"/>
      <c r="H130" s="3230"/>
      <c r="I130" s="3230"/>
      <c r="J130" s="3230"/>
      <c r="L130" s="2669">
        <f>N7</f>
        <v>1</v>
      </c>
      <c r="M130" s="2637" t="s">
        <v>607</v>
      </c>
    </row>
    <row r="131" spans="1:13" ht="36" customHeight="1">
      <c r="A131" s="2940">
        <v>2</v>
      </c>
      <c r="B131" s="3230" t="s">
        <v>608</v>
      </c>
      <c r="C131" s="3230"/>
      <c r="D131" s="3230"/>
      <c r="E131" s="3230"/>
      <c r="F131" s="3230"/>
      <c r="G131" s="3230"/>
      <c r="H131" s="3230"/>
      <c r="I131" s="3230"/>
      <c r="J131" s="3230"/>
    </row>
    <row r="132" spans="1:13" ht="38.25" customHeight="1">
      <c r="A132" s="2940">
        <v>3</v>
      </c>
      <c r="B132" s="3230" t="s">
        <v>609</v>
      </c>
      <c r="C132" s="3230"/>
      <c r="D132" s="3230"/>
      <c r="E132" s="3230"/>
      <c r="F132" s="3230"/>
      <c r="G132" s="3230"/>
      <c r="H132" s="3230"/>
      <c r="I132" s="3230"/>
      <c r="J132" s="3230"/>
      <c r="K132" s="2386"/>
    </row>
    <row r="133" spans="1:13" ht="31.5" customHeight="1">
      <c r="A133" s="2940">
        <v>4</v>
      </c>
      <c r="B133" s="3230" t="s">
        <v>610</v>
      </c>
      <c r="C133" s="3230"/>
      <c r="D133" s="3230"/>
      <c r="E133" s="3230"/>
      <c r="F133" s="3230"/>
      <c r="G133" s="3230"/>
      <c r="H133" s="3230"/>
      <c r="I133" s="3230"/>
      <c r="J133" s="3230"/>
      <c r="K133" s="2386"/>
    </row>
    <row r="134" spans="1:13" ht="34.5" customHeight="1">
      <c r="A134" s="2940">
        <v>5</v>
      </c>
      <c r="B134" s="3231" t="s">
        <v>611</v>
      </c>
      <c r="C134" s="3231"/>
      <c r="D134" s="3231"/>
      <c r="E134" s="3231"/>
      <c r="F134" s="3231"/>
      <c r="G134" s="3231"/>
      <c r="H134" s="3231"/>
      <c r="I134" s="3231"/>
      <c r="J134" s="3231"/>
      <c r="K134" s="2386"/>
    </row>
    <row r="135" spans="1:13" ht="62.25" customHeight="1">
      <c r="A135" s="2940">
        <v>6</v>
      </c>
      <c r="B135" s="3231" t="s">
        <v>612</v>
      </c>
      <c r="C135" s="3231"/>
      <c r="D135" s="3231"/>
      <c r="E135" s="3231"/>
      <c r="F135" s="3231"/>
      <c r="G135" s="3231"/>
      <c r="H135" s="3231"/>
      <c r="I135" s="3231"/>
      <c r="J135" s="3231"/>
      <c r="K135" s="2386"/>
    </row>
    <row r="136" spans="1:13" s="2392" customFormat="1" ht="39.75" customHeight="1">
      <c r="A136" s="2941">
        <v>7</v>
      </c>
      <c r="B136" s="3231" t="s">
        <v>2750</v>
      </c>
      <c r="C136" s="3231"/>
      <c r="D136" s="3231"/>
      <c r="E136" s="3231"/>
      <c r="F136" s="3231"/>
      <c r="G136" s="3231"/>
      <c r="H136" s="3231"/>
      <c r="I136" s="3231"/>
      <c r="J136" s="3231"/>
    </row>
    <row r="137" spans="1:13" ht="35.25" customHeight="1">
      <c r="A137" s="2940">
        <v>8</v>
      </c>
      <c r="B137" s="3231" t="s">
        <v>2751</v>
      </c>
      <c r="C137" s="3231"/>
      <c r="D137" s="3231"/>
      <c r="E137" s="3231"/>
      <c r="F137" s="3231"/>
      <c r="G137" s="3231"/>
      <c r="H137" s="3231"/>
      <c r="I137" s="3231"/>
      <c r="J137" s="3231"/>
      <c r="K137" s="2386"/>
    </row>
    <row r="138" spans="1:13" ht="35.25" customHeight="1">
      <c r="A138" s="2940">
        <v>9</v>
      </c>
      <c r="B138" s="3231" t="s">
        <v>2753</v>
      </c>
      <c r="C138" s="3231"/>
      <c r="D138" s="3231"/>
      <c r="E138" s="3231"/>
      <c r="F138" s="3231"/>
      <c r="G138" s="3231"/>
      <c r="H138" s="3231"/>
      <c r="I138" s="3231"/>
      <c r="J138" s="3231"/>
      <c r="K138" s="2386"/>
    </row>
    <row r="139" spans="1:13" ht="39" customHeight="1">
      <c r="A139" s="2940">
        <v>10</v>
      </c>
      <c r="B139" s="3231" t="s">
        <v>613</v>
      </c>
      <c r="C139" s="3231"/>
      <c r="D139" s="3231"/>
      <c r="E139" s="3231"/>
      <c r="F139" s="3231"/>
      <c r="G139" s="3231"/>
      <c r="H139" s="3231"/>
      <c r="I139" s="3231"/>
      <c r="J139" s="3231"/>
      <c r="K139" s="2386"/>
    </row>
    <row r="140" spans="1:13" ht="57.95" customHeight="1">
      <c r="A140" s="2940">
        <v>11</v>
      </c>
      <c r="B140" s="3231" t="s">
        <v>614</v>
      </c>
      <c r="C140" s="3231"/>
      <c r="D140" s="3231"/>
      <c r="E140" s="3231"/>
      <c r="F140" s="3231"/>
      <c r="G140" s="3231"/>
      <c r="H140" s="3231"/>
      <c r="I140" s="3231"/>
      <c r="J140" s="3231"/>
      <c r="K140" s="2386"/>
    </row>
    <row r="141" spans="1:13" ht="81.95" customHeight="1">
      <c r="A141" s="2940">
        <v>12</v>
      </c>
      <c r="B141" s="3230" t="s">
        <v>2754</v>
      </c>
      <c r="C141" s="3230"/>
      <c r="D141" s="3230"/>
      <c r="E141" s="3230"/>
      <c r="F141" s="3230"/>
      <c r="G141" s="3230"/>
      <c r="H141" s="3230"/>
      <c r="I141" s="3230"/>
      <c r="J141" s="3230"/>
      <c r="K141" s="2386"/>
    </row>
    <row r="142" spans="1:13" ht="56.1" customHeight="1">
      <c r="A142" s="2940">
        <v>13</v>
      </c>
      <c r="B142" s="3232" t="s">
        <v>2779</v>
      </c>
      <c r="C142" s="3232"/>
      <c r="D142" s="3232"/>
      <c r="E142" s="3232"/>
      <c r="F142" s="3232"/>
      <c r="G142" s="3232"/>
      <c r="H142" s="3232"/>
      <c r="I142" s="3232"/>
      <c r="J142" s="3232"/>
      <c r="K142" s="2386"/>
    </row>
    <row r="143" spans="1:13" ht="81.75" customHeight="1">
      <c r="A143" s="2940">
        <v>14</v>
      </c>
      <c r="B143" s="3232" t="s">
        <v>2752</v>
      </c>
      <c r="C143" s="3232"/>
      <c r="D143" s="3232"/>
      <c r="E143" s="3232"/>
      <c r="F143" s="3232"/>
      <c r="G143" s="3232"/>
      <c r="H143" s="3232"/>
      <c r="I143" s="3232"/>
      <c r="J143" s="3232"/>
      <c r="K143" s="2386"/>
    </row>
    <row r="144" spans="1:13" ht="23.25" customHeight="1">
      <c r="A144" s="2395">
        <v>15</v>
      </c>
      <c r="B144" s="3233" t="str">
        <f>"The cost of estimate submitted for Rs."&amp;L166&amp;".00 Lakhs as against OAS amount of "&amp;L4&amp;".00 Lakhs "</f>
        <v xml:space="preserve">The cost of estimate submitted for Rs.100.00 Lakhs as against OAS amount of 100.00 Lakhs </v>
      </c>
      <c r="C144" s="3229"/>
      <c r="D144" s="3229"/>
      <c r="E144" s="3229"/>
      <c r="F144" s="3229"/>
      <c r="G144" s="3229"/>
      <c r="H144" s="3229"/>
      <c r="I144" s="3229"/>
      <c r="J144" s="3229"/>
      <c r="K144" s="2386"/>
    </row>
    <row r="145" spans="2:10" ht="58.5" customHeight="1">
      <c r="B145" s="3234" t="s">
        <v>615</v>
      </c>
      <c r="C145" s="3234"/>
      <c r="D145" s="3234"/>
      <c r="E145" s="3234"/>
      <c r="F145" s="3234"/>
      <c r="G145" s="3234"/>
      <c r="H145" s="3234"/>
      <c r="I145" s="3234"/>
      <c r="J145" s="3234"/>
    </row>
    <row r="146" spans="2:10" ht="25.5" customHeight="1">
      <c r="B146" s="3235" t="s">
        <v>616</v>
      </c>
      <c r="C146" s="3235"/>
      <c r="D146" s="3235"/>
      <c r="E146" s="3235"/>
      <c r="F146" s="3235"/>
      <c r="G146" s="3235"/>
      <c r="H146" s="3235"/>
      <c r="I146" s="3235"/>
      <c r="J146" s="3235"/>
    </row>
    <row r="147" spans="2:10" ht="34.9" customHeight="1">
      <c r="B147" s="2642" t="s">
        <v>617</v>
      </c>
      <c r="C147" s="2602"/>
      <c r="D147" s="2602"/>
      <c r="E147" s="2602"/>
      <c r="F147" s="2602"/>
      <c r="G147" s="2602"/>
      <c r="H147" s="2602"/>
      <c r="I147" s="2602"/>
      <c r="J147" s="2602"/>
    </row>
    <row r="148" spans="2:10" ht="51" customHeight="1">
      <c r="B148" s="3229" t="s">
        <v>618</v>
      </c>
      <c r="C148" s="3229"/>
      <c r="D148" s="3229"/>
      <c r="E148" s="3229"/>
      <c r="F148" s="3229"/>
      <c r="G148" s="3229"/>
      <c r="H148" s="3229"/>
      <c r="I148" s="3229"/>
      <c r="J148" s="3229"/>
    </row>
    <row r="149" spans="2:10" ht="30" customHeight="1">
      <c r="B149" s="2602" t="s">
        <v>619</v>
      </c>
      <c r="C149" s="3236" t="str">
        <f>'Input Data'!E1</f>
        <v>R/F A to B in Wanaparthy Mandal of Wanaparthy District</v>
      </c>
      <c r="D149" s="3236"/>
      <c r="E149" s="3236"/>
      <c r="F149" s="3236"/>
      <c r="G149" s="3236"/>
      <c r="H149" s="3236"/>
      <c r="I149" s="3236"/>
      <c r="J149" s="2602"/>
    </row>
    <row r="150" spans="2:10" ht="28.5" customHeight="1">
      <c r="B150" s="2602"/>
      <c r="E150" s="3237" t="s">
        <v>620</v>
      </c>
      <c r="F150" s="3237"/>
      <c r="G150" s="2643">
        <f>L4</f>
        <v>100</v>
      </c>
      <c r="H150" s="2644" t="s">
        <v>329</v>
      </c>
      <c r="I150" s="2602"/>
      <c r="J150" s="2602"/>
    </row>
    <row r="151" spans="2:10" ht="33" customHeight="1">
      <c r="B151" s="2645" t="s">
        <v>621</v>
      </c>
      <c r="C151" s="3238" t="s">
        <v>622</v>
      </c>
      <c r="D151" s="3238"/>
      <c r="E151" s="3238"/>
      <c r="F151" s="3238" t="s">
        <v>7</v>
      </c>
      <c r="G151" s="3238"/>
      <c r="H151" s="2646"/>
      <c r="I151" s="2602"/>
      <c r="J151" s="2602"/>
    </row>
    <row r="152" spans="2:10" ht="18" customHeight="1">
      <c r="B152" s="2647">
        <v>1</v>
      </c>
      <c r="C152" s="3239" t="s">
        <v>623</v>
      </c>
      <c r="D152" s="3239"/>
      <c r="E152" s="3239"/>
      <c r="F152" s="3240">
        <f>GA!E7</f>
        <v>6453636</v>
      </c>
      <c r="G152" s="3240"/>
      <c r="H152" s="2648"/>
      <c r="I152" s="2602"/>
      <c r="J152" s="2602"/>
    </row>
    <row r="153" spans="2:10" ht="18" customHeight="1">
      <c r="B153" s="2647">
        <f>B152+1</f>
        <v>2</v>
      </c>
      <c r="C153" s="3239" t="s">
        <v>624</v>
      </c>
      <c r="D153" s="3239"/>
      <c r="E153" s="3239"/>
      <c r="F153" s="3240">
        <f>GA!E8</f>
        <v>1976724</v>
      </c>
      <c r="G153" s="3240"/>
      <c r="H153" s="2648"/>
      <c r="I153" s="2602"/>
      <c r="J153" s="2602"/>
    </row>
    <row r="154" spans="2:10" ht="18" customHeight="1">
      <c r="B154" s="2647">
        <f>B153+1</f>
        <v>3</v>
      </c>
      <c r="C154" s="3239" t="s">
        <v>561</v>
      </c>
      <c r="D154" s="3239"/>
      <c r="E154" s="3239"/>
      <c r="F154" s="3240">
        <f>GA!E9</f>
        <v>37461</v>
      </c>
      <c r="G154" s="3240"/>
      <c r="H154" s="2648"/>
      <c r="I154" s="2602"/>
      <c r="J154" s="2602"/>
    </row>
    <row r="155" spans="2:10" ht="18" customHeight="1">
      <c r="B155" s="2647">
        <f>B154+1</f>
        <v>4</v>
      </c>
      <c r="C155" s="3239" t="s">
        <v>625</v>
      </c>
      <c r="D155" s="3239"/>
      <c r="E155" s="3239"/>
      <c r="F155" s="3240">
        <f>GA!E10</f>
        <v>14416</v>
      </c>
      <c r="G155" s="3240"/>
      <c r="H155" s="2648"/>
      <c r="I155" s="2602"/>
      <c r="J155" s="2602"/>
    </row>
    <row r="156" spans="2:10" ht="18" customHeight="1">
      <c r="B156" s="2647"/>
      <c r="C156" s="3245" t="s">
        <v>626</v>
      </c>
      <c r="D156" s="3246"/>
      <c r="E156" s="3247"/>
      <c r="F156" s="3248">
        <f>SUBTOTAL(9,F152:F155)</f>
        <v>8482237</v>
      </c>
      <c r="G156" s="3248"/>
      <c r="H156" s="2648"/>
      <c r="I156" s="2602"/>
      <c r="J156" s="2602"/>
    </row>
    <row r="157" spans="2:10" ht="27" customHeight="1">
      <c r="B157" s="2647">
        <v>4</v>
      </c>
      <c r="C157" s="3239" t="s">
        <v>627</v>
      </c>
      <c r="D157" s="3239"/>
      <c r="E157" s="3239"/>
      <c r="F157" s="3240">
        <f>GA!E12</f>
        <v>42411</v>
      </c>
      <c r="G157" s="3240"/>
      <c r="H157" s="2648"/>
      <c r="I157" s="2602"/>
      <c r="J157" s="2602"/>
    </row>
    <row r="158" spans="2:10" ht="18" customHeight="1">
      <c r="B158" s="2647">
        <f>B157+1</f>
        <v>5</v>
      </c>
      <c r="C158" s="3239" t="s">
        <v>628</v>
      </c>
      <c r="D158" s="3239"/>
      <c r="E158" s="3239"/>
      <c r="F158" s="3240">
        <f>GA!E13</f>
        <v>8482</v>
      </c>
      <c r="G158" s="3240"/>
      <c r="H158" s="2648"/>
      <c r="I158" s="2602"/>
      <c r="J158" s="2602"/>
    </row>
    <row r="159" spans="2:10" ht="18" customHeight="1">
      <c r="B159" s="2647">
        <f>B158+1</f>
        <v>6</v>
      </c>
      <c r="C159" s="3239" t="s">
        <v>629</v>
      </c>
      <c r="D159" s="3239"/>
      <c r="E159" s="3239"/>
      <c r="F159" s="3240">
        <f>GA!E14</f>
        <v>297019</v>
      </c>
      <c r="G159" s="3240"/>
      <c r="H159" s="2648"/>
      <c r="I159" s="2602"/>
      <c r="J159" s="2602"/>
    </row>
    <row r="160" spans="2:10" ht="30" customHeight="1">
      <c r="B160" s="2647">
        <f>B159+1</f>
        <v>7</v>
      </c>
      <c r="C160" s="3239" t="s">
        <v>630</v>
      </c>
      <c r="D160" s="3239"/>
      <c r="E160" s="3239"/>
      <c r="F160" s="3240">
        <f>GA!E15</f>
        <v>89106</v>
      </c>
      <c r="G160" s="3240"/>
      <c r="H160" s="2648"/>
      <c r="I160" s="2602"/>
      <c r="J160" s="2602"/>
    </row>
    <row r="161" spans="1:14" ht="36" customHeight="1">
      <c r="B161" s="2647">
        <f>B160+1</f>
        <v>8</v>
      </c>
      <c r="C161" s="3239" t="s">
        <v>631</v>
      </c>
      <c r="D161" s="3239"/>
      <c r="E161" s="3239"/>
      <c r="F161" s="3240">
        <f>GA!E16</f>
        <v>5940</v>
      </c>
      <c r="G161" s="3240"/>
      <c r="H161" s="2648"/>
      <c r="I161" s="2602"/>
      <c r="J161" s="2602"/>
    </row>
    <row r="162" spans="1:14" s="2387" customFormat="1" ht="15.75">
      <c r="A162" s="2649"/>
      <c r="B162" s="2650">
        <f>B161+1</f>
        <v>9</v>
      </c>
      <c r="C162" s="3241" t="s">
        <v>632</v>
      </c>
      <c r="D162" s="3242"/>
      <c r="E162" s="3243"/>
      <c r="F162" s="3244">
        <f>GA!E17</f>
        <v>237615</v>
      </c>
      <c r="G162" s="3244"/>
      <c r="H162" s="2651"/>
      <c r="I162" s="2641"/>
      <c r="J162" s="2641"/>
      <c r="K162" s="2670"/>
    </row>
    <row r="163" spans="1:14" ht="18" customHeight="1">
      <c r="B163" s="2647"/>
      <c r="C163" s="3245" t="s">
        <v>626</v>
      </c>
      <c r="D163" s="3246"/>
      <c r="E163" s="3247"/>
      <c r="F163" s="3248">
        <f>GA!E18</f>
        <v>9162810</v>
      </c>
      <c r="G163" s="3248"/>
      <c r="H163" s="2648"/>
      <c r="I163" s="2602"/>
      <c r="J163" s="2602"/>
    </row>
    <row r="164" spans="1:14" ht="21.75" customHeight="1">
      <c r="B164" s="2647">
        <v>9</v>
      </c>
      <c r="C164" s="3239" t="s">
        <v>633</v>
      </c>
      <c r="D164" s="3239"/>
      <c r="E164" s="3239"/>
      <c r="F164" s="3240">
        <f>GA!E19</f>
        <v>1649306</v>
      </c>
      <c r="G164" s="3240"/>
      <c r="H164" s="2648"/>
      <c r="I164" s="2602"/>
      <c r="J164" s="2602"/>
    </row>
    <row r="165" spans="1:14" ht="34.5" customHeight="1">
      <c r="B165" s="2647">
        <v>10</v>
      </c>
      <c r="C165" s="3239" t="s">
        <v>634</v>
      </c>
      <c r="D165" s="3239"/>
      <c r="E165" s="3239"/>
      <c r="F165" s="3240">
        <f>GA!E20</f>
        <v>-812116</v>
      </c>
      <c r="G165" s="3240"/>
      <c r="H165" s="2648"/>
      <c r="I165" s="2602"/>
      <c r="J165" s="2602"/>
    </row>
    <row r="166" spans="1:14" ht="30.75" customHeight="1">
      <c r="B166" s="2647"/>
      <c r="C166" s="3245" t="s">
        <v>635</v>
      </c>
      <c r="D166" s="3246"/>
      <c r="E166" s="3247"/>
      <c r="F166" s="3248">
        <f>GA!E21</f>
        <v>10000000</v>
      </c>
      <c r="G166" s="3248"/>
      <c r="H166" s="2652"/>
      <c r="I166" s="2602"/>
      <c r="J166" s="2602"/>
      <c r="K166" s="2388" t="s">
        <v>636</v>
      </c>
      <c r="L166" s="2648">
        <f>F166/100000</f>
        <v>100</v>
      </c>
    </row>
    <row r="167" spans="1:14" ht="35.25" customHeight="1">
      <c r="B167" s="3265" t="s">
        <v>637</v>
      </c>
      <c r="C167" s="3265"/>
      <c r="D167" s="3265"/>
      <c r="E167" s="3265"/>
      <c r="F167" s="3265"/>
      <c r="G167" s="3265"/>
      <c r="H167" s="3265"/>
      <c r="I167" s="3265"/>
      <c r="J167" s="3265"/>
    </row>
    <row r="168" spans="1:14" ht="62.25" customHeight="1">
      <c r="A168" s="2454" t="s">
        <v>577</v>
      </c>
      <c r="B168" s="3213" t="s">
        <v>438</v>
      </c>
      <c r="C168" s="3213"/>
      <c r="D168" s="3213"/>
      <c r="E168" s="2653" t="s">
        <v>638</v>
      </c>
      <c r="F168" s="2461" t="s">
        <v>639</v>
      </c>
      <c r="G168" s="2654" t="s">
        <v>640</v>
      </c>
      <c r="H168" s="2655" t="s">
        <v>641</v>
      </c>
      <c r="I168" s="3255" t="s">
        <v>642</v>
      </c>
      <c r="J168" s="3255"/>
      <c r="L168" s="2386">
        <v>1</v>
      </c>
      <c r="M168" s="2386">
        <v>2</v>
      </c>
      <c r="N168" s="2386">
        <f>L168+M168</f>
        <v>3</v>
      </c>
    </row>
    <row r="169" spans="1:14" ht="77.45" customHeight="1">
      <c r="A169" s="2599">
        <v>1</v>
      </c>
      <c r="B169" s="3216" t="str">
        <f>L3</f>
        <v>R/F A to B in Wanaparthy Mandal of Wanaparthy District</v>
      </c>
      <c r="C169" s="3217"/>
      <c r="D169" s="3218"/>
      <c r="E169" s="2656">
        <f>L4</f>
        <v>100</v>
      </c>
      <c r="F169" s="2657">
        <f>L9</f>
        <v>100</v>
      </c>
      <c r="G169" s="2658">
        <f>L10</f>
        <v>8076412</v>
      </c>
      <c r="H169" s="2658">
        <f>'Schedule-A (Part-B)'!E11</f>
        <v>2287468</v>
      </c>
      <c r="I169" s="3256">
        <f>'Schedule-A'!H189</f>
        <v>8076412</v>
      </c>
      <c r="J169" s="3256"/>
    </row>
    <row r="170" spans="1:14" ht="51.6" customHeight="1">
      <c r="B170" s="3257" t="s">
        <v>2780</v>
      </c>
      <c r="C170" s="3229"/>
      <c r="D170" s="3229"/>
      <c r="E170" s="3229"/>
      <c r="F170" s="3229"/>
      <c r="G170" s="3229"/>
      <c r="H170" s="3229"/>
      <c r="I170" s="3229"/>
      <c r="J170" s="3229"/>
    </row>
    <row r="171" spans="1:14" s="349" customFormat="1" ht="49.5" hidden="1" customHeight="1">
      <c r="A171" s="2659"/>
      <c r="B171" s="2660"/>
      <c r="C171" s="2660"/>
      <c r="D171" s="2660"/>
      <c r="E171" s="2660"/>
      <c r="F171" s="2660"/>
      <c r="G171" s="2660"/>
      <c r="H171" s="2660"/>
      <c r="I171" s="2660"/>
      <c r="J171" s="2660"/>
      <c r="K171" s="456"/>
    </row>
    <row r="172" spans="1:14">
      <c r="A172" s="2661"/>
      <c r="B172" s="3258" t="s">
        <v>643</v>
      </c>
      <c r="C172" s="3258"/>
      <c r="D172" s="3258"/>
      <c r="E172" s="3258"/>
      <c r="F172" s="3258"/>
      <c r="G172" s="3258"/>
      <c r="H172" s="3258"/>
      <c r="I172" s="3258"/>
      <c r="J172" s="3258"/>
      <c r="K172" s="2671"/>
    </row>
    <row r="173" spans="1:14">
      <c r="B173" s="3259" t="s">
        <v>644</v>
      </c>
      <c r="C173" s="3259"/>
      <c r="D173" s="3259"/>
      <c r="E173" s="3259"/>
      <c r="F173" s="3259"/>
      <c r="G173" s="3259"/>
      <c r="H173" s="3259"/>
      <c r="I173" s="3259"/>
      <c r="J173" s="3259"/>
      <c r="K173" s="2665"/>
    </row>
    <row r="174" spans="1:14">
      <c r="B174" s="3259" t="str">
        <f>"Memo No."&amp;$L$2&amp;","&amp;$P$2</f>
        <v>Memo No.AE-DEE-Wanaparthy-Wgl-CRR-2024-25,  Dt:     -09-2024</v>
      </c>
      <c r="C174" s="3259"/>
      <c r="D174" s="3259"/>
      <c r="E174" s="3259"/>
      <c r="F174" s="3259"/>
      <c r="G174" s="3259"/>
      <c r="H174" s="3259"/>
      <c r="I174" s="3259"/>
      <c r="J174" s="3259"/>
      <c r="K174" s="2665"/>
    </row>
    <row r="175" spans="1:14" ht="42" customHeight="1">
      <c r="B175" s="2663" t="s">
        <v>645</v>
      </c>
      <c r="C175" s="3252" t="str">
        <f>'Input Data'!J6&amp;" -"&amp;$L$7&amp;" Dist-"&amp;$L$3&amp;" Estt.Cost Rs."&amp;$L$4&amp;".00 Lakhs Technically Sanctioned Estimate copy communicated for taking further necessary action- Reg."</f>
        <v>CRR-2024-25 -Wanaparthy Dist-R/F A to B in Wanaparthy Mandal of Wanaparthy District Estt.Cost Rs.100.00 Lakhs Technically Sanctioned Estimate copy communicated for taking further necessary action- Reg.</v>
      </c>
      <c r="D175" s="3252"/>
      <c r="E175" s="3252"/>
      <c r="F175" s="3252"/>
      <c r="G175" s="3252"/>
      <c r="H175" s="3252"/>
      <c r="I175" s="3252"/>
      <c r="J175" s="3252"/>
      <c r="K175" s="2665"/>
    </row>
    <row r="176" spans="1:14" ht="16.5" customHeight="1">
      <c r="B176" s="2663" t="s">
        <v>646</v>
      </c>
      <c r="C176" s="3252" t="str">
        <f>$C$4</f>
        <v>1).G.O.Rt.No.273  dt: 20.07.2023 of PR &amp; RD(Roads) Dept. Sl.No.1.</v>
      </c>
      <c r="D176" s="3252"/>
      <c r="E176" s="3252"/>
      <c r="F176" s="3252"/>
      <c r="G176" s="3252"/>
      <c r="H176" s="3252"/>
      <c r="I176" s="3252"/>
      <c r="J176" s="3252"/>
      <c r="K176" s="2665"/>
    </row>
    <row r="177" spans="1:12" ht="21" customHeight="1">
      <c r="B177" s="2665"/>
      <c r="C177" s="3253" t="str">
        <f>$C$5</f>
        <v>2). SE,PR,Warangal vide Lr.No.T4/CRR/Wanaparthy/22 Dt: 06.09.2022</v>
      </c>
      <c r="D177" s="3253"/>
      <c r="E177" s="3253"/>
      <c r="F177" s="3253"/>
      <c r="G177" s="3253"/>
      <c r="H177" s="3253"/>
      <c r="I177" s="3253"/>
      <c r="J177" s="3253"/>
      <c r="K177" s="2665"/>
    </row>
    <row r="178" spans="1:12" s="349" customFormat="1" ht="22.5" hidden="1" customHeight="1">
      <c r="A178" s="2659"/>
      <c r="B178" s="2666"/>
      <c r="C178" s="3254" t="e">
        <f>#REF!</f>
        <v>#REF!</v>
      </c>
      <c r="D178" s="3254"/>
      <c r="E178" s="3254"/>
      <c r="F178" s="3254"/>
      <c r="G178" s="3254"/>
      <c r="H178" s="3254"/>
      <c r="I178" s="3254"/>
      <c r="J178" s="3254"/>
      <c r="K178" s="2672"/>
    </row>
    <row r="179" spans="1:12">
      <c r="B179" s="2665"/>
      <c r="C179" s="2665"/>
      <c r="D179" s="2665"/>
      <c r="E179" s="2665"/>
      <c r="F179" s="2667" t="s">
        <v>647</v>
      </c>
      <c r="G179" s="2665"/>
      <c r="H179" s="2665"/>
      <c r="I179" s="2665"/>
      <c r="J179" s="2665"/>
      <c r="K179" s="2665"/>
    </row>
    <row r="180" spans="1:12" ht="96" customHeight="1">
      <c r="B180" s="3253" t="str">
        <f>CONCATENATE("                                 The estimate submitted by the Superintending Engineer, P.R,"&amp;L1&amp;" through ref 2nd cited for the work: "&amp;'Input Data'!E1&amp;" is technically Sanctioned for Rs."&amp;L166&amp;".00 Lakhs with SSR  2024-25 against the adm. Sanction cost of Rs."&amp;'Note File'!L4&amp;".00 Lakhs  vide ref.1st cited, and the copy of the Technically Sanctioned estimate along with Schedule copies  are here with communicated for taking necessary action duly following the points mentioned below:")</f>
        <v xml:space="preserve">                                 The estimate submitted by the Superintending Engineer, P.R,Warangal through ref 2nd cited for the work: R/F A to B in Wanaparthy Mandal of Wanaparthy District is technically Sanctioned for Rs.100.00 Lakhs with SSR  2024-25 against the adm. Sanction cost of Rs.100.00 Lakhs  vide ref.1st cited, and the copy of the Technically Sanctioned estimate along with Schedule copies  are here with communicated for taking necessary action duly following the points mentioned below:</v>
      </c>
      <c r="C180" s="3253"/>
      <c r="D180" s="3253"/>
      <c r="E180" s="3253"/>
      <c r="F180" s="3253"/>
      <c r="G180" s="3253"/>
      <c r="H180" s="3253"/>
      <c r="I180" s="3253"/>
      <c r="J180" s="3253"/>
      <c r="K180" s="2665"/>
      <c r="L180" s="2673" t="e">
        <f>L9+#REF!</f>
        <v>#REF!</v>
      </c>
    </row>
    <row r="181" spans="1:12" ht="39" customHeight="1">
      <c r="A181" s="2668" t="s">
        <v>648</v>
      </c>
      <c r="B181" s="3264" t="s">
        <v>649</v>
      </c>
      <c r="C181" s="3264"/>
      <c r="D181" s="3264"/>
      <c r="E181" s="3264"/>
      <c r="F181" s="3264"/>
      <c r="G181" s="3264"/>
      <c r="H181" s="3264"/>
      <c r="I181" s="3264"/>
      <c r="J181" s="3264"/>
      <c r="K181" s="2665"/>
    </row>
    <row r="182" spans="1:12" ht="34.9" customHeight="1">
      <c r="A182" s="2668" t="s">
        <v>650</v>
      </c>
      <c r="B182" s="3264" t="s">
        <v>651</v>
      </c>
      <c r="C182" s="3264"/>
      <c r="D182" s="3264"/>
      <c r="E182" s="3264"/>
      <c r="F182" s="3264"/>
      <c r="G182" s="3264"/>
      <c r="H182" s="3264"/>
      <c r="I182" s="3264"/>
      <c r="J182" s="3264"/>
      <c r="K182" s="2665"/>
    </row>
    <row r="183" spans="1:12" ht="36" customHeight="1">
      <c r="A183" s="2668" t="s">
        <v>652</v>
      </c>
      <c r="B183" s="3264" t="s">
        <v>653</v>
      </c>
      <c r="C183" s="3264"/>
      <c r="D183" s="3264"/>
      <c r="E183" s="3264"/>
      <c r="F183" s="3264"/>
      <c r="G183" s="3264"/>
      <c r="H183" s="3264"/>
      <c r="I183" s="3264"/>
      <c r="J183" s="3264"/>
      <c r="K183" s="2665"/>
    </row>
    <row r="184" spans="1:12" ht="35.25" customHeight="1">
      <c r="A184" s="2668" t="s">
        <v>654</v>
      </c>
      <c r="B184" s="3264" t="s">
        <v>655</v>
      </c>
      <c r="C184" s="3264"/>
      <c r="D184" s="3264"/>
      <c r="E184" s="3264"/>
      <c r="F184" s="3264"/>
      <c r="G184" s="3264"/>
      <c r="H184" s="3264"/>
      <c r="I184" s="3264"/>
      <c r="J184" s="3264"/>
      <c r="K184" s="2665"/>
    </row>
    <row r="185" spans="1:12" ht="51.75" customHeight="1">
      <c r="A185" s="2668" t="s">
        <v>656</v>
      </c>
      <c r="B185" s="3264" t="s">
        <v>657</v>
      </c>
      <c r="C185" s="3264"/>
      <c r="D185" s="3264"/>
      <c r="E185" s="3264"/>
      <c r="F185" s="3264"/>
      <c r="G185" s="3264"/>
      <c r="H185" s="3264"/>
      <c r="I185" s="3264"/>
      <c r="J185" s="3264"/>
      <c r="K185" s="2665"/>
    </row>
    <row r="186" spans="1:12" ht="66" customHeight="1">
      <c r="A186" s="2668" t="s">
        <v>658</v>
      </c>
      <c r="B186" s="3264" t="s">
        <v>659</v>
      </c>
      <c r="C186" s="3264"/>
      <c r="D186" s="3264"/>
      <c r="E186" s="3264"/>
      <c r="F186" s="3264"/>
      <c r="G186" s="3264"/>
      <c r="H186" s="3264"/>
      <c r="I186" s="3264"/>
      <c r="J186" s="3264"/>
      <c r="K186" s="2665"/>
    </row>
    <row r="187" spans="1:12" ht="83.1" customHeight="1">
      <c r="A187" s="2668" t="s">
        <v>660</v>
      </c>
      <c r="B187" s="3264" t="s">
        <v>661</v>
      </c>
      <c r="C187" s="3264"/>
      <c r="D187" s="3264"/>
      <c r="E187" s="3264"/>
      <c r="F187" s="3264"/>
      <c r="G187" s="3264"/>
      <c r="H187" s="3264"/>
      <c r="I187" s="3264"/>
      <c r="J187" s="3264"/>
      <c r="K187" s="2665"/>
    </row>
    <row r="188" spans="1:12" ht="78" customHeight="1">
      <c r="A188" s="2668" t="s">
        <v>662</v>
      </c>
      <c r="B188" s="3264" t="s">
        <v>2781</v>
      </c>
      <c r="C188" s="3264"/>
      <c r="D188" s="3264"/>
      <c r="E188" s="3264"/>
      <c r="F188" s="3264"/>
      <c r="G188" s="3264"/>
      <c r="H188" s="3264"/>
      <c r="I188" s="3264"/>
      <c r="J188" s="3264"/>
      <c r="K188" s="2665"/>
    </row>
    <row r="189" spans="1:12" ht="63" customHeight="1">
      <c r="A189" s="2668" t="s">
        <v>663</v>
      </c>
      <c r="B189" s="3264" t="str">
        <f>"The crust design is provided for Flexible pavement as per IRC SP 72:2015 and for Rigid pavements as per  IRC SP 62:2014 based on the trafic calculations and CBR value submitted the SE PR "&amp;L1&amp;". The necessary corrections in the crust design shall be made in case of any eronous data pertaining to either existing crust, CBR value, traffic data if any before execution of the work."</f>
        <v>The crust design is provided for Flexible pavement as per IRC SP 72:2015 and for Rigid pavements as per  IRC SP 62:2014 based on the trafic calculations and CBR value submitted the SE PR Warangal. The necessary corrections in the crust design shall be made in case of any eronous data pertaining to either existing crust, CBR value, traffic data if any before execution of the work.</v>
      </c>
      <c r="C189" s="3264"/>
      <c r="D189" s="3264"/>
      <c r="E189" s="3264"/>
      <c r="F189" s="3264"/>
      <c r="G189" s="3264"/>
      <c r="H189" s="3264"/>
      <c r="I189" s="3264"/>
      <c r="J189" s="3264"/>
      <c r="K189" s="2665"/>
    </row>
    <row r="190" spans="1:12" ht="54.95" customHeight="1">
      <c r="A190" s="2668" t="s">
        <v>664</v>
      </c>
      <c r="B190" s="3264" t="s">
        <v>665</v>
      </c>
      <c r="C190" s="3264"/>
      <c r="D190" s="3264"/>
      <c r="E190" s="3264"/>
      <c r="F190" s="3264"/>
      <c r="G190" s="3264"/>
      <c r="H190" s="3264"/>
      <c r="I190" s="3264"/>
      <c r="J190" s="3264"/>
      <c r="K190" s="2665"/>
    </row>
    <row r="191" spans="1:12">
      <c r="A191" s="2668"/>
      <c r="B191" s="2664"/>
      <c r="C191" s="2664"/>
      <c r="D191" s="2664"/>
      <c r="E191" s="2664"/>
      <c r="F191" s="2664"/>
      <c r="G191" s="2664"/>
      <c r="I191" s="2674" t="s">
        <v>666</v>
      </c>
      <c r="J191" s="2664"/>
      <c r="K191" s="2665"/>
    </row>
    <row r="192" spans="1:12">
      <c r="B192" s="2665"/>
      <c r="C192" s="2665"/>
      <c r="D192" s="2665"/>
      <c r="E192" s="2665"/>
      <c r="F192" s="2665"/>
      <c r="G192" s="2665"/>
      <c r="I192" s="2662" t="s">
        <v>667</v>
      </c>
      <c r="J192" s="2665"/>
      <c r="K192" s="2665"/>
    </row>
    <row r="193" spans="1:11">
      <c r="B193" s="2665"/>
      <c r="C193" s="2665"/>
      <c r="D193" s="2665"/>
      <c r="E193" s="2665"/>
      <c r="F193" s="2665"/>
      <c r="G193" s="2665"/>
      <c r="I193" s="2662" t="s">
        <v>668</v>
      </c>
      <c r="J193" s="2665"/>
      <c r="K193" s="2665"/>
    </row>
    <row r="194" spans="1:11">
      <c r="B194" s="2665" t="s">
        <v>669</v>
      </c>
      <c r="C194" s="2665"/>
      <c r="D194" s="2665"/>
      <c r="E194" s="2665"/>
      <c r="F194" s="2665"/>
      <c r="G194" s="2665"/>
      <c r="H194" s="2662"/>
      <c r="J194" s="2665"/>
      <c r="K194" s="2665"/>
    </row>
    <row r="195" spans="1:11" s="2393" customFormat="1">
      <c r="A195" s="2675"/>
      <c r="B195" s="2676" t="str">
        <f>"The Superintending Engineer (PR), "&amp;$L$1</f>
        <v>The Superintending Engineer (PR), Warangal</v>
      </c>
      <c r="C195" s="2676"/>
      <c r="D195" s="2676"/>
      <c r="E195" s="2676"/>
      <c r="F195" s="2676"/>
      <c r="G195" s="2676"/>
      <c r="I195" s="2676"/>
      <c r="J195" s="2676"/>
      <c r="K195" s="2681"/>
    </row>
    <row r="196" spans="1:11" s="2394" customFormat="1">
      <c r="A196" s="2677"/>
      <c r="B196" s="2665"/>
      <c r="C196" s="2665"/>
      <c r="D196" s="2665"/>
      <c r="E196" s="2678"/>
      <c r="F196" s="2679" t="s">
        <v>670</v>
      </c>
      <c r="G196" s="2678"/>
      <c r="H196" s="2678"/>
      <c r="K196" s="2665"/>
    </row>
    <row r="197" spans="1:11" s="2394" customFormat="1">
      <c r="A197" s="2677"/>
      <c r="B197" s="2665"/>
      <c r="C197" s="2665"/>
      <c r="D197" s="2665"/>
      <c r="E197" s="2678"/>
      <c r="F197" s="2679"/>
      <c r="G197" s="2678"/>
      <c r="H197" s="2678"/>
      <c r="K197" s="2665"/>
    </row>
    <row r="198" spans="1:11" s="2394" customFormat="1">
      <c r="A198" s="2677"/>
      <c r="B198" s="2665"/>
      <c r="C198" s="2665"/>
      <c r="D198" s="2665"/>
      <c r="E198" s="2678"/>
      <c r="F198" s="2679" t="s">
        <v>671</v>
      </c>
      <c r="G198" s="2678"/>
      <c r="H198" s="2678"/>
      <c r="K198" s="2665"/>
    </row>
    <row r="199" spans="1:11" s="2394" customFormat="1">
      <c r="A199" s="2677"/>
      <c r="F199" s="2677"/>
      <c r="G199" s="2677"/>
      <c r="H199" s="2680"/>
      <c r="K199" s="2682"/>
    </row>
  </sheetData>
  <protectedRanges>
    <protectedRange password="CC6F" sqref="P118:P119" name="Range1"/>
  </protectedRanges>
  <autoFilter ref="A65:AD90">
    <filterColumn colId="5">
      <filters blank="1">
        <filter val="277.50"/>
        <filter val="3"/>
        <filter val="3125.00"/>
        <filter val="3300.00"/>
        <filter val="3750.00"/>
        <filter val="599.06"/>
        <filter val="618.00"/>
        <filter val="764.00"/>
        <filter val="99.00"/>
        <filter val="No"/>
      </filters>
    </filterColumn>
  </autoFilter>
  <mergeCells count="322">
    <mergeCell ref="T51:T57"/>
    <mergeCell ref="F19:G20"/>
    <mergeCell ref="B59:C60"/>
    <mergeCell ref="A19:B20"/>
    <mergeCell ref="B186:J186"/>
    <mergeCell ref="B187:J187"/>
    <mergeCell ref="B188:J188"/>
    <mergeCell ref="B189:J189"/>
    <mergeCell ref="B190:J190"/>
    <mergeCell ref="B180:J180"/>
    <mergeCell ref="B181:J181"/>
    <mergeCell ref="B182:J182"/>
    <mergeCell ref="B183:J183"/>
    <mergeCell ref="B184:J184"/>
    <mergeCell ref="B185:J185"/>
    <mergeCell ref="C166:E166"/>
    <mergeCell ref="F166:G166"/>
    <mergeCell ref="B167:J167"/>
    <mergeCell ref="C158:E158"/>
    <mergeCell ref="F158:G158"/>
    <mergeCell ref="C159:E159"/>
    <mergeCell ref="F159:G159"/>
    <mergeCell ref="C160:E160"/>
    <mergeCell ref="F160:G160"/>
    <mergeCell ref="A4:A5"/>
    <mergeCell ref="A59:A60"/>
    <mergeCell ref="A64:A65"/>
    <mergeCell ref="B4:B5"/>
    <mergeCell ref="D59:D60"/>
    <mergeCell ref="E59:E60"/>
    <mergeCell ref="C176:J176"/>
    <mergeCell ref="C177:J177"/>
    <mergeCell ref="C178:J178"/>
    <mergeCell ref="B168:D168"/>
    <mergeCell ref="I168:J168"/>
    <mergeCell ref="B169:D169"/>
    <mergeCell ref="I169:J169"/>
    <mergeCell ref="B170:J170"/>
    <mergeCell ref="B172:J172"/>
    <mergeCell ref="B173:J173"/>
    <mergeCell ref="B174:J174"/>
    <mergeCell ref="C175:J175"/>
    <mergeCell ref="C163:E163"/>
    <mergeCell ref="F163:G163"/>
    <mergeCell ref="C164:E164"/>
    <mergeCell ref="F164:G164"/>
    <mergeCell ref="C165:E165"/>
    <mergeCell ref="F165:G165"/>
    <mergeCell ref="C162:E162"/>
    <mergeCell ref="F162:G162"/>
    <mergeCell ref="C153:E153"/>
    <mergeCell ref="F153:G153"/>
    <mergeCell ref="C154:E154"/>
    <mergeCell ref="F154:G154"/>
    <mergeCell ref="C155:E155"/>
    <mergeCell ref="F155:G155"/>
    <mergeCell ref="C156:E156"/>
    <mergeCell ref="F156:G156"/>
    <mergeCell ref="C157:E157"/>
    <mergeCell ref="F157:G157"/>
    <mergeCell ref="B148:J148"/>
    <mergeCell ref="C149:I149"/>
    <mergeCell ref="E150:F150"/>
    <mergeCell ref="C151:E151"/>
    <mergeCell ref="F151:G151"/>
    <mergeCell ref="C152:E152"/>
    <mergeCell ref="F152:G152"/>
    <mergeCell ref="C161:E161"/>
    <mergeCell ref="F161:G161"/>
    <mergeCell ref="B140:J140"/>
    <mergeCell ref="B141:J141"/>
    <mergeCell ref="B142:J142"/>
    <mergeCell ref="B134:J134"/>
    <mergeCell ref="B137:J137"/>
    <mergeCell ref="B138:J138"/>
    <mergeCell ref="B144:J144"/>
    <mergeCell ref="B145:J145"/>
    <mergeCell ref="B146:J146"/>
    <mergeCell ref="B143:J143"/>
    <mergeCell ref="B128:J128"/>
    <mergeCell ref="B129:J129"/>
    <mergeCell ref="B130:J130"/>
    <mergeCell ref="B131:J131"/>
    <mergeCell ref="B132:J132"/>
    <mergeCell ref="B133:J133"/>
    <mergeCell ref="B135:J135"/>
    <mergeCell ref="B136:J136"/>
    <mergeCell ref="B139:J139"/>
    <mergeCell ref="B125:D125"/>
    <mergeCell ref="E125:F125"/>
    <mergeCell ref="I125:J125"/>
    <mergeCell ref="B126:D126"/>
    <mergeCell ref="E126:F126"/>
    <mergeCell ref="I126:J126"/>
    <mergeCell ref="B127:D127"/>
    <mergeCell ref="E127:F127"/>
    <mergeCell ref="I127:J127"/>
    <mergeCell ref="B122:D122"/>
    <mergeCell ref="E122:F122"/>
    <mergeCell ref="I122:J122"/>
    <mergeCell ref="B123:D123"/>
    <mergeCell ref="E123:F123"/>
    <mergeCell ref="I123:J123"/>
    <mergeCell ref="B124:D124"/>
    <mergeCell ref="E124:F124"/>
    <mergeCell ref="I124:J124"/>
    <mergeCell ref="B119:D119"/>
    <mergeCell ref="E119:F119"/>
    <mergeCell ref="I119:J119"/>
    <mergeCell ref="B120:D120"/>
    <mergeCell ref="E120:F120"/>
    <mergeCell ref="I120:J120"/>
    <mergeCell ref="B121:D121"/>
    <mergeCell ref="E121:F121"/>
    <mergeCell ref="I121:J121"/>
    <mergeCell ref="B116:D116"/>
    <mergeCell ref="E116:F116"/>
    <mergeCell ref="I116:J116"/>
    <mergeCell ref="B117:D117"/>
    <mergeCell ref="E117:F117"/>
    <mergeCell ref="I117:J117"/>
    <mergeCell ref="B118:D118"/>
    <mergeCell ref="E118:F118"/>
    <mergeCell ref="I118:J118"/>
    <mergeCell ref="B113:D113"/>
    <mergeCell ref="E113:F113"/>
    <mergeCell ref="I113:J113"/>
    <mergeCell ref="B114:D114"/>
    <mergeCell ref="E114:F114"/>
    <mergeCell ref="I114:J114"/>
    <mergeCell ref="B115:D115"/>
    <mergeCell ref="E115:F115"/>
    <mergeCell ref="I115:J115"/>
    <mergeCell ref="B105:D105"/>
    <mergeCell ref="B106:D106"/>
    <mergeCell ref="B107:D107"/>
    <mergeCell ref="B108:J108"/>
    <mergeCell ref="B109:I109"/>
    <mergeCell ref="B110:G110"/>
    <mergeCell ref="H110:I110"/>
    <mergeCell ref="B112:D112"/>
    <mergeCell ref="E112:F112"/>
    <mergeCell ref="I112:J112"/>
    <mergeCell ref="B98:E98"/>
    <mergeCell ref="I98:J98"/>
    <mergeCell ref="B99:E99"/>
    <mergeCell ref="I99:J99"/>
    <mergeCell ref="B101:E101"/>
    <mergeCell ref="I101:J101"/>
    <mergeCell ref="B102:E102"/>
    <mergeCell ref="I102:J102"/>
    <mergeCell ref="B103:D103"/>
    <mergeCell ref="B100:E100"/>
    <mergeCell ref="B93:E93"/>
    <mergeCell ref="I93:J93"/>
    <mergeCell ref="B94:E94"/>
    <mergeCell ref="I94:J94"/>
    <mergeCell ref="B95:E95"/>
    <mergeCell ref="I95:J95"/>
    <mergeCell ref="B96:E96"/>
    <mergeCell ref="I96:J96"/>
    <mergeCell ref="B97:E97"/>
    <mergeCell ref="I97:J97"/>
    <mergeCell ref="B88:E88"/>
    <mergeCell ref="I88:J88"/>
    <mergeCell ref="B89:E89"/>
    <mergeCell ref="I89:J89"/>
    <mergeCell ref="F90:G90"/>
    <mergeCell ref="I90:J90"/>
    <mergeCell ref="B91:E91"/>
    <mergeCell ref="I91:J91"/>
    <mergeCell ref="B92:E92"/>
    <mergeCell ref="I92:J92"/>
    <mergeCell ref="B90:E90"/>
    <mergeCell ref="B83:E83"/>
    <mergeCell ref="I83:J83"/>
    <mergeCell ref="I84:J84"/>
    <mergeCell ref="B85:E85"/>
    <mergeCell ref="I85:J85"/>
    <mergeCell ref="B86:E86"/>
    <mergeCell ref="I86:J86"/>
    <mergeCell ref="B87:E87"/>
    <mergeCell ref="I87:J87"/>
    <mergeCell ref="B78:E78"/>
    <mergeCell ref="I78:J78"/>
    <mergeCell ref="B79:E79"/>
    <mergeCell ref="I79:J79"/>
    <mergeCell ref="B80:E80"/>
    <mergeCell ref="I80:J80"/>
    <mergeCell ref="B81:E81"/>
    <mergeCell ref="I81:J81"/>
    <mergeCell ref="B82:E82"/>
    <mergeCell ref="I82:J82"/>
    <mergeCell ref="B73:E73"/>
    <mergeCell ref="I73:J73"/>
    <mergeCell ref="B74:E74"/>
    <mergeCell ref="I74:J74"/>
    <mergeCell ref="B75:E75"/>
    <mergeCell ref="I75:J75"/>
    <mergeCell ref="B76:E76"/>
    <mergeCell ref="I76:J76"/>
    <mergeCell ref="B77:E77"/>
    <mergeCell ref="I77:J77"/>
    <mergeCell ref="B68:E68"/>
    <mergeCell ref="I68:J68"/>
    <mergeCell ref="B69:E69"/>
    <mergeCell ref="I69:J69"/>
    <mergeCell ref="B70:E70"/>
    <mergeCell ref="I70:J70"/>
    <mergeCell ref="B71:E71"/>
    <mergeCell ref="I71:J71"/>
    <mergeCell ref="B72:E72"/>
    <mergeCell ref="I72:J72"/>
    <mergeCell ref="W63:Z63"/>
    <mergeCell ref="B64:E64"/>
    <mergeCell ref="F64:H64"/>
    <mergeCell ref="I64:J64"/>
    <mergeCell ref="B65:E65"/>
    <mergeCell ref="I65:J65"/>
    <mergeCell ref="B66:E66"/>
    <mergeCell ref="I66:J66"/>
    <mergeCell ref="B67:E67"/>
    <mergeCell ref="I67:J67"/>
    <mergeCell ref="B61:C61"/>
    <mergeCell ref="I61:J61"/>
    <mergeCell ref="K61:L61"/>
    <mergeCell ref="B62:C62"/>
    <mergeCell ref="I62:J62"/>
    <mergeCell ref="B63:J63"/>
    <mergeCell ref="M63:O63"/>
    <mergeCell ref="P63:T63"/>
    <mergeCell ref="U63:V63"/>
    <mergeCell ref="C55:D55"/>
    <mergeCell ref="R55:S55"/>
    <mergeCell ref="C56:D56"/>
    <mergeCell ref="R56:S56"/>
    <mergeCell ref="B57:D57"/>
    <mergeCell ref="R57:S57"/>
    <mergeCell ref="B58:J58"/>
    <mergeCell ref="G59:J59"/>
    <mergeCell ref="I60:J60"/>
    <mergeCell ref="B51:E51"/>
    <mergeCell ref="F51:G51"/>
    <mergeCell ref="O51:S51"/>
    <mergeCell ref="C52:D52"/>
    <mergeCell ref="R52:S52"/>
    <mergeCell ref="C53:D53"/>
    <mergeCell ref="R53:S53"/>
    <mergeCell ref="C54:D54"/>
    <mergeCell ref="R54:S54"/>
    <mergeCell ref="M36:O36"/>
    <mergeCell ref="P36:T36"/>
    <mergeCell ref="U36:V36"/>
    <mergeCell ref="W36:Z36"/>
    <mergeCell ref="A37:J37"/>
    <mergeCell ref="G38:J38"/>
    <mergeCell ref="B49:E49"/>
    <mergeCell ref="F49:J49"/>
    <mergeCell ref="B50:C50"/>
    <mergeCell ref="H50:I50"/>
    <mergeCell ref="O50:S50"/>
    <mergeCell ref="A31:J31"/>
    <mergeCell ref="A32:J32"/>
    <mergeCell ref="B33:D33"/>
    <mergeCell ref="E33:G33"/>
    <mergeCell ref="B34:D34"/>
    <mergeCell ref="E34:G34"/>
    <mergeCell ref="B35:D35"/>
    <mergeCell ref="E35:G35"/>
    <mergeCell ref="B36:D36"/>
    <mergeCell ref="E36:G36"/>
    <mergeCell ref="A23:H23"/>
    <mergeCell ref="I23:J23"/>
    <mergeCell ref="A24:J24"/>
    <mergeCell ref="A25:J25"/>
    <mergeCell ref="A26:J26"/>
    <mergeCell ref="A27:J27"/>
    <mergeCell ref="A28:J28"/>
    <mergeCell ref="A29:J29"/>
    <mergeCell ref="A30:J30"/>
    <mergeCell ref="M19:O19"/>
    <mergeCell ref="P19:S19"/>
    <mergeCell ref="T19:U19"/>
    <mergeCell ref="V19:Y19"/>
    <mergeCell ref="A21:B21"/>
    <mergeCell ref="C21:E21"/>
    <mergeCell ref="F21:G21"/>
    <mergeCell ref="A22:B22"/>
    <mergeCell ref="C22:E22"/>
    <mergeCell ref="F22:G22"/>
    <mergeCell ref="B15:D15"/>
    <mergeCell ref="F15:J15"/>
    <mergeCell ref="B16:D16"/>
    <mergeCell ref="F16:J16"/>
    <mergeCell ref="B17:D17"/>
    <mergeCell ref="F17:J17"/>
    <mergeCell ref="B18:J18"/>
    <mergeCell ref="C19:E19"/>
    <mergeCell ref="H19:J19"/>
    <mergeCell ref="B1:J1"/>
    <mergeCell ref="B2:J2"/>
    <mergeCell ref="C3:J3"/>
    <mergeCell ref="C4:J4"/>
    <mergeCell ref="C5:J5"/>
    <mergeCell ref="O5:R5"/>
    <mergeCell ref="C6:J6"/>
    <mergeCell ref="B7:D7"/>
    <mergeCell ref="E7:G7"/>
    <mergeCell ref="H7:J7"/>
    <mergeCell ref="B13:D13"/>
    <mergeCell ref="F13:J13"/>
    <mergeCell ref="B14:D14"/>
    <mergeCell ref="F14:J14"/>
    <mergeCell ref="B8:J8"/>
    <mergeCell ref="B9:J9"/>
    <mergeCell ref="B10:D10"/>
    <mergeCell ref="F10:J10"/>
    <mergeCell ref="O10:R10"/>
    <mergeCell ref="B11:D11"/>
    <mergeCell ref="F11:J11"/>
    <mergeCell ref="B12:D12"/>
    <mergeCell ref="F12:J12"/>
  </mergeCells>
  <conditionalFormatting sqref="K66:K85">
    <cfRule type="cellIs" dxfId="31" priority="1" stopIfTrue="1" operator="lessThan">
      <formula>1</formula>
    </cfRule>
  </conditionalFormatting>
  <conditionalFormatting sqref="Z62 AB62">
    <cfRule type="cellIs" dxfId="30" priority="2" operator="lessThan">
      <formula>0</formula>
    </cfRule>
    <cfRule type="cellIs" dxfId="29" priority="3" operator="lessThan">
      <formula>0</formula>
    </cfRule>
    <cfRule type="cellIs" dxfId="28" priority="4" operator="lessThan">
      <formula>0</formula>
    </cfRule>
  </conditionalFormatting>
  <printOptions horizontalCentered="1"/>
  <pageMargins left="0.39370078740157499" right="0.39370078740157499" top="0.511811023622047" bottom="0.511811023622047" header="0.23622047244094499" footer="0.23622047244094499"/>
  <pageSetup paperSize="9" scale="87" orientation="portrait" r:id="rId1"/>
  <headerFooter alignWithMargins="0"/>
  <rowBreaks count="3" manualBreakCount="3">
    <brk id="146" max="9" man="1"/>
    <brk id="170" max="9" man="1"/>
    <brk id="188" max="9" man="1"/>
  </rowBreaks>
</worksheet>
</file>

<file path=xl/worksheets/sheet8.xml><?xml version="1.0" encoding="utf-8"?>
<worksheet xmlns="http://schemas.openxmlformats.org/spreadsheetml/2006/main" xmlns:r="http://schemas.openxmlformats.org/officeDocument/2006/relationships">
  <sheetPr codeName="Sheet9"/>
  <dimension ref="A1:K52"/>
  <sheetViews>
    <sheetView showGridLines="0" view="pageBreakPreview" workbookViewId="0">
      <selection activeCell="E9" sqref="E9"/>
    </sheetView>
  </sheetViews>
  <sheetFormatPr defaultColWidth="9.140625" defaultRowHeight="18.75"/>
  <cols>
    <col min="1" max="1" width="10.28515625" style="1955" customWidth="1"/>
    <col min="2" max="2" width="48" style="1955" customWidth="1"/>
    <col min="3" max="3" width="7.5703125" style="1955" customWidth="1"/>
    <col min="4" max="4" width="8.5703125" style="1955" customWidth="1"/>
    <col min="5" max="5" width="18.140625" style="1955" customWidth="1"/>
    <col min="6" max="6" width="8.42578125" style="1955" customWidth="1"/>
    <col min="7" max="7" width="18.28515625" style="1955" customWidth="1"/>
    <col min="8" max="8" width="15" style="1955" customWidth="1"/>
    <col min="9" max="9" width="16.28515625" style="1955" customWidth="1"/>
    <col min="10" max="10" width="9.140625" style="1955"/>
    <col min="11" max="11" width="11.28515625" style="1955" customWidth="1"/>
    <col min="12" max="12" width="9.140625" style="1955"/>
    <col min="13" max="13" width="11.28515625" style="1955" customWidth="1"/>
    <col min="14" max="16384" width="9.140625" style="1955"/>
  </cols>
  <sheetData>
    <row r="1" spans="1:9" ht="21" customHeight="1">
      <c r="A1" s="3266" t="s">
        <v>2759</v>
      </c>
      <c r="B1" s="3267"/>
      <c r="C1" s="3267"/>
      <c r="D1" s="3267"/>
      <c r="E1" s="3267"/>
      <c r="G1" s="1957"/>
    </row>
    <row r="2" spans="1:9" ht="36.75" customHeight="1">
      <c r="A2" s="1958" t="s">
        <v>619</v>
      </c>
      <c r="B2" s="3268" t="str">
        <f>'Input Data'!E1</f>
        <v>R/F A to B in Wanaparthy Mandal of Wanaparthy District</v>
      </c>
      <c r="C2" s="3269"/>
      <c r="D2" s="3269"/>
      <c r="E2" s="3269"/>
      <c r="G2" s="1957"/>
    </row>
    <row r="3" spans="1:9">
      <c r="A3" s="1958"/>
      <c r="B3" s="1960" t="s">
        <v>620</v>
      </c>
      <c r="C3" s="3270">
        <f>'Input Data'!J4</f>
        <v>100</v>
      </c>
      <c r="D3" s="3271"/>
      <c r="E3" s="1959" t="s">
        <v>329</v>
      </c>
      <c r="G3" s="1957"/>
    </row>
    <row r="4" spans="1:9" s="1953" customFormat="1" ht="20.25" customHeight="1">
      <c r="A4" s="1961" t="s">
        <v>621</v>
      </c>
      <c r="B4" s="3272" t="s">
        <v>622</v>
      </c>
      <c r="C4" s="3272"/>
      <c r="D4" s="3272"/>
      <c r="E4" s="1961" t="s">
        <v>7</v>
      </c>
      <c r="G4" s="1961"/>
    </row>
    <row r="5" spans="1:9" s="1953" customFormat="1" ht="24" customHeight="1">
      <c r="A5" s="3273" t="s">
        <v>936</v>
      </c>
      <c r="B5" s="3274"/>
      <c r="C5" s="3274"/>
      <c r="D5" s="3275"/>
      <c r="E5" s="1961"/>
      <c r="G5" s="1961"/>
    </row>
    <row r="6" spans="1:9" s="1953" customFormat="1">
      <c r="A6" s="1962"/>
      <c r="B6" s="1956" t="s">
        <v>937</v>
      </c>
      <c r="C6" s="1961"/>
      <c r="D6" s="1961"/>
      <c r="E6" s="1961"/>
      <c r="G6" s="1961"/>
      <c r="H6" s="1963"/>
    </row>
    <row r="7" spans="1:9" ht="23.45" customHeight="1">
      <c r="A7" s="1961">
        <v>1</v>
      </c>
      <c r="B7" s="1957" t="s">
        <v>623</v>
      </c>
      <c r="C7" s="1964">
        <v>0.89500000000000002</v>
      </c>
      <c r="D7" s="1961"/>
      <c r="E7" s="1965">
        <f>'Road Estimate'!L93</f>
        <v>6453636</v>
      </c>
      <c r="G7" s="1966"/>
      <c r="H7" s="1967"/>
    </row>
    <row r="8" spans="1:9" ht="23.45" customHeight="1">
      <c r="A8" s="1961">
        <v>2</v>
      </c>
      <c r="B8" s="1957" t="s">
        <v>624</v>
      </c>
      <c r="C8" s="1961" t="s">
        <v>733</v>
      </c>
      <c r="E8" s="1968">
        <f>'CD Abs'!E17</f>
        <v>1976724</v>
      </c>
      <c r="F8" s="1969"/>
      <c r="G8" s="1970">
        <f>F8-E8</f>
        <v>-1976724</v>
      </c>
      <c r="H8" s="1963"/>
      <c r="I8" s="1955">
        <f>279184*2</f>
        <v>558368</v>
      </c>
    </row>
    <row r="9" spans="1:9" ht="23.45" customHeight="1">
      <c r="A9" s="1961">
        <v>3</v>
      </c>
      <c r="B9" s="1957" t="s">
        <v>561</v>
      </c>
      <c r="C9" s="1961"/>
      <c r="D9" s="1961"/>
      <c r="E9" s="1968">
        <f>'Road-furniture '!G18</f>
        <v>37461</v>
      </c>
      <c r="F9" s="1971"/>
      <c r="G9" s="1957"/>
      <c r="H9" s="1963"/>
      <c r="I9" s="1955">
        <f>613168</f>
        <v>613168</v>
      </c>
    </row>
    <row r="10" spans="1:9" ht="23.45" customHeight="1">
      <c r="A10" s="1961">
        <v>4</v>
      </c>
      <c r="B10" s="1957" t="s">
        <v>938</v>
      </c>
      <c r="C10" s="1961"/>
      <c r="D10" s="1961"/>
      <c r="E10" s="1968">
        <f>'RSI-Estt'!L28</f>
        <v>14416</v>
      </c>
      <c r="F10" s="1971"/>
      <c r="G10" s="1957"/>
      <c r="H10" s="1963"/>
    </row>
    <row r="11" spans="1:9" ht="18" customHeight="1">
      <c r="A11" s="1957"/>
      <c r="B11" s="1972" t="s">
        <v>626</v>
      </c>
      <c r="C11" s="1973"/>
      <c r="D11" s="1973"/>
      <c r="E11" s="1974">
        <f>SUM(E7:E10)</f>
        <v>8482237</v>
      </c>
      <c r="G11" s="1957"/>
      <c r="H11" s="1963"/>
    </row>
    <row r="12" spans="1:9" ht="23.45" customHeight="1">
      <c r="A12" s="1961">
        <v>5</v>
      </c>
      <c r="B12" s="1958" t="s">
        <v>627</v>
      </c>
      <c r="C12" s="1975"/>
      <c r="D12" s="1961"/>
      <c r="E12" s="1968">
        <f>ROUND(E11*0.5%,0)</f>
        <v>42411</v>
      </c>
      <c r="G12" s="1976"/>
    </row>
    <row r="13" spans="1:9" ht="23.45" customHeight="1">
      <c r="A13" s="1961">
        <f>+A12+1</f>
        <v>6</v>
      </c>
      <c r="B13" s="1958" t="s">
        <v>628</v>
      </c>
      <c r="C13" s="1975"/>
      <c r="D13" s="1961"/>
      <c r="E13" s="1968">
        <f>ROUND(E11*0.1%,0)</f>
        <v>8482</v>
      </c>
      <c r="G13" s="1976"/>
    </row>
    <row r="14" spans="1:9" ht="23.45" customHeight="1">
      <c r="A14" s="1961">
        <f t="shared" ref="A14:A17" si="0">+A13+1</f>
        <v>7</v>
      </c>
      <c r="B14" s="1958" t="s">
        <v>629</v>
      </c>
      <c r="C14" s="1975"/>
      <c r="D14" s="1961"/>
      <c r="E14" s="1968">
        <f>Seigneorage!G141</f>
        <v>297019</v>
      </c>
      <c r="F14" s="1977"/>
      <c r="G14" s="1976"/>
    </row>
    <row r="15" spans="1:9" ht="24" customHeight="1">
      <c r="A15" s="1961">
        <f t="shared" si="0"/>
        <v>8</v>
      </c>
      <c r="B15" s="1958" t="s">
        <v>630</v>
      </c>
      <c r="C15" s="1975"/>
      <c r="D15" s="1961"/>
      <c r="E15" s="1968">
        <f>ROUND(E14*30%,0)</f>
        <v>89106</v>
      </c>
      <c r="F15" s="1977"/>
      <c r="G15" s="1976"/>
    </row>
    <row r="16" spans="1:9" ht="24" customHeight="1">
      <c r="A16" s="1961">
        <f t="shared" si="0"/>
        <v>9</v>
      </c>
      <c r="B16" s="1958" t="s">
        <v>631</v>
      </c>
      <c r="C16" s="1975"/>
      <c r="D16" s="1961"/>
      <c r="E16" s="1968">
        <f>ROUND(E14*2%,0)</f>
        <v>5940</v>
      </c>
      <c r="F16" s="1977"/>
      <c r="G16" s="1976"/>
    </row>
    <row r="17" spans="1:11" s="1954" customFormat="1" ht="37.5">
      <c r="A17" s="1978">
        <f t="shared" si="0"/>
        <v>10</v>
      </c>
      <c r="B17" s="1979" t="s">
        <v>939</v>
      </c>
      <c r="C17" s="1980"/>
      <c r="D17" s="1978"/>
      <c r="E17" s="1968">
        <f>ROUND(E14*80%,0)</f>
        <v>237615</v>
      </c>
      <c r="F17" s="1981"/>
      <c r="G17" s="1982"/>
      <c r="H17" s="1954">
        <f>E14*0.008</f>
        <v>2376.152</v>
      </c>
    </row>
    <row r="18" spans="1:11" ht="23.45" customHeight="1">
      <c r="A18" s="1961"/>
      <c r="B18" s="1972" t="s">
        <v>626</v>
      </c>
      <c r="C18" s="1973"/>
      <c r="D18" s="1973"/>
      <c r="E18" s="1974">
        <f>SUM(E11:E17)</f>
        <v>9162810</v>
      </c>
      <c r="F18" s="1977"/>
      <c r="G18" s="1976"/>
      <c r="K18" s="1955">
        <f>168.5/2.5</f>
        <v>67.400000000000006</v>
      </c>
    </row>
    <row r="19" spans="1:11" ht="23.45" customHeight="1">
      <c r="A19" s="1961">
        <v>11</v>
      </c>
      <c r="B19" s="1958" t="s">
        <v>633</v>
      </c>
      <c r="C19" s="1975"/>
      <c r="D19" s="1961"/>
      <c r="E19" s="1983">
        <f>ROUND(E18*18%,0)</f>
        <v>1649306</v>
      </c>
      <c r="F19" s="1977"/>
      <c r="G19" s="1976"/>
    </row>
    <row r="20" spans="1:11" ht="39.950000000000003" customHeight="1">
      <c r="A20" s="1961">
        <v>12</v>
      </c>
      <c r="B20" s="1958" t="s">
        <v>940</v>
      </c>
      <c r="C20" s="1961"/>
      <c r="D20" s="1961"/>
      <c r="E20" s="1984">
        <f>G20</f>
        <v>-812116</v>
      </c>
      <c r="G20" s="1985">
        <f>(C3*100000)-E18-E19</f>
        <v>-812116</v>
      </c>
      <c r="H20" s="1986">
        <f>E20-G20</f>
        <v>0</v>
      </c>
    </row>
    <row r="21" spans="1:11" ht="24.75" customHeight="1">
      <c r="A21" s="1961"/>
      <c r="B21" s="1972" t="s">
        <v>941</v>
      </c>
      <c r="C21" s="1973"/>
      <c r="D21" s="1973"/>
      <c r="E21" s="1987">
        <f>SUM(E18:E20)</f>
        <v>10000000</v>
      </c>
      <c r="G21" s="1988">
        <f>+'Input Data'!J4*100000-SUM(E11:E20)</f>
        <v>-9162810</v>
      </c>
    </row>
    <row r="22" spans="1:11" ht="24" hidden="1" customHeight="1">
      <c r="A22" s="3276" t="s">
        <v>942</v>
      </c>
      <c r="B22" s="3276"/>
      <c r="C22" s="1961"/>
      <c r="D22" s="1961"/>
      <c r="E22" s="1987"/>
      <c r="G22" s="1989"/>
    </row>
    <row r="23" spans="1:11" ht="21" hidden="1" customHeight="1">
      <c r="A23" s="1957"/>
      <c r="B23" s="1962" t="s">
        <v>943</v>
      </c>
      <c r="C23" s="1961"/>
      <c r="D23" s="1961"/>
      <c r="E23" s="1987"/>
      <c r="G23" s="1989"/>
    </row>
    <row r="24" spans="1:11" ht="21" hidden="1" customHeight="1">
      <c r="A24" s="1957">
        <v>1</v>
      </c>
      <c r="B24" s="1957" t="s">
        <v>944</v>
      </c>
      <c r="C24" s="1961"/>
      <c r="D24" s="1961"/>
      <c r="E24" s="1965">
        <f>'Mtc-Abs'!D15</f>
        <v>650192</v>
      </c>
      <c r="G24" s="1989"/>
    </row>
    <row r="25" spans="1:11" ht="21" hidden="1" customHeight="1">
      <c r="A25" s="1957">
        <v>2</v>
      </c>
      <c r="B25" s="1957" t="s">
        <v>945</v>
      </c>
      <c r="C25" s="1961"/>
      <c r="D25" s="1961"/>
      <c r="E25" s="1965">
        <f>'Mtc-Abs'!D16</f>
        <v>78023</v>
      </c>
      <c r="G25" s="1989"/>
    </row>
    <row r="26" spans="1:11" ht="21" hidden="1" customHeight="1">
      <c r="A26" s="1957">
        <v>3</v>
      </c>
      <c r="B26" s="1958" t="s">
        <v>946</v>
      </c>
      <c r="C26" s="1961"/>
      <c r="D26" s="1961"/>
      <c r="E26" s="1965">
        <f>'Mtc-Abs'!D17</f>
        <v>21785</v>
      </c>
      <c r="G26" s="1989"/>
    </row>
    <row r="27" spans="1:11" ht="21" hidden="1" customHeight="1">
      <c r="A27" s="1957"/>
      <c r="B27" s="1972" t="s">
        <v>947</v>
      </c>
      <c r="C27" s="1961"/>
      <c r="D27" s="1961"/>
      <c r="E27" s="1987">
        <f>SUM(E24:E26)</f>
        <v>750000</v>
      </c>
      <c r="G27" s="1990"/>
    </row>
    <row r="28" spans="1:11" ht="21" hidden="1" customHeight="1">
      <c r="A28" s="1957"/>
      <c r="B28" s="3277" t="s">
        <v>948</v>
      </c>
      <c r="C28" s="3277"/>
      <c r="D28" s="3277"/>
      <c r="E28" s="1987">
        <f>E21+E27</f>
        <v>10750000</v>
      </c>
      <c r="F28" s="1971"/>
      <c r="G28" s="1963"/>
      <c r="H28" s="1977"/>
      <c r="I28" s="1977"/>
    </row>
    <row r="29" spans="1:11" ht="16.5" customHeight="1">
      <c r="B29" s="1991"/>
      <c r="C29" s="1991"/>
      <c r="D29" s="1991"/>
      <c r="E29" s="1991"/>
      <c r="G29" s="1963"/>
      <c r="H29" s="1977"/>
    </row>
    <row r="30" spans="1:11" ht="36" hidden="1" customHeight="1">
      <c r="A30" s="3278" t="str">
        <f>"               The work is Administratively Sanctioned for Rs."&amp;'Input Data'!J4&amp;".00 lakhs, Vide "&amp;'Input Data'!I3&amp;" under  "&amp;'Input Data'!J6</f>
        <v xml:space="preserve">               The work is Administratively Sanctioned for Rs.100.00 lakhs, Vide G.O.Rt.No.273  dt: 20.07.2023 of PR &amp; RD(Roads) Dept. Sl.No.1 under  CRR-2024-25</v>
      </c>
      <c r="B30" s="3278"/>
      <c r="C30" s="3278"/>
      <c r="D30" s="3278"/>
      <c r="E30" s="3278"/>
      <c r="G30" s="1963"/>
      <c r="H30" s="1977"/>
    </row>
    <row r="31" spans="1:11" ht="6" hidden="1" customHeight="1">
      <c r="A31" s="1992"/>
      <c r="B31" s="1993"/>
      <c r="C31" s="1991"/>
      <c r="D31" s="1991"/>
      <c r="E31" s="1991"/>
      <c r="G31" s="1963"/>
      <c r="H31" s="1977"/>
    </row>
    <row r="32" spans="1:11" ht="42.75" hidden="1" customHeight="1">
      <c r="A32" s="3278" t="str">
        <f>"                       The Estimate of work '' "&amp;'Input Data'!E1&amp;" '' is Technically sanctioned for Rs."&amp;'Note File'!L9&amp;" lakhs, and  Technically Approved for Rs."&amp;ROUND(E28/100000,2)&amp;" lakhs Vide  TSR No.          /2021-22 dated        -11-2021."</f>
        <v xml:space="preserve">                       The Estimate of work '' R/F A to B in Wanaparthy Mandal of Wanaparthy District '' is Technically sanctioned for Rs.100 lakhs, and  Technically Approved for Rs.107.5 lakhs Vide  TSR No.          /2021-22 dated        -11-2021.</v>
      </c>
      <c r="B32" s="3278"/>
      <c r="C32" s="3278"/>
      <c r="D32" s="3278"/>
      <c r="E32" s="3278"/>
      <c r="G32" s="1963"/>
      <c r="H32" s="1977"/>
    </row>
    <row r="33" spans="1:11" ht="32.1" customHeight="1">
      <c r="A33" s="1994"/>
      <c r="B33" s="1991"/>
      <c r="C33" s="3279"/>
      <c r="D33" s="3279"/>
      <c r="E33" s="1991"/>
      <c r="G33" s="1963"/>
      <c r="H33" s="1977"/>
    </row>
    <row r="34" spans="1:11" ht="20.100000000000001" customHeight="1">
      <c r="B34" s="1995" t="s">
        <v>949</v>
      </c>
      <c r="C34" s="3280" t="s">
        <v>791</v>
      </c>
      <c r="D34" s="3280"/>
      <c r="E34" s="3280"/>
      <c r="G34" s="1963"/>
      <c r="H34" s="1977"/>
    </row>
    <row r="35" spans="1:11" ht="20.100000000000001" customHeight="1">
      <c r="B35" s="1995" t="str">
        <f>"PRSD, "&amp;'Input Data'!D6&amp;""</f>
        <v>PRSD, Wanaparthy</v>
      </c>
      <c r="C35" s="3280" t="str">
        <f>"PRSD, "&amp;'Input Data'!D6&amp;""</f>
        <v>PRSD, Wanaparthy</v>
      </c>
      <c r="D35" s="3280"/>
      <c r="E35" s="3280"/>
      <c r="G35" s="1963"/>
      <c r="H35" s="1977"/>
    </row>
    <row r="36" spans="1:11" ht="45" customHeight="1">
      <c r="B36" s="1991"/>
      <c r="C36" s="1991"/>
      <c r="D36" s="1991"/>
      <c r="E36" s="1991"/>
      <c r="I36" s="2002"/>
    </row>
    <row r="37" spans="1:11" ht="20.100000000000001" customHeight="1">
      <c r="B37" s="1995" t="s">
        <v>906</v>
      </c>
      <c r="C37" s="3280" t="s">
        <v>685</v>
      </c>
      <c r="D37" s="3280"/>
      <c r="E37" s="3280"/>
      <c r="I37" s="2002"/>
    </row>
    <row r="38" spans="1:11" ht="20.100000000000001" customHeight="1">
      <c r="B38" s="1953" t="str">
        <f>"PIU, "&amp;'Input Data'!D5&amp;""</f>
        <v>PIU, Wanaparthy</v>
      </c>
      <c r="C38" s="3280" t="str">
        <f>"PR, Circle, "&amp;'Input Data'!D3&amp;""</f>
        <v>PR, Circle, Warangal</v>
      </c>
      <c r="D38" s="3280"/>
      <c r="E38" s="3280"/>
      <c r="H38" s="1953"/>
      <c r="I38" s="2003"/>
      <c r="J38" s="1953"/>
      <c r="K38" s="2000"/>
    </row>
    <row r="39" spans="1:11" ht="24.75" customHeight="1">
      <c r="B39" s="1953"/>
      <c r="C39" s="1995"/>
      <c r="D39" s="1995"/>
      <c r="E39" s="1995"/>
      <c r="H39" s="1953"/>
      <c r="I39" s="2003"/>
      <c r="J39" s="1953"/>
      <c r="K39" s="2000"/>
    </row>
    <row r="40" spans="1:11" hidden="1">
      <c r="A40" s="1994"/>
      <c r="B40" s="1991"/>
      <c r="C40" s="1996" t="s">
        <v>950</v>
      </c>
      <c r="D40" s="1991"/>
      <c r="E40" s="1991"/>
      <c r="G40" s="1963"/>
      <c r="H40" s="1977"/>
    </row>
    <row r="41" spans="1:11" ht="18.75" hidden="1" customHeight="1">
      <c r="A41" s="1994"/>
      <c r="B41" s="1991"/>
      <c r="C41" s="1996" t="s">
        <v>951</v>
      </c>
      <c r="D41" s="1991"/>
      <c r="E41" s="1991"/>
      <c r="G41" s="1963"/>
      <c r="H41" s="1977"/>
    </row>
    <row r="42" spans="1:11" ht="36.75" customHeight="1">
      <c r="A42" s="3281"/>
      <c r="B42" s="3281"/>
      <c r="C42" s="3281"/>
      <c r="D42" s="3281"/>
      <c r="E42" s="3281"/>
      <c r="H42" s="1953"/>
      <c r="I42" s="2004"/>
      <c r="J42" s="1953"/>
      <c r="K42" s="2000"/>
    </row>
    <row r="43" spans="1:11">
      <c r="A43" s="1997"/>
      <c r="B43" s="1998"/>
      <c r="C43" s="1994"/>
      <c r="D43" s="1998"/>
      <c r="E43" s="1999"/>
    </row>
    <row r="46" spans="1:11" ht="12.75" customHeight="1">
      <c r="B46" s="1953"/>
      <c r="E46" s="2000"/>
      <c r="H46" s="2000"/>
    </row>
    <row r="47" spans="1:11" ht="12.75" customHeight="1">
      <c r="A47" s="2001"/>
      <c r="B47" s="1953"/>
      <c r="E47" s="2000"/>
      <c r="H47" s="2000"/>
    </row>
    <row r="48" spans="1:11">
      <c r="A48" s="2001"/>
      <c r="E48" s="2000"/>
      <c r="F48" s="1953"/>
      <c r="G48" s="1953"/>
      <c r="H48" s="2000"/>
    </row>
    <row r="49" spans="1:8">
      <c r="A49" s="2001"/>
      <c r="E49" s="2000"/>
      <c r="F49" s="1953"/>
      <c r="G49" s="1953"/>
      <c r="H49" s="2000"/>
    </row>
    <row r="50" spans="1:8">
      <c r="A50" s="2001"/>
      <c r="E50" s="2000"/>
      <c r="F50" s="1953"/>
      <c r="G50" s="1953"/>
      <c r="H50" s="2000"/>
    </row>
    <row r="51" spans="1:8">
      <c r="A51" s="2001"/>
      <c r="B51" s="1953"/>
      <c r="D51" s="1953"/>
      <c r="E51" s="2000"/>
      <c r="F51" s="1953"/>
      <c r="G51" s="1953"/>
      <c r="H51" s="2000"/>
    </row>
    <row r="52" spans="1:8">
      <c r="A52" s="2001"/>
      <c r="B52" s="1953"/>
      <c r="D52" s="1953"/>
      <c r="E52" s="2000"/>
    </row>
  </sheetData>
  <mergeCells count="15">
    <mergeCell ref="C34:E34"/>
    <mergeCell ref="C35:E35"/>
    <mergeCell ref="C37:E37"/>
    <mergeCell ref="C38:E38"/>
    <mergeCell ref="A42:E42"/>
    <mergeCell ref="A22:B22"/>
    <mergeCell ref="B28:D28"/>
    <mergeCell ref="A30:E30"/>
    <mergeCell ref="A32:E32"/>
    <mergeCell ref="C33:D33"/>
    <mergeCell ref="A1:E1"/>
    <mergeCell ref="B2:E2"/>
    <mergeCell ref="C3:D3"/>
    <mergeCell ref="B4:D4"/>
    <mergeCell ref="A5:D5"/>
  </mergeCells>
  <printOptions horizontalCentered="1"/>
  <pageMargins left="0.51180555555555596" right="0.23611111111111099" top="0.66874999999999996" bottom="0.51180555555555596" header="0.74791666666666701" footer="0.51180555555555596"/>
  <pageSetup paperSize="9" orientation="portrait" r:id="rId1"/>
</worksheet>
</file>

<file path=xl/worksheets/sheet9.xml><?xml version="1.0" encoding="utf-8"?>
<worksheet xmlns="http://schemas.openxmlformats.org/spreadsheetml/2006/main" xmlns:r="http://schemas.openxmlformats.org/officeDocument/2006/relationships">
  <dimension ref="A2:L27"/>
  <sheetViews>
    <sheetView view="pageBreakPreview" topLeftCell="A13" workbookViewId="0">
      <selection activeCell="C16" sqref="C16:H16"/>
    </sheetView>
  </sheetViews>
  <sheetFormatPr defaultColWidth="9.140625" defaultRowHeight="15"/>
  <cols>
    <col min="1" max="1" width="4.5703125" style="2374" customWidth="1"/>
    <col min="2" max="2" width="3.42578125" style="2374" customWidth="1"/>
    <col min="3" max="3" width="31.7109375" style="2374" customWidth="1"/>
    <col min="4" max="4" width="2" style="2375" customWidth="1"/>
    <col min="5" max="5" width="3.28515625" style="2374" customWidth="1"/>
    <col min="6" max="6" width="1.85546875" style="2374" customWidth="1"/>
    <col min="7" max="7" width="8" style="2374" customWidth="1"/>
    <col min="8" max="8" width="39.5703125" style="2374" customWidth="1"/>
    <col min="9" max="16384" width="9.140625" style="2374"/>
  </cols>
  <sheetData>
    <row r="2" spans="1:12" ht="18.75">
      <c r="A2" s="3282" t="s">
        <v>2775</v>
      </c>
      <c r="B2" s="3282"/>
      <c r="C2" s="3282"/>
      <c r="D2" s="3282"/>
      <c r="E2" s="3282"/>
      <c r="F2" s="3282"/>
      <c r="G2" s="3282"/>
      <c r="H2" s="3282"/>
      <c r="I2" s="2385"/>
      <c r="J2" s="2385"/>
      <c r="K2" s="2385"/>
      <c r="L2" s="2385"/>
    </row>
    <row r="3" spans="1:12" ht="18.75">
      <c r="A3" s="3282" t="s">
        <v>2774</v>
      </c>
      <c r="B3" s="3282"/>
      <c r="C3" s="3282"/>
      <c r="D3" s="3282"/>
      <c r="E3" s="3282"/>
      <c r="F3" s="3282"/>
      <c r="G3" s="3282"/>
      <c r="H3" s="3282"/>
      <c r="I3" s="2385"/>
      <c r="J3" s="2385"/>
      <c r="K3" s="2385"/>
      <c r="L3" s="2385"/>
    </row>
    <row r="4" spans="1:12" ht="15.75">
      <c r="A4" s="2376" t="s">
        <v>85</v>
      </c>
      <c r="B4" s="2376"/>
    </row>
    <row r="6" spans="1:12" s="2371" customFormat="1" ht="32.1" customHeight="1">
      <c r="A6" s="2371">
        <v>1</v>
      </c>
      <c r="B6" s="3283" t="s">
        <v>672</v>
      </c>
      <c r="C6" s="3283"/>
      <c r="D6" s="2377" t="s">
        <v>427</v>
      </c>
      <c r="E6" s="3284"/>
      <c r="F6" s="3284"/>
      <c r="G6" s="3284"/>
      <c r="H6" s="3284"/>
    </row>
    <row r="7" spans="1:12" s="2372" customFormat="1" ht="30.95" customHeight="1">
      <c r="A7" s="2372">
        <v>2</v>
      </c>
      <c r="B7" s="3285" t="s">
        <v>673</v>
      </c>
      <c r="C7" s="3285"/>
      <c r="D7" s="2379" t="s">
        <v>427</v>
      </c>
      <c r="E7" s="2380">
        <v>1</v>
      </c>
      <c r="F7" s="3286" t="s">
        <v>674</v>
      </c>
      <c r="G7" s="3286"/>
      <c r="H7" s="3286"/>
    </row>
    <row r="8" spans="1:12" ht="30.95" customHeight="1">
      <c r="D8" s="2379" t="s">
        <v>427</v>
      </c>
      <c r="E8" s="2380">
        <v>2</v>
      </c>
      <c r="F8" s="3286" t="s">
        <v>675</v>
      </c>
      <c r="G8" s="3286"/>
      <c r="H8" s="3286"/>
    </row>
    <row r="9" spans="1:12" ht="18" customHeight="1">
      <c r="D9" s="2381" t="s">
        <v>427</v>
      </c>
      <c r="E9" s="2380">
        <v>3</v>
      </c>
      <c r="F9" s="3286" t="s">
        <v>676</v>
      </c>
      <c r="G9" s="3286"/>
      <c r="H9" s="3286"/>
    </row>
    <row r="10" spans="1:12" s="2372" customFormat="1" ht="38.1" customHeight="1">
      <c r="A10" s="2372">
        <v>3</v>
      </c>
      <c r="B10" s="3285" t="s">
        <v>677</v>
      </c>
      <c r="C10" s="3285"/>
      <c r="D10" s="2379" t="s">
        <v>427</v>
      </c>
      <c r="E10" s="3286" t="str">
        <f>'Input Data'!E1</f>
        <v>R/F A to B in Wanaparthy Mandal of Wanaparthy District</v>
      </c>
      <c r="F10" s="3286"/>
      <c r="G10" s="3286"/>
      <c r="H10" s="3286"/>
    </row>
    <row r="11" spans="1:12">
      <c r="A11" s="2374">
        <v>4</v>
      </c>
      <c r="B11" s="3287" t="s">
        <v>678</v>
      </c>
      <c r="C11" s="3287"/>
      <c r="D11" s="2381" t="s">
        <v>427</v>
      </c>
      <c r="E11" s="3288" t="s">
        <v>679</v>
      </c>
      <c r="F11" s="3288"/>
      <c r="G11" s="2382">
        <f>'Input Data'!J4</f>
        <v>100</v>
      </c>
      <c r="H11" s="2383" t="s">
        <v>329</v>
      </c>
    </row>
    <row r="12" spans="1:12" s="2373" customFormat="1" ht="36" customHeight="1">
      <c r="A12" s="2373">
        <v>5</v>
      </c>
      <c r="B12" s="3289" t="s">
        <v>680</v>
      </c>
      <c r="C12" s="3289"/>
      <c r="D12" s="2384" t="s">
        <v>427</v>
      </c>
      <c r="E12" s="3289" t="str">
        <f>'Input Data'!I3</f>
        <v>G.O.Rt.No.273  dt: 20.07.2023 of PR &amp; RD(Roads) Dept. Sl.No.1</v>
      </c>
      <c r="F12" s="3289"/>
      <c r="G12" s="3289"/>
      <c r="H12" s="3289"/>
    </row>
    <row r="13" spans="1:12">
      <c r="A13" s="2374">
        <v>6</v>
      </c>
      <c r="B13" s="3290" t="s">
        <v>386</v>
      </c>
      <c r="C13" s="3290"/>
      <c r="D13" s="2381" t="s">
        <v>427</v>
      </c>
      <c r="E13" s="3290" t="str">
        <f>'Input Data'!J6</f>
        <v>CRR-2024-25</v>
      </c>
      <c r="F13" s="3290"/>
      <c r="G13" s="3290"/>
      <c r="H13" s="3290"/>
    </row>
    <row r="16" spans="1:12" s="2373" customFormat="1" ht="31.5" customHeight="1">
      <c r="C16" s="3289" t="s">
        <v>2786</v>
      </c>
      <c r="D16" s="3289"/>
      <c r="E16" s="3289"/>
      <c r="F16" s="3289"/>
      <c r="G16" s="3289"/>
      <c r="H16" s="3289"/>
    </row>
    <row r="17" spans="2:8" s="2372" customFormat="1" ht="38.25" customHeight="1">
      <c r="C17" s="3289" t="s">
        <v>2788</v>
      </c>
      <c r="D17" s="3289"/>
      <c r="E17" s="3289"/>
      <c r="F17" s="3289"/>
      <c r="G17" s="3289"/>
      <c r="H17" s="3289"/>
    </row>
    <row r="18" spans="2:8" s="2372" customFormat="1" ht="32.1" customHeight="1">
      <c r="C18" s="3289" t="s">
        <v>2787</v>
      </c>
      <c r="D18" s="3289"/>
      <c r="E18" s="3289"/>
      <c r="F18" s="3289"/>
      <c r="G18" s="3289"/>
      <c r="H18" s="3289"/>
    </row>
    <row r="19" spans="2:8" s="2373" customFormat="1" ht="15" hidden="1" customHeight="1">
      <c r="C19" s="3291" t="s">
        <v>681</v>
      </c>
      <c r="D19" s="3291"/>
      <c r="E19" s="3291"/>
      <c r="F19" s="3291"/>
      <c r="G19" s="3291"/>
      <c r="H19" s="3291"/>
    </row>
    <row r="20" spans="2:8" ht="19.5" customHeight="1">
      <c r="C20" s="2372" t="s">
        <v>682</v>
      </c>
    </row>
    <row r="21" spans="2:8" s="2371" customFormat="1" ht="30" customHeight="1">
      <c r="B21" s="2378">
        <v>1</v>
      </c>
      <c r="C21" s="3283" t="s">
        <v>683</v>
      </c>
      <c r="D21" s="3292"/>
      <c r="E21" s="3292"/>
      <c r="F21" s="3292"/>
      <c r="G21" s="3292"/>
      <c r="H21" s="3292"/>
    </row>
    <row r="23" spans="2:8" s="2373" customFormat="1" ht="36" customHeight="1">
      <c r="B23" s="3289" t="s">
        <v>684</v>
      </c>
      <c r="C23" s="3289"/>
      <c r="D23" s="3289"/>
      <c r="E23" s="3289"/>
      <c r="F23" s="3289"/>
      <c r="G23" s="3289"/>
      <c r="H23" s="3289"/>
    </row>
    <row r="26" spans="2:8" ht="15.75">
      <c r="H26" s="2376" t="s">
        <v>685</v>
      </c>
    </row>
    <row r="27" spans="2:8" ht="15.75">
      <c r="H27" s="2376" t="s">
        <v>2776</v>
      </c>
    </row>
  </sheetData>
  <mergeCells count="22">
    <mergeCell ref="C17:H17"/>
    <mergeCell ref="C18:H18"/>
    <mergeCell ref="C19:H19"/>
    <mergeCell ref="C21:H21"/>
    <mergeCell ref="B23:H23"/>
    <mergeCell ref="B12:C12"/>
    <mergeCell ref="E12:H12"/>
    <mergeCell ref="B13:C13"/>
    <mergeCell ref="E13:H13"/>
    <mergeCell ref="C16:H16"/>
    <mergeCell ref="F8:H8"/>
    <mergeCell ref="F9:H9"/>
    <mergeCell ref="B10:C10"/>
    <mergeCell ref="E10:H10"/>
    <mergeCell ref="B11:C11"/>
    <mergeCell ref="E11:F11"/>
    <mergeCell ref="A2:H2"/>
    <mergeCell ref="A3:H3"/>
    <mergeCell ref="B6:C6"/>
    <mergeCell ref="E6:H6"/>
    <mergeCell ref="B7:C7"/>
    <mergeCell ref="F7:H7"/>
  </mergeCells>
  <pageMargins left="0.51180555555555596" right="0.31458333333333299" top="0.55069444444444404" bottom="0.156944444444444" header="0.31458333333333299" footer="0.31458333333333299"/>
  <pageSetup paperSize="9" orientation="portrait" r:id="rId1"/>
  <drawing r:id="rId2"/>
</worksheet>
</file>

<file path=xl/worksheets/sheet10.xml><?xml version="1.0" encoding="utf-8"?>
<worksheet xmlns="http://schemas.openxmlformats.org/spreadsheetml/2006/main" xmlns:r="http://schemas.openxmlformats.org/officeDocument/2006/relationships">
  <sheetPr codeName="Sheet27"/>
  <dimension ref="A1:AD89"/>
  <sheetViews>
    <sheetView view="pageBreakPreview" topLeftCell="A12" workbookViewId="0">
      <selection activeCell="J12" sqref="J12:Q13"/>
    </sheetView>
  </sheetViews>
  <sheetFormatPr defaultColWidth="9.140625" defaultRowHeight="12.75"/>
  <cols>
    <col min="1" max="1" width="4.28515625" style="2324" customWidth="1"/>
    <col min="2" max="2" width="8.85546875" style="2324" customWidth="1"/>
    <col min="3" max="3" width="5.5703125" style="2324" customWidth="1"/>
    <col min="4" max="4" width="4.85546875" style="2324" customWidth="1"/>
    <col min="5" max="16" width="5.140625" style="2324" customWidth="1"/>
    <col min="17" max="18" width="5" style="2324" customWidth="1"/>
    <col min="19" max="19" width="5.7109375" style="2324" customWidth="1"/>
    <col min="20" max="20" width="7.85546875" style="2324" customWidth="1"/>
    <col min="21" max="21" width="4.5703125" style="2324" customWidth="1"/>
    <col min="22" max="22" width="4.7109375" style="2324" customWidth="1"/>
    <col min="23" max="40" width="9.140625" style="2324" customWidth="1"/>
    <col min="41" max="16384" width="9.140625" style="2324"/>
  </cols>
  <sheetData>
    <row r="1" spans="1:22" ht="27" customHeight="1">
      <c r="A1" s="3293" t="s">
        <v>686</v>
      </c>
      <c r="B1" s="3293"/>
      <c r="C1" s="3293"/>
      <c r="D1" s="3293"/>
      <c r="E1" s="3293"/>
      <c r="F1" s="3293"/>
      <c r="G1" s="3293"/>
      <c r="H1" s="3293"/>
      <c r="I1" s="3293"/>
      <c r="J1" s="3293"/>
      <c r="K1" s="3293"/>
      <c r="L1" s="3293"/>
      <c r="M1" s="3293"/>
      <c r="N1" s="3293"/>
      <c r="O1" s="3293"/>
      <c r="P1" s="3293"/>
      <c r="Q1" s="3293"/>
      <c r="R1" s="3293"/>
      <c r="S1" s="3293"/>
      <c r="T1" s="3293"/>
      <c r="U1" s="3293"/>
      <c r="V1" s="2360"/>
    </row>
    <row r="2" spans="1:22" s="2315" customFormat="1" ht="33.75" customHeight="1">
      <c r="A2" s="3294" t="s">
        <v>687</v>
      </c>
      <c r="B2" s="3294"/>
      <c r="C2" s="3294"/>
      <c r="D2" s="3294"/>
      <c r="E2" s="3295" t="str">
        <f>'Input Data'!E1:J1</f>
        <v>R/F A to B in Wanaparthy Mandal of Wanaparthy District</v>
      </c>
      <c r="F2" s="3295"/>
      <c r="G2" s="3295"/>
      <c r="H2" s="3295"/>
      <c r="I2" s="3295"/>
      <c r="J2" s="3295"/>
      <c r="K2" s="3295"/>
      <c r="L2" s="3295"/>
      <c r="M2" s="3295"/>
      <c r="N2" s="3295"/>
      <c r="O2" s="3295"/>
      <c r="P2" s="3295"/>
      <c r="Q2" s="3295"/>
      <c r="R2" s="3295"/>
      <c r="S2" s="3295"/>
      <c r="T2" s="3295"/>
      <c r="U2" s="3295"/>
      <c r="V2" s="2326"/>
    </row>
    <row r="3" spans="1:22" s="2315" customFormat="1" ht="19.5" customHeight="1">
      <c r="A3" s="2325"/>
      <c r="B3" s="2325" t="s">
        <v>386</v>
      </c>
      <c r="C3" s="2325" t="str">
        <f>'Input Data'!I6</f>
        <v>CRR</v>
      </c>
      <c r="D3" s="2325" t="str">
        <f>'Input Data'!I7</f>
        <v>2024-25</v>
      </c>
      <c r="E3" s="2326"/>
      <c r="F3" s="2326"/>
      <c r="G3" s="2326"/>
      <c r="H3" s="2325"/>
      <c r="I3" s="2325"/>
      <c r="J3" s="3296"/>
      <c r="K3" s="3296"/>
      <c r="L3" s="2325" t="s">
        <v>688</v>
      </c>
      <c r="M3" s="2325"/>
      <c r="N3" s="2325"/>
      <c r="O3" s="3296">
        <f>'Input Data'!J4</f>
        <v>100</v>
      </c>
      <c r="P3" s="3296"/>
      <c r="Q3" s="2325" t="s">
        <v>329</v>
      </c>
      <c r="R3" s="2361"/>
      <c r="S3" s="2325"/>
      <c r="T3" s="2326"/>
      <c r="U3" s="2326"/>
      <c r="V3" s="2326"/>
    </row>
    <row r="4" spans="1:22" s="2316" customFormat="1" ht="78.95" hidden="1" customHeight="1">
      <c r="B4" s="3297" t="s">
        <v>689</v>
      </c>
      <c r="C4" s="3297"/>
      <c r="D4" s="3297"/>
      <c r="E4" s="3297"/>
      <c r="F4" s="3297"/>
      <c r="G4" s="3297"/>
      <c r="H4" s="3297"/>
      <c r="I4" s="3297"/>
      <c r="J4" s="3297"/>
      <c r="K4" s="3297"/>
      <c r="L4" s="3297"/>
      <c r="M4" s="3297"/>
      <c r="N4" s="3297"/>
      <c r="O4" s="3297"/>
      <c r="P4" s="3297"/>
      <c r="Q4" s="3297"/>
      <c r="R4" s="3297"/>
      <c r="S4" s="3297"/>
      <c r="T4" s="3297"/>
    </row>
    <row r="5" spans="1:22" ht="87" hidden="1" customHeight="1">
      <c r="B5" s="3298" t="s">
        <v>690</v>
      </c>
      <c r="C5" s="3298"/>
      <c r="D5" s="3298"/>
      <c r="E5" s="3298"/>
      <c r="F5" s="3298"/>
      <c r="G5" s="3298"/>
      <c r="H5" s="3298"/>
      <c r="I5" s="3298"/>
      <c r="J5" s="3298"/>
      <c r="K5" s="3298"/>
      <c r="L5" s="3298"/>
      <c r="M5" s="3298"/>
      <c r="N5" s="3298"/>
      <c r="O5" s="3298"/>
      <c r="P5" s="3298"/>
      <c r="Q5" s="3298"/>
      <c r="R5" s="3298"/>
      <c r="S5" s="3298"/>
      <c r="T5" s="3298"/>
      <c r="U5" s="2362"/>
    </row>
    <row r="6" spans="1:22" s="2316" customFormat="1" ht="46.5" hidden="1" customHeight="1">
      <c r="B6" s="3299" t="s">
        <v>691</v>
      </c>
      <c r="C6" s="3299"/>
      <c r="D6" s="3299"/>
      <c r="E6" s="3299"/>
      <c r="F6" s="3299"/>
      <c r="G6" s="3299"/>
      <c r="H6" s="3299"/>
      <c r="I6" s="3299"/>
      <c r="J6" s="3299"/>
      <c r="K6" s="3299"/>
      <c r="L6" s="3299"/>
      <c r="M6" s="3299"/>
      <c r="N6" s="3299"/>
      <c r="O6" s="3299"/>
      <c r="P6" s="3299"/>
      <c r="Q6" s="3299"/>
      <c r="R6" s="3299"/>
      <c r="S6" s="3299"/>
      <c r="T6" s="3299"/>
      <c r="U6" s="2363"/>
    </row>
    <row r="7" spans="1:22">
      <c r="A7" s="2327" t="s">
        <v>692</v>
      </c>
      <c r="B7" s="3300" t="s">
        <v>693</v>
      </c>
      <c r="C7" s="3300"/>
      <c r="D7" s="3300"/>
      <c r="E7" s="3300"/>
      <c r="F7" s="3300"/>
      <c r="G7" s="3300"/>
      <c r="H7" s="3300"/>
      <c r="I7" s="3300"/>
      <c r="J7" s="3300"/>
      <c r="K7" s="3300"/>
      <c r="L7" s="3300"/>
      <c r="M7" s="3300"/>
      <c r="N7" s="3300"/>
      <c r="O7" s="3300"/>
      <c r="P7" s="3300"/>
      <c r="Q7" s="3300"/>
      <c r="R7" s="2358"/>
      <c r="S7" s="2358"/>
      <c r="T7" s="2358"/>
      <c r="U7" s="2358"/>
    </row>
    <row r="8" spans="1:22">
      <c r="B8" s="3301" t="s">
        <v>694</v>
      </c>
      <c r="C8" s="3301"/>
      <c r="D8" s="3301"/>
      <c r="E8" s="3301"/>
      <c r="F8" s="3301"/>
      <c r="G8" s="3301"/>
      <c r="H8" s="3301"/>
      <c r="I8" s="3301"/>
      <c r="J8" s="3301"/>
      <c r="K8" s="3301"/>
      <c r="L8" s="3301"/>
      <c r="M8" s="3301"/>
      <c r="N8" s="3301"/>
      <c r="O8" s="3301"/>
      <c r="P8" s="3301"/>
      <c r="Q8" s="3301"/>
      <c r="R8" s="2328"/>
    </row>
    <row r="9" spans="1:22">
      <c r="B9" s="2328"/>
      <c r="C9" s="2328"/>
      <c r="D9" s="2328"/>
      <c r="E9" s="2328"/>
      <c r="F9" s="2328"/>
      <c r="G9" s="2328"/>
      <c r="H9" s="2328"/>
      <c r="I9" s="2328"/>
      <c r="J9" s="2328"/>
      <c r="K9" s="2328"/>
      <c r="L9" s="2328"/>
      <c r="M9" s="2328"/>
      <c r="N9" s="2328"/>
      <c r="O9" s="2328"/>
      <c r="P9" s="2328"/>
      <c r="Q9" s="2328"/>
      <c r="R9" s="2328"/>
    </row>
    <row r="10" spans="1:22" ht="32.25" customHeight="1">
      <c r="A10" s="2329"/>
      <c r="B10" s="3377" t="s">
        <v>695</v>
      </c>
      <c r="C10" s="3381" t="s">
        <v>454</v>
      </c>
      <c r="D10" s="3382"/>
      <c r="E10" s="3383"/>
      <c r="F10" s="3387" t="s">
        <v>696</v>
      </c>
      <c r="G10" s="3388"/>
      <c r="H10" s="3388"/>
      <c r="I10" s="3389"/>
      <c r="J10" s="3302" t="s">
        <v>697</v>
      </c>
      <c r="K10" s="3302"/>
      <c r="L10" s="3302"/>
      <c r="M10" s="3302"/>
      <c r="N10" s="3302"/>
      <c r="O10" s="3302"/>
      <c r="P10" s="3302"/>
      <c r="Q10" s="3302"/>
      <c r="S10" s="2329"/>
      <c r="T10" s="2329"/>
      <c r="U10" s="2329"/>
      <c r="V10" s="2329"/>
    </row>
    <row r="11" spans="1:22" ht="23.45" customHeight="1">
      <c r="A11" s="2329"/>
      <c r="B11" s="3378"/>
      <c r="C11" s="3384"/>
      <c r="D11" s="3385"/>
      <c r="E11" s="3386"/>
      <c r="F11" s="3390"/>
      <c r="G11" s="3391"/>
      <c r="H11" s="3391"/>
      <c r="I11" s="3392"/>
      <c r="J11" s="3303" t="s">
        <v>464</v>
      </c>
      <c r="K11" s="3304"/>
      <c r="L11" s="3303" t="s">
        <v>465</v>
      </c>
      <c r="M11" s="3305"/>
      <c r="N11" s="3304"/>
      <c r="O11" s="3303" t="s">
        <v>466</v>
      </c>
      <c r="P11" s="3305"/>
      <c r="Q11" s="3304"/>
      <c r="S11" s="2329"/>
      <c r="T11" s="2329"/>
      <c r="U11" s="2329"/>
      <c r="V11" s="2329"/>
    </row>
    <row r="12" spans="1:22" ht="28.15" customHeight="1">
      <c r="A12" s="2329"/>
      <c r="B12" s="2330">
        <v>1</v>
      </c>
      <c r="C12" s="3306" t="s">
        <v>698</v>
      </c>
      <c r="D12" s="3306"/>
      <c r="E12" s="3306"/>
      <c r="F12" s="3307" t="s">
        <v>698</v>
      </c>
      <c r="G12" s="3308"/>
      <c r="H12" s="3308"/>
      <c r="I12" s="3309"/>
      <c r="J12" s="3310">
        <v>1008</v>
      </c>
      <c r="K12" s="3310"/>
      <c r="L12" s="3311">
        <v>66</v>
      </c>
      <c r="M12" s="3312"/>
      <c r="N12" s="3313"/>
      <c r="O12" s="3311">
        <v>2196</v>
      </c>
      <c r="P12" s="3312"/>
      <c r="Q12" s="3313"/>
      <c r="S12" s="2329"/>
      <c r="T12" s="2329"/>
      <c r="U12" s="2329"/>
      <c r="V12" s="2329"/>
    </row>
    <row r="13" spans="1:22" ht="28.15" customHeight="1">
      <c r="A13" s="2329"/>
      <c r="B13" s="2330">
        <v>2</v>
      </c>
      <c r="C13" s="3306" t="s">
        <v>698</v>
      </c>
      <c r="D13" s="3306"/>
      <c r="E13" s="3306"/>
      <c r="F13" s="3307" t="s">
        <v>699</v>
      </c>
      <c r="G13" s="3308"/>
      <c r="H13" s="3308"/>
      <c r="I13" s="3309"/>
      <c r="J13" s="3311">
        <v>0</v>
      </c>
      <c r="K13" s="3313"/>
      <c r="L13" s="3311">
        <v>58</v>
      </c>
      <c r="M13" s="3312"/>
      <c r="N13" s="3313"/>
      <c r="O13" s="3311">
        <v>0</v>
      </c>
      <c r="P13" s="3312"/>
      <c r="Q13" s="3313"/>
      <c r="S13" s="2329"/>
      <c r="T13" s="2329"/>
      <c r="U13" s="2329"/>
      <c r="V13" s="2329"/>
    </row>
    <row r="14" spans="1:22" ht="18" customHeight="1">
      <c r="A14" s="2329"/>
      <c r="B14" s="2330"/>
      <c r="C14" s="3314"/>
      <c r="D14" s="3314"/>
      <c r="E14" s="3314"/>
      <c r="F14" s="3315" t="s">
        <v>60</v>
      </c>
      <c r="G14" s="3315"/>
      <c r="H14" s="3315"/>
      <c r="I14" s="3315"/>
      <c r="J14" s="3316">
        <f>SUM(J12:J13)</f>
        <v>1008</v>
      </c>
      <c r="K14" s="3316"/>
      <c r="L14" s="3317">
        <f>SUM(L12:L13)</f>
        <v>124</v>
      </c>
      <c r="M14" s="3318"/>
      <c r="N14" s="3319"/>
      <c r="O14" s="3317">
        <f>SUM(O12:O13)</f>
        <v>2196</v>
      </c>
      <c r="P14" s="3318"/>
      <c r="Q14" s="3319"/>
      <c r="R14" s="3320">
        <f>J14+L14+O14</f>
        <v>3328</v>
      </c>
      <c r="S14" s="3321"/>
      <c r="T14" s="2329"/>
      <c r="U14" s="2329"/>
      <c r="V14" s="2329"/>
    </row>
    <row r="15" spans="1:22" s="2317" customFormat="1"/>
    <row r="16" spans="1:22">
      <c r="A16" s="2327" t="s">
        <v>700</v>
      </c>
      <c r="B16" s="3300" t="s">
        <v>470</v>
      </c>
      <c r="C16" s="3300"/>
      <c r="D16" s="3300"/>
      <c r="E16" s="3300"/>
      <c r="F16" s="3300"/>
      <c r="G16" s="3300"/>
      <c r="H16" s="3300"/>
      <c r="I16" s="3300"/>
      <c r="J16" s="3300"/>
      <c r="K16" s="3300"/>
      <c r="L16" s="3300"/>
      <c r="M16" s="3300"/>
      <c r="N16" s="3300"/>
      <c r="O16" s="3300"/>
      <c r="P16" s="3300"/>
      <c r="Q16" s="3300"/>
      <c r="R16" s="2331"/>
      <c r="S16" s="2331"/>
      <c r="T16" s="2331"/>
      <c r="U16" s="2331"/>
      <c r="V16" s="2329"/>
    </row>
    <row r="17" spans="1:22">
      <c r="A17" s="2329"/>
      <c r="B17" s="3322" t="s">
        <v>701</v>
      </c>
      <c r="C17" s="3322"/>
      <c r="D17" s="3322"/>
      <c r="E17" s="3322"/>
      <c r="F17" s="3322"/>
      <c r="G17" s="3322"/>
      <c r="H17" s="3322"/>
      <c r="I17" s="3322"/>
      <c r="J17" s="3322"/>
      <c r="K17" s="3322"/>
      <c r="L17" s="3322"/>
      <c r="M17" s="3322"/>
      <c r="N17" s="3322"/>
      <c r="O17" s="3322"/>
      <c r="P17" s="3322"/>
      <c r="Q17" s="3322"/>
      <c r="R17" s="3322"/>
      <c r="S17" s="3322"/>
      <c r="T17" s="3322"/>
      <c r="U17" s="3322"/>
      <c r="V17" s="2329"/>
    </row>
    <row r="18" spans="1:22">
      <c r="A18" s="2329"/>
      <c r="B18" s="2331"/>
      <c r="C18" s="2331"/>
      <c r="D18" s="2331"/>
      <c r="E18" s="2331"/>
      <c r="F18" s="2331"/>
      <c r="G18" s="2331"/>
      <c r="H18" s="2331"/>
      <c r="I18" s="2331"/>
      <c r="J18" s="2331"/>
      <c r="K18" s="2331"/>
      <c r="L18" s="2331"/>
      <c r="M18" s="2331"/>
      <c r="N18" s="2331"/>
      <c r="O18" s="2331"/>
      <c r="P18" s="2331"/>
      <c r="Q18" s="2331"/>
      <c r="R18" s="2331"/>
      <c r="S18" s="2331"/>
      <c r="T18" s="2331"/>
      <c r="U18" s="2331"/>
      <c r="V18" s="2329"/>
    </row>
    <row r="19" spans="1:22" ht="42.75" customHeight="1">
      <c r="A19" s="2329"/>
      <c r="B19" s="2332" t="s">
        <v>391</v>
      </c>
      <c r="C19" s="3323" t="s">
        <v>702</v>
      </c>
      <c r="D19" s="3323"/>
      <c r="E19" s="3323"/>
      <c r="F19" s="3323" t="s">
        <v>471</v>
      </c>
      <c r="G19" s="3323"/>
      <c r="H19" s="3323"/>
      <c r="I19" s="3323"/>
      <c r="J19" s="3323"/>
      <c r="K19" s="3323" t="s">
        <v>703</v>
      </c>
      <c r="L19" s="3324"/>
      <c r="M19" s="3325" t="s">
        <v>485</v>
      </c>
      <c r="N19" s="3325"/>
      <c r="O19" s="3325"/>
      <c r="P19" s="3325"/>
      <c r="Q19" s="3325"/>
      <c r="R19" s="3325"/>
      <c r="S19" s="3325"/>
      <c r="T19" s="3325"/>
      <c r="U19" s="2331"/>
      <c r="V19" s="2329"/>
    </row>
    <row r="20" spans="1:22" ht="35.1" customHeight="1">
      <c r="A20" s="2329"/>
      <c r="B20" s="2332">
        <v>1</v>
      </c>
      <c r="C20" s="3324" t="s">
        <v>704</v>
      </c>
      <c r="D20" s="3326"/>
      <c r="E20" s="3327"/>
      <c r="F20" s="3307" t="s">
        <v>2790</v>
      </c>
      <c r="G20" s="3308"/>
      <c r="H20" s="3308"/>
      <c r="I20" s="3308"/>
      <c r="J20" s="3309"/>
      <c r="K20" s="3328">
        <v>800</v>
      </c>
      <c r="L20" s="3329"/>
      <c r="M20" s="3330" t="s">
        <v>705</v>
      </c>
      <c r="N20" s="3331"/>
      <c r="O20" s="3331"/>
      <c r="P20" s="3331"/>
      <c r="Q20" s="3331"/>
      <c r="R20" s="3331"/>
      <c r="S20" s="3331"/>
      <c r="T20" s="3332"/>
      <c r="U20" s="2331"/>
      <c r="V20" s="2329"/>
    </row>
    <row r="21" spans="1:22" ht="35.1" customHeight="1">
      <c r="A21" s="2329"/>
      <c r="B21" s="2332">
        <v>2</v>
      </c>
      <c r="C21" s="3324" t="s">
        <v>704</v>
      </c>
      <c r="D21" s="3326"/>
      <c r="E21" s="3327"/>
      <c r="F21" s="3307" t="s">
        <v>2789</v>
      </c>
      <c r="G21" s="3308"/>
      <c r="H21" s="3308"/>
      <c r="I21" s="3308"/>
      <c r="J21" s="3309"/>
      <c r="K21" s="3328">
        <v>200</v>
      </c>
      <c r="L21" s="3329"/>
      <c r="M21" s="3330" t="s">
        <v>706</v>
      </c>
      <c r="N21" s="3331"/>
      <c r="O21" s="3331"/>
      <c r="P21" s="3331"/>
      <c r="Q21" s="3331"/>
      <c r="R21" s="3331"/>
      <c r="S21" s="3331"/>
      <c r="T21" s="3332"/>
      <c r="U21" s="2331"/>
      <c r="V21" s="2329"/>
    </row>
    <row r="22" spans="1:22" s="2318" customFormat="1" ht="35.1" customHeight="1">
      <c r="B22" s="2332"/>
      <c r="C22" s="3333" t="s">
        <v>60</v>
      </c>
      <c r="D22" s="3333"/>
      <c r="E22" s="3333"/>
      <c r="F22" s="3323"/>
      <c r="G22" s="3323"/>
      <c r="H22" s="3323"/>
      <c r="I22" s="3323"/>
      <c r="J22" s="3323"/>
      <c r="K22" s="3334">
        <f>SUM(K20:L21)</f>
        <v>1000</v>
      </c>
      <c r="L22" s="3335"/>
      <c r="U22" s="2319"/>
    </row>
    <row r="23" spans="1:22">
      <c r="A23" s="2329"/>
      <c r="B23" s="2331"/>
      <c r="C23" s="2331"/>
      <c r="D23" s="2331"/>
      <c r="E23" s="2331"/>
      <c r="F23" s="2331"/>
      <c r="G23" s="2331"/>
      <c r="H23" s="2331"/>
      <c r="I23" s="2331"/>
      <c r="J23" s="2331"/>
      <c r="K23" s="2331"/>
      <c r="L23" s="2331"/>
      <c r="M23" s="2331"/>
      <c r="N23" s="2331"/>
      <c r="O23" s="2331"/>
      <c r="P23" s="2331"/>
      <c r="Q23" s="2331"/>
      <c r="R23" s="2331"/>
      <c r="S23" s="2331"/>
      <c r="T23" s="2331"/>
      <c r="U23" s="2331"/>
      <c r="V23" s="2329"/>
    </row>
    <row r="24" spans="1:22">
      <c r="A24" s="2327" t="s">
        <v>707</v>
      </c>
      <c r="B24" s="3300" t="s">
        <v>708</v>
      </c>
      <c r="C24" s="3300"/>
      <c r="D24" s="3300"/>
      <c r="E24" s="3300"/>
      <c r="F24" s="3300"/>
      <c r="G24" s="3300"/>
      <c r="H24" s="3300"/>
      <c r="I24" s="3300"/>
      <c r="J24" s="3300"/>
      <c r="K24" s="3300"/>
      <c r="L24" s="3300"/>
      <c r="M24" s="3300"/>
      <c r="N24" s="3300"/>
      <c r="O24" s="3300"/>
      <c r="P24" s="3300"/>
      <c r="Q24" s="3300"/>
      <c r="R24" s="2329"/>
      <c r="S24" s="2329"/>
      <c r="T24" s="2329"/>
      <c r="U24" s="2329"/>
      <c r="V24" s="2329"/>
    </row>
    <row r="25" spans="1:22">
      <c r="A25" s="2329"/>
      <c r="B25" s="2333" t="s">
        <v>709</v>
      </c>
      <c r="J25" s="2357"/>
      <c r="N25" s="2358"/>
      <c r="O25" s="2358"/>
      <c r="P25" s="2358"/>
      <c r="Q25" s="2329"/>
      <c r="R25" s="2329"/>
      <c r="S25" s="2329"/>
      <c r="T25" s="2329"/>
      <c r="U25" s="2329"/>
      <c r="V25" s="2329"/>
    </row>
    <row r="26" spans="1:22">
      <c r="Q26" s="2329"/>
      <c r="R26" s="2329"/>
      <c r="S26" s="2329"/>
      <c r="T26" s="2329"/>
      <c r="U26" s="2329"/>
      <c r="V26" s="2329"/>
    </row>
    <row r="27" spans="1:22">
      <c r="A27" s="2334"/>
      <c r="B27" s="3337" t="s">
        <v>710</v>
      </c>
      <c r="C27" s="3336" t="s">
        <v>711</v>
      </c>
      <c r="D27" s="3336"/>
      <c r="E27" s="3336"/>
      <c r="F27" s="3336"/>
      <c r="G27" s="3336"/>
      <c r="H27" s="3336"/>
      <c r="I27" s="3336"/>
      <c r="J27" s="3336"/>
      <c r="K27" s="3336"/>
      <c r="L27" s="3336"/>
      <c r="M27" s="3336"/>
      <c r="N27" s="3336"/>
      <c r="O27" s="2336"/>
      <c r="P27" s="2336"/>
      <c r="Q27" s="3337" t="s">
        <v>60</v>
      </c>
      <c r="R27" s="3337"/>
      <c r="S27" s="2329"/>
      <c r="T27" s="2329"/>
      <c r="U27" s="2329"/>
      <c r="V27" s="2329"/>
    </row>
    <row r="28" spans="1:22" ht="52.9" customHeight="1">
      <c r="A28" s="2334"/>
      <c r="B28" s="3337"/>
      <c r="C28" s="3379" t="s">
        <v>712</v>
      </c>
      <c r="D28" s="3379" t="s">
        <v>713</v>
      </c>
      <c r="E28" s="3337" t="s">
        <v>714</v>
      </c>
      <c r="F28" s="3337"/>
      <c r="G28" s="3337"/>
      <c r="H28" s="3337" t="s">
        <v>715</v>
      </c>
      <c r="I28" s="3337"/>
      <c r="J28" s="3337"/>
      <c r="K28" s="2335" t="s">
        <v>716</v>
      </c>
      <c r="L28" s="2335" t="s">
        <v>717</v>
      </c>
      <c r="M28" s="3337" t="s">
        <v>718</v>
      </c>
      <c r="N28" s="3337"/>
      <c r="O28" s="3338" t="s">
        <v>467</v>
      </c>
      <c r="P28" s="3339"/>
      <c r="Q28" s="3337"/>
      <c r="R28" s="3337"/>
      <c r="S28" s="2329"/>
      <c r="T28" s="2329"/>
      <c r="U28" s="2329"/>
      <c r="V28" s="2329"/>
    </row>
    <row r="29" spans="1:22" ht="54" customHeight="1">
      <c r="A29" s="2334"/>
      <c r="B29" s="3337"/>
      <c r="C29" s="3380"/>
      <c r="D29" s="3380"/>
      <c r="E29" s="2337" t="s">
        <v>719</v>
      </c>
      <c r="F29" s="2337" t="s">
        <v>720</v>
      </c>
      <c r="G29" s="2337" t="s">
        <v>721</v>
      </c>
      <c r="H29" s="2337" t="s">
        <v>719</v>
      </c>
      <c r="I29" s="2337" t="s">
        <v>720</v>
      </c>
      <c r="J29" s="2337" t="s">
        <v>721</v>
      </c>
      <c r="K29" s="2359"/>
      <c r="L29" s="2359"/>
      <c r="M29" s="3340"/>
      <c r="N29" s="3340"/>
      <c r="O29" s="3341"/>
      <c r="P29" s="3342"/>
      <c r="Q29" s="3340"/>
      <c r="R29" s="3340"/>
      <c r="S29" s="2329"/>
      <c r="T29" s="2329"/>
      <c r="U29" s="2329"/>
      <c r="V29" s="2329"/>
    </row>
    <row r="30" spans="1:22" ht="40.15" customHeight="1">
      <c r="A30" s="2334"/>
      <c r="B30" s="2338" t="s">
        <v>722</v>
      </c>
      <c r="C30" s="2339">
        <f>'TRAFF-Count-ESAL-Cal'!B11</f>
        <v>4</v>
      </c>
      <c r="D30" s="2339">
        <f>'TRAFF-Count-ESAL-Cal'!C11</f>
        <v>38</v>
      </c>
      <c r="E30" s="2339">
        <f>'TRAFF-Count-ESAL-Cal'!D11</f>
        <v>8</v>
      </c>
      <c r="F30" s="2339">
        <f>'TRAFF-Count-ESAL-Cal'!E11</f>
        <v>7</v>
      </c>
      <c r="G30" s="2339">
        <f>'TRAFF-Count-ESAL-Cal'!F11</f>
        <v>0</v>
      </c>
      <c r="H30" s="2339">
        <f>'TRAFF-Count-ESAL-Cal'!G11</f>
        <v>3</v>
      </c>
      <c r="I30" s="2339">
        <f>'TRAFF-Count-ESAL-Cal'!H11</f>
        <v>3</v>
      </c>
      <c r="J30" s="2339">
        <f>'TRAFF-Count-ESAL-Cal'!I11</f>
        <v>0</v>
      </c>
      <c r="K30" s="2339">
        <f>'TRAFF-Count-ESAL-Cal'!J11</f>
        <v>30</v>
      </c>
      <c r="L30" s="2339">
        <f>'TRAFF-Count-ESAL-Cal'!K11</f>
        <v>0</v>
      </c>
      <c r="M30" s="3343">
        <v>0</v>
      </c>
      <c r="N30" s="3343"/>
      <c r="O30" s="3344">
        <f>E30+F30+G30+H30+I30+J30</f>
        <v>21</v>
      </c>
      <c r="P30" s="3345"/>
      <c r="Q30" s="3343">
        <f>C30+D30+E30+F30+G30+H30+I30+J30+K30+L30+L30+M30</f>
        <v>93</v>
      </c>
      <c r="R30" s="3343"/>
      <c r="S30" s="2329"/>
      <c r="T30" s="2329"/>
      <c r="U30" s="2329"/>
      <c r="V30" s="2329"/>
    </row>
    <row r="31" spans="1:22">
      <c r="A31" s="2340"/>
      <c r="B31" s="2341"/>
      <c r="C31" s="2341"/>
      <c r="D31" s="2342"/>
      <c r="E31" s="2342"/>
      <c r="F31" s="2342"/>
      <c r="G31" s="2342"/>
      <c r="H31" s="2342"/>
      <c r="I31" s="2342"/>
      <c r="J31" s="2341"/>
      <c r="K31" s="2341"/>
      <c r="L31" s="2341"/>
      <c r="M31" s="2341"/>
      <c r="N31" s="2358"/>
      <c r="O31" s="2358"/>
      <c r="P31" s="2358"/>
      <c r="Q31" s="2329"/>
      <c r="R31" s="2329"/>
      <c r="S31" s="2329"/>
      <c r="T31" s="2329"/>
      <c r="U31" s="2329"/>
      <c r="V31" s="2329"/>
    </row>
    <row r="32" spans="1:22">
      <c r="A32" s="2343" t="s">
        <v>723</v>
      </c>
      <c r="B32" s="3346" t="s">
        <v>724</v>
      </c>
      <c r="C32" s="3346"/>
      <c r="D32" s="3346"/>
      <c r="E32" s="3346"/>
      <c r="F32" s="3346"/>
      <c r="G32" s="3346"/>
      <c r="H32" s="3346"/>
      <c r="I32" s="3346"/>
      <c r="J32" s="3346"/>
      <c r="K32" s="3346"/>
      <c r="L32" s="3346"/>
      <c r="M32" s="3346"/>
      <c r="N32" s="3346"/>
      <c r="O32" s="3346"/>
      <c r="P32" s="3346"/>
      <c r="Q32" s="3346"/>
      <c r="R32" s="3346"/>
      <c r="S32" s="3346"/>
      <c r="T32" s="3346"/>
      <c r="U32" s="3346"/>
      <c r="V32" s="3346"/>
    </row>
    <row r="33" spans="1:28" s="2319" customFormat="1" ht="15.6" customHeight="1">
      <c r="A33" s="3325" t="s">
        <v>511</v>
      </c>
      <c r="B33" s="3393" t="s">
        <v>512</v>
      </c>
      <c r="C33" s="3393"/>
      <c r="D33" s="3393"/>
      <c r="E33" s="3325" t="s">
        <v>513</v>
      </c>
      <c r="F33" s="3325" t="s">
        <v>725</v>
      </c>
      <c r="G33" s="3325"/>
      <c r="H33" s="3325"/>
      <c r="I33" s="3347" t="s">
        <v>515</v>
      </c>
      <c r="J33" s="3347"/>
      <c r="K33" s="3347"/>
      <c r="L33" s="3347"/>
      <c r="M33" s="3347"/>
      <c r="N33" s="3347"/>
      <c r="O33" s="3347"/>
      <c r="P33" s="3347"/>
      <c r="Q33" s="3347"/>
      <c r="R33" s="3347"/>
      <c r="S33" s="3347"/>
      <c r="T33" s="3325" t="s">
        <v>726</v>
      </c>
      <c r="U33" s="3347" t="s">
        <v>488</v>
      </c>
      <c r="V33" s="3347"/>
    </row>
    <row r="34" spans="1:28" s="2319" customFormat="1" ht="30" customHeight="1">
      <c r="A34" s="3325"/>
      <c r="B34" s="3393"/>
      <c r="C34" s="3393"/>
      <c r="D34" s="3393"/>
      <c r="E34" s="3325"/>
      <c r="F34" s="3325"/>
      <c r="G34" s="3325"/>
      <c r="H34" s="3325"/>
      <c r="I34" s="3347" t="s">
        <v>405</v>
      </c>
      <c r="J34" s="3347"/>
      <c r="K34" s="3347" t="s">
        <v>727</v>
      </c>
      <c r="L34" s="3347"/>
      <c r="M34" s="3347" t="s">
        <v>494</v>
      </c>
      <c r="N34" s="3347"/>
      <c r="O34" s="3347" t="s">
        <v>476</v>
      </c>
      <c r="P34" s="3347"/>
      <c r="Q34" s="3347" t="s">
        <v>506</v>
      </c>
      <c r="R34" s="3347"/>
      <c r="S34" s="3347"/>
      <c r="T34" s="3325"/>
      <c r="U34" s="3347"/>
      <c r="V34" s="3347"/>
    </row>
    <row r="35" spans="1:28" s="2319" customFormat="1" ht="28.9" customHeight="1">
      <c r="A35" s="3325"/>
      <c r="B35" s="3393"/>
      <c r="C35" s="3393"/>
      <c r="D35" s="3393"/>
      <c r="E35" s="3325"/>
      <c r="F35" s="3325"/>
      <c r="G35" s="3325"/>
      <c r="H35" s="3325"/>
      <c r="I35" s="2344" t="s">
        <v>502</v>
      </c>
      <c r="J35" s="2344" t="s">
        <v>474</v>
      </c>
      <c r="K35" s="2344" t="s">
        <v>728</v>
      </c>
      <c r="L35" s="2344" t="s">
        <v>729</v>
      </c>
      <c r="M35" s="2344" t="s">
        <v>728</v>
      </c>
      <c r="N35" s="2344" t="s">
        <v>729</v>
      </c>
      <c r="O35" s="2344" t="s">
        <v>728</v>
      </c>
      <c r="P35" s="2344" t="s">
        <v>729</v>
      </c>
      <c r="Q35" s="2344" t="s">
        <v>728</v>
      </c>
      <c r="R35" s="2344" t="s">
        <v>729</v>
      </c>
      <c r="S35" s="2344" t="s">
        <v>60</v>
      </c>
      <c r="T35" s="3325"/>
      <c r="U35" s="2344" t="s">
        <v>728</v>
      </c>
      <c r="V35" s="2344" t="s">
        <v>729</v>
      </c>
      <c r="Y35" s="3348"/>
      <c r="Z35" s="3348"/>
      <c r="AA35" s="3348"/>
      <c r="AB35" s="3348"/>
    </row>
    <row r="36" spans="1:28" s="2318" customFormat="1" ht="33" customHeight="1">
      <c r="A36" s="2345">
        <v>1</v>
      </c>
      <c r="B36" s="3349" t="str">
        <f>F20</f>
        <v>BT Portion 0/00 to 0/800KM</v>
      </c>
      <c r="C36" s="3349"/>
      <c r="D36" s="3349"/>
      <c r="E36" s="2346">
        <v>0.04</v>
      </c>
      <c r="F36" s="3350">
        <v>325</v>
      </c>
      <c r="G36" s="3351"/>
      <c r="H36" s="3352"/>
      <c r="I36" s="2344">
        <v>0</v>
      </c>
      <c r="J36" s="2344">
        <v>0</v>
      </c>
      <c r="K36" s="2344">
        <v>0</v>
      </c>
      <c r="L36" s="2344">
        <v>175</v>
      </c>
      <c r="M36" s="2344">
        <v>0</v>
      </c>
      <c r="N36" s="2344">
        <v>150</v>
      </c>
      <c r="O36" s="2344">
        <v>0</v>
      </c>
      <c r="P36" s="2344">
        <v>0</v>
      </c>
      <c r="Q36" s="2344">
        <f>I36+K36+M36+O36</f>
        <v>0</v>
      </c>
      <c r="R36" s="2344">
        <f>J36+L36+N36+P36</f>
        <v>325</v>
      </c>
      <c r="S36" s="2344">
        <f>Q36+R36</f>
        <v>325</v>
      </c>
      <c r="T36" s="2344">
        <v>0</v>
      </c>
      <c r="U36" s="2345">
        <v>0</v>
      </c>
      <c r="V36" s="2345">
        <v>30</v>
      </c>
      <c r="Y36" s="2319"/>
      <c r="Z36" s="2319"/>
      <c r="AA36" s="2319"/>
      <c r="AB36" s="2319"/>
    </row>
    <row r="37" spans="1:28" s="2318" customFormat="1" ht="33" customHeight="1">
      <c r="A37" s="2345">
        <v>2</v>
      </c>
      <c r="B37" s="3349" t="str">
        <f>F21</f>
        <v>CC 0/800to 1/00km</v>
      </c>
      <c r="C37" s="3349"/>
      <c r="D37" s="3349"/>
      <c r="E37" s="2345"/>
      <c r="F37" s="3353"/>
      <c r="G37" s="3354"/>
      <c r="H37" s="3355"/>
      <c r="I37" s="2344">
        <v>0</v>
      </c>
      <c r="J37" s="2344">
        <v>0</v>
      </c>
      <c r="K37" s="2344">
        <v>0</v>
      </c>
      <c r="L37" s="2344">
        <v>100</v>
      </c>
      <c r="M37" s="2344">
        <v>0</v>
      </c>
      <c r="N37" s="2344">
        <v>75</v>
      </c>
      <c r="O37" s="2344">
        <v>0</v>
      </c>
      <c r="P37" s="2344">
        <v>200</v>
      </c>
      <c r="Q37" s="2344">
        <f>G36+I37+K37+M37+O37</f>
        <v>0</v>
      </c>
      <c r="R37" s="2344">
        <f>H36+J37+L37+N37+P37</f>
        <v>375</v>
      </c>
      <c r="S37" s="2344">
        <f>Q37+R37</f>
        <v>375</v>
      </c>
      <c r="T37" s="2344">
        <v>0</v>
      </c>
      <c r="U37" s="2345">
        <v>0</v>
      </c>
      <c r="V37" s="2345"/>
      <c r="Y37" s="2319"/>
      <c r="Z37" s="2319"/>
      <c r="AA37" s="2319"/>
      <c r="AB37" s="2319"/>
    </row>
    <row r="38" spans="1:28">
      <c r="A38" s="2321"/>
      <c r="B38" s="3356"/>
      <c r="C38" s="3356"/>
      <c r="D38" s="3356"/>
      <c r="E38" s="2348"/>
      <c r="F38" s="2348"/>
      <c r="G38" s="2349"/>
      <c r="H38" s="2349"/>
      <c r="I38" s="2349"/>
      <c r="J38" s="2349"/>
      <c r="K38" s="2349"/>
      <c r="L38" s="2349"/>
      <c r="M38" s="2349"/>
      <c r="N38" s="2349"/>
      <c r="O38" s="2349"/>
      <c r="P38" s="2349"/>
      <c r="Q38" s="2349"/>
      <c r="R38" s="2349"/>
      <c r="S38" s="2349"/>
      <c r="T38" s="2349"/>
      <c r="U38" s="2349"/>
      <c r="V38" s="2320"/>
    </row>
    <row r="39" spans="1:28">
      <c r="A39" s="2321"/>
      <c r="B39" s="2347"/>
      <c r="C39" s="2347"/>
      <c r="D39" s="2347"/>
      <c r="E39" s="2348"/>
      <c r="F39" s="2348"/>
      <c r="G39" s="2349"/>
      <c r="H39" s="2349"/>
      <c r="I39" s="2349"/>
      <c r="J39" s="2349"/>
      <c r="K39" s="2349"/>
      <c r="L39" s="2349"/>
      <c r="M39" s="2349"/>
      <c r="N39" s="2349"/>
      <c r="O39" s="2349"/>
      <c r="P39" s="2349"/>
      <c r="Q39" s="2349"/>
      <c r="R39" s="2349"/>
      <c r="S39" s="2349"/>
      <c r="T39" s="2349"/>
      <c r="U39" s="2349"/>
      <c r="V39" s="2320"/>
    </row>
    <row r="40" spans="1:28" ht="21.6" customHeight="1">
      <c r="A40" s="2343" t="s">
        <v>730</v>
      </c>
      <c r="B40" s="2350" t="s">
        <v>731</v>
      </c>
      <c r="C40" s="2348"/>
      <c r="D40" s="2348"/>
      <c r="E40" s="2348"/>
      <c r="F40" s="2348"/>
      <c r="G40" s="2349"/>
      <c r="H40" s="2349"/>
      <c r="I40" s="2349"/>
      <c r="J40" s="2349"/>
      <c r="K40" s="2349"/>
      <c r="L40" s="2349"/>
      <c r="M40" s="2349"/>
      <c r="N40" s="2349"/>
      <c r="O40" s="2349"/>
      <c r="P40" s="2349"/>
      <c r="Q40" s="2349"/>
      <c r="R40" s="2349"/>
      <c r="S40" s="2349"/>
      <c r="T40" s="2349"/>
      <c r="U40" s="2349"/>
      <c r="V40" s="2320"/>
    </row>
    <row r="41" spans="1:28" s="2318" customFormat="1" ht="33.75" customHeight="1">
      <c r="A41" s="2345"/>
      <c r="B41" s="3325" t="s">
        <v>732</v>
      </c>
      <c r="C41" s="3325"/>
      <c r="D41" s="3325"/>
      <c r="E41" s="3325"/>
      <c r="F41" s="2344" t="s">
        <v>733</v>
      </c>
      <c r="G41" s="3325" t="s">
        <v>734</v>
      </c>
      <c r="H41" s="3325"/>
      <c r="I41" s="3325"/>
      <c r="J41" s="3325"/>
      <c r="K41" s="3325" t="s">
        <v>735</v>
      </c>
      <c r="L41" s="3325"/>
      <c r="M41" s="3325"/>
      <c r="N41" s="3325"/>
      <c r="O41" s="3325" t="s">
        <v>733</v>
      </c>
      <c r="P41" s="3325"/>
      <c r="Q41" s="3325"/>
      <c r="R41" s="3325" t="s">
        <v>736</v>
      </c>
      <c r="S41" s="3325"/>
      <c r="T41" s="3325"/>
      <c r="U41" s="3325"/>
      <c r="V41" s="3325"/>
    </row>
    <row r="42" spans="1:28" s="2320" customFormat="1" ht="33" customHeight="1">
      <c r="A42" s="2351">
        <v>1</v>
      </c>
      <c r="B42" s="3357" t="s">
        <v>737</v>
      </c>
      <c r="C42" s="3358"/>
      <c r="D42" s="3358"/>
      <c r="E42" s="3359"/>
      <c r="F42" s="2352"/>
      <c r="G42" s="3360"/>
      <c r="H42" s="3360"/>
      <c r="I42" s="3360"/>
      <c r="J42" s="3360"/>
      <c r="K42" s="3360" t="s">
        <v>738</v>
      </c>
      <c r="L42" s="3360"/>
      <c r="M42" s="3360"/>
      <c r="N42" s="3360"/>
      <c r="O42" s="3361">
        <v>1</v>
      </c>
      <c r="P42" s="3361"/>
      <c r="Q42" s="3361"/>
      <c r="R42" s="3362" t="s">
        <v>739</v>
      </c>
      <c r="S42" s="3362"/>
      <c r="T42" s="3362"/>
      <c r="U42" s="3362"/>
      <c r="V42" s="3362"/>
    </row>
    <row r="43" spans="1:28" s="2318" customFormat="1" ht="35.25" customHeight="1">
      <c r="A43" s="2345">
        <v>2</v>
      </c>
      <c r="B43" s="3363" t="s">
        <v>740</v>
      </c>
      <c r="C43" s="3364"/>
      <c r="D43" s="3364"/>
      <c r="E43" s="3365"/>
      <c r="F43" s="2353"/>
      <c r="G43" s="3366"/>
      <c r="H43" s="3366"/>
      <c r="I43" s="3366"/>
      <c r="J43" s="3366"/>
      <c r="K43" s="3366" t="s">
        <v>741</v>
      </c>
      <c r="L43" s="3366"/>
      <c r="M43" s="3366"/>
      <c r="N43" s="3366"/>
      <c r="O43" s="3367"/>
      <c r="P43" s="3367"/>
      <c r="Q43" s="3367"/>
      <c r="R43" s="3368" t="s">
        <v>742</v>
      </c>
      <c r="S43" s="3368"/>
      <c r="T43" s="3368"/>
      <c r="U43" s="3368"/>
      <c r="V43" s="3368"/>
    </row>
    <row r="44" spans="1:28" s="2318" customFormat="1" ht="35.25" customHeight="1">
      <c r="A44" s="2345">
        <v>3</v>
      </c>
      <c r="B44" s="3363" t="s">
        <v>743</v>
      </c>
      <c r="C44" s="3364"/>
      <c r="D44" s="3364"/>
      <c r="E44" s="3365"/>
      <c r="F44" s="2353"/>
      <c r="G44" s="3366"/>
      <c r="H44" s="3366"/>
      <c r="I44" s="3366"/>
      <c r="J44" s="3366"/>
      <c r="K44" s="3366" t="s">
        <v>741</v>
      </c>
      <c r="L44" s="3366"/>
      <c r="M44" s="3366"/>
      <c r="N44" s="3366"/>
      <c r="O44" s="3367"/>
      <c r="P44" s="3367"/>
      <c r="Q44" s="3367"/>
      <c r="R44" s="3368" t="s">
        <v>744</v>
      </c>
      <c r="S44" s="3368"/>
      <c r="T44" s="3368"/>
      <c r="U44" s="3368"/>
      <c r="V44" s="3368"/>
    </row>
    <row r="45" spans="1:28" s="2318" customFormat="1" ht="35.25" customHeight="1">
      <c r="A45" s="2345">
        <v>4</v>
      </c>
      <c r="B45" s="3363" t="s">
        <v>745</v>
      </c>
      <c r="C45" s="3364"/>
      <c r="D45" s="3364"/>
      <c r="E45" s="3365"/>
      <c r="F45" s="2353"/>
      <c r="G45" s="3366"/>
      <c r="H45" s="3366"/>
      <c r="I45" s="3366"/>
      <c r="J45" s="3366"/>
      <c r="K45" s="3366" t="s">
        <v>741</v>
      </c>
      <c r="L45" s="3366"/>
      <c r="M45" s="3366"/>
      <c r="N45" s="3366"/>
      <c r="O45" s="3367"/>
      <c r="P45" s="3367"/>
      <c r="Q45" s="3367"/>
      <c r="R45" s="3368" t="s">
        <v>746</v>
      </c>
      <c r="S45" s="3368"/>
      <c r="T45" s="3368"/>
      <c r="U45" s="3368"/>
      <c r="V45" s="3368"/>
    </row>
    <row r="46" spans="1:28" s="2318" customFormat="1" ht="35.25" customHeight="1">
      <c r="A46" s="2345">
        <v>5</v>
      </c>
      <c r="B46" s="3363" t="s">
        <v>747</v>
      </c>
      <c r="C46" s="3364"/>
      <c r="D46" s="3364"/>
      <c r="E46" s="3365"/>
      <c r="F46" s="2353"/>
      <c r="G46" s="3366"/>
      <c r="H46" s="3366"/>
      <c r="I46" s="3366"/>
      <c r="J46" s="3366"/>
      <c r="K46" s="3366"/>
      <c r="L46" s="3366"/>
      <c r="M46" s="3366"/>
      <c r="N46" s="3366"/>
      <c r="O46" s="3367"/>
      <c r="P46" s="3367"/>
      <c r="Q46" s="3367"/>
      <c r="R46" s="3368" t="s">
        <v>748</v>
      </c>
      <c r="S46" s="3368"/>
      <c r="T46" s="3368"/>
      <c r="U46" s="3368"/>
      <c r="V46" s="3368"/>
    </row>
    <row r="47" spans="1:28" s="2318" customFormat="1" ht="35.25" customHeight="1">
      <c r="A47" s="2345">
        <v>6</v>
      </c>
      <c r="B47" s="3363" t="s">
        <v>749</v>
      </c>
      <c r="C47" s="3364"/>
      <c r="D47" s="3364"/>
      <c r="E47" s="3365"/>
      <c r="F47" s="2353"/>
      <c r="G47" s="3366"/>
      <c r="H47" s="3366"/>
      <c r="I47" s="3366"/>
      <c r="J47" s="3366"/>
      <c r="K47" s="3366"/>
      <c r="L47" s="3366"/>
      <c r="M47" s="3366"/>
      <c r="N47" s="3366"/>
      <c r="O47" s="3367"/>
      <c r="P47" s="3367"/>
      <c r="Q47" s="3367"/>
      <c r="R47" s="3368"/>
      <c r="S47" s="3368"/>
      <c r="T47" s="3368"/>
      <c r="U47" s="3368"/>
      <c r="V47" s="3368"/>
    </row>
    <row r="48" spans="1:28" s="2318" customFormat="1" ht="27" customHeight="1">
      <c r="A48" s="2354"/>
      <c r="B48" s="3369" t="s">
        <v>750</v>
      </c>
      <c r="C48" s="3369"/>
      <c r="D48" s="3369"/>
      <c r="E48" s="3369"/>
      <c r="F48" s="2355">
        <f>SUM(F41:F41)</f>
        <v>0</v>
      </c>
      <c r="G48" s="3369"/>
      <c r="H48" s="3369"/>
      <c r="I48" s="3369"/>
      <c r="J48" s="3369"/>
      <c r="K48" s="3369" t="s">
        <v>750</v>
      </c>
      <c r="L48" s="3369"/>
      <c r="M48" s="3369"/>
      <c r="N48" s="3369"/>
      <c r="O48" s="3369">
        <f>SUM(O41:O46)</f>
        <v>1</v>
      </c>
      <c r="P48" s="3369"/>
      <c r="Q48" s="3369"/>
      <c r="R48" s="3369"/>
      <c r="S48" s="3369"/>
      <c r="T48" s="3369"/>
      <c r="U48" s="3369"/>
      <c r="V48" s="3369"/>
    </row>
    <row r="49" spans="1:30" ht="27.75" customHeight="1">
      <c r="A49" s="2343"/>
      <c r="B49" s="3346" t="s">
        <v>751</v>
      </c>
      <c r="C49" s="3346"/>
      <c r="D49" s="3346"/>
      <c r="E49" s="3346"/>
      <c r="F49" s="3346"/>
      <c r="G49" s="3346"/>
      <c r="H49" s="3346"/>
      <c r="I49" s="3346"/>
      <c r="J49" s="3346"/>
      <c r="K49" s="3346"/>
      <c r="L49" s="3346"/>
      <c r="M49" s="3346"/>
      <c r="N49" s="3346"/>
      <c r="O49" s="3346"/>
      <c r="P49" s="3346"/>
      <c r="Q49" s="3346"/>
      <c r="R49" s="3346"/>
      <c r="S49" s="3346"/>
      <c r="T49" s="3346"/>
      <c r="U49" s="3346"/>
      <c r="V49" s="3346"/>
      <c r="W49" s="2364"/>
      <c r="X49" s="2364"/>
      <c r="Y49" s="2364"/>
      <c r="Z49" s="2364"/>
      <c r="AA49" s="2364"/>
      <c r="AB49" s="2364"/>
      <c r="AC49" s="2364"/>
      <c r="AD49" s="2364"/>
    </row>
    <row r="50" spans="1:30" s="2321" customFormat="1" ht="28.15" customHeight="1">
      <c r="A50" s="2320">
        <v>1</v>
      </c>
      <c r="B50" s="3370" t="s">
        <v>2791</v>
      </c>
      <c r="C50" s="3370"/>
      <c r="D50" s="3370"/>
      <c r="E50" s="3370"/>
      <c r="F50" s="3370"/>
      <c r="G50" s="3370"/>
      <c r="H50" s="3370"/>
      <c r="I50" s="3370"/>
      <c r="J50" s="3370"/>
      <c r="K50" s="3370"/>
      <c r="L50" s="3370"/>
      <c r="M50" s="3370"/>
      <c r="N50" s="3370"/>
      <c r="O50" s="3370"/>
      <c r="P50" s="3370"/>
      <c r="Q50" s="3370"/>
      <c r="R50" s="3370"/>
      <c r="S50" s="3370"/>
      <c r="T50" s="3370"/>
      <c r="U50" s="3370"/>
      <c r="V50" s="3370"/>
      <c r="W50" s="2364"/>
      <c r="X50" s="2364"/>
      <c r="Y50" s="2364"/>
      <c r="Z50" s="2364"/>
      <c r="AA50" s="2364"/>
      <c r="AB50" s="2364"/>
      <c r="AC50" s="2364"/>
      <c r="AD50" s="2364"/>
    </row>
    <row r="51" spans="1:30" s="2321" customFormat="1" ht="28.15" customHeight="1">
      <c r="A51" s="2320">
        <v>2</v>
      </c>
      <c r="B51" s="3370" t="s">
        <v>2792</v>
      </c>
      <c r="C51" s="3370"/>
      <c r="D51" s="3370"/>
      <c r="E51" s="3370"/>
      <c r="F51" s="3370"/>
      <c r="G51" s="3370"/>
      <c r="H51" s="3370"/>
      <c r="I51" s="3370"/>
      <c r="J51" s="3370"/>
      <c r="K51" s="3370"/>
      <c r="L51" s="3370"/>
      <c r="M51" s="3370"/>
      <c r="N51" s="3370"/>
      <c r="O51" s="3370"/>
      <c r="P51" s="3370"/>
      <c r="Q51" s="3370"/>
      <c r="R51" s="3370"/>
      <c r="S51" s="3370"/>
      <c r="T51" s="3370"/>
      <c r="U51" s="3370"/>
      <c r="V51" s="3370"/>
    </row>
    <row r="52" spans="1:30" s="2321" customFormat="1" ht="39.6" customHeight="1">
      <c r="A52" s="2320">
        <v>3</v>
      </c>
      <c r="B52" s="3370" t="s">
        <v>2793</v>
      </c>
      <c r="C52" s="3370"/>
      <c r="D52" s="3370"/>
      <c r="E52" s="3370"/>
      <c r="F52" s="3370"/>
      <c r="G52" s="3370"/>
      <c r="H52" s="3370"/>
      <c r="I52" s="3370"/>
      <c r="J52" s="3370"/>
      <c r="K52" s="3370"/>
      <c r="L52" s="3370"/>
      <c r="M52" s="3370"/>
      <c r="N52" s="3370"/>
      <c r="O52" s="3370"/>
      <c r="P52" s="3370"/>
      <c r="Q52" s="3370"/>
      <c r="R52" s="3370"/>
      <c r="S52" s="3370"/>
      <c r="T52" s="3370"/>
      <c r="U52" s="3370"/>
      <c r="V52" s="3370"/>
    </row>
    <row r="53" spans="1:30" s="2321" customFormat="1" ht="31.9" customHeight="1">
      <c r="A53" s="2320">
        <v>4</v>
      </c>
      <c r="B53" s="3370" t="s">
        <v>2794</v>
      </c>
      <c r="C53" s="3370"/>
      <c r="D53" s="3370"/>
      <c r="E53" s="3370"/>
      <c r="F53" s="3370"/>
      <c r="G53" s="3370"/>
      <c r="H53" s="3370"/>
      <c r="I53" s="3370"/>
      <c r="J53" s="3370"/>
      <c r="K53" s="3370"/>
      <c r="L53" s="3370"/>
      <c r="M53" s="3370"/>
      <c r="N53" s="3370"/>
      <c r="O53" s="3370"/>
      <c r="P53" s="3370"/>
      <c r="Q53" s="3370"/>
      <c r="R53" s="3370"/>
      <c r="S53" s="3370"/>
      <c r="T53" s="3370"/>
      <c r="U53" s="3370"/>
      <c r="V53" s="3370"/>
    </row>
    <row r="54" spans="1:30" s="2321" customFormat="1" ht="30.6" customHeight="1">
      <c r="A54" s="2320">
        <v>5</v>
      </c>
      <c r="B54" s="3370" t="s">
        <v>2795</v>
      </c>
      <c r="C54" s="3370"/>
      <c r="D54" s="3370"/>
      <c r="E54" s="3370"/>
      <c r="F54" s="3370"/>
      <c r="G54" s="3370"/>
      <c r="H54" s="3370"/>
      <c r="I54" s="3370"/>
      <c r="J54" s="3370"/>
      <c r="K54" s="3370"/>
      <c r="L54" s="3370"/>
      <c r="M54" s="3370"/>
      <c r="N54" s="3370"/>
      <c r="O54" s="3370"/>
      <c r="P54" s="3370"/>
      <c r="Q54" s="3370"/>
      <c r="R54" s="3370"/>
      <c r="S54" s="3370"/>
      <c r="T54" s="3370"/>
      <c r="U54" s="3370"/>
      <c r="V54" s="3370"/>
    </row>
    <row r="55" spans="1:30" s="2321" customFormat="1" ht="26.45" customHeight="1">
      <c r="A55" s="2320">
        <v>6</v>
      </c>
      <c r="B55" s="3370" t="s">
        <v>2796</v>
      </c>
      <c r="C55" s="3370"/>
      <c r="D55" s="3370"/>
      <c r="E55" s="3370"/>
      <c r="F55" s="3370"/>
      <c r="G55" s="3370"/>
      <c r="H55" s="3370"/>
      <c r="I55" s="3370"/>
      <c r="J55" s="3370"/>
      <c r="K55" s="3370"/>
      <c r="L55" s="3370"/>
      <c r="M55" s="3370"/>
      <c r="N55" s="3370"/>
      <c r="O55" s="3370"/>
      <c r="P55" s="3370"/>
      <c r="Q55" s="3370"/>
      <c r="R55" s="3370"/>
      <c r="S55" s="3370"/>
      <c r="T55" s="3370"/>
      <c r="U55" s="3370"/>
      <c r="V55" s="3370"/>
    </row>
    <row r="56" spans="1:30" s="2321" customFormat="1" ht="38.25" customHeight="1">
      <c r="A56" s="2320">
        <v>7</v>
      </c>
      <c r="B56" s="3370" t="s">
        <v>2797</v>
      </c>
      <c r="C56" s="3370"/>
      <c r="D56" s="3370"/>
      <c r="E56" s="3370"/>
      <c r="F56" s="3370"/>
      <c r="G56" s="3370"/>
      <c r="H56" s="3370"/>
      <c r="I56" s="3370"/>
      <c r="J56" s="3370"/>
      <c r="K56" s="3370"/>
      <c r="L56" s="3370"/>
      <c r="M56" s="3370"/>
      <c r="N56" s="3370"/>
      <c r="O56" s="3370"/>
      <c r="P56" s="3370"/>
      <c r="Q56" s="3370"/>
      <c r="R56" s="3370"/>
      <c r="S56" s="3370"/>
      <c r="T56" s="3370"/>
      <c r="U56" s="3370"/>
      <c r="V56" s="3370"/>
    </row>
    <row r="57" spans="1:30" s="2321" customFormat="1" ht="39" customHeight="1">
      <c r="A57" s="2320">
        <v>8</v>
      </c>
      <c r="B57" s="3370" t="s">
        <v>2798</v>
      </c>
      <c r="C57" s="3370"/>
      <c r="D57" s="3370"/>
      <c r="E57" s="3370"/>
      <c r="F57" s="3370"/>
      <c r="G57" s="3370"/>
      <c r="H57" s="3370"/>
      <c r="I57" s="3370"/>
      <c r="J57" s="3370"/>
      <c r="K57" s="3370"/>
      <c r="L57" s="3370"/>
      <c r="M57" s="3370"/>
      <c r="N57" s="3370"/>
      <c r="O57" s="3370"/>
      <c r="P57" s="3370"/>
      <c r="Q57" s="3370"/>
      <c r="R57" s="3370"/>
      <c r="S57" s="3370"/>
      <c r="T57" s="3370"/>
      <c r="U57" s="3370"/>
      <c r="V57" s="3370"/>
      <c r="W57" s="2362"/>
      <c r="X57" s="2362"/>
      <c r="Y57" s="2362"/>
      <c r="Z57" s="2362"/>
    </row>
    <row r="58" spans="1:30" s="2321" customFormat="1" ht="24.6" customHeight="1">
      <c r="A58" s="2320">
        <v>9</v>
      </c>
      <c r="B58" s="3370" t="s">
        <v>2799</v>
      </c>
      <c r="C58" s="3370"/>
      <c r="D58" s="3370"/>
      <c r="E58" s="3370"/>
      <c r="F58" s="3370"/>
      <c r="G58" s="3370"/>
      <c r="H58" s="3370"/>
      <c r="I58" s="3370"/>
      <c r="J58" s="3370"/>
      <c r="K58" s="3370"/>
      <c r="L58" s="3370"/>
      <c r="M58" s="3370"/>
      <c r="N58" s="3370"/>
      <c r="O58" s="3370"/>
      <c r="P58" s="3370"/>
      <c r="Q58" s="3370"/>
      <c r="R58" s="3370"/>
      <c r="S58" s="3370"/>
      <c r="T58" s="3370"/>
      <c r="U58" s="3370"/>
      <c r="V58" s="3370"/>
    </row>
    <row r="59" spans="1:30" s="2321" customFormat="1" ht="16.899999999999999" customHeight="1">
      <c r="A59" s="2320">
        <v>10</v>
      </c>
      <c r="B59" s="3370" t="s">
        <v>752</v>
      </c>
      <c r="C59" s="3370"/>
      <c r="D59" s="3370"/>
      <c r="E59" s="3370"/>
      <c r="F59" s="3370"/>
      <c r="G59" s="3370"/>
      <c r="H59" s="3370"/>
      <c r="I59" s="3370"/>
      <c r="J59" s="3370"/>
      <c r="K59" s="3370"/>
      <c r="L59" s="3370"/>
      <c r="M59" s="3370"/>
      <c r="N59" s="3370"/>
      <c r="O59" s="3370"/>
      <c r="P59" s="3370"/>
      <c r="Q59" s="3370"/>
      <c r="R59" s="3370"/>
      <c r="S59" s="3370"/>
      <c r="T59" s="3370"/>
      <c r="U59" s="3370"/>
      <c r="V59" s="3370"/>
    </row>
    <row r="60" spans="1:30" s="2321" customFormat="1" hidden="1">
      <c r="A60" s="2320">
        <v>11</v>
      </c>
      <c r="B60" s="3370" t="s">
        <v>753</v>
      </c>
      <c r="C60" s="3370"/>
      <c r="D60" s="3370"/>
      <c r="E60" s="3370"/>
      <c r="F60" s="3370"/>
      <c r="G60" s="3370"/>
      <c r="H60" s="3370"/>
      <c r="I60" s="3370"/>
      <c r="J60" s="3370"/>
      <c r="K60" s="3370"/>
      <c r="L60" s="3370"/>
      <c r="M60" s="3370"/>
      <c r="N60" s="3370"/>
      <c r="O60" s="3370"/>
      <c r="P60" s="3370"/>
      <c r="Q60" s="3370"/>
      <c r="R60" s="3370"/>
      <c r="S60" s="3370"/>
      <c r="T60" s="3370"/>
      <c r="U60" s="3370"/>
      <c r="V60" s="3370"/>
    </row>
    <row r="61" spans="1:30" s="2321" customFormat="1" ht="19.149999999999999" customHeight="1">
      <c r="A61" s="2320">
        <v>12</v>
      </c>
      <c r="B61" s="3370" t="s">
        <v>2800</v>
      </c>
      <c r="C61" s="3370"/>
      <c r="D61" s="3370"/>
      <c r="E61" s="3370"/>
      <c r="F61" s="3370"/>
      <c r="G61" s="3370"/>
      <c r="H61" s="3370"/>
      <c r="I61" s="3370"/>
      <c r="J61" s="3370"/>
      <c r="K61" s="3370"/>
      <c r="L61" s="3370"/>
      <c r="M61" s="3370"/>
      <c r="N61" s="3370"/>
      <c r="O61" s="3370"/>
      <c r="P61" s="3370"/>
      <c r="Q61" s="3370"/>
      <c r="R61" s="3370"/>
      <c r="S61" s="3370"/>
      <c r="T61" s="3370"/>
      <c r="U61" s="3370"/>
      <c r="V61" s="3370"/>
    </row>
    <row r="62" spans="1:30" s="2321" customFormat="1" ht="28.5" hidden="1" customHeight="1">
      <c r="A62" s="2320">
        <v>12</v>
      </c>
      <c r="B62" s="2356"/>
      <c r="C62" s="2356"/>
      <c r="D62" s="2356"/>
      <c r="E62" s="2356"/>
      <c r="F62" s="2356"/>
      <c r="G62" s="2356"/>
      <c r="H62" s="2356"/>
      <c r="I62" s="2356"/>
      <c r="J62" s="2356"/>
      <c r="K62" s="2356"/>
      <c r="L62" s="2356"/>
      <c r="M62" s="2356"/>
      <c r="N62" s="2356"/>
      <c r="O62" s="2356"/>
      <c r="P62" s="2356"/>
      <c r="Q62" s="2356"/>
      <c r="R62" s="2356"/>
      <c r="S62" s="2356"/>
      <c r="T62" s="2356"/>
      <c r="U62" s="2356"/>
      <c r="V62" s="2356"/>
    </row>
    <row r="63" spans="1:30" s="2321" customFormat="1" ht="20.25" hidden="1" customHeight="1">
      <c r="A63" s="2320">
        <v>11</v>
      </c>
      <c r="B63" s="3371" t="s">
        <v>754</v>
      </c>
      <c r="C63" s="3371"/>
      <c r="D63" s="3371"/>
      <c r="E63" s="3371"/>
      <c r="F63" s="3371"/>
      <c r="G63" s="3371"/>
      <c r="H63" s="3371"/>
      <c r="I63" s="3371" t="s">
        <v>754</v>
      </c>
      <c r="J63" s="3371"/>
      <c r="K63" s="3371"/>
      <c r="L63" s="3371"/>
      <c r="M63" s="3371"/>
      <c r="N63" s="3371"/>
      <c r="O63" s="3371"/>
      <c r="P63" s="3371" t="s">
        <v>754</v>
      </c>
      <c r="Q63" s="3371"/>
      <c r="R63" s="3371"/>
      <c r="S63" s="3371"/>
      <c r="T63" s="3371"/>
      <c r="U63" s="3371"/>
      <c r="V63" s="3371"/>
    </row>
    <row r="64" spans="1:30" s="2321" customFormat="1" ht="20.25" hidden="1" customHeight="1">
      <c r="A64" s="2320">
        <v>12</v>
      </c>
      <c r="B64" s="3372" t="s">
        <v>755</v>
      </c>
      <c r="C64" s="3372"/>
      <c r="D64" s="3372"/>
      <c r="E64" s="3372"/>
      <c r="F64" s="3372"/>
      <c r="G64" s="3372"/>
      <c r="H64" s="3372"/>
      <c r="I64" s="3372"/>
      <c r="J64" s="3372"/>
      <c r="K64" s="3372"/>
      <c r="L64" s="3372"/>
      <c r="M64" s="3372"/>
      <c r="N64" s="3372"/>
      <c r="O64" s="3372"/>
      <c r="P64" s="3372"/>
      <c r="Q64" s="3372"/>
      <c r="R64" s="3372"/>
      <c r="S64" s="3372"/>
      <c r="T64" s="3372"/>
      <c r="U64" s="3372"/>
      <c r="V64" s="3372"/>
    </row>
    <row r="65" spans="1:22" s="2321" customFormat="1" ht="20.25" hidden="1" customHeight="1">
      <c r="A65" s="2320">
        <v>13</v>
      </c>
      <c r="B65" s="3372" t="s">
        <v>756</v>
      </c>
      <c r="C65" s="3372"/>
      <c r="D65" s="3372"/>
      <c r="E65" s="3372"/>
      <c r="F65" s="3372"/>
      <c r="G65" s="3372"/>
      <c r="H65" s="3372"/>
      <c r="I65" s="3372"/>
      <c r="J65" s="3372"/>
      <c r="K65" s="3372"/>
      <c r="L65" s="3372"/>
      <c r="M65" s="3372"/>
      <c r="N65" s="3372"/>
      <c r="O65" s="3372"/>
      <c r="P65" s="3372"/>
      <c r="Q65" s="3372"/>
      <c r="R65" s="3372"/>
      <c r="S65" s="3372"/>
      <c r="T65" s="3372"/>
      <c r="U65" s="3372"/>
      <c r="V65" s="3372"/>
    </row>
    <row r="66" spans="1:22" s="2321" customFormat="1" ht="20.25" hidden="1" customHeight="1">
      <c r="A66" s="2320">
        <v>16</v>
      </c>
      <c r="B66" s="3372" t="s">
        <v>757</v>
      </c>
      <c r="C66" s="3372"/>
      <c r="D66" s="3372"/>
      <c r="E66" s="3372"/>
      <c r="F66" s="3372"/>
      <c r="G66" s="3372"/>
      <c r="H66" s="3372"/>
      <c r="I66" s="3372"/>
      <c r="J66" s="3372"/>
      <c r="K66" s="3372"/>
      <c r="L66" s="3372"/>
      <c r="M66" s="3372"/>
      <c r="N66" s="3372"/>
      <c r="O66" s="3372"/>
      <c r="P66" s="3372"/>
      <c r="Q66" s="3372"/>
      <c r="R66" s="3372"/>
      <c r="S66" s="3372"/>
      <c r="T66" s="3372"/>
      <c r="U66" s="3372"/>
      <c r="V66" s="3372"/>
    </row>
    <row r="67" spans="1:22" s="2321" customFormat="1" ht="20.25" hidden="1" customHeight="1">
      <c r="A67" s="2320">
        <v>10</v>
      </c>
      <c r="B67" s="3372" t="s">
        <v>758</v>
      </c>
      <c r="C67" s="3372"/>
      <c r="D67" s="3372"/>
      <c r="E67" s="3372"/>
      <c r="F67" s="3372"/>
      <c r="G67" s="3372"/>
      <c r="H67" s="3372"/>
      <c r="I67" s="3372"/>
      <c r="J67" s="3372"/>
      <c r="K67" s="3372"/>
      <c r="L67" s="3372"/>
      <c r="M67" s="3372"/>
      <c r="N67" s="3372"/>
      <c r="O67" s="3372"/>
      <c r="P67" s="3372"/>
      <c r="Q67" s="3372"/>
      <c r="R67" s="3372"/>
      <c r="S67" s="3372"/>
      <c r="T67" s="3372"/>
      <c r="U67" s="3372"/>
      <c r="V67" s="3372"/>
    </row>
    <row r="68" spans="1:22" s="2321" customFormat="1">
      <c r="A68" s="2320"/>
      <c r="B68" s="2365"/>
      <c r="C68" s="2365"/>
      <c r="D68" s="2365"/>
      <c r="E68" s="2365"/>
      <c r="F68" s="2365"/>
      <c r="G68" s="2365"/>
      <c r="H68" s="2365"/>
      <c r="I68" s="2365"/>
      <c r="J68" s="2365"/>
      <c r="K68" s="2365"/>
      <c r="L68" s="2365"/>
      <c r="M68" s="2365"/>
      <c r="N68" s="2365"/>
      <c r="O68" s="2365"/>
      <c r="P68" s="2365"/>
      <c r="Q68" s="2365"/>
      <c r="R68" s="2365"/>
      <c r="S68" s="2365"/>
      <c r="T68" s="2365"/>
      <c r="U68" s="2365"/>
      <c r="V68" s="2365"/>
    </row>
    <row r="69" spans="1:22" s="2321" customFormat="1" hidden="1">
      <c r="A69" s="2366" t="s">
        <v>759</v>
      </c>
      <c r="B69" s="3374" t="s">
        <v>760</v>
      </c>
      <c r="C69" s="3374"/>
      <c r="D69" s="3374"/>
      <c r="E69" s="3374"/>
      <c r="F69" s="3374"/>
      <c r="G69" s="3374"/>
      <c r="H69" s="3374"/>
      <c r="I69" s="3374"/>
      <c r="J69" s="3374"/>
      <c r="K69" s="3374"/>
      <c r="L69" s="3374"/>
      <c r="M69" s="3374"/>
      <c r="N69" s="3374"/>
      <c r="O69" s="3374"/>
      <c r="P69" s="3374"/>
      <c r="Q69" s="3374"/>
    </row>
    <row r="70" spans="1:22" s="2321" customFormat="1" hidden="1">
      <c r="A70" s="2367" t="s">
        <v>761</v>
      </c>
      <c r="B70" s="3322" t="s">
        <v>762</v>
      </c>
      <c r="C70" s="3322"/>
      <c r="D70" s="3322"/>
      <c r="E70" s="3322"/>
      <c r="F70" s="3322"/>
      <c r="G70" s="3322"/>
      <c r="H70" s="3322"/>
      <c r="I70" s="3322"/>
      <c r="J70" s="3322"/>
      <c r="K70" s="3322"/>
      <c r="L70" s="3322"/>
      <c r="M70" s="3322"/>
      <c r="N70" s="3322"/>
      <c r="O70" s="3322"/>
      <c r="P70" s="3322"/>
      <c r="Q70" s="3322"/>
      <c r="R70" s="3322"/>
      <c r="S70" s="3322"/>
      <c r="T70" s="3322"/>
      <c r="U70" s="3322"/>
      <c r="V70" s="3322"/>
    </row>
    <row r="71" spans="1:22" s="2321" customFormat="1" hidden="1">
      <c r="A71" s="2367" t="s">
        <v>763</v>
      </c>
      <c r="B71" s="3322" t="s">
        <v>764</v>
      </c>
      <c r="C71" s="3322"/>
      <c r="D71" s="3322"/>
      <c r="E71" s="3322"/>
      <c r="F71" s="3322"/>
      <c r="G71" s="3322"/>
      <c r="H71" s="3322"/>
      <c r="I71" s="3322"/>
      <c r="J71" s="3322"/>
      <c r="K71" s="3322"/>
      <c r="L71" s="3322"/>
      <c r="M71" s="3322"/>
      <c r="N71" s="3322"/>
      <c r="O71" s="3322"/>
      <c r="P71" s="3322"/>
      <c r="Q71" s="3322"/>
      <c r="R71" s="3322"/>
      <c r="S71" s="3322"/>
      <c r="T71" s="3322"/>
      <c r="U71" s="3322"/>
      <c r="V71" s="3322"/>
    </row>
    <row r="72" spans="1:22" s="2321" customFormat="1" hidden="1">
      <c r="A72" s="2367" t="s">
        <v>765</v>
      </c>
      <c r="B72" s="3322" t="s">
        <v>766</v>
      </c>
      <c r="C72" s="3322"/>
      <c r="D72" s="3322"/>
      <c r="E72" s="3322"/>
      <c r="F72" s="3322"/>
      <c r="G72" s="3322"/>
      <c r="H72" s="3322"/>
      <c r="I72" s="3322"/>
      <c r="J72" s="3322"/>
      <c r="K72" s="3322"/>
      <c r="L72" s="3322"/>
      <c r="M72" s="3322"/>
      <c r="N72" s="3322"/>
      <c r="O72" s="3322"/>
      <c r="P72" s="3322"/>
      <c r="Q72" s="3322"/>
      <c r="R72" s="3322"/>
      <c r="S72" s="3322"/>
      <c r="T72" s="3322"/>
      <c r="U72" s="3322"/>
      <c r="V72" s="3322"/>
    </row>
    <row r="73" spans="1:22" s="2321" customFormat="1" hidden="1">
      <c r="A73" s="2367" t="s">
        <v>767</v>
      </c>
      <c r="B73" s="3322" t="s">
        <v>768</v>
      </c>
      <c r="C73" s="3322"/>
      <c r="D73" s="3322"/>
      <c r="E73" s="3322"/>
      <c r="F73" s="3322"/>
      <c r="G73" s="3322"/>
      <c r="H73" s="3322"/>
      <c r="I73" s="3322"/>
      <c r="J73" s="3322"/>
      <c r="K73" s="3322"/>
      <c r="L73" s="3322"/>
      <c r="M73" s="3322"/>
      <c r="N73" s="3322"/>
      <c r="O73" s="3322"/>
      <c r="P73" s="3322"/>
      <c r="Q73" s="3322"/>
      <c r="R73" s="3322"/>
      <c r="S73" s="3322"/>
      <c r="T73" s="3322"/>
      <c r="U73" s="3322"/>
      <c r="V73" s="3322"/>
    </row>
    <row r="74" spans="1:22" s="2321" customFormat="1" hidden="1">
      <c r="A74" s="2367" t="s">
        <v>769</v>
      </c>
      <c r="B74" s="3322" t="s">
        <v>770</v>
      </c>
      <c r="C74" s="3322"/>
      <c r="D74" s="3322"/>
      <c r="E74" s="3322"/>
      <c r="F74" s="3322"/>
      <c r="G74" s="3322"/>
      <c r="H74" s="3322"/>
      <c r="I74" s="3322"/>
      <c r="J74" s="3322"/>
      <c r="K74" s="3322"/>
      <c r="L74" s="3322"/>
      <c r="M74" s="3322"/>
      <c r="N74" s="3322"/>
      <c r="O74" s="3322"/>
      <c r="P74" s="3322"/>
      <c r="Q74" s="3322"/>
      <c r="R74" s="3322"/>
      <c r="S74" s="3322"/>
      <c r="T74" s="3322"/>
      <c r="U74" s="3322"/>
      <c r="V74" s="3322"/>
    </row>
    <row r="75" spans="1:22" s="2321" customFormat="1" hidden="1">
      <c r="A75" s="2367" t="s">
        <v>771</v>
      </c>
      <c r="B75" s="3322" t="s">
        <v>772</v>
      </c>
      <c r="C75" s="3322"/>
      <c r="D75" s="3322"/>
      <c r="E75" s="3322"/>
      <c r="F75" s="3322"/>
      <c r="G75" s="3322"/>
      <c r="H75" s="3322"/>
      <c r="I75" s="3322"/>
      <c r="J75" s="3322"/>
      <c r="K75" s="3322"/>
      <c r="L75" s="3322"/>
      <c r="M75" s="3322"/>
      <c r="N75" s="3322"/>
      <c r="O75" s="3322"/>
      <c r="P75" s="3322"/>
      <c r="Q75" s="3322"/>
      <c r="R75" s="3322"/>
      <c r="S75" s="3322"/>
      <c r="T75" s="3322"/>
      <c r="U75" s="3322"/>
      <c r="V75" s="3322"/>
    </row>
    <row r="76" spans="1:22" s="2321" customFormat="1" hidden="1">
      <c r="A76" s="2367"/>
      <c r="B76" s="3322" t="s">
        <v>773</v>
      </c>
      <c r="C76" s="3322"/>
      <c r="D76" s="3322"/>
      <c r="E76" s="3322"/>
      <c r="F76" s="3322"/>
      <c r="G76" s="3322"/>
      <c r="H76" s="3322"/>
      <c r="I76" s="3322"/>
      <c r="J76" s="3322"/>
      <c r="K76" s="3322"/>
      <c r="L76" s="3322"/>
      <c r="M76" s="3322"/>
      <c r="N76" s="3322"/>
      <c r="O76" s="3322"/>
      <c r="P76" s="3322"/>
      <c r="Q76" s="3322"/>
      <c r="R76" s="3322"/>
      <c r="S76" s="3322"/>
      <c r="T76" s="3322"/>
      <c r="U76" s="3322"/>
      <c r="V76" s="3322"/>
    </row>
    <row r="77" spans="1:22" s="2321" customFormat="1" hidden="1">
      <c r="A77" s="2367" t="s">
        <v>774</v>
      </c>
      <c r="B77" s="3322" t="s">
        <v>775</v>
      </c>
      <c r="C77" s="3322"/>
      <c r="D77" s="3322"/>
      <c r="E77" s="3322"/>
      <c r="F77" s="3322"/>
      <c r="G77" s="3322"/>
      <c r="H77" s="3322"/>
      <c r="I77" s="3322"/>
      <c r="J77" s="3322"/>
      <c r="K77" s="3322"/>
      <c r="L77" s="3322"/>
      <c r="M77" s="3322"/>
      <c r="N77" s="3322"/>
      <c r="O77" s="3322"/>
      <c r="P77" s="3322"/>
      <c r="Q77" s="3322"/>
      <c r="R77" s="3322"/>
      <c r="S77" s="3322"/>
      <c r="T77" s="3322"/>
      <c r="U77" s="3322"/>
      <c r="V77" s="3322"/>
    </row>
    <row r="78" spans="1:22" ht="7.5" customHeight="1">
      <c r="A78" s="2367"/>
      <c r="B78" s="3322"/>
      <c r="C78" s="3322"/>
      <c r="D78" s="3322"/>
      <c r="E78" s="3322"/>
      <c r="F78" s="3322"/>
      <c r="G78" s="3322"/>
      <c r="H78" s="3322"/>
      <c r="I78" s="3322"/>
      <c r="J78" s="3322"/>
      <c r="K78" s="3322"/>
      <c r="L78" s="3322"/>
      <c r="M78" s="3322"/>
      <c r="N78" s="3322"/>
      <c r="O78" s="3322"/>
      <c r="P78" s="3322"/>
      <c r="Q78" s="3322"/>
      <c r="R78" s="3322"/>
      <c r="S78" s="3322"/>
      <c r="T78" s="3322"/>
      <c r="U78" s="3322"/>
      <c r="V78" s="3322"/>
    </row>
    <row r="79" spans="1:22" ht="33" customHeight="1">
      <c r="A79" s="2367"/>
      <c r="B79" s="3322" t="s">
        <v>2801</v>
      </c>
      <c r="C79" s="3322"/>
      <c r="D79" s="3322"/>
      <c r="E79" s="3322"/>
      <c r="F79" s="3322"/>
      <c r="G79" s="3322"/>
      <c r="H79" s="3322"/>
      <c r="I79" s="3322"/>
      <c r="J79" s="3322"/>
      <c r="K79" s="3322"/>
      <c r="L79" s="3322"/>
      <c r="M79" s="3322"/>
      <c r="N79" s="3322"/>
      <c r="O79" s="3322"/>
      <c r="P79" s="3322"/>
      <c r="Q79" s="3322"/>
      <c r="R79" s="3322"/>
      <c r="S79" s="3322"/>
      <c r="T79" s="3322"/>
      <c r="U79" s="3322"/>
      <c r="V79" s="3322"/>
    </row>
    <row r="80" spans="1:22" ht="32.25" customHeight="1">
      <c r="B80" s="3322" t="s">
        <v>2802</v>
      </c>
      <c r="C80" s="3322"/>
      <c r="D80" s="3322"/>
      <c r="E80" s="3322"/>
      <c r="F80" s="3322"/>
      <c r="G80" s="3322"/>
      <c r="H80" s="3322"/>
      <c r="I80" s="3322"/>
      <c r="J80" s="3322"/>
      <c r="K80" s="3322"/>
      <c r="L80" s="3322"/>
      <c r="M80" s="3322"/>
      <c r="N80" s="3322"/>
      <c r="O80" s="3322"/>
      <c r="P80" s="3322"/>
      <c r="Q80" s="3322"/>
      <c r="R80" s="3322"/>
      <c r="S80" s="3322"/>
      <c r="T80" s="3322"/>
      <c r="U80" s="3322"/>
      <c r="V80" s="3322"/>
    </row>
    <row r="81" spans="1:22" ht="15">
      <c r="A81" s="2360"/>
      <c r="B81" s="2368"/>
      <c r="C81" s="2368"/>
      <c r="D81" s="2368"/>
      <c r="E81" s="2368"/>
      <c r="F81" s="2368"/>
      <c r="G81" s="2368"/>
      <c r="H81" s="2368"/>
      <c r="I81" s="2368"/>
      <c r="J81" s="2368"/>
      <c r="K81" s="2368"/>
      <c r="L81" s="2368"/>
      <c r="M81" s="2368"/>
      <c r="N81" s="2368"/>
      <c r="O81" s="2368"/>
      <c r="P81" s="2368"/>
      <c r="Q81" s="2368"/>
      <c r="R81" s="2368"/>
      <c r="S81" s="2368"/>
      <c r="T81" s="2368"/>
      <c r="U81" s="2368"/>
      <c r="V81" s="2360"/>
    </row>
    <row r="82" spans="1:22" ht="15">
      <c r="A82" s="2360"/>
      <c r="B82" s="2368"/>
      <c r="C82" s="2368"/>
      <c r="D82" s="2368"/>
      <c r="E82" s="2368"/>
      <c r="F82" s="2368"/>
      <c r="G82" s="2368"/>
      <c r="H82" s="2368"/>
      <c r="I82" s="2368"/>
      <c r="J82" s="2368"/>
      <c r="K82" s="2368"/>
      <c r="L82" s="2368"/>
      <c r="M82" s="2368"/>
      <c r="N82" s="2368"/>
      <c r="O82" s="2368"/>
      <c r="P82" s="2368"/>
      <c r="Q82" s="2368"/>
      <c r="R82" s="2368"/>
      <c r="S82" s="2368"/>
      <c r="T82" s="2368"/>
      <c r="U82" s="2368"/>
      <c r="V82" s="2360"/>
    </row>
    <row r="83" spans="1:22" ht="15">
      <c r="A83" s="2360"/>
      <c r="B83" s="2368"/>
      <c r="C83" s="2368"/>
      <c r="D83" s="2368"/>
      <c r="E83" s="2368"/>
      <c r="F83" s="2368"/>
      <c r="G83" s="2368"/>
      <c r="H83" s="2368"/>
      <c r="I83" s="2368"/>
      <c r="J83" s="2368"/>
      <c r="K83" s="2368"/>
      <c r="L83" s="2368"/>
      <c r="M83" s="2368"/>
      <c r="N83" s="2368"/>
      <c r="O83" s="2368"/>
      <c r="P83" s="2368"/>
      <c r="Q83" s="2368"/>
      <c r="R83" s="2368"/>
      <c r="S83" s="2368"/>
      <c r="T83" s="2368"/>
      <c r="U83" s="2368"/>
      <c r="V83" s="2360"/>
    </row>
    <row r="84" spans="1:22" ht="15">
      <c r="A84" s="2360"/>
      <c r="B84" s="2368"/>
      <c r="C84" s="2368"/>
      <c r="D84" s="2368"/>
      <c r="E84" s="2368"/>
      <c r="F84" s="2368"/>
      <c r="G84" s="2368"/>
      <c r="H84" s="2368"/>
      <c r="I84" s="2368"/>
      <c r="J84" s="2368"/>
      <c r="K84" s="2368"/>
      <c r="L84" s="2368"/>
      <c r="M84" s="2368"/>
      <c r="N84" s="2368"/>
      <c r="O84" s="2368"/>
      <c r="P84" s="2368"/>
      <c r="Q84" s="2368"/>
      <c r="R84" s="2368"/>
      <c r="S84" s="2368"/>
      <c r="T84" s="2368"/>
      <c r="U84" s="2368"/>
      <c r="V84" s="2360"/>
    </row>
    <row r="85" spans="1:22" s="2322" customFormat="1">
      <c r="A85" s="2369"/>
      <c r="B85" s="3373" t="str">
        <f>GA!B34</f>
        <v>Assistant Engineer,</v>
      </c>
      <c r="C85" s="3373"/>
      <c r="D85" s="3373"/>
      <c r="F85" s="3373" t="s">
        <v>776</v>
      </c>
      <c r="G85" s="3373"/>
      <c r="H85" s="3373"/>
      <c r="I85" s="3373"/>
      <c r="J85" s="3373"/>
      <c r="L85" s="3373" t="str">
        <f>GA!B37</f>
        <v>District Panchayat Raj Engineer,</v>
      </c>
      <c r="M85" s="3373"/>
      <c r="N85" s="3373"/>
      <c r="O85" s="3373"/>
      <c r="P85" s="3373"/>
      <c r="Q85" s="3373" t="s">
        <v>685</v>
      </c>
      <c r="R85" s="3373"/>
      <c r="S85" s="3373"/>
      <c r="T85" s="3373"/>
      <c r="U85" s="3373"/>
    </row>
    <row r="86" spans="1:22" s="2323" customFormat="1">
      <c r="A86" s="2370"/>
      <c r="B86" s="3373" t="str">
        <f>GA!B35</f>
        <v>PRSD, Wanaparthy</v>
      </c>
      <c r="C86" s="3373"/>
      <c r="D86" s="3373"/>
      <c r="F86" s="3375" t="str">
        <f>GA!C35</f>
        <v>PRSD, Wanaparthy</v>
      </c>
      <c r="G86" s="3375"/>
      <c r="H86" s="3375"/>
      <c r="I86" s="3375"/>
      <c r="J86" s="3375"/>
      <c r="L86" s="3373" t="str">
        <f>GA!B38</f>
        <v>PIU, Wanaparthy</v>
      </c>
      <c r="M86" s="3373"/>
      <c r="N86" s="3373"/>
      <c r="O86" s="3373"/>
      <c r="P86" s="3373"/>
      <c r="Q86" s="3376" t="str">
        <f>'Road Estimate'!I102</f>
        <v>PR, Circle, Warangal</v>
      </c>
      <c r="R86" s="3376"/>
      <c r="S86" s="3376"/>
      <c r="T86" s="3376"/>
      <c r="U86" s="3376"/>
    </row>
    <row r="87" spans="1:22" ht="15">
      <c r="A87" s="2360"/>
      <c r="B87" s="2368"/>
      <c r="C87" s="2368"/>
      <c r="D87" s="2368"/>
      <c r="E87" s="2368"/>
      <c r="F87" s="2368"/>
      <c r="G87" s="2368"/>
      <c r="H87" s="2368"/>
      <c r="I87" s="2368"/>
      <c r="J87" s="2368"/>
      <c r="K87" s="2368"/>
      <c r="L87" s="2368"/>
      <c r="M87" s="2368"/>
      <c r="N87" s="2368"/>
      <c r="O87" s="2368"/>
      <c r="P87" s="2368"/>
      <c r="Q87" s="2368"/>
      <c r="R87" s="2368"/>
      <c r="S87" s="2368"/>
      <c r="T87" s="2368"/>
      <c r="U87" s="2368"/>
      <c r="V87" s="2360"/>
    </row>
    <row r="88" spans="1:22" ht="15">
      <c r="A88" s="2360"/>
      <c r="B88" s="2368"/>
      <c r="C88" s="2368"/>
      <c r="D88" s="2368"/>
      <c r="E88" s="2368"/>
      <c r="F88" s="2368"/>
      <c r="G88" s="2368"/>
      <c r="H88" s="2368"/>
      <c r="I88" s="2368"/>
      <c r="J88" s="2368"/>
      <c r="K88" s="2368"/>
      <c r="L88" s="2368"/>
      <c r="M88" s="2368"/>
      <c r="N88" s="2368"/>
      <c r="O88" s="2368"/>
      <c r="P88" s="2368"/>
      <c r="Q88" s="2368"/>
      <c r="R88" s="2368"/>
      <c r="S88" s="2368"/>
      <c r="T88" s="2368"/>
      <c r="U88" s="2368"/>
      <c r="V88" s="2360"/>
    </row>
    <row r="89" spans="1:22" ht="15">
      <c r="A89" s="2360"/>
      <c r="B89" s="2368"/>
      <c r="C89" s="2368"/>
      <c r="D89" s="2368"/>
      <c r="E89" s="2368"/>
      <c r="F89" s="2368"/>
      <c r="G89" s="2368"/>
      <c r="H89" s="2368"/>
      <c r="I89" s="2368"/>
      <c r="J89" s="2368"/>
      <c r="K89" s="2368"/>
      <c r="L89" s="2368"/>
      <c r="M89" s="2368"/>
      <c r="N89" s="2368"/>
      <c r="O89" s="2368"/>
      <c r="P89" s="2368"/>
      <c r="Q89" s="2368"/>
      <c r="R89" s="2368"/>
      <c r="S89" s="2368"/>
      <c r="T89" s="2368"/>
      <c r="U89" s="2368"/>
      <c r="V89" s="2360"/>
    </row>
  </sheetData>
  <mergeCells count="165">
    <mergeCell ref="B86:D86"/>
    <mergeCell ref="F86:J86"/>
    <mergeCell ref="L86:P86"/>
    <mergeCell ref="Q86:U86"/>
    <mergeCell ref="A33:A35"/>
    <mergeCell ref="B10:B11"/>
    <mergeCell ref="B27:B29"/>
    <mergeCell ref="C28:C29"/>
    <mergeCell ref="D28:D29"/>
    <mergeCell ref="E33:E35"/>
    <mergeCell ref="T33:T35"/>
    <mergeCell ref="U33:V34"/>
    <mergeCell ref="C10:E11"/>
    <mergeCell ref="F10:I11"/>
    <mergeCell ref="Q27:R28"/>
    <mergeCell ref="F33:H35"/>
    <mergeCell ref="B33:D35"/>
    <mergeCell ref="B76:V76"/>
    <mergeCell ref="B77:V77"/>
    <mergeCell ref="B78:V78"/>
    <mergeCell ref="B79:V79"/>
    <mergeCell ref="B80:V80"/>
    <mergeCell ref="B85:D85"/>
    <mergeCell ref="F85:J85"/>
    <mergeCell ref="L85:P85"/>
    <mergeCell ref="Q85:U85"/>
    <mergeCell ref="B66:V66"/>
    <mergeCell ref="B67:V67"/>
    <mergeCell ref="B69:Q69"/>
    <mergeCell ref="B70:V70"/>
    <mergeCell ref="B71:V71"/>
    <mergeCell ref="B72:V72"/>
    <mergeCell ref="B73:V73"/>
    <mergeCell ref="B74:V74"/>
    <mergeCell ref="B75:V75"/>
    <mergeCell ref="B58:V58"/>
    <mergeCell ref="B59:V59"/>
    <mergeCell ref="B60:V60"/>
    <mergeCell ref="B61:V61"/>
    <mergeCell ref="B63:H63"/>
    <mergeCell ref="I63:O63"/>
    <mergeCell ref="P63:V63"/>
    <mergeCell ref="B64:V64"/>
    <mergeCell ref="B65:V65"/>
    <mergeCell ref="B49:V49"/>
    <mergeCell ref="B50:V50"/>
    <mergeCell ref="B51:V51"/>
    <mergeCell ref="B52:V52"/>
    <mergeCell ref="B53:V53"/>
    <mergeCell ref="B54:V54"/>
    <mergeCell ref="B55:V55"/>
    <mergeCell ref="B56:V56"/>
    <mergeCell ref="B57:V57"/>
    <mergeCell ref="B47:E47"/>
    <mergeCell ref="G47:J47"/>
    <mergeCell ref="K47:N47"/>
    <mergeCell ref="O47:Q47"/>
    <mergeCell ref="R47:V47"/>
    <mergeCell ref="B48:E48"/>
    <mergeCell ref="G48:J48"/>
    <mergeCell ref="K48:N48"/>
    <mergeCell ref="O48:Q48"/>
    <mergeCell ref="R48:V48"/>
    <mergeCell ref="B45:E45"/>
    <mergeCell ref="G45:J45"/>
    <mergeCell ref="K45:N45"/>
    <mergeCell ref="O45:Q45"/>
    <mergeCell ref="R45:V45"/>
    <mergeCell ref="B46:E46"/>
    <mergeCell ref="G46:J46"/>
    <mergeCell ref="K46:N46"/>
    <mergeCell ref="O46:Q46"/>
    <mergeCell ref="R46:V46"/>
    <mergeCell ref="B43:E43"/>
    <mergeCell ref="G43:J43"/>
    <mergeCell ref="K43:N43"/>
    <mergeCell ref="O43:Q43"/>
    <mergeCell ref="R43:V43"/>
    <mergeCell ref="B44:E44"/>
    <mergeCell ref="G44:J44"/>
    <mergeCell ref="K44:N44"/>
    <mergeCell ref="O44:Q44"/>
    <mergeCell ref="R44:V44"/>
    <mergeCell ref="B37:D37"/>
    <mergeCell ref="F37:H37"/>
    <mergeCell ref="B38:D38"/>
    <mergeCell ref="B41:E41"/>
    <mergeCell ref="G41:J41"/>
    <mergeCell ref="K41:N41"/>
    <mergeCell ref="O41:Q41"/>
    <mergeCell ref="R41:V41"/>
    <mergeCell ref="B42:E42"/>
    <mergeCell ref="G42:J42"/>
    <mergeCell ref="K42:N42"/>
    <mergeCell ref="O42:Q42"/>
    <mergeCell ref="R42:V42"/>
    <mergeCell ref="B32:V32"/>
    <mergeCell ref="I33:S33"/>
    <mergeCell ref="I34:J34"/>
    <mergeCell ref="K34:L34"/>
    <mergeCell ref="M34:N34"/>
    <mergeCell ref="O34:P34"/>
    <mergeCell ref="Q34:S34"/>
    <mergeCell ref="Y35:AB35"/>
    <mergeCell ref="B36:D36"/>
    <mergeCell ref="F36:H36"/>
    <mergeCell ref="E28:G28"/>
    <mergeCell ref="H28:J28"/>
    <mergeCell ref="M28:N28"/>
    <mergeCell ref="O28:P28"/>
    <mergeCell ref="M29:N29"/>
    <mergeCell ref="O29:P29"/>
    <mergeCell ref="Q29:R29"/>
    <mergeCell ref="M30:N30"/>
    <mergeCell ref="O30:P30"/>
    <mergeCell ref="Q30:R30"/>
    <mergeCell ref="C21:E21"/>
    <mergeCell ref="F21:J21"/>
    <mergeCell ref="K21:L21"/>
    <mergeCell ref="M21:T21"/>
    <mergeCell ref="C22:E22"/>
    <mergeCell ref="F22:J22"/>
    <mergeCell ref="K22:L22"/>
    <mergeCell ref="B24:Q24"/>
    <mergeCell ref="C27:N27"/>
    <mergeCell ref="R14:S14"/>
    <mergeCell ref="B16:Q16"/>
    <mergeCell ref="B17:U17"/>
    <mergeCell ref="C19:E19"/>
    <mergeCell ref="F19:J19"/>
    <mergeCell ref="K19:L19"/>
    <mergeCell ref="M19:T19"/>
    <mergeCell ref="C20:E20"/>
    <mergeCell ref="F20:J20"/>
    <mergeCell ref="K20:L20"/>
    <mergeCell ref="M20:T20"/>
    <mergeCell ref="C13:E13"/>
    <mergeCell ref="F13:I13"/>
    <mergeCell ref="J13:K13"/>
    <mergeCell ref="L13:N13"/>
    <mergeCell ref="O13:Q13"/>
    <mergeCell ref="C14:E14"/>
    <mergeCell ref="F14:I14"/>
    <mergeCell ref="J14:K14"/>
    <mergeCell ref="L14:N14"/>
    <mergeCell ref="O14:Q14"/>
    <mergeCell ref="B8:Q8"/>
    <mergeCell ref="J10:Q10"/>
    <mergeCell ref="J11:K11"/>
    <mergeCell ref="L11:N11"/>
    <mergeCell ref="O11:Q11"/>
    <mergeCell ref="C12:E12"/>
    <mergeCell ref="F12:I12"/>
    <mergeCell ref="J12:K12"/>
    <mergeCell ref="L12:N12"/>
    <mergeCell ref="O12:Q12"/>
    <mergeCell ref="A1:U1"/>
    <mergeCell ref="A2:D2"/>
    <mergeCell ref="E2:U2"/>
    <mergeCell ref="J3:K3"/>
    <mergeCell ref="O3:P3"/>
    <mergeCell ref="B4:T4"/>
    <mergeCell ref="B5:T5"/>
    <mergeCell ref="B6:T6"/>
    <mergeCell ref="B7:Q7"/>
  </mergeCells>
  <printOptions horizontalCentered="1"/>
  <pageMargins left="0.43263888888888902" right="0.156944444444444" top="0.55069444444444404" bottom="0.51180555555555596" header="0.196527777777778" footer="0.31458333333333299"/>
  <pageSetup paperSize="9" scale="84" orientation="portrait" blackAndWhite="1" r:id="rId1"/>
</worksheet>
</file>

<file path=xl/worksheets/sheet11.xml><?xml version="1.0" encoding="utf-8"?>
<worksheet xmlns="http://schemas.openxmlformats.org/spreadsheetml/2006/main" xmlns:r="http://schemas.openxmlformats.org/officeDocument/2006/relationships">
  <dimension ref="A1:XFC44"/>
  <sheetViews>
    <sheetView view="pageBreakPreview" topLeftCell="A5" workbookViewId="0">
      <selection activeCell="G20" sqref="G20"/>
    </sheetView>
  </sheetViews>
  <sheetFormatPr defaultColWidth="9.140625" defaultRowHeight="12.75"/>
  <cols>
    <col min="1" max="1" width="6.28515625" style="2297" customWidth="1"/>
    <col min="2" max="2" width="9.28515625" style="2297" customWidth="1"/>
    <col min="3" max="3" width="7.140625" style="2297" hidden="1" customWidth="1"/>
    <col min="4" max="4" width="0" style="2297" hidden="1" customWidth="1"/>
    <col min="5" max="6" width="8.28515625" style="2297" hidden="1" customWidth="1"/>
    <col min="7" max="8" width="8.28515625" style="2297" customWidth="1"/>
    <col min="9" max="9" width="9.140625" style="2297"/>
    <col min="10" max="10" width="7" style="2297" customWidth="1"/>
    <col min="11" max="11" width="15" style="2297" customWidth="1"/>
    <col min="12" max="16383" width="9.140625" style="2297"/>
  </cols>
  <sheetData>
    <row r="1" spans="1:11" ht="39" customHeight="1">
      <c r="A1" s="3394" t="s">
        <v>777</v>
      </c>
      <c r="B1" s="3395"/>
      <c r="C1" s="3395"/>
      <c r="D1" s="3395"/>
      <c r="E1" s="3395"/>
      <c r="F1" s="3395"/>
      <c r="G1" s="3395"/>
      <c r="H1" s="3395"/>
      <c r="I1" s="3395"/>
      <c r="J1" s="3395"/>
      <c r="K1" s="3396"/>
    </row>
    <row r="2" spans="1:11">
      <c r="A2" s="2298"/>
      <c r="K2" s="2308"/>
    </row>
    <row r="3" spans="1:11">
      <c r="A3" s="2298"/>
      <c r="K3" s="2308"/>
    </row>
    <row r="4" spans="1:11" s="2296" customFormat="1">
      <c r="A4" s="2299" t="s">
        <v>778</v>
      </c>
      <c r="C4" s="2296" t="str">
        <f>'Input Data'!E1</f>
        <v>R/F A to B in Wanaparthy Mandal of Wanaparthy District</v>
      </c>
      <c r="K4" s="2309"/>
    </row>
    <row r="5" spans="1:11">
      <c r="A5" s="2298"/>
      <c r="K5" s="2308"/>
    </row>
    <row r="6" spans="1:11">
      <c r="A6" s="2298"/>
      <c r="K6" s="2308"/>
    </row>
    <row r="7" spans="1:11">
      <c r="A7" s="2298"/>
      <c r="K7" s="2308"/>
    </row>
    <row r="8" spans="1:11">
      <c r="A8" s="2298"/>
      <c r="K8" s="2308"/>
    </row>
    <row r="9" spans="1:11">
      <c r="A9" s="2298"/>
      <c r="J9" s="2310"/>
      <c r="K9" s="2308"/>
    </row>
    <row r="10" spans="1:11">
      <c r="A10" s="2298"/>
      <c r="J10" s="3401" t="s">
        <v>779</v>
      </c>
      <c r="K10" s="2308"/>
    </row>
    <row r="11" spans="1:11">
      <c r="A11" s="2298"/>
      <c r="C11" s="3399"/>
      <c r="J11" s="3401"/>
      <c r="K11" s="2308"/>
    </row>
    <row r="12" spans="1:11">
      <c r="A12" s="2298"/>
      <c r="C12" s="3399"/>
      <c r="J12" s="3401"/>
      <c r="K12" s="2308"/>
    </row>
    <row r="13" spans="1:11">
      <c r="A13" s="2298"/>
      <c r="C13" s="3399"/>
      <c r="J13" s="3401"/>
      <c r="K13" s="2308"/>
    </row>
    <row r="14" spans="1:11">
      <c r="A14" s="2298"/>
      <c r="C14" s="3399"/>
      <c r="J14" s="3401"/>
      <c r="K14" s="2308"/>
    </row>
    <row r="15" spans="1:11">
      <c r="A15" s="2298"/>
      <c r="C15" s="3399"/>
      <c r="J15" s="3401"/>
      <c r="K15" s="2308"/>
    </row>
    <row r="16" spans="1:11">
      <c r="A16" s="2298"/>
      <c r="C16" s="3399"/>
      <c r="I16" s="2297" t="s">
        <v>780</v>
      </c>
      <c r="J16" s="3401"/>
      <c r="K16" s="2308"/>
    </row>
    <row r="17" spans="1:11">
      <c r="A17" s="2298"/>
      <c r="C17" s="3399"/>
      <c r="D17" s="2297" t="s">
        <v>781</v>
      </c>
      <c r="J17" s="3401"/>
      <c r="K17" s="2308"/>
    </row>
    <row r="18" spans="1:11">
      <c r="A18" s="2298"/>
      <c r="C18" s="3399"/>
      <c r="J18" s="3401"/>
      <c r="K18" s="2308"/>
    </row>
    <row r="19" spans="1:11" ht="39" customHeight="1">
      <c r="A19" s="2298"/>
      <c r="C19" s="3397" t="s">
        <v>782</v>
      </c>
      <c r="D19" s="3397"/>
      <c r="E19" s="3397"/>
      <c r="F19" s="3397"/>
      <c r="G19" s="2300" t="s">
        <v>783</v>
      </c>
      <c r="H19" s="3397" t="s">
        <v>784</v>
      </c>
      <c r="I19" s="3397"/>
      <c r="J19" s="2311"/>
      <c r="K19" s="2312" t="s">
        <v>785</v>
      </c>
    </row>
    <row r="20" spans="1:11" ht="62.1" customHeight="1">
      <c r="A20" s="2298"/>
      <c r="C20" s="2301" t="s">
        <v>786</v>
      </c>
      <c r="D20" s="2302"/>
      <c r="E20" s="2303"/>
      <c r="F20" s="2304" t="s">
        <v>787</v>
      </c>
      <c r="G20" s="2302" t="s">
        <v>2806</v>
      </c>
      <c r="H20" s="2302" t="s">
        <v>2805</v>
      </c>
      <c r="I20" s="2313" t="s">
        <v>788</v>
      </c>
      <c r="J20" s="3402" t="s">
        <v>789</v>
      </c>
      <c r="K20" s="2308"/>
    </row>
    <row r="21" spans="1:11">
      <c r="A21" s="2298"/>
      <c r="C21" s="2305"/>
      <c r="J21" s="3402"/>
      <c r="K21" s="2308"/>
    </row>
    <row r="22" spans="1:11">
      <c r="A22" s="2298"/>
      <c r="C22" s="3400"/>
      <c r="J22" s="3402"/>
      <c r="K22" s="2308"/>
    </row>
    <row r="23" spans="1:11">
      <c r="A23" s="2298"/>
      <c r="C23" s="3400"/>
      <c r="J23" s="3402"/>
      <c r="K23" s="2308"/>
    </row>
    <row r="24" spans="1:11">
      <c r="A24" s="2298"/>
      <c r="C24" s="3400"/>
      <c r="J24" s="3402"/>
      <c r="K24" s="2308"/>
    </row>
    <row r="25" spans="1:11">
      <c r="A25" s="2298"/>
      <c r="C25" s="3400"/>
      <c r="J25" s="3402"/>
      <c r="K25" s="2308"/>
    </row>
    <row r="26" spans="1:11">
      <c r="A26" s="2298"/>
      <c r="J26" s="3402"/>
      <c r="K26" s="2308"/>
    </row>
    <row r="27" spans="1:11">
      <c r="A27" s="2298"/>
      <c r="J27" s="3402"/>
      <c r="K27" s="2308"/>
    </row>
    <row r="28" spans="1:11">
      <c r="A28" s="2298"/>
      <c r="J28" s="2310"/>
      <c r="K28" s="2308"/>
    </row>
    <row r="29" spans="1:11">
      <c r="A29" s="2298"/>
      <c r="K29" s="2308"/>
    </row>
    <row r="30" spans="1:11">
      <c r="A30" s="2298"/>
      <c r="K30" s="2308"/>
    </row>
    <row r="31" spans="1:11">
      <c r="A31" s="2298"/>
      <c r="K31" s="2308"/>
    </row>
    <row r="32" spans="1:11">
      <c r="A32" s="2298"/>
      <c r="K32" s="2308"/>
    </row>
    <row r="33" spans="1:11">
      <c r="A33" s="2298"/>
      <c r="K33" s="2308"/>
    </row>
    <row r="34" spans="1:11">
      <c r="A34" s="2298"/>
      <c r="K34" s="2308"/>
    </row>
    <row r="35" spans="1:11">
      <c r="A35" s="2298"/>
      <c r="K35" s="2308"/>
    </row>
    <row r="36" spans="1:11">
      <c r="A36" s="2298"/>
      <c r="K36" s="2308"/>
    </row>
    <row r="37" spans="1:11">
      <c r="A37" s="2298"/>
      <c r="B37" s="3398" t="s">
        <v>790</v>
      </c>
      <c r="C37" s="3398"/>
      <c r="D37" s="3398" t="s">
        <v>791</v>
      </c>
      <c r="E37" s="3398"/>
      <c r="F37" s="3398"/>
      <c r="G37" s="3398" t="str">
        <f>'Pipe data'!D399</f>
        <v>District Panchayat Raj Engineer,</v>
      </c>
      <c r="H37" s="3398"/>
      <c r="I37" s="3398"/>
      <c r="J37" s="3398"/>
      <c r="K37" s="2308"/>
    </row>
    <row r="38" spans="1:11">
      <c r="A38" s="2298"/>
      <c r="B38" s="3398" t="s">
        <v>792</v>
      </c>
      <c r="C38" s="3398"/>
      <c r="D38" s="3398" t="s">
        <v>792</v>
      </c>
      <c r="E38" s="3398"/>
      <c r="F38" s="3398"/>
      <c r="G38" s="3398" t="str">
        <f>'Pipe data'!D400</f>
        <v>PIU, Wanaparthy</v>
      </c>
      <c r="H38" s="3398"/>
      <c r="I38" s="3398"/>
      <c r="J38" s="3398"/>
      <c r="K38" s="2308"/>
    </row>
    <row r="39" spans="1:11">
      <c r="A39" s="2298"/>
      <c r="K39" s="2308"/>
    </row>
    <row r="40" spans="1:11">
      <c r="A40" s="2298"/>
      <c r="K40" s="2308"/>
    </row>
    <row r="41" spans="1:11">
      <c r="A41" s="2298"/>
      <c r="K41" s="2308"/>
    </row>
    <row r="42" spans="1:11">
      <c r="A42" s="2298"/>
      <c r="G42" s="3398" t="str">
        <f>'Pipe data'!E399</f>
        <v>Superintending Engineer</v>
      </c>
      <c r="H42" s="3398"/>
      <c r="I42" s="3398"/>
      <c r="J42" s="3398"/>
      <c r="K42" s="2308"/>
    </row>
    <row r="43" spans="1:11">
      <c r="A43" s="2298"/>
      <c r="G43" s="3398" t="str">
        <f>'Pipe data'!E400</f>
        <v>PR, Circle, Warangal</v>
      </c>
      <c r="H43" s="3398"/>
      <c r="I43" s="3398"/>
      <c r="J43" s="3398"/>
      <c r="K43" s="2308"/>
    </row>
    <row r="44" spans="1:11">
      <c r="A44" s="2306"/>
      <c r="B44" s="2307"/>
      <c r="C44" s="2307"/>
      <c r="D44" s="2307"/>
      <c r="E44" s="2307"/>
      <c r="F44" s="2307"/>
      <c r="G44" s="2307"/>
      <c r="H44" s="2307"/>
      <c r="I44" s="2307"/>
      <c r="J44" s="2307"/>
      <c r="K44" s="2314"/>
    </row>
  </sheetData>
  <mergeCells count="15">
    <mergeCell ref="B38:C38"/>
    <mergeCell ref="D38:F38"/>
    <mergeCell ref="G38:J38"/>
    <mergeCell ref="G42:J42"/>
    <mergeCell ref="G43:J43"/>
    <mergeCell ref="A1:K1"/>
    <mergeCell ref="C19:F19"/>
    <mergeCell ref="H19:I19"/>
    <mergeCell ref="B37:C37"/>
    <mergeCell ref="D37:F37"/>
    <mergeCell ref="G37:J37"/>
    <mergeCell ref="C11:C18"/>
    <mergeCell ref="C22:C25"/>
    <mergeCell ref="J10:J18"/>
    <mergeCell ref="J20:J27"/>
  </mergeCells>
  <pageMargins left="0.35763888888888901" right="0.16111111111111101" top="1" bottom="0.60624999999999996" header="0.30277777777777798" footer="0.30277777777777798"/>
  <pageSetup paperSize="9" orientation="portrait" r:id="rId1"/>
  <drawing r:id="rId2"/>
</worksheet>
</file>

<file path=xl/worksheets/sheet12.xml><?xml version="1.0" encoding="utf-8"?>
<worksheet xmlns="http://schemas.openxmlformats.org/spreadsheetml/2006/main" xmlns:r="http://schemas.openxmlformats.org/officeDocument/2006/relationships">
  <dimension ref="A1:WWN31"/>
  <sheetViews>
    <sheetView view="pageBreakPreview" workbookViewId="0">
      <selection activeCell="U18" sqref="U18"/>
    </sheetView>
  </sheetViews>
  <sheetFormatPr defaultColWidth="9" defaultRowHeight="12.75"/>
  <cols>
    <col min="1" max="1" width="2.7109375" style="2257" customWidth="1"/>
    <col min="2" max="2" width="3.28515625" style="2257" customWidth="1"/>
    <col min="3" max="3" width="3.85546875" style="2257" customWidth="1"/>
    <col min="4" max="7" width="4.42578125" style="2257" customWidth="1"/>
    <col min="8" max="8" width="8.28515625" style="2257" customWidth="1"/>
    <col min="9" max="12" width="4.42578125" style="2257" customWidth="1"/>
    <col min="13" max="13" width="9.42578125" style="2257" customWidth="1"/>
    <col min="14" max="14" width="4" style="2257" customWidth="1"/>
    <col min="15" max="15" width="1.140625" style="2257" hidden="1" customWidth="1"/>
    <col min="16" max="16" width="0.42578125" style="2257" hidden="1" customWidth="1"/>
    <col min="17" max="17" width="4.42578125" style="2257" hidden="1" customWidth="1"/>
    <col min="18" max="18" width="4.42578125" style="2257" customWidth="1"/>
    <col min="19" max="19" width="1.42578125" style="2257" customWidth="1"/>
    <col min="20" max="20" width="4" style="2257" customWidth="1"/>
    <col min="21" max="25" width="4.42578125" style="2257" customWidth="1"/>
    <col min="26" max="26" width="3.42578125" style="2257" customWidth="1"/>
    <col min="27" max="27" width="5.28515625" style="2257" customWidth="1"/>
    <col min="28" max="28" width="21" style="2257" customWidth="1"/>
    <col min="29" max="29" width="4.7109375" style="2257" customWidth="1"/>
    <col min="30" max="30" width="3.85546875" style="2257" customWidth="1"/>
    <col min="31" max="32" width="9.140625" style="2257" hidden="1" customWidth="1"/>
    <col min="33" max="256" width="8.85546875" style="2257"/>
    <col min="257" max="257" width="2.7109375" style="2257" customWidth="1"/>
    <col min="258" max="258" width="3.28515625" style="2257" customWidth="1"/>
    <col min="259" max="259" width="3.85546875" style="2257" customWidth="1"/>
    <col min="260" max="268" width="4.42578125" style="2257" customWidth="1"/>
    <col min="269" max="269" width="9.42578125" style="2257" customWidth="1"/>
    <col min="270" max="270" width="4" style="2257" customWidth="1"/>
    <col min="271" max="273" width="9" style="2257" hidden="1" customWidth="1"/>
    <col min="274" max="274" width="4.42578125" style="2257" customWidth="1"/>
    <col min="275" max="275" width="1.42578125" style="2257" customWidth="1"/>
    <col min="276" max="276" width="4" style="2257" customWidth="1"/>
    <col min="277" max="281" width="4.42578125" style="2257" customWidth="1"/>
    <col min="282" max="282" width="3.42578125" style="2257" customWidth="1"/>
    <col min="283" max="283" width="5.7109375" style="2257" customWidth="1"/>
    <col min="284" max="284" width="21" style="2257" customWidth="1"/>
    <col min="285" max="285" width="4.7109375" style="2257" customWidth="1"/>
    <col min="286" max="286" width="3.85546875" style="2257" customWidth="1"/>
    <col min="287" max="288" width="9" style="2257" hidden="1" customWidth="1"/>
    <col min="289" max="512" width="8.85546875" style="2257"/>
    <col min="513" max="513" width="2.7109375" style="2257" customWidth="1"/>
    <col min="514" max="514" width="3.28515625" style="2257" customWidth="1"/>
    <col min="515" max="515" width="3.85546875" style="2257" customWidth="1"/>
    <col min="516" max="524" width="4.42578125" style="2257" customWidth="1"/>
    <col min="525" max="525" width="9.42578125" style="2257" customWidth="1"/>
    <col min="526" max="526" width="4" style="2257" customWidth="1"/>
    <col min="527" max="529" width="9" style="2257" hidden="1" customWidth="1"/>
    <col min="530" max="530" width="4.42578125" style="2257" customWidth="1"/>
    <col min="531" max="531" width="1.42578125" style="2257" customWidth="1"/>
    <col min="532" max="532" width="4" style="2257" customWidth="1"/>
    <col min="533" max="537" width="4.42578125" style="2257" customWidth="1"/>
    <col min="538" max="538" width="3.42578125" style="2257" customWidth="1"/>
    <col min="539" max="539" width="5.7109375" style="2257" customWidth="1"/>
    <col min="540" max="540" width="21" style="2257" customWidth="1"/>
    <col min="541" max="541" width="4.7109375" style="2257" customWidth="1"/>
    <col min="542" max="542" width="3.85546875" style="2257" customWidth="1"/>
    <col min="543" max="544" width="9" style="2257" hidden="1" customWidth="1"/>
    <col min="545" max="768" width="8.85546875" style="2257"/>
    <col min="769" max="769" width="2.7109375" style="2257" customWidth="1"/>
    <col min="770" max="770" width="3.28515625" style="2257" customWidth="1"/>
    <col min="771" max="771" width="3.85546875" style="2257" customWidth="1"/>
    <col min="772" max="780" width="4.42578125" style="2257" customWidth="1"/>
    <col min="781" max="781" width="9.42578125" style="2257" customWidth="1"/>
    <col min="782" max="782" width="4" style="2257" customWidth="1"/>
    <col min="783" max="785" width="9" style="2257" hidden="1" customWidth="1"/>
    <col min="786" max="786" width="4.42578125" style="2257" customWidth="1"/>
    <col min="787" max="787" width="1.42578125" style="2257" customWidth="1"/>
    <col min="788" max="788" width="4" style="2257" customWidth="1"/>
    <col min="789" max="793" width="4.42578125" style="2257" customWidth="1"/>
    <col min="794" max="794" width="3.42578125" style="2257" customWidth="1"/>
    <col min="795" max="795" width="5.7109375" style="2257" customWidth="1"/>
    <col min="796" max="796" width="21" style="2257" customWidth="1"/>
    <col min="797" max="797" width="4.7109375" style="2257" customWidth="1"/>
    <col min="798" max="798" width="3.85546875" style="2257" customWidth="1"/>
    <col min="799" max="800" width="9" style="2257" hidden="1" customWidth="1"/>
    <col min="801" max="1024" width="8.85546875" style="2257"/>
    <col min="1025" max="1025" width="2.7109375" style="2257" customWidth="1"/>
    <col min="1026" max="1026" width="3.28515625" style="2257" customWidth="1"/>
    <col min="1027" max="1027" width="3.85546875" style="2257" customWidth="1"/>
    <col min="1028" max="1036" width="4.42578125" style="2257" customWidth="1"/>
    <col min="1037" max="1037" width="9.42578125" style="2257" customWidth="1"/>
    <col min="1038" max="1038" width="4" style="2257" customWidth="1"/>
    <col min="1039" max="1041" width="9" style="2257" hidden="1" customWidth="1"/>
    <col min="1042" max="1042" width="4.42578125" style="2257" customWidth="1"/>
    <col min="1043" max="1043" width="1.42578125" style="2257" customWidth="1"/>
    <col min="1044" max="1044" width="4" style="2257" customWidth="1"/>
    <col min="1045" max="1049" width="4.42578125" style="2257" customWidth="1"/>
    <col min="1050" max="1050" width="3.42578125" style="2257" customWidth="1"/>
    <col min="1051" max="1051" width="5.7109375" style="2257" customWidth="1"/>
    <col min="1052" max="1052" width="21" style="2257" customWidth="1"/>
    <col min="1053" max="1053" width="4.7109375" style="2257" customWidth="1"/>
    <col min="1054" max="1054" width="3.85546875" style="2257" customWidth="1"/>
    <col min="1055" max="1056" width="9" style="2257" hidden="1" customWidth="1"/>
    <col min="1057" max="1280" width="8.85546875" style="2257"/>
    <col min="1281" max="1281" width="2.7109375" style="2257" customWidth="1"/>
    <col min="1282" max="1282" width="3.28515625" style="2257" customWidth="1"/>
    <col min="1283" max="1283" width="3.85546875" style="2257" customWidth="1"/>
    <col min="1284" max="1292" width="4.42578125" style="2257" customWidth="1"/>
    <col min="1293" max="1293" width="9.42578125" style="2257" customWidth="1"/>
    <col min="1294" max="1294" width="4" style="2257" customWidth="1"/>
    <col min="1295" max="1297" width="9" style="2257" hidden="1" customWidth="1"/>
    <col min="1298" max="1298" width="4.42578125" style="2257" customWidth="1"/>
    <col min="1299" max="1299" width="1.42578125" style="2257" customWidth="1"/>
    <col min="1300" max="1300" width="4" style="2257" customWidth="1"/>
    <col min="1301" max="1305" width="4.42578125" style="2257" customWidth="1"/>
    <col min="1306" max="1306" width="3.42578125" style="2257" customWidth="1"/>
    <col min="1307" max="1307" width="5.7109375" style="2257" customWidth="1"/>
    <col min="1308" max="1308" width="21" style="2257" customWidth="1"/>
    <col min="1309" max="1309" width="4.7109375" style="2257" customWidth="1"/>
    <col min="1310" max="1310" width="3.85546875" style="2257" customWidth="1"/>
    <col min="1311" max="1312" width="9" style="2257" hidden="1" customWidth="1"/>
    <col min="1313" max="1536" width="8.85546875" style="2257"/>
    <col min="1537" max="1537" width="2.7109375" style="2257" customWidth="1"/>
    <col min="1538" max="1538" width="3.28515625" style="2257" customWidth="1"/>
    <col min="1539" max="1539" width="3.85546875" style="2257" customWidth="1"/>
    <col min="1540" max="1548" width="4.42578125" style="2257" customWidth="1"/>
    <col min="1549" max="1549" width="9.42578125" style="2257" customWidth="1"/>
    <col min="1550" max="1550" width="4" style="2257" customWidth="1"/>
    <col min="1551" max="1553" width="9" style="2257" hidden="1" customWidth="1"/>
    <col min="1554" max="1554" width="4.42578125" style="2257" customWidth="1"/>
    <col min="1555" max="1555" width="1.42578125" style="2257" customWidth="1"/>
    <col min="1556" max="1556" width="4" style="2257" customWidth="1"/>
    <col min="1557" max="1561" width="4.42578125" style="2257" customWidth="1"/>
    <col min="1562" max="1562" width="3.42578125" style="2257" customWidth="1"/>
    <col min="1563" max="1563" width="5.7109375" style="2257" customWidth="1"/>
    <col min="1564" max="1564" width="21" style="2257" customWidth="1"/>
    <col min="1565" max="1565" width="4.7109375" style="2257" customWidth="1"/>
    <col min="1566" max="1566" width="3.85546875" style="2257" customWidth="1"/>
    <col min="1567" max="1568" width="9" style="2257" hidden="1" customWidth="1"/>
    <col min="1569" max="1792" width="8.85546875" style="2257"/>
    <col min="1793" max="1793" width="2.7109375" style="2257" customWidth="1"/>
    <col min="1794" max="1794" width="3.28515625" style="2257" customWidth="1"/>
    <col min="1795" max="1795" width="3.85546875" style="2257" customWidth="1"/>
    <col min="1796" max="1804" width="4.42578125" style="2257" customWidth="1"/>
    <col min="1805" max="1805" width="9.42578125" style="2257" customWidth="1"/>
    <col min="1806" max="1806" width="4" style="2257" customWidth="1"/>
    <col min="1807" max="1809" width="9" style="2257" hidden="1" customWidth="1"/>
    <col min="1810" max="1810" width="4.42578125" style="2257" customWidth="1"/>
    <col min="1811" max="1811" width="1.42578125" style="2257" customWidth="1"/>
    <col min="1812" max="1812" width="4" style="2257" customWidth="1"/>
    <col min="1813" max="1817" width="4.42578125" style="2257" customWidth="1"/>
    <col min="1818" max="1818" width="3.42578125" style="2257" customWidth="1"/>
    <col min="1819" max="1819" width="5.7109375" style="2257" customWidth="1"/>
    <col min="1820" max="1820" width="21" style="2257" customWidth="1"/>
    <col min="1821" max="1821" width="4.7109375" style="2257" customWidth="1"/>
    <col min="1822" max="1822" width="3.85546875" style="2257" customWidth="1"/>
    <col min="1823" max="1824" width="9" style="2257" hidden="1" customWidth="1"/>
    <col min="1825" max="2048" width="8.85546875" style="2257"/>
    <col min="2049" max="2049" width="2.7109375" style="2257" customWidth="1"/>
    <col min="2050" max="2050" width="3.28515625" style="2257" customWidth="1"/>
    <col min="2051" max="2051" width="3.85546875" style="2257" customWidth="1"/>
    <col min="2052" max="2060" width="4.42578125" style="2257" customWidth="1"/>
    <col min="2061" max="2061" width="9.42578125" style="2257" customWidth="1"/>
    <col min="2062" max="2062" width="4" style="2257" customWidth="1"/>
    <col min="2063" max="2065" width="9" style="2257" hidden="1" customWidth="1"/>
    <col min="2066" max="2066" width="4.42578125" style="2257" customWidth="1"/>
    <col min="2067" max="2067" width="1.42578125" style="2257" customWidth="1"/>
    <col min="2068" max="2068" width="4" style="2257" customWidth="1"/>
    <col min="2069" max="2073" width="4.42578125" style="2257" customWidth="1"/>
    <col min="2074" max="2074" width="3.42578125" style="2257" customWidth="1"/>
    <col min="2075" max="2075" width="5.7109375" style="2257" customWidth="1"/>
    <col min="2076" max="2076" width="21" style="2257" customWidth="1"/>
    <col min="2077" max="2077" width="4.7109375" style="2257" customWidth="1"/>
    <col min="2078" max="2078" width="3.85546875" style="2257" customWidth="1"/>
    <col min="2079" max="2080" width="9" style="2257" hidden="1" customWidth="1"/>
    <col min="2081" max="2304" width="8.85546875" style="2257"/>
    <col min="2305" max="2305" width="2.7109375" style="2257" customWidth="1"/>
    <col min="2306" max="2306" width="3.28515625" style="2257" customWidth="1"/>
    <col min="2307" max="2307" width="3.85546875" style="2257" customWidth="1"/>
    <col min="2308" max="2316" width="4.42578125" style="2257" customWidth="1"/>
    <col min="2317" max="2317" width="9.42578125" style="2257" customWidth="1"/>
    <col min="2318" max="2318" width="4" style="2257" customWidth="1"/>
    <col min="2319" max="2321" width="9" style="2257" hidden="1" customWidth="1"/>
    <col min="2322" max="2322" width="4.42578125" style="2257" customWidth="1"/>
    <col min="2323" max="2323" width="1.42578125" style="2257" customWidth="1"/>
    <col min="2324" max="2324" width="4" style="2257" customWidth="1"/>
    <col min="2325" max="2329" width="4.42578125" style="2257" customWidth="1"/>
    <col min="2330" max="2330" width="3.42578125" style="2257" customWidth="1"/>
    <col min="2331" max="2331" width="5.7109375" style="2257" customWidth="1"/>
    <col min="2332" max="2332" width="21" style="2257" customWidth="1"/>
    <col min="2333" max="2333" width="4.7109375" style="2257" customWidth="1"/>
    <col min="2334" max="2334" width="3.85546875" style="2257" customWidth="1"/>
    <col min="2335" max="2336" width="9" style="2257" hidden="1" customWidth="1"/>
    <col min="2337" max="2560" width="8.85546875" style="2257"/>
    <col min="2561" max="2561" width="2.7109375" style="2257" customWidth="1"/>
    <col min="2562" max="2562" width="3.28515625" style="2257" customWidth="1"/>
    <col min="2563" max="2563" width="3.85546875" style="2257" customWidth="1"/>
    <col min="2564" max="2572" width="4.42578125" style="2257" customWidth="1"/>
    <col min="2573" max="2573" width="9.42578125" style="2257" customWidth="1"/>
    <col min="2574" max="2574" width="4" style="2257" customWidth="1"/>
    <col min="2575" max="2577" width="9" style="2257" hidden="1" customWidth="1"/>
    <col min="2578" max="2578" width="4.42578125" style="2257" customWidth="1"/>
    <col min="2579" max="2579" width="1.42578125" style="2257" customWidth="1"/>
    <col min="2580" max="2580" width="4" style="2257" customWidth="1"/>
    <col min="2581" max="2585" width="4.42578125" style="2257" customWidth="1"/>
    <col min="2586" max="2586" width="3.42578125" style="2257" customWidth="1"/>
    <col min="2587" max="2587" width="5.7109375" style="2257" customWidth="1"/>
    <col min="2588" max="2588" width="21" style="2257" customWidth="1"/>
    <col min="2589" max="2589" width="4.7109375" style="2257" customWidth="1"/>
    <col min="2590" max="2590" width="3.85546875" style="2257" customWidth="1"/>
    <col min="2591" max="2592" width="9" style="2257" hidden="1" customWidth="1"/>
    <col min="2593" max="2816" width="8.85546875" style="2257"/>
    <col min="2817" max="2817" width="2.7109375" style="2257" customWidth="1"/>
    <col min="2818" max="2818" width="3.28515625" style="2257" customWidth="1"/>
    <col min="2819" max="2819" width="3.85546875" style="2257" customWidth="1"/>
    <col min="2820" max="2828" width="4.42578125" style="2257" customWidth="1"/>
    <col min="2829" max="2829" width="9.42578125" style="2257" customWidth="1"/>
    <col min="2830" max="2830" width="4" style="2257" customWidth="1"/>
    <col min="2831" max="2833" width="9" style="2257" hidden="1" customWidth="1"/>
    <col min="2834" max="2834" width="4.42578125" style="2257" customWidth="1"/>
    <col min="2835" max="2835" width="1.42578125" style="2257" customWidth="1"/>
    <col min="2836" max="2836" width="4" style="2257" customWidth="1"/>
    <col min="2837" max="2841" width="4.42578125" style="2257" customWidth="1"/>
    <col min="2842" max="2842" width="3.42578125" style="2257" customWidth="1"/>
    <col min="2843" max="2843" width="5.7109375" style="2257" customWidth="1"/>
    <col min="2844" max="2844" width="21" style="2257" customWidth="1"/>
    <col min="2845" max="2845" width="4.7109375" style="2257" customWidth="1"/>
    <col min="2846" max="2846" width="3.85546875" style="2257" customWidth="1"/>
    <col min="2847" max="2848" width="9" style="2257" hidden="1" customWidth="1"/>
    <col min="2849" max="3072" width="8.85546875" style="2257"/>
    <col min="3073" max="3073" width="2.7109375" style="2257" customWidth="1"/>
    <col min="3074" max="3074" width="3.28515625" style="2257" customWidth="1"/>
    <col min="3075" max="3075" width="3.85546875" style="2257" customWidth="1"/>
    <col min="3076" max="3084" width="4.42578125" style="2257" customWidth="1"/>
    <col min="3085" max="3085" width="9.42578125" style="2257" customWidth="1"/>
    <col min="3086" max="3086" width="4" style="2257" customWidth="1"/>
    <col min="3087" max="3089" width="9" style="2257" hidden="1" customWidth="1"/>
    <col min="3090" max="3090" width="4.42578125" style="2257" customWidth="1"/>
    <col min="3091" max="3091" width="1.42578125" style="2257" customWidth="1"/>
    <col min="3092" max="3092" width="4" style="2257" customWidth="1"/>
    <col min="3093" max="3097" width="4.42578125" style="2257" customWidth="1"/>
    <col min="3098" max="3098" width="3.42578125" style="2257" customWidth="1"/>
    <col min="3099" max="3099" width="5.7109375" style="2257" customWidth="1"/>
    <col min="3100" max="3100" width="21" style="2257" customWidth="1"/>
    <col min="3101" max="3101" width="4.7109375" style="2257" customWidth="1"/>
    <col min="3102" max="3102" width="3.85546875" style="2257" customWidth="1"/>
    <col min="3103" max="3104" width="9" style="2257" hidden="1" customWidth="1"/>
    <col min="3105" max="3328" width="8.85546875" style="2257"/>
    <col min="3329" max="3329" width="2.7109375" style="2257" customWidth="1"/>
    <col min="3330" max="3330" width="3.28515625" style="2257" customWidth="1"/>
    <col min="3331" max="3331" width="3.85546875" style="2257" customWidth="1"/>
    <col min="3332" max="3340" width="4.42578125" style="2257" customWidth="1"/>
    <col min="3341" max="3341" width="9.42578125" style="2257" customWidth="1"/>
    <col min="3342" max="3342" width="4" style="2257" customWidth="1"/>
    <col min="3343" max="3345" width="9" style="2257" hidden="1" customWidth="1"/>
    <col min="3346" max="3346" width="4.42578125" style="2257" customWidth="1"/>
    <col min="3347" max="3347" width="1.42578125" style="2257" customWidth="1"/>
    <col min="3348" max="3348" width="4" style="2257" customWidth="1"/>
    <col min="3349" max="3353" width="4.42578125" style="2257" customWidth="1"/>
    <col min="3354" max="3354" width="3.42578125" style="2257" customWidth="1"/>
    <col min="3355" max="3355" width="5.7109375" style="2257" customWidth="1"/>
    <col min="3356" max="3356" width="21" style="2257" customWidth="1"/>
    <col min="3357" max="3357" width="4.7109375" style="2257" customWidth="1"/>
    <col min="3358" max="3358" width="3.85546875" style="2257" customWidth="1"/>
    <col min="3359" max="3360" width="9" style="2257" hidden="1" customWidth="1"/>
    <col min="3361" max="3584" width="8.85546875" style="2257"/>
    <col min="3585" max="3585" width="2.7109375" style="2257" customWidth="1"/>
    <col min="3586" max="3586" width="3.28515625" style="2257" customWidth="1"/>
    <col min="3587" max="3587" width="3.85546875" style="2257" customWidth="1"/>
    <col min="3588" max="3596" width="4.42578125" style="2257" customWidth="1"/>
    <col min="3597" max="3597" width="9.42578125" style="2257" customWidth="1"/>
    <col min="3598" max="3598" width="4" style="2257" customWidth="1"/>
    <col min="3599" max="3601" width="9" style="2257" hidden="1" customWidth="1"/>
    <col min="3602" max="3602" width="4.42578125" style="2257" customWidth="1"/>
    <col min="3603" max="3603" width="1.42578125" style="2257" customWidth="1"/>
    <col min="3604" max="3604" width="4" style="2257" customWidth="1"/>
    <col min="3605" max="3609" width="4.42578125" style="2257" customWidth="1"/>
    <col min="3610" max="3610" width="3.42578125" style="2257" customWidth="1"/>
    <col min="3611" max="3611" width="5.7109375" style="2257" customWidth="1"/>
    <col min="3612" max="3612" width="21" style="2257" customWidth="1"/>
    <col min="3613" max="3613" width="4.7109375" style="2257" customWidth="1"/>
    <col min="3614" max="3614" width="3.85546875" style="2257" customWidth="1"/>
    <col min="3615" max="3616" width="9" style="2257" hidden="1" customWidth="1"/>
    <col min="3617" max="3840" width="8.85546875" style="2257"/>
    <col min="3841" max="3841" width="2.7109375" style="2257" customWidth="1"/>
    <col min="3842" max="3842" width="3.28515625" style="2257" customWidth="1"/>
    <col min="3843" max="3843" width="3.85546875" style="2257" customWidth="1"/>
    <col min="3844" max="3852" width="4.42578125" style="2257" customWidth="1"/>
    <col min="3853" max="3853" width="9.42578125" style="2257" customWidth="1"/>
    <col min="3854" max="3854" width="4" style="2257" customWidth="1"/>
    <col min="3855" max="3857" width="9" style="2257" hidden="1" customWidth="1"/>
    <col min="3858" max="3858" width="4.42578125" style="2257" customWidth="1"/>
    <col min="3859" max="3859" width="1.42578125" style="2257" customWidth="1"/>
    <col min="3860" max="3860" width="4" style="2257" customWidth="1"/>
    <col min="3861" max="3865" width="4.42578125" style="2257" customWidth="1"/>
    <col min="3866" max="3866" width="3.42578125" style="2257" customWidth="1"/>
    <col min="3867" max="3867" width="5.7109375" style="2257" customWidth="1"/>
    <col min="3868" max="3868" width="21" style="2257" customWidth="1"/>
    <col min="3869" max="3869" width="4.7109375" style="2257" customWidth="1"/>
    <col min="3870" max="3870" width="3.85546875" style="2257" customWidth="1"/>
    <col min="3871" max="3872" width="9" style="2257" hidden="1" customWidth="1"/>
    <col min="3873" max="4096" width="8.85546875" style="2257"/>
    <col min="4097" max="4097" width="2.7109375" style="2257" customWidth="1"/>
    <col min="4098" max="4098" width="3.28515625" style="2257" customWidth="1"/>
    <col min="4099" max="4099" width="3.85546875" style="2257" customWidth="1"/>
    <col min="4100" max="4108" width="4.42578125" style="2257" customWidth="1"/>
    <col min="4109" max="4109" width="9.42578125" style="2257" customWidth="1"/>
    <col min="4110" max="4110" width="4" style="2257" customWidth="1"/>
    <col min="4111" max="4113" width="9" style="2257" hidden="1" customWidth="1"/>
    <col min="4114" max="4114" width="4.42578125" style="2257" customWidth="1"/>
    <col min="4115" max="4115" width="1.42578125" style="2257" customWidth="1"/>
    <col min="4116" max="4116" width="4" style="2257" customWidth="1"/>
    <col min="4117" max="4121" width="4.42578125" style="2257" customWidth="1"/>
    <col min="4122" max="4122" width="3.42578125" style="2257" customWidth="1"/>
    <col min="4123" max="4123" width="5.7109375" style="2257" customWidth="1"/>
    <col min="4124" max="4124" width="21" style="2257" customWidth="1"/>
    <col min="4125" max="4125" width="4.7109375" style="2257" customWidth="1"/>
    <col min="4126" max="4126" width="3.85546875" style="2257" customWidth="1"/>
    <col min="4127" max="4128" width="9" style="2257" hidden="1" customWidth="1"/>
    <col min="4129" max="4352" width="8.85546875" style="2257"/>
    <col min="4353" max="4353" width="2.7109375" style="2257" customWidth="1"/>
    <col min="4354" max="4354" width="3.28515625" style="2257" customWidth="1"/>
    <col min="4355" max="4355" width="3.85546875" style="2257" customWidth="1"/>
    <col min="4356" max="4364" width="4.42578125" style="2257" customWidth="1"/>
    <col min="4365" max="4365" width="9.42578125" style="2257" customWidth="1"/>
    <col min="4366" max="4366" width="4" style="2257" customWidth="1"/>
    <col min="4367" max="4369" width="9" style="2257" hidden="1" customWidth="1"/>
    <col min="4370" max="4370" width="4.42578125" style="2257" customWidth="1"/>
    <col min="4371" max="4371" width="1.42578125" style="2257" customWidth="1"/>
    <col min="4372" max="4372" width="4" style="2257" customWidth="1"/>
    <col min="4373" max="4377" width="4.42578125" style="2257" customWidth="1"/>
    <col min="4378" max="4378" width="3.42578125" style="2257" customWidth="1"/>
    <col min="4379" max="4379" width="5.7109375" style="2257" customWidth="1"/>
    <col min="4380" max="4380" width="21" style="2257" customWidth="1"/>
    <col min="4381" max="4381" width="4.7109375" style="2257" customWidth="1"/>
    <col min="4382" max="4382" width="3.85546875" style="2257" customWidth="1"/>
    <col min="4383" max="4384" width="9" style="2257" hidden="1" customWidth="1"/>
    <col min="4385" max="4608" width="8.85546875" style="2257"/>
    <col min="4609" max="4609" width="2.7109375" style="2257" customWidth="1"/>
    <col min="4610" max="4610" width="3.28515625" style="2257" customWidth="1"/>
    <col min="4611" max="4611" width="3.85546875" style="2257" customWidth="1"/>
    <col min="4612" max="4620" width="4.42578125" style="2257" customWidth="1"/>
    <col min="4621" max="4621" width="9.42578125" style="2257" customWidth="1"/>
    <col min="4622" max="4622" width="4" style="2257" customWidth="1"/>
    <col min="4623" max="4625" width="9" style="2257" hidden="1" customWidth="1"/>
    <col min="4626" max="4626" width="4.42578125" style="2257" customWidth="1"/>
    <col min="4627" max="4627" width="1.42578125" style="2257" customWidth="1"/>
    <col min="4628" max="4628" width="4" style="2257" customWidth="1"/>
    <col min="4629" max="4633" width="4.42578125" style="2257" customWidth="1"/>
    <col min="4634" max="4634" width="3.42578125" style="2257" customWidth="1"/>
    <col min="4635" max="4635" width="5.7109375" style="2257" customWidth="1"/>
    <col min="4636" max="4636" width="21" style="2257" customWidth="1"/>
    <col min="4637" max="4637" width="4.7109375" style="2257" customWidth="1"/>
    <col min="4638" max="4638" width="3.85546875" style="2257" customWidth="1"/>
    <col min="4639" max="4640" width="9" style="2257" hidden="1" customWidth="1"/>
    <col min="4641" max="4864" width="8.85546875" style="2257"/>
    <col min="4865" max="4865" width="2.7109375" style="2257" customWidth="1"/>
    <col min="4866" max="4866" width="3.28515625" style="2257" customWidth="1"/>
    <col min="4867" max="4867" width="3.85546875" style="2257" customWidth="1"/>
    <col min="4868" max="4876" width="4.42578125" style="2257" customWidth="1"/>
    <col min="4877" max="4877" width="9.42578125" style="2257" customWidth="1"/>
    <col min="4878" max="4878" width="4" style="2257" customWidth="1"/>
    <col min="4879" max="4881" width="9" style="2257" hidden="1" customWidth="1"/>
    <col min="4882" max="4882" width="4.42578125" style="2257" customWidth="1"/>
    <col min="4883" max="4883" width="1.42578125" style="2257" customWidth="1"/>
    <col min="4884" max="4884" width="4" style="2257" customWidth="1"/>
    <col min="4885" max="4889" width="4.42578125" style="2257" customWidth="1"/>
    <col min="4890" max="4890" width="3.42578125" style="2257" customWidth="1"/>
    <col min="4891" max="4891" width="5.7109375" style="2257" customWidth="1"/>
    <col min="4892" max="4892" width="21" style="2257" customWidth="1"/>
    <col min="4893" max="4893" width="4.7109375" style="2257" customWidth="1"/>
    <col min="4894" max="4894" width="3.85546875" style="2257" customWidth="1"/>
    <col min="4895" max="4896" width="9" style="2257" hidden="1" customWidth="1"/>
    <col min="4897" max="5120" width="8.85546875" style="2257"/>
    <col min="5121" max="5121" width="2.7109375" style="2257" customWidth="1"/>
    <col min="5122" max="5122" width="3.28515625" style="2257" customWidth="1"/>
    <col min="5123" max="5123" width="3.85546875" style="2257" customWidth="1"/>
    <col min="5124" max="5132" width="4.42578125" style="2257" customWidth="1"/>
    <col min="5133" max="5133" width="9.42578125" style="2257" customWidth="1"/>
    <col min="5134" max="5134" width="4" style="2257" customWidth="1"/>
    <col min="5135" max="5137" width="9" style="2257" hidden="1" customWidth="1"/>
    <col min="5138" max="5138" width="4.42578125" style="2257" customWidth="1"/>
    <col min="5139" max="5139" width="1.42578125" style="2257" customWidth="1"/>
    <col min="5140" max="5140" width="4" style="2257" customWidth="1"/>
    <col min="5141" max="5145" width="4.42578125" style="2257" customWidth="1"/>
    <col min="5146" max="5146" width="3.42578125" style="2257" customWidth="1"/>
    <col min="5147" max="5147" width="5.7109375" style="2257" customWidth="1"/>
    <col min="5148" max="5148" width="21" style="2257" customWidth="1"/>
    <col min="5149" max="5149" width="4.7109375" style="2257" customWidth="1"/>
    <col min="5150" max="5150" width="3.85546875" style="2257" customWidth="1"/>
    <col min="5151" max="5152" width="9" style="2257" hidden="1" customWidth="1"/>
    <col min="5153" max="5376" width="8.85546875" style="2257"/>
    <col min="5377" max="5377" width="2.7109375" style="2257" customWidth="1"/>
    <col min="5378" max="5378" width="3.28515625" style="2257" customWidth="1"/>
    <col min="5379" max="5379" width="3.85546875" style="2257" customWidth="1"/>
    <col min="5380" max="5388" width="4.42578125" style="2257" customWidth="1"/>
    <col min="5389" max="5389" width="9.42578125" style="2257" customWidth="1"/>
    <col min="5390" max="5390" width="4" style="2257" customWidth="1"/>
    <col min="5391" max="5393" width="9" style="2257" hidden="1" customWidth="1"/>
    <col min="5394" max="5394" width="4.42578125" style="2257" customWidth="1"/>
    <col min="5395" max="5395" width="1.42578125" style="2257" customWidth="1"/>
    <col min="5396" max="5396" width="4" style="2257" customWidth="1"/>
    <col min="5397" max="5401" width="4.42578125" style="2257" customWidth="1"/>
    <col min="5402" max="5402" width="3.42578125" style="2257" customWidth="1"/>
    <col min="5403" max="5403" width="5.7109375" style="2257" customWidth="1"/>
    <col min="5404" max="5404" width="21" style="2257" customWidth="1"/>
    <col min="5405" max="5405" width="4.7109375" style="2257" customWidth="1"/>
    <col min="5406" max="5406" width="3.85546875" style="2257" customWidth="1"/>
    <col min="5407" max="5408" width="9" style="2257" hidden="1" customWidth="1"/>
    <col min="5409" max="5632" width="8.85546875" style="2257"/>
    <col min="5633" max="5633" width="2.7109375" style="2257" customWidth="1"/>
    <col min="5634" max="5634" width="3.28515625" style="2257" customWidth="1"/>
    <col min="5635" max="5635" width="3.85546875" style="2257" customWidth="1"/>
    <col min="5636" max="5644" width="4.42578125" style="2257" customWidth="1"/>
    <col min="5645" max="5645" width="9.42578125" style="2257" customWidth="1"/>
    <col min="5646" max="5646" width="4" style="2257" customWidth="1"/>
    <col min="5647" max="5649" width="9" style="2257" hidden="1" customWidth="1"/>
    <col min="5650" max="5650" width="4.42578125" style="2257" customWidth="1"/>
    <col min="5651" max="5651" width="1.42578125" style="2257" customWidth="1"/>
    <col min="5652" max="5652" width="4" style="2257" customWidth="1"/>
    <col min="5653" max="5657" width="4.42578125" style="2257" customWidth="1"/>
    <col min="5658" max="5658" width="3.42578125" style="2257" customWidth="1"/>
    <col min="5659" max="5659" width="5.7109375" style="2257" customWidth="1"/>
    <col min="5660" max="5660" width="21" style="2257" customWidth="1"/>
    <col min="5661" max="5661" width="4.7109375" style="2257" customWidth="1"/>
    <col min="5662" max="5662" width="3.85546875" style="2257" customWidth="1"/>
    <col min="5663" max="5664" width="9" style="2257" hidden="1" customWidth="1"/>
    <col min="5665" max="5888" width="8.85546875" style="2257"/>
    <col min="5889" max="5889" width="2.7109375" style="2257" customWidth="1"/>
    <col min="5890" max="5890" width="3.28515625" style="2257" customWidth="1"/>
    <col min="5891" max="5891" width="3.85546875" style="2257" customWidth="1"/>
    <col min="5892" max="5900" width="4.42578125" style="2257" customWidth="1"/>
    <col min="5901" max="5901" width="9.42578125" style="2257" customWidth="1"/>
    <col min="5902" max="5902" width="4" style="2257" customWidth="1"/>
    <col min="5903" max="5905" width="9" style="2257" hidden="1" customWidth="1"/>
    <col min="5906" max="5906" width="4.42578125" style="2257" customWidth="1"/>
    <col min="5907" max="5907" width="1.42578125" style="2257" customWidth="1"/>
    <col min="5908" max="5908" width="4" style="2257" customWidth="1"/>
    <col min="5909" max="5913" width="4.42578125" style="2257" customWidth="1"/>
    <col min="5914" max="5914" width="3.42578125" style="2257" customWidth="1"/>
    <col min="5915" max="5915" width="5.7109375" style="2257" customWidth="1"/>
    <col min="5916" max="5916" width="21" style="2257" customWidth="1"/>
    <col min="5917" max="5917" width="4.7109375" style="2257" customWidth="1"/>
    <col min="5918" max="5918" width="3.85546875" style="2257" customWidth="1"/>
    <col min="5919" max="5920" width="9" style="2257" hidden="1" customWidth="1"/>
    <col min="5921" max="6144" width="8.85546875" style="2257"/>
    <col min="6145" max="6145" width="2.7109375" style="2257" customWidth="1"/>
    <col min="6146" max="6146" width="3.28515625" style="2257" customWidth="1"/>
    <col min="6147" max="6147" width="3.85546875" style="2257" customWidth="1"/>
    <col min="6148" max="6156" width="4.42578125" style="2257" customWidth="1"/>
    <col min="6157" max="6157" width="9.42578125" style="2257" customWidth="1"/>
    <col min="6158" max="6158" width="4" style="2257" customWidth="1"/>
    <col min="6159" max="6161" width="9" style="2257" hidden="1" customWidth="1"/>
    <col min="6162" max="6162" width="4.42578125" style="2257" customWidth="1"/>
    <col min="6163" max="6163" width="1.42578125" style="2257" customWidth="1"/>
    <col min="6164" max="6164" width="4" style="2257" customWidth="1"/>
    <col min="6165" max="6169" width="4.42578125" style="2257" customWidth="1"/>
    <col min="6170" max="6170" width="3.42578125" style="2257" customWidth="1"/>
    <col min="6171" max="6171" width="5.7109375" style="2257" customWidth="1"/>
    <col min="6172" max="6172" width="21" style="2257" customWidth="1"/>
    <col min="6173" max="6173" width="4.7109375" style="2257" customWidth="1"/>
    <col min="6174" max="6174" width="3.85546875" style="2257" customWidth="1"/>
    <col min="6175" max="6176" width="9" style="2257" hidden="1" customWidth="1"/>
    <col min="6177" max="6400" width="8.85546875" style="2257"/>
    <col min="6401" max="6401" width="2.7109375" style="2257" customWidth="1"/>
    <col min="6402" max="6402" width="3.28515625" style="2257" customWidth="1"/>
    <col min="6403" max="6403" width="3.85546875" style="2257" customWidth="1"/>
    <col min="6404" max="6412" width="4.42578125" style="2257" customWidth="1"/>
    <col min="6413" max="6413" width="9.42578125" style="2257" customWidth="1"/>
    <col min="6414" max="6414" width="4" style="2257" customWidth="1"/>
    <col min="6415" max="6417" width="9" style="2257" hidden="1" customWidth="1"/>
    <col min="6418" max="6418" width="4.42578125" style="2257" customWidth="1"/>
    <col min="6419" max="6419" width="1.42578125" style="2257" customWidth="1"/>
    <col min="6420" max="6420" width="4" style="2257" customWidth="1"/>
    <col min="6421" max="6425" width="4.42578125" style="2257" customWidth="1"/>
    <col min="6426" max="6426" width="3.42578125" style="2257" customWidth="1"/>
    <col min="6427" max="6427" width="5.7109375" style="2257" customWidth="1"/>
    <col min="6428" max="6428" width="21" style="2257" customWidth="1"/>
    <col min="6429" max="6429" width="4.7109375" style="2257" customWidth="1"/>
    <col min="6430" max="6430" width="3.85546875" style="2257" customWidth="1"/>
    <col min="6431" max="6432" width="9" style="2257" hidden="1" customWidth="1"/>
    <col min="6433" max="6656" width="8.85546875" style="2257"/>
    <col min="6657" max="6657" width="2.7109375" style="2257" customWidth="1"/>
    <col min="6658" max="6658" width="3.28515625" style="2257" customWidth="1"/>
    <col min="6659" max="6659" width="3.85546875" style="2257" customWidth="1"/>
    <col min="6660" max="6668" width="4.42578125" style="2257" customWidth="1"/>
    <col min="6669" max="6669" width="9.42578125" style="2257" customWidth="1"/>
    <col min="6670" max="6670" width="4" style="2257" customWidth="1"/>
    <col min="6671" max="6673" width="9" style="2257" hidden="1" customWidth="1"/>
    <col min="6674" max="6674" width="4.42578125" style="2257" customWidth="1"/>
    <col min="6675" max="6675" width="1.42578125" style="2257" customWidth="1"/>
    <col min="6676" max="6676" width="4" style="2257" customWidth="1"/>
    <col min="6677" max="6681" width="4.42578125" style="2257" customWidth="1"/>
    <col min="6682" max="6682" width="3.42578125" style="2257" customWidth="1"/>
    <col min="6683" max="6683" width="5.7109375" style="2257" customWidth="1"/>
    <col min="6684" max="6684" width="21" style="2257" customWidth="1"/>
    <col min="6685" max="6685" width="4.7109375" style="2257" customWidth="1"/>
    <col min="6686" max="6686" width="3.85546875" style="2257" customWidth="1"/>
    <col min="6687" max="6688" width="9" style="2257" hidden="1" customWidth="1"/>
    <col min="6689" max="6912" width="8.85546875" style="2257"/>
    <col min="6913" max="6913" width="2.7109375" style="2257" customWidth="1"/>
    <col min="6914" max="6914" width="3.28515625" style="2257" customWidth="1"/>
    <col min="6915" max="6915" width="3.85546875" style="2257" customWidth="1"/>
    <col min="6916" max="6924" width="4.42578125" style="2257" customWidth="1"/>
    <col min="6925" max="6925" width="9.42578125" style="2257" customWidth="1"/>
    <col min="6926" max="6926" width="4" style="2257" customWidth="1"/>
    <col min="6927" max="6929" width="9" style="2257" hidden="1" customWidth="1"/>
    <col min="6930" max="6930" width="4.42578125" style="2257" customWidth="1"/>
    <col min="6931" max="6931" width="1.42578125" style="2257" customWidth="1"/>
    <col min="6932" max="6932" width="4" style="2257" customWidth="1"/>
    <col min="6933" max="6937" width="4.42578125" style="2257" customWidth="1"/>
    <col min="6938" max="6938" width="3.42578125" style="2257" customWidth="1"/>
    <col min="6939" max="6939" width="5.7109375" style="2257" customWidth="1"/>
    <col min="6940" max="6940" width="21" style="2257" customWidth="1"/>
    <col min="6941" max="6941" width="4.7109375" style="2257" customWidth="1"/>
    <col min="6942" max="6942" width="3.85546875" style="2257" customWidth="1"/>
    <col min="6943" max="6944" width="9" style="2257" hidden="1" customWidth="1"/>
    <col min="6945" max="7168" width="8.85546875" style="2257"/>
    <col min="7169" max="7169" width="2.7109375" style="2257" customWidth="1"/>
    <col min="7170" max="7170" width="3.28515625" style="2257" customWidth="1"/>
    <col min="7171" max="7171" width="3.85546875" style="2257" customWidth="1"/>
    <col min="7172" max="7180" width="4.42578125" style="2257" customWidth="1"/>
    <col min="7181" max="7181" width="9.42578125" style="2257" customWidth="1"/>
    <col min="7182" max="7182" width="4" style="2257" customWidth="1"/>
    <col min="7183" max="7185" width="9" style="2257" hidden="1" customWidth="1"/>
    <col min="7186" max="7186" width="4.42578125" style="2257" customWidth="1"/>
    <col min="7187" max="7187" width="1.42578125" style="2257" customWidth="1"/>
    <col min="7188" max="7188" width="4" style="2257" customWidth="1"/>
    <col min="7189" max="7193" width="4.42578125" style="2257" customWidth="1"/>
    <col min="7194" max="7194" width="3.42578125" style="2257" customWidth="1"/>
    <col min="7195" max="7195" width="5.7109375" style="2257" customWidth="1"/>
    <col min="7196" max="7196" width="21" style="2257" customWidth="1"/>
    <col min="7197" max="7197" width="4.7109375" style="2257" customWidth="1"/>
    <col min="7198" max="7198" width="3.85546875" style="2257" customWidth="1"/>
    <col min="7199" max="7200" width="9" style="2257" hidden="1" customWidth="1"/>
    <col min="7201" max="7424" width="8.85546875" style="2257"/>
    <col min="7425" max="7425" width="2.7109375" style="2257" customWidth="1"/>
    <col min="7426" max="7426" width="3.28515625" style="2257" customWidth="1"/>
    <col min="7427" max="7427" width="3.85546875" style="2257" customWidth="1"/>
    <col min="7428" max="7436" width="4.42578125" style="2257" customWidth="1"/>
    <col min="7437" max="7437" width="9.42578125" style="2257" customWidth="1"/>
    <col min="7438" max="7438" width="4" style="2257" customWidth="1"/>
    <col min="7439" max="7441" width="9" style="2257" hidden="1" customWidth="1"/>
    <col min="7442" max="7442" width="4.42578125" style="2257" customWidth="1"/>
    <col min="7443" max="7443" width="1.42578125" style="2257" customWidth="1"/>
    <col min="7444" max="7444" width="4" style="2257" customWidth="1"/>
    <col min="7445" max="7449" width="4.42578125" style="2257" customWidth="1"/>
    <col min="7450" max="7450" width="3.42578125" style="2257" customWidth="1"/>
    <col min="7451" max="7451" width="5.7109375" style="2257" customWidth="1"/>
    <col min="7452" max="7452" width="21" style="2257" customWidth="1"/>
    <col min="7453" max="7453" width="4.7109375" style="2257" customWidth="1"/>
    <col min="7454" max="7454" width="3.85546875" style="2257" customWidth="1"/>
    <col min="7455" max="7456" width="9" style="2257" hidden="1" customWidth="1"/>
    <col min="7457" max="7680" width="8.85546875" style="2257"/>
    <col min="7681" max="7681" width="2.7109375" style="2257" customWidth="1"/>
    <col min="7682" max="7682" width="3.28515625" style="2257" customWidth="1"/>
    <col min="7683" max="7683" width="3.85546875" style="2257" customWidth="1"/>
    <col min="7684" max="7692" width="4.42578125" style="2257" customWidth="1"/>
    <col min="7693" max="7693" width="9.42578125" style="2257" customWidth="1"/>
    <col min="7694" max="7694" width="4" style="2257" customWidth="1"/>
    <col min="7695" max="7697" width="9" style="2257" hidden="1" customWidth="1"/>
    <col min="7698" max="7698" width="4.42578125" style="2257" customWidth="1"/>
    <col min="7699" max="7699" width="1.42578125" style="2257" customWidth="1"/>
    <col min="7700" max="7700" width="4" style="2257" customWidth="1"/>
    <col min="7701" max="7705" width="4.42578125" style="2257" customWidth="1"/>
    <col min="7706" max="7706" width="3.42578125" style="2257" customWidth="1"/>
    <col min="7707" max="7707" width="5.7109375" style="2257" customWidth="1"/>
    <col min="7708" max="7708" width="21" style="2257" customWidth="1"/>
    <col min="7709" max="7709" width="4.7109375" style="2257" customWidth="1"/>
    <col min="7710" max="7710" width="3.85546875" style="2257" customWidth="1"/>
    <col min="7711" max="7712" width="9" style="2257" hidden="1" customWidth="1"/>
    <col min="7713" max="7936" width="8.85546875" style="2257"/>
    <col min="7937" max="7937" width="2.7109375" style="2257" customWidth="1"/>
    <col min="7938" max="7938" width="3.28515625" style="2257" customWidth="1"/>
    <col min="7939" max="7939" width="3.85546875" style="2257" customWidth="1"/>
    <col min="7940" max="7948" width="4.42578125" style="2257" customWidth="1"/>
    <col min="7949" max="7949" width="9.42578125" style="2257" customWidth="1"/>
    <col min="7950" max="7950" width="4" style="2257" customWidth="1"/>
    <col min="7951" max="7953" width="9" style="2257" hidden="1" customWidth="1"/>
    <col min="7954" max="7954" width="4.42578125" style="2257" customWidth="1"/>
    <col min="7955" max="7955" width="1.42578125" style="2257" customWidth="1"/>
    <col min="7956" max="7956" width="4" style="2257" customWidth="1"/>
    <col min="7957" max="7961" width="4.42578125" style="2257" customWidth="1"/>
    <col min="7962" max="7962" width="3.42578125" style="2257" customWidth="1"/>
    <col min="7963" max="7963" width="5.7109375" style="2257" customWidth="1"/>
    <col min="7964" max="7964" width="21" style="2257" customWidth="1"/>
    <col min="7965" max="7965" width="4.7109375" style="2257" customWidth="1"/>
    <col min="7966" max="7966" width="3.85546875" style="2257" customWidth="1"/>
    <col min="7967" max="7968" width="9" style="2257" hidden="1" customWidth="1"/>
    <col min="7969" max="8192" width="8.85546875" style="2257"/>
    <col min="8193" max="8193" width="2.7109375" style="2257" customWidth="1"/>
    <col min="8194" max="8194" width="3.28515625" style="2257" customWidth="1"/>
    <col min="8195" max="8195" width="3.85546875" style="2257" customWidth="1"/>
    <col min="8196" max="8204" width="4.42578125" style="2257" customWidth="1"/>
    <col min="8205" max="8205" width="9.42578125" style="2257" customWidth="1"/>
    <col min="8206" max="8206" width="4" style="2257" customWidth="1"/>
    <col min="8207" max="8209" width="9" style="2257" hidden="1" customWidth="1"/>
    <col min="8210" max="8210" width="4.42578125" style="2257" customWidth="1"/>
    <col min="8211" max="8211" width="1.42578125" style="2257" customWidth="1"/>
    <col min="8212" max="8212" width="4" style="2257" customWidth="1"/>
    <col min="8213" max="8217" width="4.42578125" style="2257" customWidth="1"/>
    <col min="8218" max="8218" width="3.42578125" style="2257" customWidth="1"/>
    <col min="8219" max="8219" width="5.7109375" style="2257" customWidth="1"/>
    <col min="8220" max="8220" width="21" style="2257" customWidth="1"/>
    <col min="8221" max="8221" width="4.7109375" style="2257" customWidth="1"/>
    <col min="8222" max="8222" width="3.85546875" style="2257" customWidth="1"/>
    <col min="8223" max="8224" width="9" style="2257" hidden="1" customWidth="1"/>
    <col min="8225" max="8448" width="8.85546875" style="2257"/>
    <col min="8449" max="8449" width="2.7109375" style="2257" customWidth="1"/>
    <col min="8450" max="8450" width="3.28515625" style="2257" customWidth="1"/>
    <col min="8451" max="8451" width="3.85546875" style="2257" customWidth="1"/>
    <col min="8452" max="8460" width="4.42578125" style="2257" customWidth="1"/>
    <col min="8461" max="8461" width="9.42578125" style="2257" customWidth="1"/>
    <col min="8462" max="8462" width="4" style="2257" customWidth="1"/>
    <col min="8463" max="8465" width="9" style="2257" hidden="1" customWidth="1"/>
    <col min="8466" max="8466" width="4.42578125" style="2257" customWidth="1"/>
    <col min="8467" max="8467" width="1.42578125" style="2257" customWidth="1"/>
    <col min="8468" max="8468" width="4" style="2257" customWidth="1"/>
    <col min="8469" max="8473" width="4.42578125" style="2257" customWidth="1"/>
    <col min="8474" max="8474" width="3.42578125" style="2257" customWidth="1"/>
    <col min="8475" max="8475" width="5.7109375" style="2257" customWidth="1"/>
    <col min="8476" max="8476" width="21" style="2257" customWidth="1"/>
    <col min="8477" max="8477" width="4.7109375" style="2257" customWidth="1"/>
    <col min="8478" max="8478" width="3.85546875" style="2257" customWidth="1"/>
    <col min="8479" max="8480" width="9" style="2257" hidden="1" customWidth="1"/>
    <col min="8481" max="8704" width="8.85546875" style="2257"/>
    <col min="8705" max="8705" width="2.7109375" style="2257" customWidth="1"/>
    <col min="8706" max="8706" width="3.28515625" style="2257" customWidth="1"/>
    <col min="8707" max="8707" width="3.85546875" style="2257" customWidth="1"/>
    <col min="8708" max="8716" width="4.42578125" style="2257" customWidth="1"/>
    <col min="8717" max="8717" width="9.42578125" style="2257" customWidth="1"/>
    <col min="8718" max="8718" width="4" style="2257" customWidth="1"/>
    <col min="8719" max="8721" width="9" style="2257" hidden="1" customWidth="1"/>
    <col min="8722" max="8722" width="4.42578125" style="2257" customWidth="1"/>
    <col min="8723" max="8723" width="1.42578125" style="2257" customWidth="1"/>
    <col min="8724" max="8724" width="4" style="2257" customWidth="1"/>
    <col min="8725" max="8729" width="4.42578125" style="2257" customWidth="1"/>
    <col min="8730" max="8730" width="3.42578125" style="2257" customWidth="1"/>
    <col min="8731" max="8731" width="5.7109375" style="2257" customWidth="1"/>
    <col min="8732" max="8732" width="21" style="2257" customWidth="1"/>
    <col min="8733" max="8733" width="4.7109375" style="2257" customWidth="1"/>
    <col min="8734" max="8734" width="3.85546875" style="2257" customWidth="1"/>
    <col min="8735" max="8736" width="9" style="2257" hidden="1" customWidth="1"/>
    <col min="8737" max="8960" width="8.85546875" style="2257"/>
    <col min="8961" max="8961" width="2.7109375" style="2257" customWidth="1"/>
    <col min="8962" max="8962" width="3.28515625" style="2257" customWidth="1"/>
    <col min="8963" max="8963" width="3.85546875" style="2257" customWidth="1"/>
    <col min="8964" max="8972" width="4.42578125" style="2257" customWidth="1"/>
    <col min="8973" max="8973" width="9.42578125" style="2257" customWidth="1"/>
    <col min="8974" max="8974" width="4" style="2257" customWidth="1"/>
    <col min="8975" max="8977" width="9" style="2257" hidden="1" customWidth="1"/>
    <col min="8978" max="8978" width="4.42578125" style="2257" customWidth="1"/>
    <col min="8979" max="8979" width="1.42578125" style="2257" customWidth="1"/>
    <col min="8980" max="8980" width="4" style="2257" customWidth="1"/>
    <col min="8981" max="8985" width="4.42578125" style="2257" customWidth="1"/>
    <col min="8986" max="8986" width="3.42578125" style="2257" customWidth="1"/>
    <col min="8987" max="8987" width="5.7109375" style="2257" customWidth="1"/>
    <col min="8988" max="8988" width="21" style="2257" customWidth="1"/>
    <col min="8989" max="8989" width="4.7109375" style="2257" customWidth="1"/>
    <col min="8990" max="8990" width="3.85546875" style="2257" customWidth="1"/>
    <col min="8991" max="8992" width="9" style="2257" hidden="1" customWidth="1"/>
    <col min="8993" max="9216" width="8.85546875" style="2257"/>
    <col min="9217" max="9217" width="2.7109375" style="2257" customWidth="1"/>
    <col min="9218" max="9218" width="3.28515625" style="2257" customWidth="1"/>
    <col min="9219" max="9219" width="3.85546875" style="2257" customWidth="1"/>
    <col min="9220" max="9228" width="4.42578125" style="2257" customWidth="1"/>
    <col min="9229" max="9229" width="9.42578125" style="2257" customWidth="1"/>
    <col min="9230" max="9230" width="4" style="2257" customWidth="1"/>
    <col min="9231" max="9233" width="9" style="2257" hidden="1" customWidth="1"/>
    <col min="9234" max="9234" width="4.42578125" style="2257" customWidth="1"/>
    <col min="9235" max="9235" width="1.42578125" style="2257" customWidth="1"/>
    <col min="9236" max="9236" width="4" style="2257" customWidth="1"/>
    <col min="9237" max="9241" width="4.42578125" style="2257" customWidth="1"/>
    <col min="9242" max="9242" width="3.42578125" style="2257" customWidth="1"/>
    <col min="9243" max="9243" width="5.7109375" style="2257" customWidth="1"/>
    <col min="9244" max="9244" width="21" style="2257" customWidth="1"/>
    <col min="9245" max="9245" width="4.7109375" style="2257" customWidth="1"/>
    <col min="9246" max="9246" width="3.85546875" style="2257" customWidth="1"/>
    <col min="9247" max="9248" width="9" style="2257" hidden="1" customWidth="1"/>
    <col min="9249" max="9472" width="8.85546875" style="2257"/>
    <col min="9473" max="9473" width="2.7109375" style="2257" customWidth="1"/>
    <col min="9474" max="9474" width="3.28515625" style="2257" customWidth="1"/>
    <col min="9475" max="9475" width="3.85546875" style="2257" customWidth="1"/>
    <col min="9476" max="9484" width="4.42578125" style="2257" customWidth="1"/>
    <col min="9485" max="9485" width="9.42578125" style="2257" customWidth="1"/>
    <col min="9486" max="9486" width="4" style="2257" customWidth="1"/>
    <col min="9487" max="9489" width="9" style="2257" hidden="1" customWidth="1"/>
    <col min="9490" max="9490" width="4.42578125" style="2257" customWidth="1"/>
    <col min="9491" max="9491" width="1.42578125" style="2257" customWidth="1"/>
    <col min="9492" max="9492" width="4" style="2257" customWidth="1"/>
    <col min="9493" max="9497" width="4.42578125" style="2257" customWidth="1"/>
    <col min="9498" max="9498" width="3.42578125" style="2257" customWidth="1"/>
    <col min="9499" max="9499" width="5.7109375" style="2257" customWidth="1"/>
    <col min="9500" max="9500" width="21" style="2257" customWidth="1"/>
    <col min="9501" max="9501" width="4.7109375" style="2257" customWidth="1"/>
    <col min="9502" max="9502" width="3.85546875" style="2257" customWidth="1"/>
    <col min="9503" max="9504" width="9" style="2257" hidden="1" customWidth="1"/>
    <col min="9505" max="9728" width="8.85546875" style="2257"/>
    <col min="9729" max="9729" width="2.7109375" style="2257" customWidth="1"/>
    <col min="9730" max="9730" width="3.28515625" style="2257" customWidth="1"/>
    <col min="9731" max="9731" width="3.85546875" style="2257" customWidth="1"/>
    <col min="9732" max="9740" width="4.42578125" style="2257" customWidth="1"/>
    <col min="9741" max="9741" width="9.42578125" style="2257" customWidth="1"/>
    <col min="9742" max="9742" width="4" style="2257" customWidth="1"/>
    <col min="9743" max="9745" width="9" style="2257" hidden="1" customWidth="1"/>
    <col min="9746" max="9746" width="4.42578125" style="2257" customWidth="1"/>
    <col min="9747" max="9747" width="1.42578125" style="2257" customWidth="1"/>
    <col min="9748" max="9748" width="4" style="2257" customWidth="1"/>
    <col min="9749" max="9753" width="4.42578125" style="2257" customWidth="1"/>
    <col min="9754" max="9754" width="3.42578125" style="2257" customWidth="1"/>
    <col min="9755" max="9755" width="5.7109375" style="2257" customWidth="1"/>
    <col min="9756" max="9756" width="21" style="2257" customWidth="1"/>
    <col min="9757" max="9757" width="4.7109375" style="2257" customWidth="1"/>
    <col min="9758" max="9758" width="3.85546875" style="2257" customWidth="1"/>
    <col min="9759" max="9760" width="9" style="2257" hidden="1" customWidth="1"/>
    <col min="9761" max="9984" width="8.85546875" style="2257"/>
    <col min="9985" max="9985" width="2.7109375" style="2257" customWidth="1"/>
    <col min="9986" max="9986" width="3.28515625" style="2257" customWidth="1"/>
    <col min="9987" max="9987" width="3.85546875" style="2257" customWidth="1"/>
    <col min="9988" max="9996" width="4.42578125" style="2257" customWidth="1"/>
    <col min="9997" max="9997" width="9.42578125" style="2257" customWidth="1"/>
    <col min="9998" max="9998" width="4" style="2257" customWidth="1"/>
    <col min="9999" max="10001" width="9" style="2257" hidden="1" customWidth="1"/>
    <col min="10002" max="10002" width="4.42578125" style="2257" customWidth="1"/>
    <col min="10003" max="10003" width="1.42578125" style="2257" customWidth="1"/>
    <col min="10004" max="10004" width="4" style="2257" customWidth="1"/>
    <col min="10005" max="10009" width="4.42578125" style="2257" customWidth="1"/>
    <col min="10010" max="10010" width="3.42578125" style="2257" customWidth="1"/>
    <col min="10011" max="10011" width="5.7109375" style="2257" customWidth="1"/>
    <col min="10012" max="10012" width="21" style="2257" customWidth="1"/>
    <col min="10013" max="10013" width="4.7109375" style="2257" customWidth="1"/>
    <col min="10014" max="10014" width="3.85546875" style="2257" customWidth="1"/>
    <col min="10015" max="10016" width="9" style="2257" hidden="1" customWidth="1"/>
    <col min="10017" max="10240" width="8.85546875" style="2257"/>
    <col min="10241" max="10241" width="2.7109375" style="2257" customWidth="1"/>
    <col min="10242" max="10242" width="3.28515625" style="2257" customWidth="1"/>
    <col min="10243" max="10243" width="3.85546875" style="2257" customWidth="1"/>
    <col min="10244" max="10252" width="4.42578125" style="2257" customWidth="1"/>
    <col min="10253" max="10253" width="9.42578125" style="2257" customWidth="1"/>
    <col min="10254" max="10254" width="4" style="2257" customWidth="1"/>
    <col min="10255" max="10257" width="9" style="2257" hidden="1" customWidth="1"/>
    <col min="10258" max="10258" width="4.42578125" style="2257" customWidth="1"/>
    <col min="10259" max="10259" width="1.42578125" style="2257" customWidth="1"/>
    <col min="10260" max="10260" width="4" style="2257" customWidth="1"/>
    <col min="10261" max="10265" width="4.42578125" style="2257" customWidth="1"/>
    <col min="10266" max="10266" width="3.42578125" style="2257" customWidth="1"/>
    <col min="10267" max="10267" width="5.7109375" style="2257" customWidth="1"/>
    <col min="10268" max="10268" width="21" style="2257" customWidth="1"/>
    <col min="10269" max="10269" width="4.7109375" style="2257" customWidth="1"/>
    <col min="10270" max="10270" width="3.85546875" style="2257" customWidth="1"/>
    <col min="10271" max="10272" width="9" style="2257" hidden="1" customWidth="1"/>
    <col min="10273" max="10496" width="8.85546875" style="2257"/>
    <col min="10497" max="10497" width="2.7109375" style="2257" customWidth="1"/>
    <col min="10498" max="10498" width="3.28515625" style="2257" customWidth="1"/>
    <col min="10499" max="10499" width="3.85546875" style="2257" customWidth="1"/>
    <col min="10500" max="10508" width="4.42578125" style="2257" customWidth="1"/>
    <col min="10509" max="10509" width="9.42578125" style="2257" customWidth="1"/>
    <col min="10510" max="10510" width="4" style="2257" customWidth="1"/>
    <col min="10511" max="10513" width="9" style="2257" hidden="1" customWidth="1"/>
    <col min="10514" max="10514" width="4.42578125" style="2257" customWidth="1"/>
    <col min="10515" max="10515" width="1.42578125" style="2257" customWidth="1"/>
    <col min="10516" max="10516" width="4" style="2257" customWidth="1"/>
    <col min="10517" max="10521" width="4.42578125" style="2257" customWidth="1"/>
    <col min="10522" max="10522" width="3.42578125" style="2257" customWidth="1"/>
    <col min="10523" max="10523" width="5.7109375" style="2257" customWidth="1"/>
    <col min="10524" max="10524" width="21" style="2257" customWidth="1"/>
    <col min="10525" max="10525" width="4.7109375" style="2257" customWidth="1"/>
    <col min="10526" max="10526" width="3.85546875" style="2257" customWidth="1"/>
    <col min="10527" max="10528" width="9" style="2257" hidden="1" customWidth="1"/>
    <col min="10529" max="10752" width="8.85546875" style="2257"/>
    <col min="10753" max="10753" width="2.7109375" style="2257" customWidth="1"/>
    <col min="10754" max="10754" width="3.28515625" style="2257" customWidth="1"/>
    <col min="10755" max="10755" width="3.85546875" style="2257" customWidth="1"/>
    <col min="10756" max="10764" width="4.42578125" style="2257" customWidth="1"/>
    <col min="10765" max="10765" width="9.42578125" style="2257" customWidth="1"/>
    <col min="10766" max="10766" width="4" style="2257" customWidth="1"/>
    <col min="10767" max="10769" width="9" style="2257" hidden="1" customWidth="1"/>
    <col min="10770" max="10770" width="4.42578125" style="2257" customWidth="1"/>
    <col min="10771" max="10771" width="1.42578125" style="2257" customWidth="1"/>
    <col min="10772" max="10772" width="4" style="2257" customWidth="1"/>
    <col min="10773" max="10777" width="4.42578125" style="2257" customWidth="1"/>
    <col min="10778" max="10778" width="3.42578125" style="2257" customWidth="1"/>
    <col min="10779" max="10779" width="5.7109375" style="2257" customWidth="1"/>
    <col min="10780" max="10780" width="21" style="2257" customWidth="1"/>
    <col min="10781" max="10781" width="4.7109375" style="2257" customWidth="1"/>
    <col min="10782" max="10782" width="3.85546875" style="2257" customWidth="1"/>
    <col min="10783" max="10784" width="9" style="2257" hidden="1" customWidth="1"/>
    <col min="10785" max="11008" width="8.85546875" style="2257"/>
    <col min="11009" max="11009" width="2.7109375" style="2257" customWidth="1"/>
    <col min="11010" max="11010" width="3.28515625" style="2257" customWidth="1"/>
    <col min="11011" max="11011" width="3.85546875" style="2257" customWidth="1"/>
    <col min="11012" max="11020" width="4.42578125" style="2257" customWidth="1"/>
    <col min="11021" max="11021" width="9.42578125" style="2257" customWidth="1"/>
    <col min="11022" max="11022" width="4" style="2257" customWidth="1"/>
    <col min="11023" max="11025" width="9" style="2257" hidden="1" customWidth="1"/>
    <col min="11026" max="11026" width="4.42578125" style="2257" customWidth="1"/>
    <col min="11027" max="11027" width="1.42578125" style="2257" customWidth="1"/>
    <col min="11028" max="11028" width="4" style="2257" customWidth="1"/>
    <col min="11029" max="11033" width="4.42578125" style="2257" customWidth="1"/>
    <col min="11034" max="11034" width="3.42578125" style="2257" customWidth="1"/>
    <col min="11035" max="11035" width="5.7109375" style="2257" customWidth="1"/>
    <col min="11036" max="11036" width="21" style="2257" customWidth="1"/>
    <col min="11037" max="11037" width="4.7109375" style="2257" customWidth="1"/>
    <col min="11038" max="11038" width="3.85546875" style="2257" customWidth="1"/>
    <col min="11039" max="11040" width="9" style="2257" hidden="1" customWidth="1"/>
    <col min="11041" max="11264" width="8.85546875" style="2257"/>
    <col min="11265" max="11265" width="2.7109375" style="2257" customWidth="1"/>
    <col min="11266" max="11266" width="3.28515625" style="2257" customWidth="1"/>
    <col min="11267" max="11267" width="3.85546875" style="2257" customWidth="1"/>
    <col min="11268" max="11276" width="4.42578125" style="2257" customWidth="1"/>
    <col min="11277" max="11277" width="9.42578125" style="2257" customWidth="1"/>
    <col min="11278" max="11278" width="4" style="2257" customWidth="1"/>
    <col min="11279" max="11281" width="9" style="2257" hidden="1" customWidth="1"/>
    <col min="11282" max="11282" width="4.42578125" style="2257" customWidth="1"/>
    <col min="11283" max="11283" width="1.42578125" style="2257" customWidth="1"/>
    <col min="11284" max="11284" width="4" style="2257" customWidth="1"/>
    <col min="11285" max="11289" width="4.42578125" style="2257" customWidth="1"/>
    <col min="11290" max="11290" width="3.42578125" style="2257" customWidth="1"/>
    <col min="11291" max="11291" width="5.7109375" style="2257" customWidth="1"/>
    <col min="11292" max="11292" width="21" style="2257" customWidth="1"/>
    <col min="11293" max="11293" width="4.7109375" style="2257" customWidth="1"/>
    <col min="11294" max="11294" width="3.85546875" style="2257" customWidth="1"/>
    <col min="11295" max="11296" width="9" style="2257" hidden="1" customWidth="1"/>
    <col min="11297" max="11520" width="8.85546875" style="2257"/>
    <col min="11521" max="11521" width="2.7109375" style="2257" customWidth="1"/>
    <col min="11522" max="11522" width="3.28515625" style="2257" customWidth="1"/>
    <col min="11523" max="11523" width="3.85546875" style="2257" customWidth="1"/>
    <col min="11524" max="11532" width="4.42578125" style="2257" customWidth="1"/>
    <col min="11533" max="11533" width="9.42578125" style="2257" customWidth="1"/>
    <col min="11534" max="11534" width="4" style="2257" customWidth="1"/>
    <col min="11535" max="11537" width="9" style="2257" hidden="1" customWidth="1"/>
    <col min="11538" max="11538" width="4.42578125" style="2257" customWidth="1"/>
    <col min="11539" max="11539" width="1.42578125" style="2257" customWidth="1"/>
    <col min="11540" max="11540" width="4" style="2257" customWidth="1"/>
    <col min="11541" max="11545" width="4.42578125" style="2257" customWidth="1"/>
    <col min="11546" max="11546" width="3.42578125" style="2257" customWidth="1"/>
    <col min="11547" max="11547" width="5.7109375" style="2257" customWidth="1"/>
    <col min="11548" max="11548" width="21" style="2257" customWidth="1"/>
    <col min="11549" max="11549" width="4.7109375" style="2257" customWidth="1"/>
    <col min="11550" max="11550" width="3.85546875" style="2257" customWidth="1"/>
    <col min="11551" max="11552" width="9" style="2257" hidden="1" customWidth="1"/>
    <col min="11553" max="11776" width="8.85546875" style="2257"/>
    <col min="11777" max="11777" width="2.7109375" style="2257" customWidth="1"/>
    <col min="11778" max="11778" width="3.28515625" style="2257" customWidth="1"/>
    <col min="11779" max="11779" width="3.85546875" style="2257" customWidth="1"/>
    <col min="11780" max="11788" width="4.42578125" style="2257" customWidth="1"/>
    <col min="11789" max="11789" width="9.42578125" style="2257" customWidth="1"/>
    <col min="11790" max="11790" width="4" style="2257" customWidth="1"/>
    <col min="11791" max="11793" width="9" style="2257" hidden="1" customWidth="1"/>
    <col min="11794" max="11794" width="4.42578125" style="2257" customWidth="1"/>
    <col min="11795" max="11795" width="1.42578125" style="2257" customWidth="1"/>
    <col min="11796" max="11796" width="4" style="2257" customWidth="1"/>
    <col min="11797" max="11801" width="4.42578125" style="2257" customWidth="1"/>
    <col min="11802" max="11802" width="3.42578125" style="2257" customWidth="1"/>
    <col min="11803" max="11803" width="5.7109375" style="2257" customWidth="1"/>
    <col min="11804" max="11804" width="21" style="2257" customWidth="1"/>
    <col min="11805" max="11805" width="4.7109375" style="2257" customWidth="1"/>
    <col min="11806" max="11806" width="3.85546875" style="2257" customWidth="1"/>
    <col min="11807" max="11808" width="9" style="2257" hidden="1" customWidth="1"/>
    <col min="11809" max="12032" width="8.85546875" style="2257"/>
    <col min="12033" max="12033" width="2.7109375" style="2257" customWidth="1"/>
    <col min="12034" max="12034" width="3.28515625" style="2257" customWidth="1"/>
    <col min="12035" max="12035" width="3.85546875" style="2257" customWidth="1"/>
    <col min="12036" max="12044" width="4.42578125" style="2257" customWidth="1"/>
    <col min="12045" max="12045" width="9.42578125" style="2257" customWidth="1"/>
    <col min="12046" max="12046" width="4" style="2257" customWidth="1"/>
    <col min="12047" max="12049" width="9" style="2257" hidden="1" customWidth="1"/>
    <col min="12050" max="12050" width="4.42578125" style="2257" customWidth="1"/>
    <col min="12051" max="12051" width="1.42578125" style="2257" customWidth="1"/>
    <col min="12052" max="12052" width="4" style="2257" customWidth="1"/>
    <col min="12053" max="12057" width="4.42578125" style="2257" customWidth="1"/>
    <col min="12058" max="12058" width="3.42578125" style="2257" customWidth="1"/>
    <col min="12059" max="12059" width="5.7109375" style="2257" customWidth="1"/>
    <col min="12060" max="12060" width="21" style="2257" customWidth="1"/>
    <col min="12061" max="12061" width="4.7109375" style="2257" customWidth="1"/>
    <col min="12062" max="12062" width="3.85546875" style="2257" customWidth="1"/>
    <col min="12063" max="12064" width="9" style="2257" hidden="1" customWidth="1"/>
    <col min="12065" max="12288" width="8.85546875" style="2257"/>
    <col min="12289" max="12289" width="2.7109375" style="2257" customWidth="1"/>
    <col min="12290" max="12290" width="3.28515625" style="2257" customWidth="1"/>
    <col min="12291" max="12291" width="3.85546875" style="2257" customWidth="1"/>
    <col min="12292" max="12300" width="4.42578125" style="2257" customWidth="1"/>
    <col min="12301" max="12301" width="9.42578125" style="2257" customWidth="1"/>
    <col min="12302" max="12302" width="4" style="2257" customWidth="1"/>
    <col min="12303" max="12305" width="9" style="2257" hidden="1" customWidth="1"/>
    <col min="12306" max="12306" width="4.42578125" style="2257" customWidth="1"/>
    <col min="12307" max="12307" width="1.42578125" style="2257" customWidth="1"/>
    <col min="12308" max="12308" width="4" style="2257" customWidth="1"/>
    <col min="12309" max="12313" width="4.42578125" style="2257" customWidth="1"/>
    <col min="12314" max="12314" width="3.42578125" style="2257" customWidth="1"/>
    <col min="12315" max="12315" width="5.7109375" style="2257" customWidth="1"/>
    <col min="12316" max="12316" width="21" style="2257" customWidth="1"/>
    <col min="12317" max="12317" width="4.7109375" style="2257" customWidth="1"/>
    <col min="12318" max="12318" width="3.85546875" style="2257" customWidth="1"/>
    <col min="12319" max="12320" width="9" style="2257" hidden="1" customWidth="1"/>
    <col min="12321" max="12544" width="8.85546875" style="2257"/>
    <col min="12545" max="12545" width="2.7109375" style="2257" customWidth="1"/>
    <col min="12546" max="12546" width="3.28515625" style="2257" customWidth="1"/>
    <col min="12547" max="12547" width="3.85546875" style="2257" customWidth="1"/>
    <col min="12548" max="12556" width="4.42578125" style="2257" customWidth="1"/>
    <col min="12557" max="12557" width="9.42578125" style="2257" customWidth="1"/>
    <col min="12558" max="12558" width="4" style="2257" customWidth="1"/>
    <col min="12559" max="12561" width="9" style="2257" hidden="1" customWidth="1"/>
    <col min="12562" max="12562" width="4.42578125" style="2257" customWidth="1"/>
    <col min="12563" max="12563" width="1.42578125" style="2257" customWidth="1"/>
    <col min="12564" max="12564" width="4" style="2257" customWidth="1"/>
    <col min="12565" max="12569" width="4.42578125" style="2257" customWidth="1"/>
    <col min="12570" max="12570" width="3.42578125" style="2257" customWidth="1"/>
    <col min="12571" max="12571" width="5.7109375" style="2257" customWidth="1"/>
    <col min="12572" max="12572" width="21" style="2257" customWidth="1"/>
    <col min="12573" max="12573" width="4.7109375" style="2257" customWidth="1"/>
    <col min="12574" max="12574" width="3.85546875" style="2257" customWidth="1"/>
    <col min="12575" max="12576" width="9" style="2257" hidden="1" customWidth="1"/>
    <col min="12577" max="12800" width="8.85546875" style="2257"/>
    <col min="12801" max="12801" width="2.7109375" style="2257" customWidth="1"/>
    <col min="12802" max="12802" width="3.28515625" style="2257" customWidth="1"/>
    <col min="12803" max="12803" width="3.85546875" style="2257" customWidth="1"/>
    <col min="12804" max="12812" width="4.42578125" style="2257" customWidth="1"/>
    <col min="12813" max="12813" width="9.42578125" style="2257" customWidth="1"/>
    <col min="12814" max="12814" width="4" style="2257" customWidth="1"/>
    <col min="12815" max="12817" width="9" style="2257" hidden="1" customWidth="1"/>
    <col min="12818" max="12818" width="4.42578125" style="2257" customWidth="1"/>
    <col min="12819" max="12819" width="1.42578125" style="2257" customWidth="1"/>
    <col min="12820" max="12820" width="4" style="2257" customWidth="1"/>
    <col min="12821" max="12825" width="4.42578125" style="2257" customWidth="1"/>
    <col min="12826" max="12826" width="3.42578125" style="2257" customWidth="1"/>
    <col min="12827" max="12827" width="5.7109375" style="2257" customWidth="1"/>
    <col min="12828" max="12828" width="21" style="2257" customWidth="1"/>
    <col min="12829" max="12829" width="4.7109375" style="2257" customWidth="1"/>
    <col min="12830" max="12830" width="3.85546875" style="2257" customWidth="1"/>
    <col min="12831" max="12832" width="9" style="2257" hidden="1" customWidth="1"/>
    <col min="12833" max="13056" width="8.85546875" style="2257"/>
    <col min="13057" max="13057" width="2.7109375" style="2257" customWidth="1"/>
    <col min="13058" max="13058" width="3.28515625" style="2257" customWidth="1"/>
    <col min="13059" max="13059" width="3.85546875" style="2257" customWidth="1"/>
    <col min="13060" max="13068" width="4.42578125" style="2257" customWidth="1"/>
    <col min="13069" max="13069" width="9.42578125" style="2257" customWidth="1"/>
    <col min="13070" max="13070" width="4" style="2257" customWidth="1"/>
    <col min="13071" max="13073" width="9" style="2257" hidden="1" customWidth="1"/>
    <col min="13074" max="13074" width="4.42578125" style="2257" customWidth="1"/>
    <col min="13075" max="13075" width="1.42578125" style="2257" customWidth="1"/>
    <col min="13076" max="13076" width="4" style="2257" customWidth="1"/>
    <col min="13077" max="13081" width="4.42578125" style="2257" customWidth="1"/>
    <col min="13082" max="13082" width="3.42578125" style="2257" customWidth="1"/>
    <col min="13083" max="13083" width="5.7109375" style="2257" customWidth="1"/>
    <col min="13084" max="13084" width="21" style="2257" customWidth="1"/>
    <col min="13085" max="13085" width="4.7109375" style="2257" customWidth="1"/>
    <col min="13086" max="13086" width="3.85546875" style="2257" customWidth="1"/>
    <col min="13087" max="13088" width="9" style="2257" hidden="1" customWidth="1"/>
    <col min="13089" max="13312" width="8.85546875" style="2257"/>
    <col min="13313" max="13313" width="2.7109375" style="2257" customWidth="1"/>
    <col min="13314" max="13314" width="3.28515625" style="2257" customWidth="1"/>
    <col min="13315" max="13315" width="3.85546875" style="2257" customWidth="1"/>
    <col min="13316" max="13324" width="4.42578125" style="2257" customWidth="1"/>
    <col min="13325" max="13325" width="9.42578125" style="2257" customWidth="1"/>
    <col min="13326" max="13326" width="4" style="2257" customWidth="1"/>
    <col min="13327" max="13329" width="9" style="2257" hidden="1" customWidth="1"/>
    <col min="13330" max="13330" width="4.42578125" style="2257" customWidth="1"/>
    <col min="13331" max="13331" width="1.42578125" style="2257" customWidth="1"/>
    <col min="13332" max="13332" width="4" style="2257" customWidth="1"/>
    <col min="13333" max="13337" width="4.42578125" style="2257" customWidth="1"/>
    <col min="13338" max="13338" width="3.42578125" style="2257" customWidth="1"/>
    <col min="13339" max="13339" width="5.7109375" style="2257" customWidth="1"/>
    <col min="13340" max="13340" width="21" style="2257" customWidth="1"/>
    <col min="13341" max="13341" width="4.7109375" style="2257" customWidth="1"/>
    <col min="13342" max="13342" width="3.85546875" style="2257" customWidth="1"/>
    <col min="13343" max="13344" width="9" style="2257" hidden="1" customWidth="1"/>
    <col min="13345" max="13568" width="8.85546875" style="2257"/>
    <col min="13569" max="13569" width="2.7109375" style="2257" customWidth="1"/>
    <col min="13570" max="13570" width="3.28515625" style="2257" customWidth="1"/>
    <col min="13571" max="13571" width="3.85546875" style="2257" customWidth="1"/>
    <col min="13572" max="13580" width="4.42578125" style="2257" customWidth="1"/>
    <col min="13581" max="13581" width="9.42578125" style="2257" customWidth="1"/>
    <col min="13582" max="13582" width="4" style="2257" customWidth="1"/>
    <col min="13583" max="13585" width="9" style="2257" hidden="1" customWidth="1"/>
    <col min="13586" max="13586" width="4.42578125" style="2257" customWidth="1"/>
    <col min="13587" max="13587" width="1.42578125" style="2257" customWidth="1"/>
    <col min="13588" max="13588" width="4" style="2257" customWidth="1"/>
    <col min="13589" max="13593" width="4.42578125" style="2257" customWidth="1"/>
    <col min="13594" max="13594" width="3.42578125" style="2257" customWidth="1"/>
    <col min="13595" max="13595" width="5.7109375" style="2257" customWidth="1"/>
    <col min="13596" max="13596" width="21" style="2257" customWidth="1"/>
    <col min="13597" max="13597" width="4.7109375" style="2257" customWidth="1"/>
    <col min="13598" max="13598" width="3.85546875" style="2257" customWidth="1"/>
    <col min="13599" max="13600" width="9" style="2257" hidden="1" customWidth="1"/>
    <col min="13601" max="13824" width="8.85546875" style="2257"/>
    <col min="13825" max="13825" width="2.7109375" style="2257" customWidth="1"/>
    <col min="13826" max="13826" width="3.28515625" style="2257" customWidth="1"/>
    <col min="13827" max="13827" width="3.85546875" style="2257" customWidth="1"/>
    <col min="13828" max="13836" width="4.42578125" style="2257" customWidth="1"/>
    <col min="13837" max="13837" width="9.42578125" style="2257" customWidth="1"/>
    <col min="13838" max="13838" width="4" style="2257" customWidth="1"/>
    <col min="13839" max="13841" width="9" style="2257" hidden="1" customWidth="1"/>
    <col min="13842" max="13842" width="4.42578125" style="2257" customWidth="1"/>
    <col min="13843" max="13843" width="1.42578125" style="2257" customWidth="1"/>
    <col min="13844" max="13844" width="4" style="2257" customWidth="1"/>
    <col min="13845" max="13849" width="4.42578125" style="2257" customWidth="1"/>
    <col min="13850" max="13850" width="3.42578125" style="2257" customWidth="1"/>
    <col min="13851" max="13851" width="5.7109375" style="2257" customWidth="1"/>
    <col min="13852" max="13852" width="21" style="2257" customWidth="1"/>
    <col min="13853" max="13853" width="4.7109375" style="2257" customWidth="1"/>
    <col min="13854" max="13854" width="3.85546875" style="2257" customWidth="1"/>
    <col min="13855" max="13856" width="9" style="2257" hidden="1" customWidth="1"/>
    <col min="13857" max="14080" width="8.85546875" style="2257"/>
    <col min="14081" max="14081" width="2.7109375" style="2257" customWidth="1"/>
    <col min="14082" max="14082" width="3.28515625" style="2257" customWidth="1"/>
    <col min="14083" max="14083" width="3.85546875" style="2257" customWidth="1"/>
    <col min="14084" max="14092" width="4.42578125" style="2257" customWidth="1"/>
    <col min="14093" max="14093" width="9.42578125" style="2257" customWidth="1"/>
    <col min="14094" max="14094" width="4" style="2257" customWidth="1"/>
    <col min="14095" max="14097" width="9" style="2257" hidden="1" customWidth="1"/>
    <col min="14098" max="14098" width="4.42578125" style="2257" customWidth="1"/>
    <col min="14099" max="14099" width="1.42578125" style="2257" customWidth="1"/>
    <col min="14100" max="14100" width="4" style="2257" customWidth="1"/>
    <col min="14101" max="14105" width="4.42578125" style="2257" customWidth="1"/>
    <col min="14106" max="14106" width="3.42578125" style="2257" customWidth="1"/>
    <col min="14107" max="14107" width="5.7109375" style="2257" customWidth="1"/>
    <col min="14108" max="14108" width="21" style="2257" customWidth="1"/>
    <col min="14109" max="14109" width="4.7109375" style="2257" customWidth="1"/>
    <col min="14110" max="14110" width="3.85546875" style="2257" customWidth="1"/>
    <col min="14111" max="14112" width="9" style="2257" hidden="1" customWidth="1"/>
    <col min="14113" max="14336" width="8.85546875" style="2257"/>
    <col min="14337" max="14337" width="2.7109375" style="2257" customWidth="1"/>
    <col min="14338" max="14338" width="3.28515625" style="2257" customWidth="1"/>
    <col min="14339" max="14339" width="3.85546875" style="2257" customWidth="1"/>
    <col min="14340" max="14348" width="4.42578125" style="2257" customWidth="1"/>
    <col min="14349" max="14349" width="9.42578125" style="2257" customWidth="1"/>
    <col min="14350" max="14350" width="4" style="2257" customWidth="1"/>
    <col min="14351" max="14353" width="9" style="2257" hidden="1" customWidth="1"/>
    <col min="14354" max="14354" width="4.42578125" style="2257" customWidth="1"/>
    <col min="14355" max="14355" width="1.42578125" style="2257" customWidth="1"/>
    <col min="14356" max="14356" width="4" style="2257" customWidth="1"/>
    <col min="14357" max="14361" width="4.42578125" style="2257" customWidth="1"/>
    <col min="14362" max="14362" width="3.42578125" style="2257" customWidth="1"/>
    <col min="14363" max="14363" width="5.7109375" style="2257" customWidth="1"/>
    <col min="14364" max="14364" width="21" style="2257" customWidth="1"/>
    <col min="14365" max="14365" width="4.7109375" style="2257" customWidth="1"/>
    <col min="14366" max="14366" width="3.85546875" style="2257" customWidth="1"/>
    <col min="14367" max="14368" width="9" style="2257" hidden="1" customWidth="1"/>
    <col min="14369" max="14592" width="8.85546875" style="2257"/>
    <col min="14593" max="14593" width="2.7109375" style="2257" customWidth="1"/>
    <col min="14594" max="14594" width="3.28515625" style="2257" customWidth="1"/>
    <col min="14595" max="14595" width="3.85546875" style="2257" customWidth="1"/>
    <col min="14596" max="14604" width="4.42578125" style="2257" customWidth="1"/>
    <col min="14605" max="14605" width="9.42578125" style="2257" customWidth="1"/>
    <col min="14606" max="14606" width="4" style="2257" customWidth="1"/>
    <col min="14607" max="14609" width="9" style="2257" hidden="1" customWidth="1"/>
    <col min="14610" max="14610" width="4.42578125" style="2257" customWidth="1"/>
    <col min="14611" max="14611" width="1.42578125" style="2257" customWidth="1"/>
    <col min="14612" max="14612" width="4" style="2257" customWidth="1"/>
    <col min="14613" max="14617" width="4.42578125" style="2257" customWidth="1"/>
    <col min="14618" max="14618" width="3.42578125" style="2257" customWidth="1"/>
    <col min="14619" max="14619" width="5.7109375" style="2257" customWidth="1"/>
    <col min="14620" max="14620" width="21" style="2257" customWidth="1"/>
    <col min="14621" max="14621" width="4.7109375" style="2257" customWidth="1"/>
    <col min="14622" max="14622" width="3.85546875" style="2257" customWidth="1"/>
    <col min="14623" max="14624" width="9" style="2257" hidden="1" customWidth="1"/>
    <col min="14625" max="14848" width="8.85546875" style="2257"/>
    <col min="14849" max="14849" width="2.7109375" style="2257" customWidth="1"/>
    <col min="14850" max="14850" width="3.28515625" style="2257" customWidth="1"/>
    <col min="14851" max="14851" width="3.85546875" style="2257" customWidth="1"/>
    <col min="14852" max="14860" width="4.42578125" style="2257" customWidth="1"/>
    <col min="14861" max="14861" width="9.42578125" style="2257" customWidth="1"/>
    <col min="14862" max="14862" width="4" style="2257" customWidth="1"/>
    <col min="14863" max="14865" width="9" style="2257" hidden="1" customWidth="1"/>
    <col min="14866" max="14866" width="4.42578125" style="2257" customWidth="1"/>
    <col min="14867" max="14867" width="1.42578125" style="2257" customWidth="1"/>
    <col min="14868" max="14868" width="4" style="2257" customWidth="1"/>
    <col min="14869" max="14873" width="4.42578125" style="2257" customWidth="1"/>
    <col min="14874" max="14874" width="3.42578125" style="2257" customWidth="1"/>
    <col min="14875" max="14875" width="5.7109375" style="2257" customWidth="1"/>
    <col min="14876" max="14876" width="21" style="2257" customWidth="1"/>
    <col min="14877" max="14877" width="4.7109375" style="2257" customWidth="1"/>
    <col min="14878" max="14878" width="3.85546875" style="2257" customWidth="1"/>
    <col min="14879" max="14880" width="9" style="2257" hidden="1" customWidth="1"/>
    <col min="14881" max="15104" width="8.85546875" style="2257"/>
    <col min="15105" max="15105" width="2.7109375" style="2257" customWidth="1"/>
    <col min="15106" max="15106" width="3.28515625" style="2257" customWidth="1"/>
    <col min="15107" max="15107" width="3.85546875" style="2257" customWidth="1"/>
    <col min="15108" max="15116" width="4.42578125" style="2257" customWidth="1"/>
    <col min="15117" max="15117" width="9.42578125" style="2257" customWidth="1"/>
    <col min="15118" max="15118" width="4" style="2257" customWidth="1"/>
    <col min="15119" max="15121" width="9" style="2257" hidden="1" customWidth="1"/>
    <col min="15122" max="15122" width="4.42578125" style="2257" customWidth="1"/>
    <col min="15123" max="15123" width="1.42578125" style="2257" customWidth="1"/>
    <col min="15124" max="15124" width="4" style="2257" customWidth="1"/>
    <col min="15125" max="15129" width="4.42578125" style="2257" customWidth="1"/>
    <col min="15130" max="15130" width="3.42578125" style="2257" customWidth="1"/>
    <col min="15131" max="15131" width="5.7109375" style="2257" customWidth="1"/>
    <col min="15132" max="15132" width="21" style="2257" customWidth="1"/>
    <col min="15133" max="15133" width="4.7109375" style="2257" customWidth="1"/>
    <col min="15134" max="15134" width="3.85546875" style="2257" customWidth="1"/>
    <col min="15135" max="15136" width="9" style="2257" hidden="1" customWidth="1"/>
    <col min="15137" max="15360" width="8.85546875" style="2257"/>
    <col min="15361" max="15361" width="2.7109375" style="2257" customWidth="1"/>
    <col min="15362" max="15362" width="3.28515625" style="2257" customWidth="1"/>
    <col min="15363" max="15363" width="3.85546875" style="2257" customWidth="1"/>
    <col min="15364" max="15372" width="4.42578125" style="2257" customWidth="1"/>
    <col min="15373" max="15373" width="9.42578125" style="2257" customWidth="1"/>
    <col min="15374" max="15374" width="4" style="2257" customWidth="1"/>
    <col min="15375" max="15377" width="9" style="2257" hidden="1" customWidth="1"/>
    <col min="15378" max="15378" width="4.42578125" style="2257" customWidth="1"/>
    <col min="15379" max="15379" width="1.42578125" style="2257" customWidth="1"/>
    <col min="15380" max="15380" width="4" style="2257" customWidth="1"/>
    <col min="15381" max="15385" width="4.42578125" style="2257" customWidth="1"/>
    <col min="15386" max="15386" width="3.42578125" style="2257" customWidth="1"/>
    <col min="15387" max="15387" width="5.7109375" style="2257" customWidth="1"/>
    <col min="15388" max="15388" width="21" style="2257" customWidth="1"/>
    <col min="15389" max="15389" width="4.7109375" style="2257" customWidth="1"/>
    <col min="15390" max="15390" width="3.85546875" style="2257" customWidth="1"/>
    <col min="15391" max="15392" width="9" style="2257" hidden="1" customWidth="1"/>
    <col min="15393" max="15616" width="8.85546875" style="2257"/>
    <col min="15617" max="15617" width="2.7109375" style="2257" customWidth="1"/>
    <col min="15618" max="15618" width="3.28515625" style="2257" customWidth="1"/>
    <col min="15619" max="15619" width="3.85546875" style="2257" customWidth="1"/>
    <col min="15620" max="15628" width="4.42578125" style="2257" customWidth="1"/>
    <col min="15629" max="15629" width="9.42578125" style="2257" customWidth="1"/>
    <col min="15630" max="15630" width="4" style="2257" customWidth="1"/>
    <col min="15631" max="15633" width="9" style="2257" hidden="1" customWidth="1"/>
    <col min="15634" max="15634" width="4.42578125" style="2257" customWidth="1"/>
    <col min="15635" max="15635" width="1.42578125" style="2257" customWidth="1"/>
    <col min="15636" max="15636" width="4" style="2257" customWidth="1"/>
    <col min="15637" max="15641" width="4.42578125" style="2257" customWidth="1"/>
    <col min="15642" max="15642" width="3.42578125" style="2257" customWidth="1"/>
    <col min="15643" max="15643" width="5.7109375" style="2257" customWidth="1"/>
    <col min="15644" max="15644" width="21" style="2257" customWidth="1"/>
    <col min="15645" max="15645" width="4.7109375" style="2257" customWidth="1"/>
    <col min="15646" max="15646" width="3.85546875" style="2257" customWidth="1"/>
    <col min="15647" max="15648" width="9" style="2257" hidden="1" customWidth="1"/>
    <col min="15649" max="15872" width="8.85546875" style="2257"/>
    <col min="15873" max="15873" width="2.7109375" style="2257" customWidth="1"/>
    <col min="15874" max="15874" width="3.28515625" style="2257" customWidth="1"/>
    <col min="15875" max="15875" width="3.85546875" style="2257" customWidth="1"/>
    <col min="15876" max="15884" width="4.42578125" style="2257" customWidth="1"/>
    <col min="15885" max="15885" width="9.42578125" style="2257" customWidth="1"/>
    <col min="15886" max="15886" width="4" style="2257" customWidth="1"/>
    <col min="15887" max="15889" width="9" style="2257" hidden="1" customWidth="1"/>
    <col min="15890" max="15890" width="4.42578125" style="2257" customWidth="1"/>
    <col min="15891" max="15891" width="1.42578125" style="2257" customWidth="1"/>
    <col min="15892" max="15892" width="4" style="2257" customWidth="1"/>
    <col min="15893" max="15897" width="4.42578125" style="2257" customWidth="1"/>
    <col min="15898" max="15898" width="3.42578125" style="2257" customWidth="1"/>
    <col min="15899" max="15899" width="5.7109375" style="2257" customWidth="1"/>
    <col min="15900" max="15900" width="21" style="2257" customWidth="1"/>
    <col min="15901" max="15901" width="4.7109375" style="2257" customWidth="1"/>
    <col min="15902" max="15902" width="3.85546875" style="2257" customWidth="1"/>
    <col min="15903" max="15904" width="9" style="2257" hidden="1" customWidth="1"/>
    <col min="15905" max="16128" width="8.85546875" style="2257"/>
    <col min="16129" max="16129" width="2.7109375" style="2257" customWidth="1"/>
    <col min="16130" max="16130" width="3.28515625" style="2257" customWidth="1"/>
    <col min="16131" max="16131" width="3.85546875" style="2257" customWidth="1"/>
    <col min="16132" max="16140" width="4.42578125" style="2257" customWidth="1"/>
    <col min="16141" max="16141" width="9.42578125" style="2257" customWidth="1"/>
    <col min="16142" max="16142" width="4" style="2257" customWidth="1"/>
    <col min="16143" max="16145" width="9" style="2257" hidden="1" customWidth="1"/>
    <col min="16146" max="16146" width="4.42578125" style="2257" customWidth="1"/>
    <col min="16147" max="16147" width="1.42578125" style="2257" customWidth="1"/>
    <col min="16148" max="16148" width="4" style="2257" customWidth="1"/>
    <col min="16149" max="16153" width="4.42578125" style="2257" customWidth="1"/>
    <col min="16154" max="16154" width="3.42578125" style="2257" customWidth="1"/>
    <col min="16155" max="16155" width="5.7109375" style="2257" customWidth="1"/>
    <col min="16156" max="16156" width="21" style="2257" customWidth="1"/>
    <col min="16157" max="16157" width="4.7109375" style="2257" customWidth="1"/>
    <col min="16158" max="16158" width="3.85546875" style="2257" customWidth="1"/>
    <col min="16159" max="16160" width="9" style="2257" hidden="1" customWidth="1"/>
    <col min="16161" max="16384" width="8.85546875" style="2257"/>
  </cols>
  <sheetData>
    <row r="1" spans="1:30">
      <c r="A1" s="2258"/>
      <c r="B1" s="2259"/>
      <c r="C1" s="2259"/>
      <c r="D1" s="2259"/>
      <c r="E1" s="2259"/>
      <c r="F1" s="2259"/>
      <c r="G1" s="2259"/>
      <c r="H1" s="2259"/>
      <c r="I1" s="2259"/>
      <c r="J1" s="2259"/>
      <c r="K1" s="2259"/>
      <c r="L1" s="2259"/>
      <c r="M1" s="2259"/>
      <c r="N1" s="2259"/>
      <c r="O1" s="2259"/>
      <c r="P1" s="2259"/>
      <c r="Q1" s="2259"/>
      <c r="R1" s="2259"/>
      <c r="S1" s="2259"/>
      <c r="T1" s="2259"/>
      <c r="U1" s="2259"/>
      <c r="V1" s="2259"/>
      <c r="W1" s="2259"/>
      <c r="X1" s="2259"/>
      <c r="Y1" s="2259"/>
      <c r="Z1" s="2259"/>
      <c r="AA1" s="2259"/>
      <c r="AB1" s="2259"/>
      <c r="AC1" s="2259"/>
      <c r="AD1" s="2289"/>
    </row>
    <row r="2" spans="1:30">
      <c r="A2" s="3405" t="str">
        <f>'Input Data'!E1</f>
        <v>R/F A to B in Wanaparthy Mandal of Wanaparthy District</v>
      </c>
      <c r="B2" s="3406"/>
      <c r="C2" s="3406"/>
      <c r="D2" s="3406"/>
      <c r="E2" s="3406"/>
      <c r="F2" s="3406"/>
      <c r="G2" s="3406"/>
      <c r="H2" s="3406"/>
      <c r="I2" s="3406"/>
      <c r="J2" s="3406"/>
      <c r="K2" s="3406"/>
      <c r="L2" s="3406"/>
      <c r="M2" s="3406"/>
      <c r="N2" s="3406"/>
      <c r="O2" s="3406"/>
      <c r="P2" s="3406"/>
      <c r="Q2" s="3406"/>
      <c r="R2" s="3406"/>
      <c r="S2" s="3406"/>
      <c r="T2" s="3406"/>
      <c r="U2" s="3406"/>
      <c r="V2" s="3406"/>
      <c r="W2" s="3406"/>
      <c r="X2" s="3406"/>
      <c r="Y2" s="3406"/>
      <c r="Z2" s="3406"/>
      <c r="AA2" s="3406"/>
      <c r="AB2" s="3406"/>
      <c r="AD2" s="2290"/>
    </row>
    <row r="3" spans="1:30">
      <c r="A3" s="2260"/>
      <c r="B3" s="2261"/>
      <c r="C3" s="2261"/>
      <c r="D3" s="2261"/>
      <c r="E3" s="2261"/>
      <c r="F3" s="2261"/>
      <c r="G3" s="2261"/>
      <c r="H3" s="2261"/>
      <c r="I3" s="2261"/>
      <c r="J3" s="2261"/>
      <c r="K3" s="2261"/>
      <c r="L3" s="2261"/>
      <c r="M3" s="2261"/>
      <c r="N3" s="2261"/>
      <c r="O3" s="2261"/>
      <c r="P3" s="2261"/>
      <c r="Q3" s="2261"/>
      <c r="R3" s="2261"/>
      <c r="S3" s="2261"/>
      <c r="T3" s="2261"/>
      <c r="U3" s="2261"/>
      <c r="V3" s="2261"/>
      <c r="W3" s="2261"/>
      <c r="X3" s="2261"/>
      <c r="Y3" s="2261"/>
      <c r="Z3" s="2261"/>
      <c r="AD3" s="2290"/>
    </row>
    <row r="4" spans="1:30" ht="15" customHeight="1">
      <c r="A4" s="2262"/>
      <c r="B4" s="3407" t="s">
        <v>793</v>
      </c>
      <c r="C4" s="3407"/>
      <c r="D4" s="3407"/>
      <c r="E4" s="3407"/>
      <c r="F4" s="3407"/>
      <c r="G4" s="3407"/>
      <c r="H4" s="3407"/>
      <c r="I4" s="3407"/>
      <c r="J4" s="3407"/>
      <c r="K4" s="3407"/>
      <c r="L4" s="3407"/>
      <c r="M4" s="3407"/>
      <c r="N4" s="3407"/>
      <c r="O4" s="3407"/>
      <c r="P4" s="3407"/>
      <c r="Q4" s="3407"/>
      <c r="R4" s="3407"/>
      <c r="S4" s="3407"/>
      <c r="T4" s="3407"/>
      <c r="U4" s="3407"/>
      <c r="V4" s="3407"/>
      <c r="W4" s="3407"/>
      <c r="X4" s="3407"/>
      <c r="Y4" s="3407"/>
      <c r="Z4" s="3407"/>
      <c r="AA4" s="3407"/>
      <c r="AB4" s="3407"/>
      <c r="AD4" s="2290"/>
    </row>
    <row r="5" spans="1:30" ht="15">
      <c r="A5" s="2262"/>
      <c r="C5" s="2263"/>
      <c r="D5" s="2263"/>
      <c r="E5" s="2263"/>
      <c r="F5" s="2263"/>
      <c r="G5" s="2263"/>
      <c r="H5" s="2263"/>
      <c r="I5" s="2263"/>
      <c r="J5" s="2263"/>
      <c r="K5" s="2263"/>
      <c r="L5" s="2263"/>
      <c r="M5" s="2263"/>
      <c r="AD5" s="2290"/>
    </row>
    <row r="6" spans="1:30">
      <c r="A6" s="2262"/>
      <c r="B6" s="2264"/>
      <c r="L6" s="2265"/>
      <c r="AD6" s="2290"/>
    </row>
    <row r="7" spans="1:30">
      <c r="A7" s="2262"/>
      <c r="D7" s="2265"/>
      <c r="I7" s="2265"/>
      <c r="K7" s="2265"/>
      <c r="M7" s="2265"/>
      <c r="U7" s="2266"/>
      <c r="AD7" s="2290"/>
    </row>
    <row r="8" spans="1:30" ht="12.75" customHeight="1">
      <c r="A8" s="2262"/>
      <c r="AD8" s="2290"/>
    </row>
    <row r="9" spans="1:30" ht="38.450000000000003" customHeight="1">
      <c r="A9" s="2262"/>
      <c r="B9" s="2266" t="s">
        <v>794</v>
      </c>
      <c r="D9" s="2266"/>
      <c r="F9" s="2266"/>
      <c r="G9" s="2267" t="s">
        <v>2805</v>
      </c>
      <c r="H9" s="2266"/>
      <c r="I9" s="2266"/>
      <c r="J9" s="2984" t="s">
        <v>2806</v>
      </c>
      <c r="K9" s="2266"/>
      <c r="L9" s="2266"/>
      <c r="M9" s="2266"/>
      <c r="N9" s="2266"/>
      <c r="R9" s="2287"/>
      <c r="U9" s="2266"/>
      <c r="Y9" s="2266" t="s">
        <v>786</v>
      </c>
      <c r="Z9" s="2291"/>
      <c r="AA9" s="2292"/>
      <c r="AD9" s="2290"/>
    </row>
    <row r="10" spans="1:30" ht="9" customHeight="1">
      <c r="A10" s="2262"/>
      <c r="B10" s="2268"/>
      <c r="C10" s="2268"/>
      <c r="D10" s="2268"/>
      <c r="E10" s="2268"/>
      <c r="F10" s="2268"/>
      <c r="G10" s="2268"/>
      <c r="H10" s="2269"/>
      <c r="I10" s="2269"/>
      <c r="M10" s="2292" t="s">
        <v>795</v>
      </c>
      <c r="N10" s="2278"/>
      <c r="Q10" s="2268"/>
      <c r="AA10" s="2292"/>
      <c r="AB10" s="2278"/>
      <c r="AC10" s="2278"/>
      <c r="AD10" s="2293"/>
    </row>
    <row r="11" spans="1:30">
      <c r="A11" s="2262"/>
      <c r="B11" s="2270"/>
      <c r="C11" s="2270"/>
      <c r="D11" s="2270"/>
      <c r="E11" s="2270"/>
      <c r="F11" s="2270"/>
      <c r="G11" s="2270"/>
      <c r="H11" s="2271" t="s">
        <v>796</v>
      </c>
      <c r="I11" s="2269"/>
      <c r="Q11" s="2270"/>
      <c r="AA11" s="2294"/>
      <c r="AB11" s="2278"/>
      <c r="AC11" s="2278"/>
      <c r="AD11" s="2293"/>
    </row>
    <row r="12" spans="1:30" ht="12" customHeight="1">
      <c r="A12" s="2262"/>
      <c r="B12" s="2270"/>
      <c r="C12" s="2272" t="s">
        <v>798</v>
      </c>
      <c r="D12" s="2270"/>
      <c r="E12" s="2270"/>
      <c r="F12" s="2270"/>
      <c r="G12" s="2270"/>
      <c r="H12" s="2272" t="s">
        <v>797</v>
      </c>
      <c r="I12" s="2270"/>
      <c r="Q12" s="2270"/>
    </row>
    <row r="13" spans="1:30" ht="17.25" hidden="1" customHeight="1">
      <c r="A13" s="2262"/>
      <c r="B13" s="2273"/>
      <c r="C13" s="2288"/>
    </row>
    <row r="14" spans="1:30" ht="14.45" customHeight="1">
      <c r="A14" s="2262"/>
      <c r="B14" s="2274"/>
      <c r="C14" s="2274" t="s">
        <v>800</v>
      </c>
      <c r="D14" s="2275"/>
      <c r="E14" s="2275"/>
      <c r="F14" s="2276"/>
      <c r="G14" s="2276"/>
      <c r="H14" s="3408" t="s">
        <v>799</v>
      </c>
      <c r="I14" s="3408"/>
      <c r="P14" s="3408"/>
      <c r="Q14" s="3408"/>
    </row>
    <row r="15" spans="1:30" ht="10.15" customHeight="1">
      <c r="A15" s="2262"/>
      <c r="B15" s="2276"/>
      <c r="C15" s="2276"/>
      <c r="D15" s="2276"/>
      <c r="E15" s="2276"/>
      <c r="F15" s="2276"/>
      <c r="G15" s="2276"/>
      <c r="H15" s="2276"/>
      <c r="I15" s="2276"/>
      <c r="Q15" s="2276"/>
    </row>
    <row r="16" spans="1:30">
      <c r="A16" s="2262"/>
      <c r="B16" s="2277"/>
      <c r="C16" s="2277"/>
      <c r="D16" s="2277"/>
      <c r="E16" s="2277"/>
      <c r="F16" s="2277"/>
      <c r="G16" s="2277"/>
      <c r="H16" s="2277"/>
      <c r="I16" s="2277"/>
      <c r="Q16" s="2277"/>
      <c r="AD16" s="2290"/>
    </row>
    <row r="17" spans="1:30">
      <c r="A17" s="2262"/>
      <c r="B17" s="2257" t="s">
        <v>801</v>
      </c>
      <c r="G17" s="2278"/>
      <c r="H17" s="2278"/>
      <c r="I17" s="2278"/>
      <c r="AD17" s="2290"/>
    </row>
    <row r="18" spans="1:30">
      <c r="A18" s="2262"/>
      <c r="G18" s="2278"/>
      <c r="H18" s="2278"/>
      <c r="I18" s="2278"/>
      <c r="AD18" s="2290"/>
    </row>
    <row r="19" spans="1:30">
      <c r="A19" s="2262"/>
      <c r="G19" s="2278"/>
      <c r="H19" s="2278"/>
      <c r="I19" s="2278"/>
      <c r="AD19" s="2290"/>
    </row>
    <row r="20" spans="1:30">
      <c r="A20" s="2262"/>
      <c r="B20" s="3403"/>
      <c r="C20" s="3404"/>
      <c r="E20" s="2279" t="s">
        <v>802</v>
      </c>
      <c r="I20" s="2278" t="s">
        <v>803</v>
      </c>
      <c r="J20" s="2278"/>
      <c r="K20" s="2269"/>
      <c r="L20" s="2269"/>
      <c r="M20" s="2257" t="s">
        <v>804</v>
      </c>
      <c r="N20" s="2278"/>
      <c r="AD20" s="2290"/>
    </row>
    <row r="21" spans="1:30">
      <c r="A21" s="2262"/>
      <c r="E21" s="2279"/>
      <c r="I21" s="2278"/>
      <c r="J21" s="2278"/>
      <c r="K21" s="2278"/>
      <c r="N21" s="2278"/>
      <c r="AD21" s="2290"/>
    </row>
    <row r="22" spans="1:30">
      <c r="A22" s="2262"/>
      <c r="B22" s="2270"/>
      <c r="C22" s="2270"/>
      <c r="E22" s="2279" t="s">
        <v>494</v>
      </c>
      <c r="I22" s="2278" t="s">
        <v>805</v>
      </c>
      <c r="J22" s="2278"/>
      <c r="K22" s="2278"/>
      <c r="N22" s="2278"/>
      <c r="AD22" s="2290"/>
    </row>
    <row r="23" spans="1:30">
      <c r="A23" s="2262"/>
      <c r="E23" s="2279"/>
      <c r="I23" s="2278"/>
      <c r="J23" s="2278"/>
      <c r="K23" s="2278"/>
      <c r="N23" s="2278"/>
      <c r="AD23" s="2290"/>
    </row>
    <row r="24" spans="1:30">
      <c r="A24" s="2262"/>
      <c r="B24" s="2280"/>
      <c r="C24" s="2281"/>
      <c r="E24" s="2279" t="s">
        <v>806</v>
      </c>
      <c r="I24" s="2278" t="s">
        <v>807</v>
      </c>
      <c r="J24" s="2278"/>
      <c r="K24" s="2278"/>
      <c r="L24" s="2277"/>
      <c r="M24" s="2257" t="s">
        <v>808</v>
      </c>
      <c r="N24" s="2278"/>
      <c r="AD24" s="2290"/>
    </row>
    <row r="25" spans="1:30" ht="13.5" thickBot="1">
      <c r="A25" s="2282"/>
      <c r="B25" s="2283"/>
      <c r="C25" s="2283"/>
      <c r="D25" s="2283"/>
      <c r="E25" s="2283"/>
      <c r="F25" s="2283"/>
      <c r="G25" s="2283"/>
      <c r="H25" s="2283"/>
      <c r="I25" s="2283"/>
      <c r="J25" s="2283"/>
      <c r="K25" s="2283"/>
      <c r="L25" s="2283"/>
      <c r="M25" s="2283"/>
      <c r="N25" s="2283"/>
      <c r="O25" s="2283"/>
      <c r="P25" s="2283"/>
      <c r="Q25" s="2283"/>
      <c r="R25" s="2283"/>
      <c r="S25" s="2283"/>
      <c r="T25" s="2283"/>
      <c r="U25" s="2283"/>
      <c r="V25" s="2283"/>
      <c r="W25" s="2283"/>
      <c r="X25" s="2283"/>
      <c r="Y25" s="2283"/>
      <c r="Z25" s="2283"/>
      <c r="AA25" s="2283"/>
      <c r="AB25" s="2283"/>
      <c r="AC25" s="2283"/>
      <c r="AD25" s="2295"/>
    </row>
    <row r="30" spans="1:30">
      <c r="F30" s="2284" t="s">
        <v>809</v>
      </c>
      <c r="H30" s="2285"/>
      <c r="I30" s="2285"/>
      <c r="J30" s="2285"/>
      <c r="K30" s="2285"/>
      <c r="L30" s="2284" t="s">
        <v>776</v>
      </c>
      <c r="M30" s="2286"/>
      <c r="V30" s="2284" t="s">
        <v>810</v>
      </c>
      <c r="AB30" s="2284" t="s">
        <v>685</v>
      </c>
    </row>
    <row r="31" spans="1:30">
      <c r="F31" s="2284" t="s">
        <v>811</v>
      </c>
      <c r="H31" s="2285"/>
      <c r="I31" s="2285"/>
      <c r="J31" s="2285"/>
      <c r="K31" s="2285"/>
      <c r="L31" s="2284" t="s">
        <v>811</v>
      </c>
      <c r="M31" s="2286"/>
      <c r="V31" s="2284" t="s">
        <v>812</v>
      </c>
      <c r="AB31" s="2284" t="s">
        <v>813</v>
      </c>
    </row>
  </sheetData>
  <mergeCells count="5">
    <mergeCell ref="B20:C20"/>
    <mergeCell ref="A2:AB2"/>
    <mergeCell ref="B4:AB4"/>
    <mergeCell ref="H14:I14"/>
    <mergeCell ref="P14:Q14"/>
  </mergeCells>
  <printOptions verticalCentered="1"/>
  <pageMargins left="0.64513888888888904" right="0.25138888888888899" top="0.70416666666666705" bottom="0.180555555555556" header="0.46041666666666697" footer="0.227777777777778"/>
  <pageSetup paperSize="9" orientation="landscape" r:id="rId1"/>
  <headerFooter alignWithMargins="0"/>
  <drawing r:id="rId2"/>
</worksheet>
</file>

<file path=xl/worksheets/sheet13.xml><?xml version="1.0" encoding="utf-8"?>
<worksheet xmlns="http://schemas.openxmlformats.org/spreadsheetml/2006/main" xmlns:r="http://schemas.openxmlformats.org/officeDocument/2006/relationships">
  <sheetPr codeName="Sheet32"/>
  <dimension ref="A1:T42"/>
  <sheetViews>
    <sheetView view="pageBreakPreview" workbookViewId="0">
      <selection activeCell="H34" sqref="H34"/>
    </sheetView>
  </sheetViews>
  <sheetFormatPr defaultColWidth="9" defaultRowHeight="12.75"/>
  <cols>
    <col min="1" max="1" width="22.7109375" style="2194" customWidth="1"/>
    <col min="2" max="2" width="12.28515625" style="2194" customWidth="1"/>
    <col min="3" max="3" width="10.7109375" style="2194" customWidth="1"/>
    <col min="4" max="4" width="7.7109375" style="2194" customWidth="1"/>
    <col min="5" max="5" width="11.140625" style="2194" customWidth="1"/>
    <col min="6" max="6" width="10.7109375" style="2194" customWidth="1"/>
    <col min="7" max="7" width="10.140625" style="2194" customWidth="1"/>
    <col min="8" max="8" width="11.28515625" style="2194" customWidth="1"/>
    <col min="9" max="9" width="14.42578125" style="2195" customWidth="1"/>
    <col min="10" max="10" width="8.85546875" style="2194" customWidth="1"/>
    <col min="11" max="12" width="9.28515625" style="2194" customWidth="1"/>
    <col min="13" max="13" width="9" style="2194" customWidth="1"/>
    <col min="14" max="15" width="9.140625" style="2194"/>
    <col min="16" max="16" width="8.85546875" style="2194" customWidth="1"/>
    <col min="17" max="256" width="9.140625" style="2194"/>
    <col min="257" max="257" width="22.7109375" style="2194" customWidth="1"/>
    <col min="258" max="258" width="12.28515625" style="2194" customWidth="1"/>
    <col min="259" max="259" width="10.7109375" style="2194" customWidth="1"/>
    <col min="260" max="260" width="7.7109375" style="2194" customWidth="1"/>
    <col min="261" max="261" width="11.140625" style="2194" customWidth="1"/>
    <col min="262" max="262" width="10.7109375" style="2194" customWidth="1"/>
    <col min="263" max="263" width="10.140625" style="2194" customWidth="1"/>
    <col min="264" max="264" width="11.28515625" style="2194" customWidth="1"/>
    <col min="265" max="265" width="14.42578125" style="2194" customWidth="1"/>
    <col min="266" max="266" width="8.85546875" style="2194" customWidth="1"/>
    <col min="267" max="268" width="9.28515625" style="2194" customWidth="1"/>
    <col min="269" max="269" width="9" style="2194" customWidth="1"/>
    <col min="270" max="512" width="9.140625" style="2194"/>
    <col min="513" max="513" width="22.7109375" style="2194" customWidth="1"/>
    <col min="514" max="514" width="12.28515625" style="2194" customWidth="1"/>
    <col min="515" max="515" width="10.7109375" style="2194" customWidth="1"/>
    <col min="516" max="516" width="7.7109375" style="2194" customWidth="1"/>
    <col min="517" max="517" width="11.140625" style="2194" customWidth="1"/>
    <col min="518" max="518" width="10.7109375" style="2194" customWidth="1"/>
    <col min="519" max="519" width="10.140625" style="2194" customWidth="1"/>
    <col min="520" max="520" width="11.28515625" style="2194" customWidth="1"/>
    <col min="521" max="521" width="14.42578125" style="2194" customWidth="1"/>
    <col min="522" max="522" width="8.85546875" style="2194" customWidth="1"/>
    <col min="523" max="524" width="9.28515625" style="2194" customWidth="1"/>
    <col min="525" max="525" width="9" style="2194" customWidth="1"/>
    <col min="526" max="768" width="9.140625" style="2194"/>
    <col min="769" max="769" width="22.7109375" style="2194" customWidth="1"/>
    <col min="770" max="770" width="12.28515625" style="2194" customWidth="1"/>
    <col min="771" max="771" width="10.7109375" style="2194" customWidth="1"/>
    <col min="772" max="772" width="7.7109375" style="2194" customWidth="1"/>
    <col min="773" max="773" width="11.140625" style="2194" customWidth="1"/>
    <col min="774" max="774" width="10.7109375" style="2194" customWidth="1"/>
    <col min="775" max="775" width="10.140625" style="2194" customWidth="1"/>
    <col min="776" max="776" width="11.28515625" style="2194" customWidth="1"/>
    <col min="777" max="777" width="14.42578125" style="2194" customWidth="1"/>
    <col min="778" max="778" width="8.85546875" style="2194" customWidth="1"/>
    <col min="779" max="780" width="9.28515625" style="2194" customWidth="1"/>
    <col min="781" max="781" width="9" style="2194" customWidth="1"/>
    <col min="782" max="1024" width="9.140625" style="2194"/>
    <col min="1025" max="1025" width="22.7109375" style="2194" customWidth="1"/>
    <col min="1026" max="1026" width="12.28515625" style="2194" customWidth="1"/>
    <col min="1027" max="1027" width="10.7109375" style="2194" customWidth="1"/>
    <col min="1028" max="1028" width="7.7109375" style="2194" customWidth="1"/>
    <col min="1029" max="1029" width="11.140625" style="2194" customWidth="1"/>
    <col min="1030" max="1030" width="10.7109375" style="2194" customWidth="1"/>
    <col min="1031" max="1031" width="10.140625" style="2194" customWidth="1"/>
    <col min="1032" max="1032" width="11.28515625" style="2194" customWidth="1"/>
    <col min="1033" max="1033" width="14.42578125" style="2194" customWidth="1"/>
    <col min="1034" max="1034" width="8.85546875" style="2194" customWidth="1"/>
    <col min="1035" max="1036" width="9.28515625" style="2194" customWidth="1"/>
    <col min="1037" max="1037" width="9" style="2194" customWidth="1"/>
    <col min="1038" max="1280" width="9.140625" style="2194"/>
    <col min="1281" max="1281" width="22.7109375" style="2194" customWidth="1"/>
    <col min="1282" max="1282" width="12.28515625" style="2194" customWidth="1"/>
    <col min="1283" max="1283" width="10.7109375" style="2194" customWidth="1"/>
    <col min="1284" max="1284" width="7.7109375" style="2194" customWidth="1"/>
    <col min="1285" max="1285" width="11.140625" style="2194" customWidth="1"/>
    <col min="1286" max="1286" width="10.7109375" style="2194" customWidth="1"/>
    <col min="1287" max="1287" width="10.140625" style="2194" customWidth="1"/>
    <col min="1288" max="1288" width="11.28515625" style="2194" customWidth="1"/>
    <col min="1289" max="1289" width="14.42578125" style="2194" customWidth="1"/>
    <col min="1290" max="1290" width="8.85546875" style="2194" customWidth="1"/>
    <col min="1291" max="1292" width="9.28515625" style="2194" customWidth="1"/>
    <col min="1293" max="1293" width="9" style="2194" customWidth="1"/>
    <col min="1294" max="1536" width="9.140625" style="2194"/>
    <col min="1537" max="1537" width="22.7109375" style="2194" customWidth="1"/>
    <col min="1538" max="1538" width="12.28515625" style="2194" customWidth="1"/>
    <col min="1539" max="1539" width="10.7109375" style="2194" customWidth="1"/>
    <col min="1540" max="1540" width="7.7109375" style="2194" customWidth="1"/>
    <col min="1541" max="1541" width="11.140625" style="2194" customWidth="1"/>
    <col min="1542" max="1542" width="10.7109375" style="2194" customWidth="1"/>
    <col min="1543" max="1543" width="10.140625" style="2194" customWidth="1"/>
    <col min="1544" max="1544" width="11.28515625" style="2194" customWidth="1"/>
    <col min="1545" max="1545" width="14.42578125" style="2194" customWidth="1"/>
    <col min="1546" max="1546" width="8.85546875" style="2194" customWidth="1"/>
    <col min="1547" max="1548" width="9.28515625" style="2194" customWidth="1"/>
    <col min="1549" max="1549" width="9" style="2194" customWidth="1"/>
    <col min="1550" max="1792" width="9.140625" style="2194"/>
    <col min="1793" max="1793" width="22.7109375" style="2194" customWidth="1"/>
    <col min="1794" max="1794" width="12.28515625" style="2194" customWidth="1"/>
    <col min="1795" max="1795" width="10.7109375" style="2194" customWidth="1"/>
    <col min="1796" max="1796" width="7.7109375" style="2194" customWidth="1"/>
    <col min="1797" max="1797" width="11.140625" style="2194" customWidth="1"/>
    <col min="1798" max="1798" width="10.7109375" style="2194" customWidth="1"/>
    <col min="1799" max="1799" width="10.140625" style="2194" customWidth="1"/>
    <col min="1800" max="1800" width="11.28515625" style="2194" customWidth="1"/>
    <col min="1801" max="1801" width="14.42578125" style="2194" customWidth="1"/>
    <col min="1802" max="1802" width="8.85546875" style="2194" customWidth="1"/>
    <col min="1803" max="1804" width="9.28515625" style="2194" customWidth="1"/>
    <col min="1805" max="1805" width="9" style="2194" customWidth="1"/>
    <col min="1806" max="2048" width="9.140625" style="2194"/>
    <col min="2049" max="2049" width="22.7109375" style="2194" customWidth="1"/>
    <col min="2050" max="2050" width="12.28515625" style="2194" customWidth="1"/>
    <col min="2051" max="2051" width="10.7109375" style="2194" customWidth="1"/>
    <col min="2052" max="2052" width="7.7109375" style="2194" customWidth="1"/>
    <col min="2053" max="2053" width="11.140625" style="2194" customWidth="1"/>
    <col min="2054" max="2054" width="10.7109375" style="2194" customWidth="1"/>
    <col min="2055" max="2055" width="10.140625" style="2194" customWidth="1"/>
    <col min="2056" max="2056" width="11.28515625" style="2194" customWidth="1"/>
    <col min="2057" max="2057" width="14.42578125" style="2194" customWidth="1"/>
    <col min="2058" max="2058" width="8.85546875" style="2194" customWidth="1"/>
    <col min="2059" max="2060" width="9.28515625" style="2194" customWidth="1"/>
    <col min="2061" max="2061" width="9" style="2194" customWidth="1"/>
    <col min="2062" max="2304" width="9.140625" style="2194"/>
    <col min="2305" max="2305" width="22.7109375" style="2194" customWidth="1"/>
    <col min="2306" max="2306" width="12.28515625" style="2194" customWidth="1"/>
    <col min="2307" max="2307" width="10.7109375" style="2194" customWidth="1"/>
    <col min="2308" max="2308" width="7.7109375" style="2194" customWidth="1"/>
    <col min="2309" max="2309" width="11.140625" style="2194" customWidth="1"/>
    <col min="2310" max="2310" width="10.7109375" style="2194" customWidth="1"/>
    <col min="2311" max="2311" width="10.140625" style="2194" customWidth="1"/>
    <col min="2312" max="2312" width="11.28515625" style="2194" customWidth="1"/>
    <col min="2313" max="2313" width="14.42578125" style="2194" customWidth="1"/>
    <col min="2314" max="2314" width="8.85546875" style="2194" customWidth="1"/>
    <col min="2315" max="2316" width="9.28515625" style="2194" customWidth="1"/>
    <col min="2317" max="2317" width="9" style="2194" customWidth="1"/>
    <col min="2318" max="2560" width="9.140625" style="2194"/>
    <col min="2561" max="2561" width="22.7109375" style="2194" customWidth="1"/>
    <col min="2562" max="2562" width="12.28515625" style="2194" customWidth="1"/>
    <col min="2563" max="2563" width="10.7109375" style="2194" customWidth="1"/>
    <col min="2564" max="2564" width="7.7109375" style="2194" customWidth="1"/>
    <col min="2565" max="2565" width="11.140625" style="2194" customWidth="1"/>
    <col min="2566" max="2566" width="10.7109375" style="2194" customWidth="1"/>
    <col min="2567" max="2567" width="10.140625" style="2194" customWidth="1"/>
    <col min="2568" max="2568" width="11.28515625" style="2194" customWidth="1"/>
    <col min="2569" max="2569" width="14.42578125" style="2194" customWidth="1"/>
    <col min="2570" max="2570" width="8.85546875" style="2194" customWidth="1"/>
    <col min="2571" max="2572" width="9.28515625" style="2194" customWidth="1"/>
    <col min="2573" max="2573" width="9" style="2194" customWidth="1"/>
    <col min="2574" max="2816" width="9.140625" style="2194"/>
    <col min="2817" max="2817" width="22.7109375" style="2194" customWidth="1"/>
    <col min="2818" max="2818" width="12.28515625" style="2194" customWidth="1"/>
    <col min="2819" max="2819" width="10.7109375" style="2194" customWidth="1"/>
    <col min="2820" max="2820" width="7.7109375" style="2194" customWidth="1"/>
    <col min="2821" max="2821" width="11.140625" style="2194" customWidth="1"/>
    <col min="2822" max="2822" width="10.7109375" style="2194" customWidth="1"/>
    <col min="2823" max="2823" width="10.140625" style="2194" customWidth="1"/>
    <col min="2824" max="2824" width="11.28515625" style="2194" customWidth="1"/>
    <col min="2825" max="2825" width="14.42578125" style="2194" customWidth="1"/>
    <col min="2826" max="2826" width="8.85546875" style="2194" customWidth="1"/>
    <col min="2827" max="2828" width="9.28515625" style="2194" customWidth="1"/>
    <col min="2829" max="2829" width="9" style="2194" customWidth="1"/>
    <col min="2830" max="3072" width="9.140625" style="2194"/>
    <col min="3073" max="3073" width="22.7109375" style="2194" customWidth="1"/>
    <col min="3074" max="3074" width="12.28515625" style="2194" customWidth="1"/>
    <col min="3075" max="3075" width="10.7109375" style="2194" customWidth="1"/>
    <col min="3076" max="3076" width="7.7109375" style="2194" customWidth="1"/>
    <col min="3077" max="3077" width="11.140625" style="2194" customWidth="1"/>
    <col min="3078" max="3078" width="10.7109375" style="2194" customWidth="1"/>
    <col min="3079" max="3079" width="10.140625" style="2194" customWidth="1"/>
    <col min="3080" max="3080" width="11.28515625" style="2194" customWidth="1"/>
    <col min="3081" max="3081" width="14.42578125" style="2194" customWidth="1"/>
    <col min="3082" max="3082" width="8.85546875" style="2194" customWidth="1"/>
    <col min="3083" max="3084" width="9.28515625" style="2194" customWidth="1"/>
    <col min="3085" max="3085" width="9" style="2194" customWidth="1"/>
    <col min="3086" max="3328" width="9.140625" style="2194"/>
    <col min="3329" max="3329" width="22.7109375" style="2194" customWidth="1"/>
    <col min="3330" max="3330" width="12.28515625" style="2194" customWidth="1"/>
    <col min="3331" max="3331" width="10.7109375" style="2194" customWidth="1"/>
    <col min="3332" max="3332" width="7.7109375" style="2194" customWidth="1"/>
    <col min="3333" max="3333" width="11.140625" style="2194" customWidth="1"/>
    <col min="3334" max="3334" width="10.7109375" style="2194" customWidth="1"/>
    <col min="3335" max="3335" width="10.140625" style="2194" customWidth="1"/>
    <col min="3336" max="3336" width="11.28515625" style="2194" customWidth="1"/>
    <col min="3337" max="3337" width="14.42578125" style="2194" customWidth="1"/>
    <col min="3338" max="3338" width="8.85546875" style="2194" customWidth="1"/>
    <col min="3339" max="3340" width="9.28515625" style="2194" customWidth="1"/>
    <col min="3341" max="3341" width="9" style="2194" customWidth="1"/>
    <col min="3342" max="3584" width="9.140625" style="2194"/>
    <col min="3585" max="3585" width="22.7109375" style="2194" customWidth="1"/>
    <col min="3586" max="3586" width="12.28515625" style="2194" customWidth="1"/>
    <col min="3587" max="3587" width="10.7109375" style="2194" customWidth="1"/>
    <col min="3588" max="3588" width="7.7109375" style="2194" customWidth="1"/>
    <col min="3589" max="3589" width="11.140625" style="2194" customWidth="1"/>
    <col min="3590" max="3590" width="10.7109375" style="2194" customWidth="1"/>
    <col min="3591" max="3591" width="10.140625" style="2194" customWidth="1"/>
    <col min="3592" max="3592" width="11.28515625" style="2194" customWidth="1"/>
    <col min="3593" max="3593" width="14.42578125" style="2194" customWidth="1"/>
    <col min="3594" max="3594" width="8.85546875" style="2194" customWidth="1"/>
    <col min="3595" max="3596" width="9.28515625" style="2194" customWidth="1"/>
    <col min="3597" max="3597" width="9" style="2194" customWidth="1"/>
    <col min="3598" max="3840" width="9.140625" style="2194"/>
    <col min="3841" max="3841" width="22.7109375" style="2194" customWidth="1"/>
    <col min="3842" max="3842" width="12.28515625" style="2194" customWidth="1"/>
    <col min="3843" max="3843" width="10.7109375" style="2194" customWidth="1"/>
    <col min="3844" max="3844" width="7.7109375" style="2194" customWidth="1"/>
    <col min="3845" max="3845" width="11.140625" style="2194" customWidth="1"/>
    <col min="3846" max="3846" width="10.7109375" style="2194" customWidth="1"/>
    <col min="3847" max="3847" width="10.140625" style="2194" customWidth="1"/>
    <col min="3848" max="3848" width="11.28515625" style="2194" customWidth="1"/>
    <col min="3849" max="3849" width="14.42578125" style="2194" customWidth="1"/>
    <col min="3850" max="3850" width="8.85546875" style="2194" customWidth="1"/>
    <col min="3851" max="3852" width="9.28515625" style="2194" customWidth="1"/>
    <col min="3853" max="3853" width="9" style="2194" customWidth="1"/>
    <col min="3854" max="4096" width="9.140625" style="2194"/>
    <col min="4097" max="4097" width="22.7109375" style="2194" customWidth="1"/>
    <col min="4098" max="4098" width="12.28515625" style="2194" customWidth="1"/>
    <col min="4099" max="4099" width="10.7109375" style="2194" customWidth="1"/>
    <col min="4100" max="4100" width="7.7109375" style="2194" customWidth="1"/>
    <col min="4101" max="4101" width="11.140625" style="2194" customWidth="1"/>
    <col min="4102" max="4102" width="10.7109375" style="2194" customWidth="1"/>
    <col min="4103" max="4103" width="10.140625" style="2194" customWidth="1"/>
    <col min="4104" max="4104" width="11.28515625" style="2194" customWidth="1"/>
    <col min="4105" max="4105" width="14.42578125" style="2194" customWidth="1"/>
    <col min="4106" max="4106" width="8.85546875" style="2194" customWidth="1"/>
    <col min="4107" max="4108" width="9.28515625" style="2194" customWidth="1"/>
    <col min="4109" max="4109" width="9" style="2194" customWidth="1"/>
    <col min="4110" max="4352" width="9.140625" style="2194"/>
    <col min="4353" max="4353" width="22.7109375" style="2194" customWidth="1"/>
    <col min="4354" max="4354" width="12.28515625" style="2194" customWidth="1"/>
    <col min="4355" max="4355" width="10.7109375" style="2194" customWidth="1"/>
    <col min="4356" max="4356" width="7.7109375" style="2194" customWidth="1"/>
    <col min="4357" max="4357" width="11.140625" style="2194" customWidth="1"/>
    <col min="4358" max="4358" width="10.7109375" style="2194" customWidth="1"/>
    <col min="4359" max="4359" width="10.140625" style="2194" customWidth="1"/>
    <col min="4360" max="4360" width="11.28515625" style="2194" customWidth="1"/>
    <col min="4361" max="4361" width="14.42578125" style="2194" customWidth="1"/>
    <col min="4362" max="4362" width="8.85546875" style="2194" customWidth="1"/>
    <col min="4363" max="4364" width="9.28515625" style="2194" customWidth="1"/>
    <col min="4365" max="4365" width="9" style="2194" customWidth="1"/>
    <col min="4366" max="4608" width="9.140625" style="2194"/>
    <col min="4609" max="4609" width="22.7109375" style="2194" customWidth="1"/>
    <col min="4610" max="4610" width="12.28515625" style="2194" customWidth="1"/>
    <col min="4611" max="4611" width="10.7109375" style="2194" customWidth="1"/>
    <col min="4612" max="4612" width="7.7109375" style="2194" customWidth="1"/>
    <col min="4613" max="4613" width="11.140625" style="2194" customWidth="1"/>
    <col min="4614" max="4614" width="10.7109375" style="2194" customWidth="1"/>
    <col min="4615" max="4615" width="10.140625" style="2194" customWidth="1"/>
    <col min="4616" max="4616" width="11.28515625" style="2194" customWidth="1"/>
    <col min="4617" max="4617" width="14.42578125" style="2194" customWidth="1"/>
    <col min="4618" max="4618" width="8.85546875" style="2194" customWidth="1"/>
    <col min="4619" max="4620" width="9.28515625" style="2194" customWidth="1"/>
    <col min="4621" max="4621" width="9" style="2194" customWidth="1"/>
    <col min="4622" max="4864" width="9.140625" style="2194"/>
    <col min="4865" max="4865" width="22.7109375" style="2194" customWidth="1"/>
    <col min="4866" max="4866" width="12.28515625" style="2194" customWidth="1"/>
    <col min="4867" max="4867" width="10.7109375" style="2194" customWidth="1"/>
    <col min="4868" max="4868" width="7.7109375" style="2194" customWidth="1"/>
    <col min="4869" max="4869" width="11.140625" style="2194" customWidth="1"/>
    <col min="4870" max="4870" width="10.7109375" style="2194" customWidth="1"/>
    <col min="4871" max="4871" width="10.140625" style="2194" customWidth="1"/>
    <col min="4872" max="4872" width="11.28515625" style="2194" customWidth="1"/>
    <col min="4873" max="4873" width="14.42578125" style="2194" customWidth="1"/>
    <col min="4874" max="4874" width="8.85546875" style="2194" customWidth="1"/>
    <col min="4875" max="4876" width="9.28515625" style="2194" customWidth="1"/>
    <col min="4877" max="4877" width="9" style="2194" customWidth="1"/>
    <col min="4878" max="5120" width="9.140625" style="2194"/>
    <col min="5121" max="5121" width="22.7109375" style="2194" customWidth="1"/>
    <col min="5122" max="5122" width="12.28515625" style="2194" customWidth="1"/>
    <col min="5123" max="5123" width="10.7109375" style="2194" customWidth="1"/>
    <col min="5124" max="5124" width="7.7109375" style="2194" customWidth="1"/>
    <col min="5125" max="5125" width="11.140625" style="2194" customWidth="1"/>
    <col min="5126" max="5126" width="10.7109375" style="2194" customWidth="1"/>
    <col min="5127" max="5127" width="10.140625" style="2194" customWidth="1"/>
    <col min="5128" max="5128" width="11.28515625" style="2194" customWidth="1"/>
    <col min="5129" max="5129" width="14.42578125" style="2194" customWidth="1"/>
    <col min="5130" max="5130" width="8.85546875" style="2194" customWidth="1"/>
    <col min="5131" max="5132" width="9.28515625" style="2194" customWidth="1"/>
    <col min="5133" max="5133" width="9" style="2194" customWidth="1"/>
    <col min="5134" max="5376" width="9.140625" style="2194"/>
    <col min="5377" max="5377" width="22.7109375" style="2194" customWidth="1"/>
    <col min="5378" max="5378" width="12.28515625" style="2194" customWidth="1"/>
    <col min="5379" max="5379" width="10.7109375" style="2194" customWidth="1"/>
    <col min="5380" max="5380" width="7.7109375" style="2194" customWidth="1"/>
    <col min="5381" max="5381" width="11.140625" style="2194" customWidth="1"/>
    <col min="5382" max="5382" width="10.7109375" style="2194" customWidth="1"/>
    <col min="5383" max="5383" width="10.140625" style="2194" customWidth="1"/>
    <col min="5384" max="5384" width="11.28515625" style="2194" customWidth="1"/>
    <col min="5385" max="5385" width="14.42578125" style="2194" customWidth="1"/>
    <col min="5386" max="5386" width="8.85546875" style="2194" customWidth="1"/>
    <col min="5387" max="5388" width="9.28515625" style="2194" customWidth="1"/>
    <col min="5389" max="5389" width="9" style="2194" customWidth="1"/>
    <col min="5390" max="5632" width="9.140625" style="2194"/>
    <col min="5633" max="5633" width="22.7109375" style="2194" customWidth="1"/>
    <col min="5634" max="5634" width="12.28515625" style="2194" customWidth="1"/>
    <col min="5635" max="5635" width="10.7109375" style="2194" customWidth="1"/>
    <col min="5636" max="5636" width="7.7109375" style="2194" customWidth="1"/>
    <col min="5637" max="5637" width="11.140625" style="2194" customWidth="1"/>
    <col min="5638" max="5638" width="10.7109375" style="2194" customWidth="1"/>
    <col min="5639" max="5639" width="10.140625" style="2194" customWidth="1"/>
    <col min="5640" max="5640" width="11.28515625" style="2194" customWidth="1"/>
    <col min="5641" max="5641" width="14.42578125" style="2194" customWidth="1"/>
    <col min="5642" max="5642" width="8.85546875" style="2194" customWidth="1"/>
    <col min="5643" max="5644" width="9.28515625" style="2194" customWidth="1"/>
    <col min="5645" max="5645" width="9" style="2194" customWidth="1"/>
    <col min="5646" max="5888" width="9.140625" style="2194"/>
    <col min="5889" max="5889" width="22.7109375" style="2194" customWidth="1"/>
    <col min="5890" max="5890" width="12.28515625" style="2194" customWidth="1"/>
    <col min="5891" max="5891" width="10.7109375" style="2194" customWidth="1"/>
    <col min="5892" max="5892" width="7.7109375" style="2194" customWidth="1"/>
    <col min="5893" max="5893" width="11.140625" style="2194" customWidth="1"/>
    <col min="5894" max="5894" width="10.7109375" style="2194" customWidth="1"/>
    <col min="5895" max="5895" width="10.140625" style="2194" customWidth="1"/>
    <col min="5896" max="5896" width="11.28515625" style="2194" customWidth="1"/>
    <col min="5897" max="5897" width="14.42578125" style="2194" customWidth="1"/>
    <col min="5898" max="5898" width="8.85546875" style="2194" customWidth="1"/>
    <col min="5899" max="5900" width="9.28515625" style="2194" customWidth="1"/>
    <col min="5901" max="5901" width="9" style="2194" customWidth="1"/>
    <col min="5902" max="6144" width="9.140625" style="2194"/>
    <col min="6145" max="6145" width="22.7109375" style="2194" customWidth="1"/>
    <col min="6146" max="6146" width="12.28515625" style="2194" customWidth="1"/>
    <col min="6147" max="6147" width="10.7109375" style="2194" customWidth="1"/>
    <col min="6148" max="6148" width="7.7109375" style="2194" customWidth="1"/>
    <col min="6149" max="6149" width="11.140625" style="2194" customWidth="1"/>
    <col min="6150" max="6150" width="10.7109375" style="2194" customWidth="1"/>
    <col min="6151" max="6151" width="10.140625" style="2194" customWidth="1"/>
    <col min="6152" max="6152" width="11.28515625" style="2194" customWidth="1"/>
    <col min="6153" max="6153" width="14.42578125" style="2194" customWidth="1"/>
    <col min="6154" max="6154" width="8.85546875" style="2194" customWidth="1"/>
    <col min="6155" max="6156" width="9.28515625" style="2194" customWidth="1"/>
    <col min="6157" max="6157" width="9" style="2194" customWidth="1"/>
    <col min="6158" max="6400" width="9.140625" style="2194"/>
    <col min="6401" max="6401" width="22.7109375" style="2194" customWidth="1"/>
    <col min="6402" max="6402" width="12.28515625" style="2194" customWidth="1"/>
    <col min="6403" max="6403" width="10.7109375" style="2194" customWidth="1"/>
    <col min="6404" max="6404" width="7.7109375" style="2194" customWidth="1"/>
    <col min="6405" max="6405" width="11.140625" style="2194" customWidth="1"/>
    <col min="6406" max="6406" width="10.7109375" style="2194" customWidth="1"/>
    <col min="6407" max="6407" width="10.140625" style="2194" customWidth="1"/>
    <col min="6408" max="6408" width="11.28515625" style="2194" customWidth="1"/>
    <col min="6409" max="6409" width="14.42578125" style="2194" customWidth="1"/>
    <col min="6410" max="6410" width="8.85546875" style="2194" customWidth="1"/>
    <col min="6411" max="6412" width="9.28515625" style="2194" customWidth="1"/>
    <col min="6413" max="6413" width="9" style="2194" customWidth="1"/>
    <col min="6414" max="6656" width="9.140625" style="2194"/>
    <col min="6657" max="6657" width="22.7109375" style="2194" customWidth="1"/>
    <col min="6658" max="6658" width="12.28515625" style="2194" customWidth="1"/>
    <col min="6659" max="6659" width="10.7109375" style="2194" customWidth="1"/>
    <col min="6660" max="6660" width="7.7109375" style="2194" customWidth="1"/>
    <col min="6661" max="6661" width="11.140625" style="2194" customWidth="1"/>
    <col min="6662" max="6662" width="10.7109375" style="2194" customWidth="1"/>
    <col min="6663" max="6663" width="10.140625" style="2194" customWidth="1"/>
    <col min="6664" max="6664" width="11.28515625" style="2194" customWidth="1"/>
    <col min="6665" max="6665" width="14.42578125" style="2194" customWidth="1"/>
    <col min="6666" max="6666" width="8.85546875" style="2194" customWidth="1"/>
    <col min="6667" max="6668" width="9.28515625" style="2194" customWidth="1"/>
    <col min="6669" max="6669" width="9" style="2194" customWidth="1"/>
    <col min="6670" max="6912" width="9.140625" style="2194"/>
    <col min="6913" max="6913" width="22.7109375" style="2194" customWidth="1"/>
    <col min="6914" max="6914" width="12.28515625" style="2194" customWidth="1"/>
    <col min="6915" max="6915" width="10.7109375" style="2194" customWidth="1"/>
    <col min="6916" max="6916" width="7.7109375" style="2194" customWidth="1"/>
    <col min="6917" max="6917" width="11.140625" style="2194" customWidth="1"/>
    <col min="6918" max="6918" width="10.7109375" style="2194" customWidth="1"/>
    <col min="6919" max="6919" width="10.140625" style="2194" customWidth="1"/>
    <col min="6920" max="6920" width="11.28515625" style="2194" customWidth="1"/>
    <col min="6921" max="6921" width="14.42578125" style="2194" customWidth="1"/>
    <col min="6922" max="6922" width="8.85546875" style="2194" customWidth="1"/>
    <col min="6923" max="6924" width="9.28515625" style="2194" customWidth="1"/>
    <col min="6925" max="6925" width="9" style="2194" customWidth="1"/>
    <col min="6926" max="7168" width="9.140625" style="2194"/>
    <col min="7169" max="7169" width="22.7109375" style="2194" customWidth="1"/>
    <col min="7170" max="7170" width="12.28515625" style="2194" customWidth="1"/>
    <col min="7171" max="7171" width="10.7109375" style="2194" customWidth="1"/>
    <col min="7172" max="7172" width="7.7109375" style="2194" customWidth="1"/>
    <col min="7173" max="7173" width="11.140625" style="2194" customWidth="1"/>
    <col min="7174" max="7174" width="10.7109375" style="2194" customWidth="1"/>
    <col min="7175" max="7175" width="10.140625" style="2194" customWidth="1"/>
    <col min="7176" max="7176" width="11.28515625" style="2194" customWidth="1"/>
    <col min="7177" max="7177" width="14.42578125" style="2194" customWidth="1"/>
    <col min="7178" max="7178" width="8.85546875" style="2194" customWidth="1"/>
    <col min="7179" max="7180" width="9.28515625" style="2194" customWidth="1"/>
    <col min="7181" max="7181" width="9" style="2194" customWidth="1"/>
    <col min="7182" max="7424" width="9.140625" style="2194"/>
    <col min="7425" max="7425" width="22.7109375" style="2194" customWidth="1"/>
    <col min="7426" max="7426" width="12.28515625" style="2194" customWidth="1"/>
    <col min="7427" max="7427" width="10.7109375" style="2194" customWidth="1"/>
    <col min="7428" max="7428" width="7.7109375" style="2194" customWidth="1"/>
    <col min="7429" max="7429" width="11.140625" style="2194" customWidth="1"/>
    <col min="7430" max="7430" width="10.7109375" style="2194" customWidth="1"/>
    <col min="7431" max="7431" width="10.140625" style="2194" customWidth="1"/>
    <col min="7432" max="7432" width="11.28515625" style="2194" customWidth="1"/>
    <col min="7433" max="7433" width="14.42578125" style="2194" customWidth="1"/>
    <col min="7434" max="7434" width="8.85546875" style="2194" customWidth="1"/>
    <col min="7435" max="7436" width="9.28515625" style="2194" customWidth="1"/>
    <col min="7437" max="7437" width="9" style="2194" customWidth="1"/>
    <col min="7438" max="7680" width="9.140625" style="2194"/>
    <col min="7681" max="7681" width="22.7109375" style="2194" customWidth="1"/>
    <col min="7682" max="7682" width="12.28515625" style="2194" customWidth="1"/>
    <col min="7683" max="7683" width="10.7109375" style="2194" customWidth="1"/>
    <col min="7684" max="7684" width="7.7109375" style="2194" customWidth="1"/>
    <col min="7685" max="7685" width="11.140625" style="2194" customWidth="1"/>
    <col min="7686" max="7686" width="10.7109375" style="2194" customWidth="1"/>
    <col min="7687" max="7687" width="10.140625" style="2194" customWidth="1"/>
    <col min="7688" max="7688" width="11.28515625" style="2194" customWidth="1"/>
    <col min="7689" max="7689" width="14.42578125" style="2194" customWidth="1"/>
    <col min="7690" max="7690" width="8.85546875" style="2194" customWidth="1"/>
    <col min="7691" max="7692" width="9.28515625" style="2194" customWidth="1"/>
    <col min="7693" max="7693" width="9" style="2194" customWidth="1"/>
    <col min="7694" max="7936" width="9.140625" style="2194"/>
    <col min="7937" max="7937" width="22.7109375" style="2194" customWidth="1"/>
    <col min="7938" max="7938" width="12.28515625" style="2194" customWidth="1"/>
    <col min="7939" max="7939" width="10.7109375" style="2194" customWidth="1"/>
    <col min="7940" max="7940" width="7.7109375" style="2194" customWidth="1"/>
    <col min="7941" max="7941" width="11.140625" style="2194" customWidth="1"/>
    <col min="7942" max="7942" width="10.7109375" style="2194" customWidth="1"/>
    <col min="7943" max="7943" width="10.140625" style="2194" customWidth="1"/>
    <col min="7944" max="7944" width="11.28515625" style="2194" customWidth="1"/>
    <col min="7945" max="7945" width="14.42578125" style="2194" customWidth="1"/>
    <col min="7946" max="7946" width="8.85546875" style="2194" customWidth="1"/>
    <col min="7947" max="7948" width="9.28515625" style="2194" customWidth="1"/>
    <col min="7949" max="7949" width="9" style="2194" customWidth="1"/>
    <col min="7950" max="8192" width="9.140625" style="2194"/>
    <col min="8193" max="8193" width="22.7109375" style="2194" customWidth="1"/>
    <col min="8194" max="8194" width="12.28515625" style="2194" customWidth="1"/>
    <col min="8195" max="8195" width="10.7109375" style="2194" customWidth="1"/>
    <col min="8196" max="8196" width="7.7109375" style="2194" customWidth="1"/>
    <col min="8197" max="8197" width="11.140625" style="2194" customWidth="1"/>
    <col min="8198" max="8198" width="10.7109375" style="2194" customWidth="1"/>
    <col min="8199" max="8199" width="10.140625" style="2194" customWidth="1"/>
    <col min="8200" max="8200" width="11.28515625" style="2194" customWidth="1"/>
    <col min="8201" max="8201" width="14.42578125" style="2194" customWidth="1"/>
    <col min="8202" max="8202" width="8.85546875" style="2194" customWidth="1"/>
    <col min="8203" max="8204" width="9.28515625" style="2194" customWidth="1"/>
    <col min="8205" max="8205" width="9" style="2194" customWidth="1"/>
    <col min="8206" max="8448" width="9.140625" style="2194"/>
    <col min="8449" max="8449" width="22.7109375" style="2194" customWidth="1"/>
    <col min="8450" max="8450" width="12.28515625" style="2194" customWidth="1"/>
    <col min="8451" max="8451" width="10.7109375" style="2194" customWidth="1"/>
    <col min="8452" max="8452" width="7.7109375" style="2194" customWidth="1"/>
    <col min="8453" max="8453" width="11.140625" style="2194" customWidth="1"/>
    <col min="8454" max="8454" width="10.7109375" style="2194" customWidth="1"/>
    <col min="8455" max="8455" width="10.140625" style="2194" customWidth="1"/>
    <col min="8456" max="8456" width="11.28515625" style="2194" customWidth="1"/>
    <col min="8457" max="8457" width="14.42578125" style="2194" customWidth="1"/>
    <col min="8458" max="8458" width="8.85546875" style="2194" customWidth="1"/>
    <col min="8459" max="8460" width="9.28515625" style="2194" customWidth="1"/>
    <col min="8461" max="8461" width="9" style="2194" customWidth="1"/>
    <col min="8462" max="8704" width="9.140625" style="2194"/>
    <col min="8705" max="8705" width="22.7109375" style="2194" customWidth="1"/>
    <col min="8706" max="8706" width="12.28515625" style="2194" customWidth="1"/>
    <col min="8707" max="8707" width="10.7109375" style="2194" customWidth="1"/>
    <col min="8708" max="8708" width="7.7109375" style="2194" customWidth="1"/>
    <col min="8709" max="8709" width="11.140625" style="2194" customWidth="1"/>
    <col min="8710" max="8710" width="10.7109375" style="2194" customWidth="1"/>
    <col min="8711" max="8711" width="10.140625" style="2194" customWidth="1"/>
    <col min="8712" max="8712" width="11.28515625" style="2194" customWidth="1"/>
    <col min="8713" max="8713" width="14.42578125" style="2194" customWidth="1"/>
    <col min="8714" max="8714" width="8.85546875" style="2194" customWidth="1"/>
    <col min="8715" max="8716" width="9.28515625" style="2194" customWidth="1"/>
    <col min="8717" max="8717" width="9" style="2194" customWidth="1"/>
    <col min="8718" max="8960" width="9.140625" style="2194"/>
    <col min="8961" max="8961" width="22.7109375" style="2194" customWidth="1"/>
    <col min="8962" max="8962" width="12.28515625" style="2194" customWidth="1"/>
    <col min="8963" max="8963" width="10.7109375" style="2194" customWidth="1"/>
    <col min="8964" max="8964" width="7.7109375" style="2194" customWidth="1"/>
    <col min="8965" max="8965" width="11.140625" style="2194" customWidth="1"/>
    <col min="8966" max="8966" width="10.7109375" style="2194" customWidth="1"/>
    <col min="8967" max="8967" width="10.140625" style="2194" customWidth="1"/>
    <col min="8968" max="8968" width="11.28515625" style="2194" customWidth="1"/>
    <col min="8969" max="8969" width="14.42578125" style="2194" customWidth="1"/>
    <col min="8970" max="8970" width="8.85546875" style="2194" customWidth="1"/>
    <col min="8971" max="8972" width="9.28515625" style="2194" customWidth="1"/>
    <col min="8973" max="8973" width="9" style="2194" customWidth="1"/>
    <col min="8974" max="9216" width="9.140625" style="2194"/>
    <col min="9217" max="9217" width="22.7109375" style="2194" customWidth="1"/>
    <col min="9218" max="9218" width="12.28515625" style="2194" customWidth="1"/>
    <col min="9219" max="9219" width="10.7109375" style="2194" customWidth="1"/>
    <col min="9220" max="9220" width="7.7109375" style="2194" customWidth="1"/>
    <col min="9221" max="9221" width="11.140625" style="2194" customWidth="1"/>
    <col min="9222" max="9222" width="10.7109375" style="2194" customWidth="1"/>
    <col min="9223" max="9223" width="10.140625" style="2194" customWidth="1"/>
    <col min="9224" max="9224" width="11.28515625" style="2194" customWidth="1"/>
    <col min="9225" max="9225" width="14.42578125" style="2194" customWidth="1"/>
    <col min="9226" max="9226" width="8.85546875" style="2194" customWidth="1"/>
    <col min="9227" max="9228" width="9.28515625" style="2194" customWidth="1"/>
    <col min="9229" max="9229" width="9" style="2194" customWidth="1"/>
    <col min="9230" max="9472" width="9.140625" style="2194"/>
    <col min="9473" max="9473" width="22.7109375" style="2194" customWidth="1"/>
    <col min="9474" max="9474" width="12.28515625" style="2194" customWidth="1"/>
    <col min="9475" max="9475" width="10.7109375" style="2194" customWidth="1"/>
    <col min="9476" max="9476" width="7.7109375" style="2194" customWidth="1"/>
    <col min="9477" max="9477" width="11.140625" style="2194" customWidth="1"/>
    <col min="9478" max="9478" width="10.7109375" style="2194" customWidth="1"/>
    <col min="9479" max="9479" width="10.140625" style="2194" customWidth="1"/>
    <col min="9480" max="9480" width="11.28515625" style="2194" customWidth="1"/>
    <col min="9481" max="9481" width="14.42578125" style="2194" customWidth="1"/>
    <col min="9482" max="9482" width="8.85546875" style="2194" customWidth="1"/>
    <col min="9483" max="9484" width="9.28515625" style="2194" customWidth="1"/>
    <col min="9485" max="9485" width="9" style="2194" customWidth="1"/>
    <col min="9486" max="9728" width="9.140625" style="2194"/>
    <col min="9729" max="9729" width="22.7109375" style="2194" customWidth="1"/>
    <col min="9730" max="9730" width="12.28515625" style="2194" customWidth="1"/>
    <col min="9731" max="9731" width="10.7109375" style="2194" customWidth="1"/>
    <col min="9732" max="9732" width="7.7109375" style="2194" customWidth="1"/>
    <col min="9733" max="9733" width="11.140625" style="2194" customWidth="1"/>
    <col min="9734" max="9734" width="10.7109375" style="2194" customWidth="1"/>
    <col min="9735" max="9735" width="10.140625" style="2194" customWidth="1"/>
    <col min="9736" max="9736" width="11.28515625" style="2194" customWidth="1"/>
    <col min="9737" max="9737" width="14.42578125" style="2194" customWidth="1"/>
    <col min="9738" max="9738" width="8.85546875" style="2194" customWidth="1"/>
    <col min="9739" max="9740" width="9.28515625" style="2194" customWidth="1"/>
    <col min="9741" max="9741" width="9" style="2194" customWidth="1"/>
    <col min="9742" max="9984" width="9.140625" style="2194"/>
    <col min="9985" max="9985" width="22.7109375" style="2194" customWidth="1"/>
    <col min="9986" max="9986" width="12.28515625" style="2194" customWidth="1"/>
    <col min="9987" max="9987" width="10.7109375" style="2194" customWidth="1"/>
    <col min="9988" max="9988" width="7.7109375" style="2194" customWidth="1"/>
    <col min="9989" max="9989" width="11.140625" style="2194" customWidth="1"/>
    <col min="9990" max="9990" width="10.7109375" style="2194" customWidth="1"/>
    <col min="9991" max="9991" width="10.140625" style="2194" customWidth="1"/>
    <col min="9992" max="9992" width="11.28515625" style="2194" customWidth="1"/>
    <col min="9993" max="9993" width="14.42578125" style="2194" customWidth="1"/>
    <col min="9994" max="9994" width="8.85546875" style="2194" customWidth="1"/>
    <col min="9995" max="9996" width="9.28515625" style="2194" customWidth="1"/>
    <col min="9997" max="9997" width="9" style="2194" customWidth="1"/>
    <col min="9998" max="10240" width="9.140625" style="2194"/>
    <col min="10241" max="10241" width="22.7109375" style="2194" customWidth="1"/>
    <col min="10242" max="10242" width="12.28515625" style="2194" customWidth="1"/>
    <col min="10243" max="10243" width="10.7109375" style="2194" customWidth="1"/>
    <col min="10244" max="10244" width="7.7109375" style="2194" customWidth="1"/>
    <col min="10245" max="10245" width="11.140625" style="2194" customWidth="1"/>
    <col min="10246" max="10246" width="10.7109375" style="2194" customWidth="1"/>
    <col min="10247" max="10247" width="10.140625" style="2194" customWidth="1"/>
    <col min="10248" max="10248" width="11.28515625" style="2194" customWidth="1"/>
    <col min="10249" max="10249" width="14.42578125" style="2194" customWidth="1"/>
    <col min="10250" max="10250" width="8.85546875" style="2194" customWidth="1"/>
    <col min="10251" max="10252" width="9.28515625" style="2194" customWidth="1"/>
    <col min="10253" max="10253" width="9" style="2194" customWidth="1"/>
    <col min="10254" max="10496" width="9.140625" style="2194"/>
    <col min="10497" max="10497" width="22.7109375" style="2194" customWidth="1"/>
    <col min="10498" max="10498" width="12.28515625" style="2194" customWidth="1"/>
    <col min="10499" max="10499" width="10.7109375" style="2194" customWidth="1"/>
    <col min="10500" max="10500" width="7.7109375" style="2194" customWidth="1"/>
    <col min="10501" max="10501" width="11.140625" style="2194" customWidth="1"/>
    <col min="10502" max="10502" width="10.7109375" style="2194" customWidth="1"/>
    <col min="10503" max="10503" width="10.140625" style="2194" customWidth="1"/>
    <col min="10504" max="10504" width="11.28515625" style="2194" customWidth="1"/>
    <col min="10505" max="10505" width="14.42578125" style="2194" customWidth="1"/>
    <col min="10506" max="10506" width="8.85546875" style="2194" customWidth="1"/>
    <col min="10507" max="10508" width="9.28515625" style="2194" customWidth="1"/>
    <col min="10509" max="10509" width="9" style="2194" customWidth="1"/>
    <col min="10510" max="10752" width="9.140625" style="2194"/>
    <col min="10753" max="10753" width="22.7109375" style="2194" customWidth="1"/>
    <col min="10754" max="10754" width="12.28515625" style="2194" customWidth="1"/>
    <col min="10755" max="10755" width="10.7109375" style="2194" customWidth="1"/>
    <col min="10756" max="10756" width="7.7109375" style="2194" customWidth="1"/>
    <col min="10757" max="10757" width="11.140625" style="2194" customWidth="1"/>
    <col min="10758" max="10758" width="10.7109375" style="2194" customWidth="1"/>
    <col min="10759" max="10759" width="10.140625" style="2194" customWidth="1"/>
    <col min="10760" max="10760" width="11.28515625" style="2194" customWidth="1"/>
    <col min="10761" max="10761" width="14.42578125" style="2194" customWidth="1"/>
    <col min="10762" max="10762" width="8.85546875" style="2194" customWidth="1"/>
    <col min="10763" max="10764" width="9.28515625" style="2194" customWidth="1"/>
    <col min="10765" max="10765" width="9" style="2194" customWidth="1"/>
    <col min="10766" max="11008" width="9.140625" style="2194"/>
    <col min="11009" max="11009" width="22.7109375" style="2194" customWidth="1"/>
    <col min="11010" max="11010" width="12.28515625" style="2194" customWidth="1"/>
    <col min="11011" max="11011" width="10.7109375" style="2194" customWidth="1"/>
    <col min="11012" max="11012" width="7.7109375" style="2194" customWidth="1"/>
    <col min="11013" max="11013" width="11.140625" style="2194" customWidth="1"/>
    <col min="11014" max="11014" width="10.7109375" style="2194" customWidth="1"/>
    <col min="11015" max="11015" width="10.140625" style="2194" customWidth="1"/>
    <col min="11016" max="11016" width="11.28515625" style="2194" customWidth="1"/>
    <col min="11017" max="11017" width="14.42578125" style="2194" customWidth="1"/>
    <col min="11018" max="11018" width="8.85546875" style="2194" customWidth="1"/>
    <col min="11019" max="11020" width="9.28515625" style="2194" customWidth="1"/>
    <col min="11021" max="11021" width="9" style="2194" customWidth="1"/>
    <col min="11022" max="11264" width="9.140625" style="2194"/>
    <col min="11265" max="11265" width="22.7109375" style="2194" customWidth="1"/>
    <col min="11266" max="11266" width="12.28515625" style="2194" customWidth="1"/>
    <col min="11267" max="11267" width="10.7109375" style="2194" customWidth="1"/>
    <col min="11268" max="11268" width="7.7109375" style="2194" customWidth="1"/>
    <col min="11269" max="11269" width="11.140625" style="2194" customWidth="1"/>
    <col min="11270" max="11270" width="10.7109375" style="2194" customWidth="1"/>
    <col min="11271" max="11271" width="10.140625" style="2194" customWidth="1"/>
    <col min="11272" max="11272" width="11.28515625" style="2194" customWidth="1"/>
    <col min="11273" max="11273" width="14.42578125" style="2194" customWidth="1"/>
    <col min="11274" max="11274" width="8.85546875" style="2194" customWidth="1"/>
    <col min="11275" max="11276" width="9.28515625" style="2194" customWidth="1"/>
    <col min="11277" max="11277" width="9" style="2194" customWidth="1"/>
    <col min="11278" max="11520" width="9.140625" style="2194"/>
    <col min="11521" max="11521" width="22.7109375" style="2194" customWidth="1"/>
    <col min="11522" max="11522" width="12.28515625" style="2194" customWidth="1"/>
    <col min="11523" max="11523" width="10.7109375" style="2194" customWidth="1"/>
    <col min="11524" max="11524" width="7.7109375" style="2194" customWidth="1"/>
    <col min="11525" max="11525" width="11.140625" style="2194" customWidth="1"/>
    <col min="11526" max="11526" width="10.7109375" style="2194" customWidth="1"/>
    <col min="11527" max="11527" width="10.140625" style="2194" customWidth="1"/>
    <col min="11528" max="11528" width="11.28515625" style="2194" customWidth="1"/>
    <col min="11529" max="11529" width="14.42578125" style="2194" customWidth="1"/>
    <col min="11530" max="11530" width="8.85546875" style="2194" customWidth="1"/>
    <col min="11531" max="11532" width="9.28515625" style="2194" customWidth="1"/>
    <col min="11533" max="11533" width="9" style="2194" customWidth="1"/>
    <col min="11534" max="11776" width="9.140625" style="2194"/>
    <col min="11777" max="11777" width="22.7109375" style="2194" customWidth="1"/>
    <col min="11778" max="11778" width="12.28515625" style="2194" customWidth="1"/>
    <col min="11779" max="11779" width="10.7109375" style="2194" customWidth="1"/>
    <col min="11780" max="11780" width="7.7109375" style="2194" customWidth="1"/>
    <col min="11781" max="11781" width="11.140625" style="2194" customWidth="1"/>
    <col min="11782" max="11782" width="10.7109375" style="2194" customWidth="1"/>
    <col min="11783" max="11783" width="10.140625" style="2194" customWidth="1"/>
    <col min="11784" max="11784" width="11.28515625" style="2194" customWidth="1"/>
    <col min="11785" max="11785" width="14.42578125" style="2194" customWidth="1"/>
    <col min="11786" max="11786" width="8.85546875" style="2194" customWidth="1"/>
    <col min="11787" max="11788" width="9.28515625" style="2194" customWidth="1"/>
    <col min="11789" max="11789" width="9" style="2194" customWidth="1"/>
    <col min="11790" max="12032" width="9.140625" style="2194"/>
    <col min="12033" max="12033" width="22.7109375" style="2194" customWidth="1"/>
    <col min="12034" max="12034" width="12.28515625" style="2194" customWidth="1"/>
    <col min="12035" max="12035" width="10.7109375" style="2194" customWidth="1"/>
    <col min="12036" max="12036" width="7.7109375" style="2194" customWidth="1"/>
    <col min="12037" max="12037" width="11.140625" style="2194" customWidth="1"/>
    <col min="12038" max="12038" width="10.7109375" style="2194" customWidth="1"/>
    <col min="12039" max="12039" width="10.140625" style="2194" customWidth="1"/>
    <col min="12040" max="12040" width="11.28515625" style="2194" customWidth="1"/>
    <col min="12041" max="12041" width="14.42578125" style="2194" customWidth="1"/>
    <col min="12042" max="12042" width="8.85546875" style="2194" customWidth="1"/>
    <col min="12043" max="12044" width="9.28515625" style="2194" customWidth="1"/>
    <col min="12045" max="12045" width="9" style="2194" customWidth="1"/>
    <col min="12046" max="12288" width="9.140625" style="2194"/>
    <col min="12289" max="12289" width="22.7109375" style="2194" customWidth="1"/>
    <col min="12290" max="12290" width="12.28515625" style="2194" customWidth="1"/>
    <col min="12291" max="12291" width="10.7109375" style="2194" customWidth="1"/>
    <col min="12292" max="12292" width="7.7109375" style="2194" customWidth="1"/>
    <col min="12293" max="12293" width="11.140625" style="2194" customWidth="1"/>
    <col min="12294" max="12294" width="10.7109375" style="2194" customWidth="1"/>
    <col min="12295" max="12295" width="10.140625" style="2194" customWidth="1"/>
    <col min="12296" max="12296" width="11.28515625" style="2194" customWidth="1"/>
    <col min="12297" max="12297" width="14.42578125" style="2194" customWidth="1"/>
    <col min="12298" max="12298" width="8.85546875" style="2194" customWidth="1"/>
    <col min="12299" max="12300" width="9.28515625" style="2194" customWidth="1"/>
    <col min="12301" max="12301" width="9" style="2194" customWidth="1"/>
    <col min="12302" max="12544" width="9.140625" style="2194"/>
    <col min="12545" max="12545" width="22.7109375" style="2194" customWidth="1"/>
    <col min="12546" max="12546" width="12.28515625" style="2194" customWidth="1"/>
    <col min="12547" max="12547" width="10.7109375" style="2194" customWidth="1"/>
    <col min="12548" max="12548" width="7.7109375" style="2194" customWidth="1"/>
    <col min="12549" max="12549" width="11.140625" style="2194" customWidth="1"/>
    <col min="12550" max="12550" width="10.7109375" style="2194" customWidth="1"/>
    <col min="12551" max="12551" width="10.140625" style="2194" customWidth="1"/>
    <col min="12552" max="12552" width="11.28515625" style="2194" customWidth="1"/>
    <col min="12553" max="12553" width="14.42578125" style="2194" customWidth="1"/>
    <col min="12554" max="12554" width="8.85546875" style="2194" customWidth="1"/>
    <col min="12555" max="12556" width="9.28515625" style="2194" customWidth="1"/>
    <col min="12557" max="12557" width="9" style="2194" customWidth="1"/>
    <col min="12558" max="12800" width="9.140625" style="2194"/>
    <col min="12801" max="12801" width="22.7109375" style="2194" customWidth="1"/>
    <col min="12802" max="12802" width="12.28515625" style="2194" customWidth="1"/>
    <col min="12803" max="12803" width="10.7109375" style="2194" customWidth="1"/>
    <col min="12804" max="12804" width="7.7109375" style="2194" customWidth="1"/>
    <col min="12805" max="12805" width="11.140625" style="2194" customWidth="1"/>
    <col min="12806" max="12806" width="10.7109375" style="2194" customWidth="1"/>
    <col min="12807" max="12807" width="10.140625" style="2194" customWidth="1"/>
    <col min="12808" max="12808" width="11.28515625" style="2194" customWidth="1"/>
    <col min="12809" max="12809" width="14.42578125" style="2194" customWidth="1"/>
    <col min="12810" max="12810" width="8.85546875" style="2194" customWidth="1"/>
    <col min="12811" max="12812" width="9.28515625" style="2194" customWidth="1"/>
    <col min="12813" max="12813" width="9" style="2194" customWidth="1"/>
    <col min="12814" max="13056" width="9.140625" style="2194"/>
    <col min="13057" max="13057" width="22.7109375" style="2194" customWidth="1"/>
    <col min="13058" max="13058" width="12.28515625" style="2194" customWidth="1"/>
    <col min="13059" max="13059" width="10.7109375" style="2194" customWidth="1"/>
    <col min="13060" max="13060" width="7.7109375" style="2194" customWidth="1"/>
    <col min="13061" max="13061" width="11.140625" style="2194" customWidth="1"/>
    <col min="13062" max="13062" width="10.7109375" style="2194" customWidth="1"/>
    <col min="13063" max="13063" width="10.140625" style="2194" customWidth="1"/>
    <col min="13064" max="13064" width="11.28515625" style="2194" customWidth="1"/>
    <col min="13065" max="13065" width="14.42578125" style="2194" customWidth="1"/>
    <col min="13066" max="13066" width="8.85546875" style="2194" customWidth="1"/>
    <col min="13067" max="13068" width="9.28515625" style="2194" customWidth="1"/>
    <col min="13069" max="13069" width="9" style="2194" customWidth="1"/>
    <col min="13070" max="13312" width="9.140625" style="2194"/>
    <col min="13313" max="13313" width="22.7109375" style="2194" customWidth="1"/>
    <col min="13314" max="13314" width="12.28515625" style="2194" customWidth="1"/>
    <col min="13315" max="13315" width="10.7109375" style="2194" customWidth="1"/>
    <col min="13316" max="13316" width="7.7109375" style="2194" customWidth="1"/>
    <col min="13317" max="13317" width="11.140625" style="2194" customWidth="1"/>
    <col min="13318" max="13318" width="10.7109375" style="2194" customWidth="1"/>
    <col min="13319" max="13319" width="10.140625" style="2194" customWidth="1"/>
    <col min="13320" max="13320" width="11.28515625" style="2194" customWidth="1"/>
    <col min="13321" max="13321" width="14.42578125" style="2194" customWidth="1"/>
    <col min="13322" max="13322" width="8.85546875" style="2194" customWidth="1"/>
    <col min="13323" max="13324" width="9.28515625" style="2194" customWidth="1"/>
    <col min="13325" max="13325" width="9" style="2194" customWidth="1"/>
    <col min="13326" max="13568" width="9.140625" style="2194"/>
    <col min="13569" max="13569" width="22.7109375" style="2194" customWidth="1"/>
    <col min="13570" max="13570" width="12.28515625" style="2194" customWidth="1"/>
    <col min="13571" max="13571" width="10.7109375" style="2194" customWidth="1"/>
    <col min="13572" max="13572" width="7.7109375" style="2194" customWidth="1"/>
    <col min="13573" max="13573" width="11.140625" style="2194" customWidth="1"/>
    <col min="13574" max="13574" width="10.7109375" style="2194" customWidth="1"/>
    <col min="13575" max="13575" width="10.140625" style="2194" customWidth="1"/>
    <col min="13576" max="13576" width="11.28515625" style="2194" customWidth="1"/>
    <col min="13577" max="13577" width="14.42578125" style="2194" customWidth="1"/>
    <col min="13578" max="13578" width="8.85546875" style="2194" customWidth="1"/>
    <col min="13579" max="13580" width="9.28515625" style="2194" customWidth="1"/>
    <col min="13581" max="13581" width="9" style="2194" customWidth="1"/>
    <col min="13582" max="13824" width="9.140625" style="2194"/>
    <col min="13825" max="13825" width="22.7109375" style="2194" customWidth="1"/>
    <col min="13826" max="13826" width="12.28515625" style="2194" customWidth="1"/>
    <col min="13827" max="13827" width="10.7109375" style="2194" customWidth="1"/>
    <col min="13828" max="13828" width="7.7109375" style="2194" customWidth="1"/>
    <col min="13829" max="13829" width="11.140625" style="2194" customWidth="1"/>
    <col min="13830" max="13830" width="10.7109375" style="2194" customWidth="1"/>
    <col min="13831" max="13831" width="10.140625" style="2194" customWidth="1"/>
    <col min="13832" max="13832" width="11.28515625" style="2194" customWidth="1"/>
    <col min="13833" max="13833" width="14.42578125" style="2194" customWidth="1"/>
    <col min="13834" max="13834" width="8.85546875" style="2194" customWidth="1"/>
    <col min="13835" max="13836" width="9.28515625" style="2194" customWidth="1"/>
    <col min="13837" max="13837" width="9" style="2194" customWidth="1"/>
    <col min="13838" max="14080" width="9.140625" style="2194"/>
    <col min="14081" max="14081" width="22.7109375" style="2194" customWidth="1"/>
    <col min="14082" max="14082" width="12.28515625" style="2194" customWidth="1"/>
    <col min="14083" max="14083" width="10.7109375" style="2194" customWidth="1"/>
    <col min="14084" max="14084" width="7.7109375" style="2194" customWidth="1"/>
    <col min="14085" max="14085" width="11.140625" style="2194" customWidth="1"/>
    <col min="14086" max="14086" width="10.7109375" style="2194" customWidth="1"/>
    <col min="14087" max="14087" width="10.140625" style="2194" customWidth="1"/>
    <col min="14088" max="14088" width="11.28515625" style="2194" customWidth="1"/>
    <col min="14089" max="14089" width="14.42578125" style="2194" customWidth="1"/>
    <col min="14090" max="14090" width="8.85546875" style="2194" customWidth="1"/>
    <col min="14091" max="14092" width="9.28515625" style="2194" customWidth="1"/>
    <col min="14093" max="14093" width="9" style="2194" customWidth="1"/>
    <col min="14094" max="14336" width="9.140625" style="2194"/>
    <col min="14337" max="14337" width="22.7109375" style="2194" customWidth="1"/>
    <col min="14338" max="14338" width="12.28515625" style="2194" customWidth="1"/>
    <col min="14339" max="14339" width="10.7109375" style="2194" customWidth="1"/>
    <col min="14340" max="14340" width="7.7109375" style="2194" customWidth="1"/>
    <col min="14341" max="14341" width="11.140625" style="2194" customWidth="1"/>
    <col min="14342" max="14342" width="10.7109375" style="2194" customWidth="1"/>
    <col min="14343" max="14343" width="10.140625" style="2194" customWidth="1"/>
    <col min="14344" max="14344" width="11.28515625" style="2194" customWidth="1"/>
    <col min="14345" max="14345" width="14.42578125" style="2194" customWidth="1"/>
    <col min="14346" max="14346" width="8.85546875" style="2194" customWidth="1"/>
    <col min="14347" max="14348" width="9.28515625" style="2194" customWidth="1"/>
    <col min="14349" max="14349" width="9" style="2194" customWidth="1"/>
    <col min="14350" max="14592" width="9.140625" style="2194"/>
    <col min="14593" max="14593" width="22.7109375" style="2194" customWidth="1"/>
    <col min="14594" max="14594" width="12.28515625" style="2194" customWidth="1"/>
    <col min="14595" max="14595" width="10.7109375" style="2194" customWidth="1"/>
    <col min="14596" max="14596" width="7.7109375" style="2194" customWidth="1"/>
    <col min="14597" max="14597" width="11.140625" style="2194" customWidth="1"/>
    <col min="14598" max="14598" width="10.7109375" style="2194" customWidth="1"/>
    <col min="14599" max="14599" width="10.140625" style="2194" customWidth="1"/>
    <col min="14600" max="14600" width="11.28515625" style="2194" customWidth="1"/>
    <col min="14601" max="14601" width="14.42578125" style="2194" customWidth="1"/>
    <col min="14602" max="14602" width="8.85546875" style="2194" customWidth="1"/>
    <col min="14603" max="14604" width="9.28515625" style="2194" customWidth="1"/>
    <col min="14605" max="14605" width="9" style="2194" customWidth="1"/>
    <col min="14606" max="14848" width="9.140625" style="2194"/>
    <col min="14849" max="14849" width="22.7109375" style="2194" customWidth="1"/>
    <col min="14850" max="14850" width="12.28515625" style="2194" customWidth="1"/>
    <col min="14851" max="14851" width="10.7109375" style="2194" customWidth="1"/>
    <col min="14852" max="14852" width="7.7109375" style="2194" customWidth="1"/>
    <col min="14853" max="14853" width="11.140625" style="2194" customWidth="1"/>
    <col min="14854" max="14854" width="10.7109375" style="2194" customWidth="1"/>
    <col min="14855" max="14855" width="10.140625" style="2194" customWidth="1"/>
    <col min="14856" max="14856" width="11.28515625" style="2194" customWidth="1"/>
    <col min="14857" max="14857" width="14.42578125" style="2194" customWidth="1"/>
    <col min="14858" max="14858" width="8.85546875" style="2194" customWidth="1"/>
    <col min="14859" max="14860" width="9.28515625" style="2194" customWidth="1"/>
    <col min="14861" max="14861" width="9" style="2194" customWidth="1"/>
    <col min="14862" max="15104" width="9.140625" style="2194"/>
    <col min="15105" max="15105" width="22.7109375" style="2194" customWidth="1"/>
    <col min="15106" max="15106" width="12.28515625" style="2194" customWidth="1"/>
    <col min="15107" max="15107" width="10.7109375" style="2194" customWidth="1"/>
    <col min="15108" max="15108" width="7.7109375" style="2194" customWidth="1"/>
    <col min="15109" max="15109" width="11.140625" style="2194" customWidth="1"/>
    <col min="15110" max="15110" width="10.7109375" style="2194" customWidth="1"/>
    <col min="15111" max="15111" width="10.140625" style="2194" customWidth="1"/>
    <col min="15112" max="15112" width="11.28515625" style="2194" customWidth="1"/>
    <col min="15113" max="15113" width="14.42578125" style="2194" customWidth="1"/>
    <col min="15114" max="15114" width="8.85546875" style="2194" customWidth="1"/>
    <col min="15115" max="15116" width="9.28515625" style="2194" customWidth="1"/>
    <col min="15117" max="15117" width="9" style="2194" customWidth="1"/>
    <col min="15118" max="15360" width="9.140625" style="2194"/>
    <col min="15361" max="15361" width="22.7109375" style="2194" customWidth="1"/>
    <col min="15362" max="15362" width="12.28515625" style="2194" customWidth="1"/>
    <col min="15363" max="15363" width="10.7109375" style="2194" customWidth="1"/>
    <col min="15364" max="15364" width="7.7109375" style="2194" customWidth="1"/>
    <col min="15365" max="15365" width="11.140625" style="2194" customWidth="1"/>
    <col min="15366" max="15366" width="10.7109375" style="2194" customWidth="1"/>
    <col min="15367" max="15367" width="10.140625" style="2194" customWidth="1"/>
    <col min="15368" max="15368" width="11.28515625" style="2194" customWidth="1"/>
    <col min="15369" max="15369" width="14.42578125" style="2194" customWidth="1"/>
    <col min="15370" max="15370" width="8.85546875" style="2194" customWidth="1"/>
    <col min="15371" max="15372" width="9.28515625" style="2194" customWidth="1"/>
    <col min="15373" max="15373" width="9" style="2194" customWidth="1"/>
    <col min="15374" max="15616" width="9.140625" style="2194"/>
    <col min="15617" max="15617" width="22.7109375" style="2194" customWidth="1"/>
    <col min="15618" max="15618" width="12.28515625" style="2194" customWidth="1"/>
    <col min="15619" max="15619" width="10.7109375" style="2194" customWidth="1"/>
    <col min="15620" max="15620" width="7.7109375" style="2194" customWidth="1"/>
    <col min="15621" max="15621" width="11.140625" style="2194" customWidth="1"/>
    <col min="15622" max="15622" width="10.7109375" style="2194" customWidth="1"/>
    <col min="15623" max="15623" width="10.140625" style="2194" customWidth="1"/>
    <col min="15624" max="15624" width="11.28515625" style="2194" customWidth="1"/>
    <col min="15625" max="15625" width="14.42578125" style="2194" customWidth="1"/>
    <col min="15626" max="15626" width="8.85546875" style="2194" customWidth="1"/>
    <col min="15627" max="15628" width="9.28515625" style="2194" customWidth="1"/>
    <col min="15629" max="15629" width="9" style="2194" customWidth="1"/>
    <col min="15630" max="15872" width="9.140625" style="2194"/>
    <col min="15873" max="15873" width="22.7109375" style="2194" customWidth="1"/>
    <col min="15874" max="15874" width="12.28515625" style="2194" customWidth="1"/>
    <col min="15875" max="15875" width="10.7109375" style="2194" customWidth="1"/>
    <col min="15876" max="15876" width="7.7109375" style="2194" customWidth="1"/>
    <col min="15877" max="15877" width="11.140625" style="2194" customWidth="1"/>
    <col min="15878" max="15878" width="10.7109375" style="2194" customWidth="1"/>
    <col min="15879" max="15879" width="10.140625" style="2194" customWidth="1"/>
    <col min="15880" max="15880" width="11.28515625" style="2194" customWidth="1"/>
    <col min="15881" max="15881" width="14.42578125" style="2194" customWidth="1"/>
    <col min="15882" max="15882" width="8.85546875" style="2194" customWidth="1"/>
    <col min="15883" max="15884" width="9.28515625" style="2194" customWidth="1"/>
    <col min="15885" max="15885" width="9" style="2194" customWidth="1"/>
    <col min="15886" max="16128" width="9.140625" style="2194"/>
    <col min="16129" max="16129" width="22.7109375" style="2194" customWidth="1"/>
    <col min="16130" max="16130" width="12.28515625" style="2194" customWidth="1"/>
    <col min="16131" max="16131" width="10.7109375" style="2194" customWidth="1"/>
    <col min="16132" max="16132" width="7.7109375" style="2194" customWidth="1"/>
    <col min="16133" max="16133" width="11.140625" style="2194" customWidth="1"/>
    <col min="16134" max="16134" width="10.7109375" style="2194" customWidth="1"/>
    <col min="16135" max="16135" width="10.140625" style="2194" customWidth="1"/>
    <col min="16136" max="16136" width="11.28515625" style="2194" customWidth="1"/>
    <col min="16137" max="16137" width="14.42578125" style="2194" customWidth="1"/>
    <col min="16138" max="16138" width="8.85546875" style="2194" customWidth="1"/>
    <col min="16139" max="16140" width="9.28515625" style="2194" customWidth="1"/>
    <col min="16141" max="16141" width="9" style="2194" customWidth="1"/>
    <col min="16142" max="16384" width="9.140625" style="2194"/>
  </cols>
  <sheetData>
    <row r="1" spans="1:20" ht="15.75">
      <c r="A1" s="3409" t="s">
        <v>814</v>
      </c>
      <c r="B1" s="3409"/>
      <c r="C1" s="3409"/>
      <c r="D1" s="3409"/>
      <c r="E1" s="3409"/>
      <c r="F1" s="3409"/>
      <c r="G1" s="3409"/>
      <c r="H1" s="3409"/>
      <c r="I1" s="3409"/>
      <c r="J1" s="3409"/>
      <c r="K1" s="3409"/>
      <c r="L1" s="3409"/>
      <c r="M1" s="3409"/>
    </row>
    <row r="2" spans="1:20" ht="15.75">
      <c r="A2" s="3409" t="s">
        <v>815</v>
      </c>
      <c r="B2" s="3409"/>
      <c r="C2" s="3409"/>
      <c r="D2" s="3409"/>
      <c r="E2" s="3409"/>
      <c r="F2" s="3409"/>
      <c r="G2" s="3409"/>
      <c r="H2" s="3409"/>
      <c r="I2" s="3409"/>
      <c r="J2" s="3409"/>
      <c r="K2" s="3409"/>
      <c r="L2" s="3409"/>
      <c r="M2" s="3409"/>
    </row>
    <row r="3" spans="1:20" ht="20.25" customHeight="1">
      <c r="A3" s="3410" t="str">
        <f>'Input Data'!E1</f>
        <v>R/F A to B in Wanaparthy Mandal of Wanaparthy District</v>
      </c>
      <c r="B3" s="3410"/>
      <c r="C3" s="3410"/>
      <c r="D3" s="3410"/>
      <c r="E3" s="3410"/>
      <c r="F3" s="3410"/>
      <c r="G3" s="3410"/>
      <c r="H3" s="3410"/>
      <c r="I3" s="3410"/>
      <c r="J3" s="3410"/>
      <c r="K3" s="3410"/>
      <c r="L3" s="3410"/>
      <c r="M3" s="3410"/>
    </row>
    <row r="4" spans="1:20">
      <c r="A4" s="3423" t="s">
        <v>57</v>
      </c>
      <c r="B4" s="3411" t="s">
        <v>711</v>
      </c>
      <c r="C4" s="3411"/>
      <c r="D4" s="3411"/>
      <c r="E4" s="3411"/>
      <c r="F4" s="3411"/>
      <c r="G4" s="3411"/>
      <c r="H4" s="3411"/>
      <c r="I4" s="3411"/>
      <c r="J4" s="3411"/>
      <c r="K4" s="3411"/>
      <c r="L4" s="3411"/>
      <c r="M4" s="3424" t="s">
        <v>60</v>
      </c>
    </row>
    <row r="5" spans="1:20" s="2191" customFormat="1" ht="33.75" customHeight="1">
      <c r="A5" s="3423"/>
      <c r="B5" s="2198" t="s">
        <v>712</v>
      </c>
      <c r="C5" s="2198" t="s">
        <v>713</v>
      </c>
      <c r="D5" s="3426" t="s">
        <v>714</v>
      </c>
      <c r="E5" s="3427"/>
      <c r="F5" s="3428"/>
      <c r="G5" s="3429" t="s">
        <v>715</v>
      </c>
      <c r="H5" s="3429"/>
      <c r="I5" s="3429"/>
      <c r="J5" s="2198" t="s">
        <v>716</v>
      </c>
      <c r="K5" s="2198" t="s">
        <v>717</v>
      </c>
      <c r="L5" s="2198" t="s">
        <v>718</v>
      </c>
      <c r="M5" s="3425"/>
      <c r="Q5" s="2256"/>
      <c r="R5" s="2256"/>
      <c r="S5" s="2256"/>
      <c r="T5" s="2256"/>
    </row>
    <row r="6" spans="1:20" s="2191" customFormat="1">
      <c r="A6" s="2199"/>
      <c r="B6" s="2200"/>
      <c r="C6" s="2200"/>
      <c r="D6" s="2201" t="s">
        <v>719</v>
      </c>
      <c r="E6" s="2201" t="s">
        <v>720</v>
      </c>
      <c r="F6" s="2201" t="s">
        <v>721</v>
      </c>
      <c r="G6" s="2201" t="s">
        <v>719</v>
      </c>
      <c r="H6" s="2201" t="s">
        <v>720</v>
      </c>
      <c r="I6" s="2201" t="s">
        <v>721</v>
      </c>
      <c r="J6" s="2200"/>
      <c r="K6" s="2200"/>
      <c r="L6" s="2200"/>
      <c r="M6" s="2200"/>
      <c r="Q6" s="2256"/>
      <c r="R6" s="2256"/>
      <c r="S6" s="2256"/>
      <c r="T6" s="2256"/>
    </row>
    <row r="7" spans="1:20" ht="33.75" customHeight="1">
      <c r="A7" s="2939" t="s">
        <v>2756</v>
      </c>
      <c r="B7" s="2202">
        <v>5</v>
      </c>
      <c r="C7" s="2202">
        <v>35</v>
      </c>
      <c r="D7" s="2202">
        <v>9</v>
      </c>
      <c r="E7" s="2202">
        <v>7</v>
      </c>
      <c r="F7" s="2202">
        <v>0</v>
      </c>
      <c r="G7" s="2202">
        <v>4</v>
      </c>
      <c r="H7" s="2202">
        <v>3</v>
      </c>
      <c r="I7" s="2202">
        <v>0</v>
      </c>
      <c r="J7" s="2202">
        <v>25</v>
      </c>
      <c r="K7" s="2202">
        <v>0</v>
      </c>
      <c r="L7" s="2202">
        <v>0</v>
      </c>
      <c r="M7" s="2234">
        <f>SUM(B7:L7)</f>
        <v>88</v>
      </c>
      <c r="O7" s="2235">
        <f>G30</f>
        <v>72982.87</v>
      </c>
      <c r="Q7" s="2256"/>
      <c r="R7" s="2256"/>
      <c r="S7" s="2256"/>
      <c r="T7" s="2256"/>
    </row>
    <row r="8" spans="1:20" ht="30" customHeight="1">
      <c r="A8" s="2939" t="s">
        <v>2757</v>
      </c>
      <c r="B8" s="2202">
        <v>4</v>
      </c>
      <c r="C8" s="2202">
        <v>45</v>
      </c>
      <c r="D8" s="2202">
        <v>6</v>
      </c>
      <c r="E8" s="2202">
        <v>5</v>
      </c>
      <c r="F8" s="2202">
        <v>0</v>
      </c>
      <c r="G8" s="2202">
        <v>3</v>
      </c>
      <c r="H8" s="2202">
        <v>3</v>
      </c>
      <c r="I8" s="2202">
        <v>0</v>
      </c>
      <c r="J8" s="2202">
        <v>30</v>
      </c>
      <c r="K8" s="2202">
        <v>0</v>
      </c>
      <c r="L8" s="2202">
        <v>0</v>
      </c>
      <c r="M8" s="2234">
        <f>SUM(B8:L8)</f>
        <v>96</v>
      </c>
    </row>
    <row r="9" spans="1:20" ht="33" customHeight="1">
      <c r="A9" s="2939" t="s">
        <v>2758</v>
      </c>
      <c r="B9" s="2202">
        <v>4</v>
      </c>
      <c r="C9" s="2202">
        <v>33</v>
      </c>
      <c r="D9" s="2202">
        <v>9</v>
      </c>
      <c r="E9" s="2202">
        <v>8</v>
      </c>
      <c r="F9" s="2202">
        <v>0</v>
      </c>
      <c r="G9" s="2202">
        <v>3</v>
      </c>
      <c r="H9" s="2202">
        <v>3</v>
      </c>
      <c r="I9" s="2202">
        <v>0</v>
      </c>
      <c r="J9" s="2202">
        <v>35</v>
      </c>
      <c r="K9" s="2202">
        <v>0</v>
      </c>
      <c r="L9" s="2202">
        <v>0</v>
      </c>
      <c r="M9" s="2234">
        <f>SUM(B9:L9)</f>
        <v>95</v>
      </c>
    </row>
    <row r="10" spans="1:20" ht="14.25" customHeight="1">
      <c r="A10" s="2203" t="s">
        <v>60</v>
      </c>
      <c r="B10" s="2204">
        <f>B9+B8+B7</f>
        <v>13</v>
      </c>
      <c r="C10" s="2204">
        <f t="shared" ref="C10:L10" si="0">C9+C8+C7</f>
        <v>113</v>
      </c>
      <c r="D10" s="2204">
        <f t="shared" si="0"/>
        <v>24</v>
      </c>
      <c r="E10" s="2204">
        <f t="shared" si="0"/>
        <v>20</v>
      </c>
      <c r="F10" s="2204">
        <f t="shared" si="0"/>
        <v>0</v>
      </c>
      <c r="G10" s="2204">
        <f t="shared" si="0"/>
        <v>10</v>
      </c>
      <c r="H10" s="2204">
        <f t="shared" si="0"/>
        <v>9</v>
      </c>
      <c r="I10" s="2204">
        <f t="shared" si="0"/>
        <v>0</v>
      </c>
      <c r="J10" s="2204">
        <f t="shared" si="0"/>
        <v>90</v>
      </c>
      <c r="K10" s="2204">
        <f t="shared" si="0"/>
        <v>0</v>
      </c>
      <c r="L10" s="2204">
        <f t="shared" si="0"/>
        <v>0</v>
      </c>
      <c r="M10" s="2234">
        <f>SUM(B10:L10)</f>
        <v>279</v>
      </c>
      <c r="N10" s="2236" t="s">
        <v>467</v>
      </c>
    </row>
    <row r="11" spans="1:20" s="2192" customFormat="1" ht="27" customHeight="1">
      <c r="A11" s="2205" t="s">
        <v>817</v>
      </c>
      <c r="B11" s="2206">
        <f t="shared" ref="B11:J11" si="1">ROUND(B10/3,0)</f>
        <v>4</v>
      </c>
      <c r="C11" s="2206">
        <f t="shared" si="1"/>
        <v>38</v>
      </c>
      <c r="D11" s="2206">
        <f t="shared" si="1"/>
        <v>8</v>
      </c>
      <c r="E11" s="2206">
        <f t="shared" si="1"/>
        <v>7</v>
      </c>
      <c r="F11" s="2206">
        <f t="shared" si="1"/>
        <v>0</v>
      </c>
      <c r="G11" s="2206">
        <f t="shared" si="1"/>
        <v>3</v>
      </c>
      <c r="H11" s="2206">
        <f t="shared" si="1"/>
        <v>3</v>
      </c>
      <c r="I11" s="2206">
        <f t="shared" si="1"/>
        <v>0</v>
      </c>
      <c r="J11" s="2206">
        <f t="shared" si="1"/>
        <v>30</v>
      </c>
      <c r="K11" s="2206">
        <f>K10/3</f>
        <v>0</v>
      </c>
      <c r="L11" s="2206">
        <f>ROUND(L10/3,0)</f>
        <v>0</v>
      </c>
      <c r="M11" s="2206">
        <f>SUM(B11:L11)</f>
        <v>93</v>
      </c>
      <c r="N11" s="2237">
        <f>D11+E11+F11+G11+H11+I11</f>
        <v>21</v>
      </c>
      <c r="O11" s="2238"/>
    </row>
    <row r="12" spans="1:20">
      <c r="A12" s="2197" t="s">
        <v>818</v>
      </c>
      <c r="B12" s="2207"/>
      <c r="C12" s="2207"/>
      <c r="E12" s="2208" t="s">
        <v>819</v>
      </c>
      <c r="F12" s="2197"/>
      <c r="G12" s="2209">
        <f>M11</f>
        <v>93</v>
      </c>
      <c r="H12" s="2210" t="s">
        <v>733</v>
      </c>
      <c r="I12" s="2239">
        <v>0</v>
      </c>
      <c r="J12" s="2197" t="s">
        <v>820</v>
      </c>
    </row>
    <row r="13" spans="1:20">
      <c r="A13" s="2197" t="s">
        <v>821</v>
      </c>
      <c r="B13" s="2207"/>
      <c r="C13" s="2207"/>
      <c r="E13" s="2208" t="s">
        <v>822</v>
      </c>
      <c r="F13" s="2197"/>
      <c r="G13" s="2211">
        <f>IF(I12=0,G12,ROUNDUP(G12/2,0))</f>
        <v>93</v>
      </c>
      <c r="H13" s="2210" t="s">
        <v>733</v>
      </c>
      <c r="J13" s="2197" t="s">
        <v>823</v>
      </c>
    </row>
    <row r="14" spans="1:20">
      <c r="A14" s="2197" t="s">
        <v>824</v>
      </c>
      <c r="B14" s="2207"/>
      <c r="C14" s="2207"/>
      <c r="E14" s="2208"/>
      <c r="F14" s="2197"/>
      <c r="G14" s="2212">
        <f>IF(I12=1,G12,ROUNDUP(G12*2,0))</f>
        <v>186</v>
      </c>
      <c r="H14" s="2210" t="s">
        <v>733</v>
      </c>
    </row>
    <row r="15" spans="1:20">
      <c r="A15" s="2207" t="s">
        <v>825</v>
      </c>
      <c r="B15" s="2207"/>
      <c r="E15" s="2208" t="s">
        <v>826</v>
      </c>
      <c r="G15" s="2208">
        <v>2</v>
      </c>
      <c r="H15" s="2213"/>
      <c r="I15" s="2240"/>
      <c r="J15" s="2241">
        <v>75</v>
      </c>
      <c r="K15" s="2207" t="s">
        <v>827</v>
      </c>
    </row>
    <row r="16" spans="1:20">
      <c r="A16" s="2207" t="s">
        <v>828</v>
      </c>
      <c r="B16" s="2214"/>
      <c r="C16" s="2207"/>
      <c r="E16" s="2208" t="s">
        <v>829</v>
      </c>
      <c r="F16" s="2197"/>
      <c r="G16" s="2209">
        <f>ROUND(G13+(1.2*G13*J15)/365,0)</f>
        <v>116</v>
      </c>
      <c r="H16" s="2210" t="s">
        <v>733</v>
      </c>
      <c r="I16" s="2194" t="s">
        <v>830</v>
      </c>
      <c r="L16" s="2242"/>
      <c r="M16" s="2242"/>
      <c r="N16" s="2242"/>
      <c r="O16" s="2242"/>
      <c r="P16" s="2242"/>
    </row>
    <row r="17" spans="1:18">
      <c r="A17" s="2215"/>
      <c r="B17" s="2214"/>
      <c r="C17" s="2207"/>
      <c r="D17" s="2210" t="s">
        <v>831</v>
      </c>
      <c r="E17" s="2216"/>
      <c r="F17" s="2213"/>
      <c r="G17" s="2209"/>
      <c r="H17" s="2209"/>
      <c r="I17" s="2216"/>
      <c r="K17" s="2197" t="s">
        <v>832</v>
      </c>
      <c r="L17" s="2242"/>
      <c r="M17" s="2242"/>
      <c r="N17" s="2242"/>
      <c r="O17" s="2195"/>
      <c r="P17" s="2242"/>
    </row>
    <row r="18" spans="1:18" ht="18">
      <c r="A18" s="2194" t="s">
        <v>833</v>
      </c>
      <c r="B18" s="2214"/>
      <c r="C18" s="2207"/>
      <c r="E18" s="2208" t="s">
        <v>834</v>
      </c>
      <c r="F18" s="2210"/>
      <c r="G18" s="2209">
        <f>ROUND(G16*1.06^2,0)</f>
        <v>130</v>
      </c>
      <c r="H18" s="2210" t="s">
        <v>733</v>
      </c>
      <c r="J18" s="2196" t="s">
        <v>835</v>
      </c>
      <c r="L18" s="2242"/>
      <c r="M18" s="2242"/>
      <c r="N18" s="2242"/>
      <c r="O18" s="2242"/>
      <c r="P18" s="2242"/>
    </row>
    <row r="19" spans="1:18">
      <c r="A19" s="2194" t="s">
        <v>836</v>
      </c>
      <c r="E19" s="2195"/>
      <c r="H19" s="2217"/>
      <c r="L19" s="2242"/>
      <c r="M19" s="2242"/>
      <c r="N19" s="2242"/>
      <c r="O19" s="2242"/>
      <c r="P19" s="2242"/>
    </row>
    <row r="20" spans="1:18">
      <c r="E20" s="2208" t="s">
        <v>837</v>
      </c>
      <c r="F20" s="2197"/>
      <c r="G20" s="2208">
        <f>ROUND(((D11)/M11)*G18,0)</f>
        <v>11</v>
      </c>
      <c r="H20" s="2210" t="s">
        <v>733</v>
      </c>
      <c r="J20" s="2194" t="s">
        <v>838</v>
      </c>
      <c r="L20" s="2242"/>
      <c r="M20" s="2242"/>
      <c r="N20" s="2242"/>
      <c r="O20" s="2242"/>
      <c r="P20" s="2242"/>
    </row>
    <row r="21" spans="1:18">
      <c r="E21" s="2208" t="s">
        <v>837</v>
      </c>
      <c r="F21" s="2197"/>
      <c r="G21" s="2208">
        <f>ROUND(((E11)/M11)*G18,0)</f>
        <v>10</v>
      </c>
      <c r="H21" s="2210" t="s">
        <v>733</v>
      </c>
      <c r="J21" s="2194" t="s">
        <v>839</v>
      </c>
      <c r="L21" s="2242"/>
      <c r="M21" s="2242"/>
      <c r="N21" s="2242"/>
      <c r="O21" s="2242"/>
      <c r="P21" s="2242"/>
    </row>
    <row r="22" spans="1:18">
      <c r="A22" s="2194" t="s">
        <v>840</v>
      </c>
      <c r="E22" s="2208" t="s">
        <v>837</v>
      </c>
      <c r="F22" s="2197"/>
      <c r="G22" s="2208">
        <f>ROUND(((F11)/M11)*G18,0)</f>
        <v>0</v>
      </c>
      <c r="H22" s="2210" t="s">
        <v>733</v>
      </c>
      <c r="J22" s="2194" t="s">
        <v>841</v>
      </c>
      <c r="L22" s="2242"/>
      <c r="M22" s="2242"/>
      <c r="N22" s="2242"/>
      <c r="O22" s="2242"/>
      <c r="P22" s="2242"/>
    </row>
    <row r="23" spans="1:18">
      <c r="A23" s="2194" t="s">
        <v>842</v>
      </c>
      <c r="E23" s="2208" t="s">
        <v>843</v>
      </c>
      <c r="F23" s="2197"/>
      <c r="G23" s="2209">
        <f>ROUND(((G11)/M11)*G18,0)</f>
        <v>4</v>
      </c>
      <c r="H23" s="2210" t="s">
        <v>733</v>
      </c>
      <c r="J23" s="2194" t="s">
        <v>844</v>
      </c>
      <c r="L23" s="2242"/>
      <c r="M23" s="2242"/>
      <c r="N23" s="2242"/>
      <c r="O23" s="2242"/>
      <c r="P23" s="2242"/>
    </row>
    <row r="24" spans="1:18">
      <c r="E24" s="2208" t="s">
        <v>843</v>
      </c>
      <c r="F24" s="2197"/>
      <c r="G24" s="2208">
        <f>ROUND(((H11)/M11)*G18,0)</f>
        <v>4</v>
      </c>
      <c r="H24" s="2210" t="s">
        <v>733</v>
      </c>
      <c r="J24" s="2194" t="s">
        <v>845</v>
      </c>
      <c r="L24" s="2242"/>
      <c r="M24" s="2242"/>
      <c r="N24" s="2242"/>
      <c r="O24" s="2242"/>
      <c r="P24" s="2242"/>
    </row>
    <row r="25" spans="1:18">
      <c r="E25" s="2208" t="s">
        <v>843</v>
      </c>
      <c r="F25" s="2197"/>
      <c r="G25" s="2208">
        <f>ROUND(((I11)/M11)*G18,0)</f>
        <v>0</v>
      </c>
      <c r="H25" s="2210" t="s">
        <v>733</v>
      </c>
      <c r="J25" s="2194" t="s">
        <v>846</v>
      </c>
      <c r="L25" s="2242"/>
      <c r="M25" s="2242"/>
      <c r="N25" s="2242"/>
      <c r="O25" s="2242"/>
      <c r="P25" s="2242"/>
    </row>
    <row r="26" spans="1:18" ht="15.75" customHeight="1">
      <c r="A26" s="2197" t="s">
        <v>847</v>
      </c>
      <c r="D26" s="2197"/>
      <c r="E26" s="2208"/>
      <c r="F26" s="2197"/>
      <c r="G26" s="2208"/>
      <c r="H26" s="2208"/>
      <c r="I26" s="2208"/>
      <c r="J26" s="2243" t="s">
        <v>848</v>
      </c>
      <c r="K26" s="2242"/>
      <c r="L26" s="2242"/>
      <c r="N26" s="2242"/>
      <c r="O26" s="2242"/>
      <c r="P26" s="2242"/>
    </row>
    <row r="27" spans="1:18" ht="15.75" customHeight="1">
      <c r="A27" s="3430" t="s">
        <v>849</v>
      </c>
      <c r="B27" s="3430"/>
      <c r="C27" s="3430"/>
      <c r="D27" s="2217"/>
      <c r="E27" s="2210" t="s">
        <v>850</v>
      </c>
      <c r="F27" s="2197"/>
      <c r="G27" s="2208"/>
      <c r="H27" s="2208"/>
      <c r="I27" s="2208"/>
      <c r="J27" s="2244" t="s">
        <v>851</v>
      </c>
      <c r="K27" s="2244" t="s">
        <v>852</v>
      </c>
      <c r="L27" s="2244" t="s">
        <v>720</v>
      </c>
      <c r="M27" s="2244" t="s">
        <v>853</v>
      </c>
      <c r="N27" s="2242"/>
      <c r="O27" s="2242"/>
      <c r="P27" s="2242"/>
    </row>
    <row r="28" spans="1:18" ht="15.75" customHeight="1">
      <c r="E28" s="2208" t="s">
        <v>854</v>
      </c>
      <c r="F28" s="2218" t="str">
        <f>"("&amp;K28&amp;"x"&amp;G23&amp;") + ("&amp;L28&amp;"x"&amp;G24&amp;") + ("&amp;M28&amp;"x"&amp;G25&amp;") + ("&amp;K29&amp;"x"&amp;G20&amp;") + ("&amp;L29&amp;"x"&amp;G21&amp;") + ("&amp;M29&amp;"x"&amp;G22&amp;")"</f>
        <v>(2.58x4) + (0.31x4) + (2.86x0) + (0.31x11) + (0.02x10) + (0.34x0)</v>
      </c>
      <c r="I28" s="2208"/>
      <c r="J28" s="2244" t="s">
        <v>855</v>
      </c>
      <c r="K28" s="2244">
        <v>2.58</v>
      </c>
      <c r="L28" s="2244">
        <v>0.31</v>
      </c>
      <c r="M28" s="2244">
        <v>2.86</v>
      </c>
      <c r="N28" s="2195"/>
      <c r="O28" s="2195"/>
      <c r="P28" s="2242"/>
    </row>
    <row r="29" spans="1:18" ht="15.75" customHeight="1">
      <c r="D29" s="2207"/>
      <c r="E29" s="2208" t="s">
        <v>854</v>
      </c>
      <c r="F29" s="2197"/>
      <c r="G29" s="2214">
        <f>ROUND(G20*K29+G21*L29+G22*M29+G23*K28+G24*L28+G25*M28,2)</f>
        <v>15.17</v>
      </c>
      <c r="H29" s="2197" t="s">
        <v>856</v>
      </c>
      <c r="I29" s="2216"/>
      <c r="J29" s="2245" t="s">
        <v>857</v>
      </c>
      <c r="K29" s="2245">
        <v>0.31</v>
      </c>
      <c r="L29" s="2245">
        <v>0.02</v>
      </c>
      <c r="M29" s="2245">
        <v>0.34</v>
      </c>
      <c r="N29" s="2216"/>
      <c r="O29" s="2195"/>
      <c r="P29" s="2242"/>
    </row>
    <row r="30" spans="1:18" ht="18">
      <c r="A30" s="3431" t="s">
        <v>858</v>
      </c>
      <c r="B30" s="3431"/>
      <c r="C30" s="3431"/>
      <c r="D30" s="2207"/>
      <c r="E30" s="2208" t="s">
        <v>859</v>
      </c>
      <c r="F30" s="2197"/>
      <c r="G30" s="3432">
        <f>G29*4811*1</f>
        <v>72982.87</v>
      </c>
      <c r="H30" s="3433"/>
      <c r="I30" s="2246" t="s">
        <v>860</v>
      </c>
      <c r="J30" s="2207"/>
      <c r="K30" s="2207"/>
      <c r="L30" s="2216"/>
      <c r="M30" s="2242"/>
      <c r="N30" s="2242"/>
      <c r="O30" s="2242"/>
      <c r="P30" s="2242"/>
      <c r="Q30" s="2194">
        <f>1.075^15</f>
        <v>2.9588773528094912</v>
      </c>
      <c r="R30" s="2194">
        <f>Q30-1</f>
        <v>1.9588773528094912</v>
      </c>
    </row>
    <row r="31" spans="1:18">
      <c r="D31" s="2197"/>
      <c r="E31" s="2197"/>
      <c r="F31" s="2197"/>
      <c r="G31" s="2207"/>
      <c r="H31" s="2219" t="s">
        <v>861</v>
      </c>
      <c r="I31" s="2216"/>
      <c r="J31" s="2207"/>
      <c r="K31" s="2207"/>
      <c r="L31" s="2216"/>
      <c r="M31" s="2242"/>
      <c r="N31" s="2242"/>
      <c r="O31" s="2242"/>
      <c r="P31" s="2242"/>
      <c r="R31" s="2194">
        <f>365*R30</f>
        <v>714.99023377546428</v>
      </c>
    </row>
    <row r="32" spans="1:18" ht="45.6" customHeight="1">
      <c r="A32" s="3412"/>
      <c r="B32" s="3413"/>
      <c r="C32" s="3414"/>
      <c r="D32" s="3415"/>
      <c r="E32" s="3416"/>
      <c r="F32" s="3417"/>
      <c r="G32" s="3418"/>
      <c r="H32" s="3419"/>
      <c r="I32" s="3419"/>
      <c r="J32" s="3420"/>
      <c r="K32" s="3421"/>
      <c r="L32" s="3421"/>
      <c r="M32" s="3422"/>
      <c r="N32" s="2242"/>
      <c r="O32" s="2242"/>
      <c r="P32" s="2242"/>
    </row>
    <row r="33" spans="1:18">
      <c r="A33" s="2220"/>
      <c r="B33" s="2221" t="s">
        <v>862</v>
      </c>
      <c r="C33" s="2222"/>
      <c r="D33" s="2223"/>
      <c r="E33" s="2224" t="s">
        <v>863</v>
      </c>
      <c r="F33" s="2225"/>
      <c r="G33" s="2226"/>
      <c r="H33" s="2221" t="s">
        <v>810</v>
      </c>
      <c r="I33" s="2247"/>
      <c r="J33" s="2248" t="s">
        <v>685</v>
      </c>
      <c r="K33" s="2249"/>
      <c r="L33" s="2249"/>
      <c r="M33" s="2250"/>
      <c r="N33" s="2242"/>
      <c r="O33" s="2242"/>
      <c r="P33" s="2242"/>
    </row>
    <row r="34" spans="1:18" s="2193" customFormat="1">
      <c r="A34" s="2227"/>
      <c r="B34" s="2228" t="str">
        <f>'Slab-Culverts Data'!C678</f>
        <v>PRSD, Wanaparthy</v>
      </c>
      <c r="C34" s="2229"/>
      <c r="D34" s="2230"/>
      <c r="E34" s="2231" t="str">
        <f>'Slab-Culverts Data'!G678</f>
        <v>PRSD, Wanaparthy</v>
      </c>
      <c r="F34" s="2232"/>
      <c r="G34" s="2230"/>
      <c r="H34" s="2228" t="str">
        <f>'Slab-Culverts Data'!C682</f>
        <v>PIU, Wanaparthy</v>
      </c>
      <c r="I34" s="2251"/>
      <c r="J34" s="2252"/>
      <c r="K34" s="2253" t="str">
        <f>'Slab-Culverts Data'!G682</f>
        <v>PR, Circle, Warangal</v>
      </c>
      <c r="L34" s="2254"/>
      <c r="M34" s="2255"/>
      <c r="N34" s="2207"/>
    </row>
    <row r="35" spans="1:18">
      <c r="B35" s="2195"/>
      <c r="K35" s="2195"/>
      <c r="R35" s="2194">
        <f>R31/0.075</f>
        <v>9533.203117006191</v>
      </c>
    </row>
    <row r="36" spans="1:18">
      <c r="B36" s="2195"/>
      <c r="K36" s="2195"/>
      <c r="R36" s="2194">
        <f>R35*382*0.75*2.5</f>
        <v>6828156.7325556846</v>
      </c>
    </row>
    <row r="37" spans="1:18">
      <c r="B37" s="2195"/>
      <c r="J37" s="2195"/>
      <c r="K37" s="2195"/>
      <c r="R37" s="2194" t="s">
        <v>864</v>
      </c>
    </row>
    <row r="38" spans="1:18">
      <c r="B38" s="2195"/>
      <c r="K38" s="2195"/>
      <c r="L38" s="2195"/>
    </row>
    <row r="39" spans="1:18">
      <c r="B39" s="2195"/>
      <c r="K39" s="2195"/>
    </row>
    <row r="40" spans="1:18">
      <c r="B40" s="2195"/>
      <c r="K40" s="2195"/>
    </row>
    <row r="42" spans="1:18">
      <c r="D42" s="2233"/>
      <c r="E42" s="2233"/>
      <c r="F42" s="2233"/>
    </row>
  </sheetData>
  <protectedRanges>
    <protectedRange sqref="A7:A9" name="Range2"/>
    <protectedRange sqref="I12" name="Range3"/>
    <protectedRange sqref="B7:L9" name="Range2_1"/>
  </protectedRanges>
  <mergeCells count="15">
    <mergeCell ref="A1:M1"/>
    <mergeCell ref="A2:M2"/>
    <mergeCell ref="A3:M3"/>
    <mergeCell ref="B4:L4"/>
    <mergeCell ref="A32:C32"/>
    <mergeCell ref="D32:F32"/>
    <mergeCell ref="G32:I32"/>
    <mergeCell ref="J32:M32"/>
    <mergeCell ref="A4:A5"/>
    <mergeCell ref="M4:M5"/>
    <mergeCell ref="D5:F5"/>
    <mergeCell ref="G5:I5"/>
    <mergeCell ref="A27:C27"/>
    <mergeCell ref="A30:C30"/>
    <mergeCell ref="G30:H30"/>
  </mergeCells>
  <pageMargins left="0.74803149606299202" right="0.74803149606299202" top="0.39370078740157499" bottom="0.196850393700787" header="0.196850393700787" footer="0.196850393700787"/>
  <pageSetup paperSize="9" scale="87" orientation="landscape" r:id="rId1"/>
  <headerFooter scaleWithDoc="0" alignWithMargins="0"/>
  <colBreaks count="1" manualBreakCount="1">
    <brk id="13" max="1048575" man="1"/>
  </colBreaks>
</worksheet>
</file>

<file path=xl/worksheets/sheet14.xml><?xml version="1.0" encoding="utf-8"?>
<worksheet xmlns="http://schemas.openxmlformats.org/spreadsheetml/2006/main" xmlns:r="http://schemas.openxmlformats.org/officeDocument/2006/relationships">
  <sheetPr codeName="Sheet40"/>
  <dimension ref="A1:P36"/>
  <sheetViews>
    <sheetView view="pageBreakPreview" workbookViewId="0">
      <selection activeCell="I79" sqref="I79"/>
    </sheetView>
  </sheetViews>
  <sheetFormatPr defaultColWidth="9" defaultRowHeight="15"/>
  <cols>
    <col min="1" max="1" width="7" style="2107" customWidth="1"/>
    <col min="2" max="2" width="12.42578125" style="2107" customWidth="1"/>
    <col min="3" max="3" width="23" style="2107" customWidth="1"/>
    <col min="4" max="4" width="13.7109375" style="2108" customWidth="1"/>
    <col min="5" max="5" width="9" style="2107" customWidth="1"/>
    <col min="6" max="6" width="1.7109375" style="2107" customWidth="1"/>
    <col min="7" max="7" width="8.85546875" style="2107"/>
    <col min="8" max="8" width="16.42578125" style="2107" customWidth="1"/>
    <col min="9" max="256" width="8.85546875" style="2107"/>
    <col min="257" max="257" width="7" style="2107" customWidth="1"/>
    <col min="258" max="258" width="12.42578125" style="2107" customWidth="1"/>
    <col min="259" max="259" width="23" style="2107" customWidth="1"/>
    <col min="260" max="260" width="13.7109375" style="2107" customWidth="1"/>
    <col min="261" max="261" width="9" style="2107" customWidth="1"/>
    <col min="262" max="262" width="1.7109375" style="2107" customWidth="1"/>
    <col min="263" max="263" width="8.85546875" style="2107"/>
    <col min="264" max="264" width="16.42578125" style="2107" customWidth="1"/>
    <col min="265" max="512" width="8.85546875" style="2107"/>
    <col min="513" max="513" width="7" style="2107" customWidth="1"/>
    <col min="514" max="514" width="12.42578125" style="2107" customWidth="1"/>
    <col min="515" max="515" width="23" style="2107" customWidth="1"/>
    <col min="516" max="516" width="13.7109375" style="2107" customWidth="1"/>
    <col min="517" max="517" width="9" style="2107" customWidth="1"/>
    <col min="518" max="518" width="1.7109375" style="2107" customWidth="1"/>
    <col min="519" max="519" width="8.85546875" style="2107"/>
    <col min="520" max="520" width="16.42578125" style="2107" customWidth="1"/>
    <col min="521" max="768" width="8.85546875" style="2107"/>
    <col min="769" max="769" width="7" style="2107" customWidth="1"/>
    <col min="770" max="770" width="12.42578125" style="2107" customWidth="1"/>
    <col min="771" max="771" width="23" style="2107" customWidth="1"/>
    <col min="772" max="772" width="13.7109375" style="2107" customWidth="1"/>
    <col min="773" max="773" width="9" style="2107" customWidth="1"/>
    <col min="774" max="774" width="1.7109375" style="2107" customWidth="1"/>
    <col min="775" max="775" width="8.85546875" style="2107"/>
    <col min="776" max="776" width="16.42578125" style="2107" customWidth="1"/>
    <col min="777" max="1024" width="8.85546875" style="2107"/>
    <col min="1025" max="1025" width="7" style="2107" customWidth="1"/>
    <col min="1026" max="1026" width="12.42578125" style="2107" customWidth="1"/>
    <col min="1027" max="1027" width="23" style="2107" customWidth="1"/>
    <col min="1028" max="1028" width="13.7109375" style="2107" customWidth="1"/>
    <col min="1029" max="1029" width="9" style="2107" customWidth="1"/>
    <col min="1030" max="1030" width="1.7109375" style="2107" customWidth="1"/>
    <col min="1031" max="1031" width="8.85546875" style="2107"/>
    <col min="1032" max="1032" width="16.42578125" style="2107" customWidth="1"/>
    <col min="1033" max="1280" width="8.85546875" style="2107"/>
    <col min="1281" max="1281" width="7" style="2107" customWidth="1"/>
    <col min="1282" max="1282" width="12.42578125" style="2107" customWidth="1"/>
    <col min="1283" max="1283" width="23" style="2107" customWidth="1"/>
    <col min="1284" max="1284" width="13.7109375" style="2107" customWidth="1"/>
    <col min="1285" max="1285" width="9" style="2107" customWidth="1"/>
    <col min="1286" max="1286" width="1.7109375" style="2107" customWidth="1"/>
    <col min="1287" max="1287" width="8.85546875" style="2107"/>
    <col min="1288" max="1288" width="16.42578125" style="2107" customWidth="1"/>
    <col min="1289" max="1536" width="8.85546875" style="2107"/>
    <col min="1537" max="1537" width="7" style="2107" customWidth="1"/>
    <col min="1538" max="1538" width="12.42578125" style="2107" customWidth="1"/>
    <col min="1539" max="1539" width="23" style="2107" customWidth="1"/>
    <col min="1540" max="1540" width="13.7109375" style="2107" customWidth="1"/>
    <col min="1541" max="1541" width="9" style="2107" customWidth="1"/>
    <col min="1542" max="1542" width="1.7109375" style="2107" customWidth="1"/>
    <col min="1543" max="1543" width="8.85546875" style="2107"/>
    <col min="1544" max="1544" width="16.42578125" style="2107" customWidth="1"/>
    <col min="1545" max="1792" width="8.85546875" style="2107"/>
    <col min="1793" max="1793" width="7" style="2107" customWidth="1"/>
    <col min="1794" max="1794" width="12.42578125" style="2107" customWidth="1"/>
    <col min="1795" max="1795" width="23" style="2107" customWidth="1"/>
    <col min="1796" max="1796" width="13.7109375" style="2107" customWidth="1"/>
    <col min="1797" max="1797" width="9" style="2107" customWidth="1"/>
    <col min="1798" max="1798" width="1.7109375" style="2107" customWidth="1"/>
    <col min="1799" max="1799" width="8.85546875" style="2107"/>
    <col min="1800" max="1800" width="16.42578125" style="2107" customWidth="1"/>
    <col min="1801" max="2048" width="8.85546875" style="2107"/>
    <col min="2049" max="2049" width="7" style="2107" customWidth="1"/>
    <col min="2050" max="2050" width="12.42578125" style="2107" customWidth="1"/>
    <col min="2051" max="2051" width="23" style="2107" customWidth="1"/>
    <col min="2052" max="2052" width="13.7109375" style="2107" customWidth="1"/>
    <col min="2053" max="2053" width="9" style="2107" customWidth="1"/>
    <col min="2054" max="2054" width="1.7109375" style="2107" customWidth="1"/>
    <col min="2055" max="2055" width="8.85546875" style="2107"/>
    <col min="2056" max="2056" width="16.42578125" style="2107" customWidth="1"/>
    <col min="2057" max="2304" width="8.85546875" style="2107"/>
    <col min="2305" max="2305" width="7" style="2107" customWidth="1"/>
    <col min="2306" max="2306" width="12.42578125" style="2107" customWidth="1"/>
    <col min="2307" max="2307" width="23" style="2107" customWidth="1"/>
    <col min="2308" max="2308" width="13.7109375" style="2107" customWidth="1"/>
    <col min="2309" max="2309" width="9" style="2107" customWidth="1"/>
    <col min="2310" max="2310" width="1.7109375" style="2107" customWidth="1"/>
    <col min="2311" max="2311" width="8.85546875" style="2107"/>
    <col min="2312" max="2312" width="16.42578125" style="2107" customWidth="1"/>
    <col min="2313" max="2560" width="8.85546875" style="2107"/>
    <col min="2561" max="2561" width="7" style="2107" customWidth="1"/>
    <col min="2562" max="2562" width="12.42578125" style="2107" customWidth="1"/>
    <col min="2563" max="2563" width="23" style="2107" customWidth="1"/>
    <col min="2564" max="2564" width="13.7109375" style="2107" customWidth="1"/>
    <col min="2565" max="2565" width="9" style="2107" customWidth="1"/>
    <col min="2566" max="2566" width="1.7109375" style="2107" customWidth="1"/>
    <col min="2567" max="2567" width="8.85546875" style="2107"/>
    <col min="2568" max="2568" width="16.42578125" style="2107" customWidth="1"/>
    <col min="2569" max="2816" width="8.85546875" style="2107"/>
    <col min="2817" max="2817" width="7" style="2107" customWidth="1"/>
    <col min="2818" max="2818" width="12.42578125" style="2107" customWidth="1"/>
    <col min="2819" max="2819" width="23" style="2107" customWidth="1"/>
    <col min="2820" max="2820" width="13.7109375" style="2107" customWidth="1"/>
    <col min="2821" max="2821" width="9" style="2107" customWidth="1"/>
    <col min="2822" max="2822" width="1.7109375" style="2107" customWidth="1"/>
    <col min="2823" max="2823" width="8.85546875" style="2107"/>
    <col min="2824" max="2824" width="16.42578125" style="2107" customWidth="1"/>
    <col min="2825" max="3072" width="8.85546875" style="2107"/>
    <col min="3073" max="3073" width="7" style="2107" customWidth="1"/>
    <col min="3074" max="3074" width="12.42578125" style="2107" customWidth="1"/>
    <col min="3075" max="3075" width="23" style="2107" customWidth="1"/>
    <col min="3076" max="3076" width="13.7109375" style="2107" customWidth="1"/>
    <col min="3077" max="3077" width="9" style="2107" customWidth="1"/>
    <col min="3078" max="3078" width="1.7109375" style="2107" customWidth="1"/>
    <col min="3079" max="3079" width="8.85546875" style="2107"/>
    <col min="3080" max="3080" width="16.42578125" style="2107" customWidth="1"/>
    <col min="3081" max="3328" width="8.85546875" style="2107"/>
    <col min="3329" max="3329" width="7" style="2107" customWidth="1"/>
    <col min="3330" max="3330" width="12.42578125" style="2107" customWidth="1"/>
    <col min="3331" max="3331" width="23" style="2107" customWidth="1"/>
    <col min="3332" max="3332" width="13.7109375" style="2107" customWidth="1"/>
    <col min="3333" max="3333" width="9" style="2107" customWidth="1"/>
    <col min="3334" max="3334" width="1.7109375" style="2107" customWidth="1"/>
    <col min="3335" max="3335" width="8.85546875" style="2107"/>
    <col min="3336" max="3336" width="16.42578125" style="2107" customWidth="1"/>
    <col min="3337" max="3584" width="8.85546875" style="2107"/>
    <col min="3585" max="3585" width="7" style="2107" customWidth="1"/>
    <col min="3586" max="3586" width="12.42578125" style="2107" customWidth="1"/>
    <col min="3587" max="3587" width="23" style="2107" customWidth="1"/>
    <col min="3588" max="3588" width="13.7109375" style="2107" customWidth="1"/>
    <col min="3589" max="3589" width="9" style="2107" customWidth="1"/>
    <col min="3590" max="3590" width="1.7109375" style="2107" customWidth="1"/>
    <col min="3591" max="3591" width="8.85546875" style="2107"/>
    <col min="3592" max="3592" width="16.42578125" style="2107" customWidth="1"/>
    <col min="3593" max="3840" width="8.85546875" style="2107"/>
    <col min="3841" max="3841" width="7" style="2107" customWidth="1"/>
    <col min="3842" max="3842" width="12.42578125" style="2107" customWidth="1"/>
    <col min="3843" max="3843" width="23" style="2107" customWidth="1"/>
    <col min="3844" max="3844" width="13.7109375" style="2107" customWidth="1"/>
    <col min="3845" max="3845" width="9" style="2107" customWidth="1"/>
    <col min="3846" max="3846" width="1.7109375" style="2107" customWidth="1"/>
    <col min="3847" max="3847" width="8.85546875" style="2107"/>
    <col min="3848" max="3848" width="16.42578125" style="2107" customWidth="1"/>
    <col min="3849" max="4096" width="8.85546875" style="2107"/>
    <col min="4097" max="4097" width="7" style="2107" customWidth="1"/>
    <col min="4098" max="4098" width="12.42578125" style="2107" customWidth="1"/>
    <col min="4099" max="4099" width="23" style="2107" customWidth="1"/>
    <col min="4100" max="4100" width="13.7109375" style="2107" customWidth="1"/>
    <col min="4101" max="4101" width="9" style="2107" customWidth="1"/>
    <col min="4102" max="4102" width="1.7109375" style="2107" customWidth="1"/>
    <col min="4103" max="4103" width="8.85546875" style="2107"/>
    <col min="4104" max="4104" width="16.42578125" style="2107" customWidth="1"/>
    <col min="4105" max="4352" width="8.85546875" style="2107"/>
    <col min="4353" max="4353" width="7" style="2107" customWidth="1"/>
    <col min="4354" max="4354" width="12.42578125" style="2107" customWidth="1"/>
    <col min="4355" max="4355" width="23" style="2107" customWidth="1"/>
    <col min="4356" max="4356" width="13.7109375" style="2107" customWidth="1"/>
    <col min="4357" max="4357" width="9" style="2107" customWidth="1"/>
    <col min="4358" max="4358" width="1.7109375" style="2107" customWidth="1"/>
    <col min="4359" max="4359" width="8.85546875" style="2107"/>
    <col min="4360" max="4360" width="16.42578125" style="2107" customWidth="1"/>
    <col min="4361" max="4608" width="8.85546875" style="2107"/>
    <col min="4609" max="4609" width="7" style="2107" customWidth="1"/>
    <col min="4610" max="4610" width="12.42578125" style="2107" customWidth="1"/>
    <col min="4611" max="4611" width="23" style="2107" customWidth="1"/>
    <col min="4612" max="4612" width="13.7109375" style="2107" customWidth="1"/>
    <col min="4613" max="4613" width="9" style="2107" customWidth="1"/>
    <col min="4614" max="4614" width="1.7109375" style="2107" customWidth="1"/>
    <col min="4615" max="4615" width="8.85546875" style="2107"/>
    <col min="4616" max="4616" width="16.42578125" style="2107" customWidth="1"/>
    <col min="4617" max="4864" width="8.85546875" style="2107"/>
    <col min="4865" max="4865" width="7" style="2107" customWidth="1"/>
    <col min="4866" max="4866" width="12.42578125" style="2107" customWidth="1"/>
    <col min="4867" max="4867" width="23" style="2107" customWidth="1"/>
    <col min="4868" max="4868" width="13.7109375" style="2107" customWidth="1"/>
    <col min="4869" max="4869" width="9" style="2107" customWidth="1"/>
    <col min="4870" max="4870" width="1.7109375" style="2107" customWidth="1"/>
    <col min="4871" max="4871" width="8.85546875" style="2107"/>
    <col min="4872" max="4872" width="16.42578125" style="2107" customWidth="1"/>
    <col min="4873" max="5120" width="8.85546875" style="2107"/>
    <col min="5121" max="5121" width="7" style="2107" customWidth="1"/>
    <col min="5122" max="5122" width="12.42578125" style="2107" customWidth="1"/>
    <col min="5123" max="5123" width="23" style="2107" customWidth="1"/>
    <col min="5124" max="5124" width="13.7109375" style="2107" customWidth="1"/>
    <col min="5125" max="5125" width="9" style="2107" customWidth="1"/>
    <col min="5126" max="5126" width="1.7109375" style="2107" customWidth="1"/>
    <col min="5127" max="5127" width="8.85546875" style="2107"/>
    <col min="5128" max="5128" width="16.42578125" style="2107" customWidth="1"/>
    <col min="5129" max="5376" width="8.85546875" style="2107"/>
    <col min="5377" max="5377" width="7" style="2107" customWidth="1"/>
    <col min="5378" max="5378" width="12.42578125" style="2107" customWidth="1"/>
    <col min="5379" max="5379" width="23" style="2107" customWidth="1"/>
    <col min="5380" max="5380" width="13.7109375" style="2107" customWidth="1"/>
    <col min="5381" max="5381" width="9" style="2107" customWidth="1"/>
    <col min="5382" max="5382" width="1.7109375" style="2107" customWidth="1"/>
    <col min="5383" max="5383" width="8.85546875" style="2107"/>
    <col min="5384" max="5384" width="16.42578125" style="2107" customWidth="1"/>
    <col min="5385" max="5632" width="8.85546875" style="2107"/>
    <col min="5633" max="5633" width="7" style="2107" customWidth="1"/>
    <col min="5634" max="5634" width="12.42578125" style="2107" customWidth="1"/>
    <col min="5635" max="5635" width="23" style="2107" customWidth="1"/>
    <col min="5636" max="5636" width="13.7109375" style="2107" customWidth="1"/>
    <col min="5637" max="5637" width="9" style="2107" customWidth="1"/>
    <col min="5638" max="5638" width="1.7109375" style="2107" customWidth="1"/>
    <col min="5639" max="5639" width="8.85546875" style="2107"/>
    <col min="5640" max="5640" width="16.42578125" style="2107" customWidth="1"/>
    <col min="5641" max="5888" width="8.85546875" style="2107"/>
    <col min="5889" max="5889" width="7" style="2107" customWidth="1"/>
    <col min="5890" max="5890" width="12.42578125" style="2107" customWidth="1"/>
    <col min="5891" max="5891" width="23" style="2107" customWidth="1"/>
    <col min="5892" max="5892" width="13.7109375" style="2107" customWidth="1"/>
    <col min="5893" max="5893" width="9" style="2107" customWidth="1"/>
    <col min="5894" max="5894" width="1.7109375" style="2107" customWidth="1"/>
    <col min="5895" max="5895" width="8.85546875" style="2107"/>
    <col min="5896" max="5896" width="16.42578125" style="2107" customWidth="1"/>
    <col min="5897" max="6144" width="8.85546875" style="2107"/>
    <col min="6145" max="6145" width="7" style="2107" customWidth="1"/>
    <col min="6146" max="6146" width="12.42578125" style="2107" customWidth="1"/>
    <col min="6147" max="6147" width="23" style="2107" customWidth="1"/>
    <col min="6148" max="6148" width="13.7109375" style="2107" customWidth="1"/>
    <col min="6149" max="6149" width="9" style="2107" customWidth="1"/>
    <col min="6150" max="6150" width="1.7109375" style="2107" customWidth="1"/>
    <col min="6151" max="6151" width="8.85546875" style="2107"/>
    <col min="6152" max="6152" width="16.42578125" style="2107" customWidth="1"/>
    <col min="6153" max="6400" width="8.85546875" style="2107"/>
    <col min="6401" max="6401" width="7" style="2107" customWidth="1"/>
    <col min="6402" max="6402" width="12.42578125" style="2107" customWidth="1"/>
    <col min="6403" max="6403" width="23" style="2107" customWidth="1"/>
    <col min="6404" max="6404" width="13.7109375" style="2107" customWidth="1"/>
    <col min="6405" max="6405" width="9" style="2107" customWidth="1"/>
    <col min="6406" max="6406" width="1.7109375" style="2107" customWidth="1"/>
    <col min="6407" max="6407" width="8.85546875" style="2107"/>
    <col min="6408" max="6408" width="16.42578125" style="2107" customWidth="1"/>
    <col min="6409" max="6656" width="8.85546875" style="2107"/>
    <col min="6657" max="6657" width="7" style="2107" customWidth="1"/>
    <col min="6658" max="6658" width="12.42578125" style="2107" customWidth="1"/>
    <col min="6659" max="6659" width="23" style="2107" customWidth="1"/>
    <col min="6660" max="6660" width="13.7109375" style="2107" customWidth="1"/>
    <col min="6661" max="6661" width="9" style="2107" customWidth="1"/>
    <col min="6662" max="6662" width="1.7109375" style="2107" customWidth="1"/>
    <col min="6663" max="6663" width="8.85546875" style="2107"/>
    <col min="6664" max="6664" width="16.42578125" style="2107" customWidth="1"/>
    <col min="6665" max="6912" width="8.85546875" style="2107"/>
    <col min="6913" max="6913" width="7" style="2107" customWidth="1"/>
    <col min="6914" max="6914" width="12.42578125" style="2107" customWidth="1"/>
    <col min="6915" max="6915" width="23" style="2107" customWidth="1"/>
    <col min="6916" max="6916" width="13.7109375" style="2107" customWidth="1"/>
    <col min="6917" max="6917" width="9" style="2107" customWidth="1"/>
    <col min="6918" max="6918" width="1.7109375" style="2107" customWidth="1"/>
    <col min="6919" max="6919" width="8.85546875" style="2107"/>
    <col min="6920" max="6920" width="16.42578125" style="2107" customWidth="1"/>
    <col min="6921" max="7168" width="8.85546875" style="2107"/>
    <col min="7169" max="7169" width="7" style="2107" customWidth="1"/>
    <col min="7170" max="7170" width="12.42578125" style="2107" customWidth="1"/>
    <col min="7171" max="7171" width="23" style="2107" customWidth="1"/>
    <col min="7172" max="7172" width="13.7109375" style="2107" customWidth="1"/>
    <col min="7173" max="7173" width="9" style="2107" customWidth="1"/>
    <col min="7174" max="7174" width="1.7109375" style="2107" customWidth="1"/>
    <col min="7175" max="7175" width="8.85546875" style="2107"/>
    <col min="7176" max="7176" width="16.42578125" style="2107" customWidth="1"/>
    <col min="7177" max="7424" width="8.85546875" style="2107"/>
    <col min="7425" max="7425" width="7" style="2107" customWidth="1"/>
    <col min="7426" max="7426" width="12.42578125" style="2107" customWidth="1"/>
    <col min="7427" max="7427" width="23" style="2107" customWidth="1"/>
    <col min="7428" max="7428" width="13.7109375" style="2107" customWidth="1"/>
    <col min="7429" max="7429" width="9" style="2107" customWidth="1"/>
    <col min="7430" max="7430" width="1.7109375" style="2107" customWidth="1"/>
    <col min="7431" max="7431" width="8.85546875" style="2107"/>
    <col min="7432" max="7432" width="16.42578125" style="2107" customWidth="1"/>
    <col min="7433" max="7680" width="8.85546875" style="2107"/>
    <col min="7681" max="7681" width="7" style="2107" customWidth="1"/>
    <col min="7682" max="7682" width="12.42578125" style="2107" customWidth="1"/>
    <col min="7683" max="7683" width="23" style="2107" customWidth="1"/>
    <col min="7684" max="7684" width="13.7109375" style="2107" customWidth="1"/>
    <col min="7685" max="7685" width="9" style="2107" customWidth="1"/>
    <col min="7686" max="7686" width="1.7109375" style="2107" customWidth="1"/>
    <col min="7687" max="7687" width="8.85546875" style="2107"/>
    <col min="7688" max="7688" width="16.42578125" style="2107" customWidth="1"/>
    <col min="7689" max="7936" width="8.85546875" style="2107"/>
    <col min="7937" max="7937" width="7" style="2107" customWidth="1"/>
    <col min="7938" max="7938" width="12.42578125" style="2107" customWidth="1"/>
    <col min="7939" max="7939" width="23" style="2107" customWidth="1"/>
    <col min="7940" max="7940" width="13.7109375" style="2107" customWidth="1"/>
    <col min="7941" max="7941" width="9" style="2107" customWidth="1"/>
    <col min="7942" max="7942" width="1.7109375" style="2107" customWidth="1"/>
    <col min="7943" max="7943" width="8.85546875" style="2107"/>
    <col min="7944" max="7944" width="16.42578125" style="2107" customWidth="1"/>
    <col min="7945" max="8192" width="8.85546875" style="2107"/>
    <col min="8193" max="8193" width="7" style="2107" customWidth="1"/>
    <col min="8194" max="8194" width="12.42578125" style="2107" customWidth="1"/>
    <col min="8195" max="8195" width="23" style="2107" customWidth="1"/>
    <col min="8196" max="8196" width="13.7109375" style="2107" customWidth="1"/>
    <col min="8197" max="8197" width="9" style="2107" customWidth="1"/>
    <col min="8198" max="8198" width="1.7109375" style="2107" customWidth="1"/>
    <col min="8199" max="8199" width="8.85546875" style="2107"/>
    <col min="8200" max="8200" width="16.42578125" style="2107" customWidth="1"/>
    <col min="8201" max="8448" width="8.85546875" style="2107"/>
    <col min="8449" max="8449" width="7" style="2107" customWidth="1"/>
    <col min="8450" max="8450" width="12.42578125" style="2107" customWidth="1"/>
    <col min="8451" max="8451" width="23" style="2107" customWidth="1"/>
    <col min="8452" max="8452" width="13.7109375" style="2107" customWidth="1"/>
    <col min="8453" max="8453" width="9" style="2107" customWidth="1"/>
    <col min="8454" max="8454" width="1.7109375" style="2107" customWidth="1"/>
    <col min="8455" max="8455" width="8.85546875" style="2107"/>
    <col min="8456" max="8456" width="16.42578125" style="2107" customWidth="1"/>
    <col min="8457" max="8704" width="8.85546875" style="2107"/>
    <col min="8705" max="8705" width="7" style="2107" customWidth="1"/>
    <col min="8706" max="8706" width="12.42578125" style="2107" customWidth="1"/>
    <col min="8707" max="8707" width="23" style="2107" customWidth="1"/>
    <col min="8708" max="8708" width="13.7109375" style="2107" customWidth="1"/>
    <col min="8709" max="8709" width="9" style="2107" customWidth="1"/>
    <col min="8710" max="8710" width="1.7109375" style="2107" customWidth="1"/>
    <col min="8711" max="8711" width="8.85546875" style="2107"/>
    <col min="8712" max="8712" width="16.42578125" style="2107" customWidth="1"/>
    <col min="8713" max="8960" width="8.85546875" style="2107"/>
    <col min="8961" max="8961" width="7" style="2107" customWidth="1"/>
    <col min="8962" max="8962" width="12.42578125" style="2107" customWidth="1"/>
    <col min="8963" max="8963" width="23" style="2107" customWidth="1"/>
    <col min="8964" max="8964" width="13.7109375" style="2107" customWidth="1"/>
    <col min="8965" max="8965" width="9" style="2107" customWidth="1"/>
    <col min="8966" max="8966" width="1.7109375" style="2107" customWidth="1"/>
    <col min="8967" max="8967" width="8.85546875" style="2107"/>
    <col min="8968" max="8968" width="16.42578125" style="2107" customWidth="1"/>
    <col min="8969" max="9216" width="8.85546875" style="2107"/>
    <col min="9217" max="9217" width="7" style="2107" customWidth="1"/>
    <col min="9218" max="9218" width="12.42578125" style="2107" customWidth="1"/>
    <col min="9219" max="9219" width="23" style="2107" customWidth="1"/>
    <col min="9220" max="9220" width="13.7109375" style="2107" customWidth="1"/>
    <col min="9221" max="9221" width="9" style="2107" customWidth="1"/>
    <col min="9222" max="9222" width="1.7109375" style="2107" customWidth="1"/>
    <col min="9223" max="9223" width="8.85546875" style="2107"/>
    <col min="9224" max="9224" width="16.42578125" style="2107" customWidth="1"/>
    <col min="9225" max="9472" width="8.85546875" style="2107"/>
    <col min="9473" max="9473" width="7" style="2107" customWidth="1"/>
    <col min="9474" max="9474" width="12.42578125" style="2107" customWidth="1"/>
    <col min="9475" max="9475" width="23" style="2107" customWidth="1"/>
    <col min="9476" max="9476" width="13.7109375" style="2107" customWidth="1"/>
    <col min="9477" max="9477" width="9" style="2107" customWidth="1"/>
    <col min="9478" max="9478" width="1.7109375" style="2107" customWidth="1"/>
    <col min="9479" max="9479" width="8.85546875" style="2107"/>
    <col min="9480" max="9480" width="16.42578125" style="2107" customWidth="1"/>
    <col min="9481" max="9728" width="8.85546875" style="2107"/>
    <col min="9729" max="9729" width="7" style="2107" customWidth="1"/>
    <col min="9730" max="9730" width="12.42578125" style="2107" customWidth="1"/>
    <col min="9731" max="9731" width="23" style="2107" customWidth="1"/>
    <col min="9732" max="9732" width="13.7109375" style="2107" customWidth="1"/>
    <col min="9733" max="9733" width="9" style="2107" customWidth="1"/>
    <col min="9734" max="9734" width="1.7109375" style="2107" customWidth="1"/>
    <col min="9735" max="9735" width="8.85546875" style="2107"/>
    <col min="9736" max="9736" width="16.42578125" style="2107" customWidth="1"/>
    <col min="9737" max="9984" width="8.85546875" style="2107"/>
    <col min="9985" max="9985" width="7" style="2107" customWidth="1"/>
    <col min="9986" max="9986" width="12.42578125" style="2107" customWidth="1"/>
    <col min="9987" max="9987" width="23" style="2107" customWidth="1"/>
    <col min="9988" max="9988" width="13.7109375" style="2107" customWidth="1"/>
    <col min="9989" max="9989" width="9" style="2107" customWidth="1"/>
    <col min="9990" max="9990" width="1.7109375" style="2107" customWidth="1"/>
    <col min="9991" max="9991" width="8.85546875" style="2107"/>
    <col min="9992" max="9992" width="16.42578125" style="2107" customWidth="1"/>
    <col min="9993" max="10240" width="8.85546875" style="2107"/>
    <col min="10241" max="10241" width="7" style="2107" customWidth="1"/>
    <col min="10242" max="10242" width="12.42578125" style="2107" customWidth="1"/>
    <col min="10243" max="10243" width="23" style="2107" customWidth="1"/>
    <col min="10244" max="10244" width="13.7109375" style="2107" customWidth="1"/>
    <col min="10245" max="10245" width="9" style="2107" customWidth="1"/>
    <col min="10246" max="10246" width="1.7109375" style="2107" customWidth="1"/>
    <col min="10247" max="10247" width="8.85546875" style="2107"/>
    <col min="10248" max="10248" width="16.42578125" style="2107" customWidth="1"/>
    <col min="10249" max="10496" width="8.85546875" style="2107"/>
    <col min="10497" max="10497" width="7" style="2107" customWidth="1"/>
    <col min="10498" max="10498" width="12.42578125" style="2107" customWidth="1"/>
    <col min="10499" max="10499" width="23" style="2107" customWidth="1"/>
    <col min="10500" max="10500" width="13.7109375" style="2107" customWidth="1"/>
    <col min="10501" max="10501" width="9" style="2107" customWidth="1"/>
    <col min="10502" max="10502" width="1.7109375" style="2107" customWidth="1"/>
    <col min="10503" max="10503" width="8.85546875" style="2107"/>
    <col min="10504" max="10504" width="16.42578125" style="2107" customWidth="1"/>
    <col min="10505" max="10752" width="8.85546875" style="2107"/>
    <col min="10753" max="10753" width="7" style="2107" customWidth="1"/>
    <col min="10754" max="10754" width="12.42578125" style="2107" customWidth="1"/>
    <col min="10755" max="10755" width="23" style="2107" customWidth="1"/>
    <col min="10756" max="10756" width="13.7109375" style="2107" customWidth="1"/>
    <col min="10757" max="10757" width="9" style="2107" customWidth="1"/>
    <col min="10758" max="10758" width="1.7109375" style="2107" customWidth="1"/>
    <col min="10759" max="10759" width="8.85546875" style="2107"/>
    <col min="10760" max="10760" width="16.42578125" style="2107" customWidth="1"/>
    <col min="10761" max="11008" width="8.85546875" style="2107"/>
    <col min="11009" max="11009" width="7" style="2107" customWidth="1"/>
    <col min="11010" max="11010" width="12.42578125" style="2107" customWidth="1"/>
    <col min="11011" max="11011" width="23" style="2107" customWidth="1"/>
    <col min="11012" max="11012" width="13.7109375" style="2107" customWidth="1"/>
    <col min="11013" max="11013" width="9" style="2107" customWidth="1"/>
    <col min="11014" max="11014" width="1.7109375" style="2107" customWidth="1"/>
    <col min="11015" max="11015" width="8.85546875" style="2107"/>
    <col min="11016" max="11016" width="16.42578125" style="2107" customWidth="1"/>
    <col min="11017" max="11264" width="8.85546875" style="2107"/>
    <col min="11265" max="11265" width="7" style="2107" customWidth="1"/>
    <col min="11266" max="11266" width="12.42578125" style="2107" customWidth="1"/>
    <col min="11267" max="11267" width="23" style="2107" customWidth="1"/>
    <col min="11268" max="11268" width="13.7109375" style="2107" customWidth="1"/>
    <col min="11269" max="11269" width="9" style="2107" customWidth="1"/>
    <col min="11270" max="11270" width="1.7109375" style="2107" customWidth="1"/>
    <col min="11271" max="11271" width="8.85546875" style="2107"/>
    <col min="11272" max="11272" width="16.42578125" style="2107" customWidth="1"/>
    <col min="11273" max="11520" width="8.85546875" style="2107"/>
    <col min="11521" max="11521" width="7" style="2107" customWidth="1"/>
    <col min="11522" max="11522" width="12.42578125" style="2107" customWidth="1"/>
    <col min="11523" max="11523" width="23" style="2107" customWidth="1"/>
    <col min="11524" max="11524" width="13.7109375" style="2107" customWidth="1"/>
    <col min="11525" max="11525" width="9" style="2107" customWidth="1"/>
    <col min="11526" max="11526" width="1.7109375" style="2107" customWidth="1"/>
    <col min="11527" max="11527" width="8.85546875" style="2107"/>
    <col min="11528" max="11528" width="16.42578125" style="2107" customWidth="1"/>
    <col min="11529" max="11776" width="8.85546875" style="2107"/>
    <col min="11777" max="11777" width="7" style="2107" customWidth="1"/>
    <col min="11778" max="11778" width="12.42578125" style="2107" customWidth="1"/>
    <col min="11779" max="11779" width="23" style="2107" customWidth="1"/>
    <col min="11780" max="11780" width="13.7109375" style="2107" customWidth="1"/>
    <col min="11781" max="11781" width="9" style="2107" customWidth="1"/>
    <col min="11782" max="11782" width="1.7109375" style="2107" customWidth="1"/>
    <col min="11783" max="11783" width="8.85546875" style="2107"/>
    <col min="11784" max="11784" width="16.42578125" style="2107" customWidth="1"/>
    <col min="11785" max="12032" width="8.85546875" style="2107"/>
    <col min="12033" max="12033" width="7" style="2107" customWidth="1"/>
    <col min="12034" max="12034" width="12.42578125" style="2107" customWidth="1"/>
    <col min="12035" max="12035" width="23" style="2107" customWidth="1"/>
    <col min="12036" max="12036" width="13.7109375" style="2107" customWidth="1"/>
    <col min="12037" max="12037" width="9" style="2107" customWidth="1"/>
    <col min="12038" max="12038" width="1.7109375" style="2107" customWidth="1"/>
    <col min="12039" max="12039" width="8.85546875" style="2107"/>
    <col min="12040" max="12040" width="16.42578125" style="2107" customWidth="1"/>
    <col min="12041" max="12288" width="8.85546875" style="2107"/>
    <col min="12289" max="12289" width="7" style="2107" customWidth="1"/>
    <col min="12290" max="12290" width="12.42578125" style="2107" customWidth="1"/>
    <col min="12291" max="12291" width="23" style="2107" customWidth="1"/>
    <col min="12292" max="12292" width="13.7109375" style="2107" customWidth="1"/>
    <col min="12293" max="12293" width="9" style="2107" customWidth="1"/>
    <col min="12294" max="12294" width="1.7109375" style="2107" customWidth="1"/>
    <col min="12295" max="12295" width="8.85546875" style="2107"/>
    <col min="12296" max="12296" width="16.42578125" style="2107" customWidth="1"/>
    <col min="12297" max="12544" width="8.85546875" style="2107"/>
    <col min="12545" max="12545" width="7" style="2107" customWidth="1"/>
    <col min="12546" max="12546" width="12.42578125" style="2107" customWidth="1"/>
    <col min="12547" max="12547" width="23" style="2107" customWidth="1"/>
    <col min="12548" max="12548" width="13.7109375" style="2107" customWidth="1"/>
    <col min="12549" max="12549" width="9" style="2107" customWidth="1"/>
    <col min="12550" max="12550" width="1.7109375" style="2107" customWidth="1"/>
    <col min="12551" max="12551" width="8.85546875" style="2107"/>
    <col min="12552" max="12552" width="16.42578125" style="2107" customWidth="1"/>
    <col min="12553" max="12800" width="8.85546875" style="2107"/>
    <col min="12801" max="12801" width="7" style="2107" customWidth="1"/>
    <col min="12802" max="12802" width="12.42578125" style="2107" customWidth="1"/>
    <col min="12803" max="12803" width="23" style="2107" customWidth="1"/>
    <col min="12804" max="12804" width="13.7109375" style="2107" customWidth="1"/>
    <col min="12805" max="12805" width="9" style="2107" customWidth="1"/>
    <col min="12806" max="12806" width="1.7109375" style="2107" customWidth="1"/>
    <col min="12807" max="12807" width="8.85546875" style="2107"/>
    <col min="12808" max="12808" width="16.42578125" style="2107" customWidth="1"/>
    <col min="12809" max="13056" width="8.85546875" style="2107"/>
    <col min="13057" max="13057" width="7" style="2107" customWidth="1"/>
    <col min="13058" max="13058" width="12.42578125" style="2107" customWidth="1"/>
    <col min="13059" max="13059" width="23" style="2107" customWidth="1"/>
    <col min="13060" max="13060" width="13.7109375" style="2107" customWidth="1"/>
    <col min="13061" max="13061" width="9" style="2107" customWidth="1"/>
    <col min="13062" max="13062" width="1.7109375" style="2107" customWidth="1"/>
    <col min="13063" max="13063" width="8.85546875" style="2107"/>
    <col min="13064" max="13064" width="16.42578125" style="2107" customWidth="1"/>
    <col min="13065" max="13312" width="8.85546875" style="2107"/>
    <col min="13313" max="13313" width="7" style="2107" customWidth="1"/>
    <col min="13314" max="13314" width="12.42578125" style="2107" customWidth="1"/>
    <col min="13315" max="13315" width="23" style="2107" customWidth="1"/>
    <col min="13316" max="13316" width="13.7109375" style="2107" customWidth="1"/>
    <col min="13317" max="13317" width="9" style="2107" customWidth="1"/>
    <col min="13318" max="13318" width="1.7109375" style="2107" customWidth="1"/>
    <col min="13319" max="13319" width="8.85546875" style="2107"/>
    <col min="13320" max="13320" width="16.42578125" style="2107" customWidth="1"/>
    <col min="13321" max="13568" width="8.85546875" style="2107"/>
    <col min="13569" max="13569" width="7" style="2107" customWidth="1"/>
    <col min="13570" max="13570" width="12.42578125" style="2107" customWidth="1"/>
    <col min="13571" max="13571" width="23" style="2107" customWidth="1"/>
    <col min="13572" max="13572" width="13.7109375" style="2107" customWidth="1"/>
    <col min="13573" max="13573" width="9" style="2107" customWidth="1"/>
    <col min="13574" max="13574" width="1.7109375" style="2107" customWidth="1"/>
    <col min="13575" max="13575" width="8.85546875" style="2107"/>
    <col min="13576" max="13576" width="16.42578125" style="2107" customWidth="1"/>
    <col min="13577" max="13824" width="8.85546875" style="2107"/>
    <col min="13825" max="13825" width="7" style="2107" customWidth="1"/>
    <col min="13826" max="13826" width="12.42578125" style="2107" customWidth="1"/>
    <col min="13827" max="13827" width="23" style="2107" customWidth="1"/>
    <col min="13828" max="13828" width="13.7109375" style="2107" customWidth="1"/>
    <col min="13829" max="13829" width="9" style="2107" customWidth="1"/>
    <col min="13830" max="13830" width="1.7109375" style="2107" customWidth="1"/>
    <col min="13831" max="13831" width="8.85546875" style="2107"/>
    <col min="13832" max="13832" width="16.42578125" style="2107" customWidth="1"/>
    <col min="13833" max="14080" width="8.85546875" style="2107"/>
    <col min="14081" max="14081" width="7" style="2107" customWidth="1"/>
    <col min="14082" max="14082" width="12.42578125" style="2107" customWidth="1"/>
    <col min="14083" max="14083" width="23" style="2107" customWidth="1"/>
    <col min="14084" max="14084" width="13.7109375" style="2107" customWidth="1"/>
    <col min="14085" max="14085" width="9" style="2107" customWidth="1"/>
    <col min="14086" max="14086" width="1.7109375" style="2107" customWidth="1"/>
    <col min="14087" max="14087" width="8.85546875" style="2107"/>
    <col min="14088" max="14088" width="16.42578125" style="2107" customWidth="1"/>
    <col min="14089" max="14336" width="8.85546875" style="2107"/>
    <col min="14337" max="14337" width="7" style="2107" customWidth="1"/>
    <col min="14338" max="14338" width="12.42578125" style="2107" customWidth="1"/>
    <col min="14339" max="14339" width="23" style="2107" customWidth="1"/>
    <col min="14340" max="14340" width="13.7109375" style="2107" customWidth="1"/>
    <col min="14341" max="14341" width="9" style="2107" customWidth="1"/>
    <col min="14342" max="14342" width="1.7109375" style="2107" customWidth="1"/>
    <col min="14343" max="14343" width="8.85546875" style="2107"/>
    <col min="14344" max="14344" width="16.42578125" style="2107" customWidth="1"/>
    <col min="14345" max="14592" width="8.85546875" style="2107"/>
    <col min="14593" max="14593" width="7" style="2107" customWidth="1"/>
    <col min="14594" max="14594" width="12.42578125" style="2107" customWidth="1"/>
    <col min="14595" max="14595" width="23" style="2107" customWidth="1"/>
    <col min="14596" max="14596" width="13.7109375" style="2107" customWidth="1"/>
    <col min="14597" max="14597" width="9" style="2107" customWidth="1"/>
    <col min="14598" max="14598" width="1.7109375" style="2107" customWidth="1"/>
    <col min="14599" max="14599" width="8.85546875" style="2107"/>
    <col min="14600" max="14600" width="16.42578125" style="2107" customWidth="1"/>
    <col min="14601" max="14848" width="8.85546875" style="2107"/>
    <col min="14849" max="14849" width="7" style="2107" customWidth="1"/>
    <col min="14850" max="14850" width="12.42578125" style="2107" customWidth="1"/>
    <col min="14851" max="14851" width="23" style="2107" customWidth="1"/>
    <col min="14852" max="14852" width="13.7109375" style="2107" customWidth="1"/>
    <col min="14853" max="14853" width="9" style="2107" customWidth="1"/>
    <col min="14854" max="14854" width="1.7109375" style="2107" customWidth="1"/>
    <col min="14855" max="14855" width="8.85546875" style="2107"/>
    <col min="14856" max="14856" width="16.42578125" style="2107" customWidth="1"/>
    <col min="14857" max="15104" width="8.85546875" style="2107"/>
    <col min="15105" max="15105" width="7" style="2107" customWidth="1"/>
    <col min="15106" max="15106" width="12.42578125" style="2107" customWidth="1"/>
    <col min="15107" max="15107" width="23" style="2107" customWidth="1"/>
    <col min="15108" max="15108" width="13.7109375" style="2107" customWidth="1"/>
    <col min="15109" max="15109" width="9" style="2107" customWidth="1"/>
    <col min="15110" max="15110" width="1.7109375" style="2107" customWidth="1"/>
    <col min="15111" max="15111" width="8.85546875" style="2107"/>
    <col min="15112" max="15112" width="16.42578125" style="2107" customWidth="1"/>
    <col min="15113" max="15360" width="8.85546875" style="2107"/>
    <col min="15361" max="15361" width="7" style="2107" customWidth="1"/>
    <col min="15362" max="15362" width="12.42578125" style="2107" customWidth="1"/>
    <col min="15363" max="15363" width="23" style="2107" customWidth="1"/>
    <col min="15364" max="15364" width="13.7109375" style="2107" customWidth="1"/>
    <col min="15365" max="15365" width="9" style="2107" customWidth="1"/>
    <col min="15366" max="15366" width="1.7109375" style="2107" customWidth="1"/>
    <col min="15367" max="15367" width="8.85546875" style="2107"/>
    <col min="15368" max="15368" width="16.42578125" style="2107" customWidth="1"/>
    <col min="15369" max="15616" width="8.85546875" style="2107"/>
    <col min="15617" max="15617" width="7" style="2107" customWidth="1"/>
    <col min="15618" max="15618" width="12.42578125" style="2107" customWidth="1"/>
    <col min="15619" max="15619" width="23" style="2107" customWidth="1"/>
    <col min="15620" max="15620" width="13.7109375" style="2107" customWidth="1"/>
    <col min="15621" max="15621" width="9" style="2107" customWidth="1"/>
    <col min="15622" max="15622" width="1.7109375" style="2107" customWidth="1"/>
    <col min="15623" max="15623" width="8.85546875" style="2107"/>
    <col min="15624" max="15624" width="16.42578125" style="2107" customWidth="1"/>
    <col min="15625" max="15872" width="8.85546875" style="2107"/>
    <col min="15873" max="15873" width="7" style="2107" customWidth="1"/>
    <col min="15874" max="15874" width="12.42578125" style="2107" customWidth="1"/>
    <col min="15875" max="15875" width="23" style="2107" customWidth="1"/>
    <col min="15876" max="15876" width="13.7109375" style="2107" customWidth="1"/>
    <col min="15877" max="15877" width="9" style="2107" customWidth="1"/>
    <col min="15878" max="15878" width="1.7109375" style="2107" customWidth="1"/>
    <col min="15879" max="15879" width="8.85546875" style="2107"/>
    <col min="15880" max="15880" width="16.42578125" style="2107" customWidth="1"/>
    <col min="15881" max="16128" width="8.85546875" style="2107"/>
    <col min="16129" max="16129" width="7" style="2107" customWidth="1"/>
    <col min="16130" max="16130" width="12.42578125" style="2107" customWidth="1"/>
    <col min="16131" max="16131" width="23" style="2107" customWidth="1"/>
    <col min="16132" max="16132" width="13.7109375" style="2107" customWidth="1"/>
    <col min="16133" max="16133" width="9" style="2107" customWidth="1"/>
    <col min="16134" max="16134" width="1.7109375" style="2107" customWidth="1"/>
    <col min="16135" max="16135" width="8.85546875" style="2107"/>
    <col min="16136" max="16136" width="16.42578125" style="2107" customWidth="1"/>
    <col min="16137" max="16384" width="8.85546875" style="2107"/>
  </cols>
  <sheetData>
    <row r="1" spans="1:12" ht="22.9" customHeight="1">
      <c r="B1" s="2109" t="s">
        <v>865</v>
      </c>
      <c r="C1" s="2109" t="s">
        <v>816</v>
      </c>
      <c r="D1" s="2110" t="s">
        <v>866</v>
      </c>
      <c r="E1" s="2110"/>
      <c r="F1" s="3463" t="str">
        <f>'Input Data'!E1</f>
        <v>R/F A to B in Wanaparthy Mandal of Wanaparthy District</v>
      </c>
      <c r="G1" s="3463"/>
      <c r="H1" s="3463"/>
      <c r="I1" s="3463"/>
      <c r="J1" s="3463"/>
      <c r="K1" s="3463"/>
      <c r="L1" s="3463"/>
    </row>
    <row r="2" spans="1:12" ht="22.9" customHeight="1">
      <c r="B2" s="2109" t="s">
        <v>867</v>
      </c>
      <c r="C2" s="2111" t="str">
        <f>'Input Data'!D4</f>
        <v>Wanaparthy</v>
      </c>
      <c r="F2" s="3463"/>
      <c r="G2" s="3463"/>
      <c r="H2" s="3463"/>
      <c r="I2" s="3463"/>
      <c r="J2" s="3463"/>
      <c r="K2" s="3463"/>
      <c r="L2" s="3463"/>
    </row>
    <row r="3" spans="1:12" ht="22.9" customHeight="1">
      <c r="B3" s="2112" t="s">
        <v>868</v>
      </c>
      <c r="C3" s="3434" t="str">
        <f>'Input Data'!D7</f>
        <v>Wanaparthy</v>
      </c>
      <c r="D3" s="3435"/>
    </row>
    <row r="4" spans="1:12">
      <c r="A4" s="2113"/>
      <c r="D4" s="2114"/>
      <c r="E4" s="2115"/>
      <c r="F4" s="2115"/>
      <c r="G4" s="2116"/>
      <c r="H4" s="2117"/>
      <c r="I4" s="2117"/>
      <c r="J4" s="2117"/>
      <c r="K4" s="2117"/>
      <c r="L4" s="2163"/>
    </row>
    <row r="5" spans="1:12">
      <c r="A5" s="2118"/>
      <c r="B5" s="2119" t="s">
        <v>869</v>
      </c>
      <c r="G5" s="2120"/>
      <c r="H5" s="2121" t="s">
        <v>870</v>
      </c>
      <c r="I5" s="2045"/>
      <c r="J5" s="2045"/>
      <c r="K5" s="2045"/>
      <c r="L5" s="2164"/>
    </row>
    <row r="6" spans="1:12">
      <c r="A6" s="2118"/>
      <c r="G6" s="2120"/>
      <c r="H6" s="2045"/>
      <c r="I6" s="2045"/>
      <c r="J6" s="2045"/>
      <c r="K6" s="2165" t="s">
        <v>871</v>
      </c>
      <c r="L6" s="2166" t="s">
        <v>872</v>
      </c>
    </row>
    <row r="7" spans="1:12">
      <c r="A7" s="2118"/>
      <c r="D7" s="3441" t="s">
        <v>873</v>
      </c>
      <c r="E7" s="3443" t="s">
        <v>874</v>
      </c>
      <c r="F7" s="2122"/>
      <c r="G7" s="2120"/>
      <c r="H7" s="2045"/>
      <c r="I7" s="2045"/>
      <c r="J7" s="2045"/>
      <c r="K7" s="2045"/>
      <c r="L7" s="2164"/>
    </row>
    <row r="8" spans="1:12">
      <c r="A8" s="2118"/>
      <c r="D8" s="3442"/>
      <c r="E8" s="3443"/>
      <c r="F8" s="2122"/>
      <c r="G8" s="2120"/>
      <c r="H8" s="3436" t="s">
        <v>875</v>
      </c>
      <c r="I8" s="3436"/>
      <c r="J8" s="3436"/>
      <c r="K8" s="2167">
        <f>'TRAFF-Count-ESAL-Cal'!G12</f>
        <v>93</v>
      </c>
      <c r="L8" s="2168">
        <f>'TRAFF-Count-ESAL-Cal'!G16</f>
        <v>116</v>
      </c>
    </row>
    <row r="9" spans="1:12" ht="15" customHeight="1">
      <c r="A9" s="2118"/>
      <c r="B9" s="3437" t="s">
        <v>876</v>
      </c>
      <c r="C9" s="3438"/>
      <c r="D9" s="2123">
        <f>'TRAFF-Count-ESAL-Cal'!B11</f>
        <v>4</v>
      </c>
      <c r="E9" s="2124"/>
      <c r="F9" s="2125"/>
      <c r="G9" s="2120"/>
      <c r="H9" s="2045"/>
      <c r="I9" s="2045"/>
      <c r="J9" s="2045"/>
      <c r="K9" s="2045"/>
      <c r="L9" s="2164"/>
    </row>
    <row r="10" spans="1:12" ht="14.25" customHeight="1">
      <c r="A10" s="2118"/>
      <c r="B10" s="3439" t="s">
        <v>877</v>
      </c>
      <c r="C10" s="3440"/>
      <c r="D10" s="2126">
        <v>0</v>
      </c>
      <c r="E10" s="2127"/>
      <c r="F10" s="2108"/>
      <c r="G10" s="2120"/>
      <c r="H10" s="3436" t="s">
        <v>878</v>
      </c>
      <c r="I10" s="3436"/>
      <c r="J10" s="3436"/>
      <c r="K10" s="2167">
        <f>SUM('TRAFF-Count-ESAL-Cal'!D11:I11)</f>
        <v>21</v>
      </c>
      <c r="L10" s="2168">
        <f>SUM('TRAFF-Count-ESAL-Cal'!G20:G25)</f>
        <v>29</v>
      </c>
    </row>
    <row r="11" spans="1:12">
      <c r="A11" s="2118"/>
      <c r="B11" s="3441" t="s">
        <v>879</v>
      </c>
      <c r="C11" s="2128" t="s">
        <v>852</v>
      </c>
      <c r="D11" s="2129">
        <f>'TRAFF-Count-ESAL-Cal'!G11</f>
        <v>3</v>
      </c>
      <c r="E11" s="2130">
        <v>2.58</v>
      </c>
      <c r="F11" s="2131"/>
      <c r="G11" s="2120"/>
      <c r="H11" s="2045"/>
      <c r="I11" s="2045"/>
      <c r="J11" s="2045"/>
      <c r="K11" s="2045"/>
      <c r="L11" s="2164"/>
    </row>
    <row r="12" spans="1:12" ht="15" customHeight="1">
      <c r="A12" s="2118"/>
      <c r="B12" s="3441"/>
      <c r="C12" s="2128" t="s">
        <v>720</v>
      </c>
      <c r="D12" s="2126">
        <f>'TRAFF-Count-ESAL-Cal'!H11</f>
        <v>3</v>
      </c>
      <c r="E12" s="2132">
        <v>0.31</v>
      </c>
      <c r="F12" s="2133"/>
      <c r="G12" s="2120"/>
      <c r="H12" s="3444" t="s">
        <v>880</v>
      </c>
      <c r="I12" s="3445"/>
      <c r="J12" s="3445"/>
      <c r="K12" s="2169">
        <f>'TRAFF-Count-ESAL-Cal'!G18</f>
        <v>130</v>
      </c>
      <c r="L12" s="2164"/>
    </row>
    <row r="13" spans="1:12">
      <c r="A13" s="2118"/>
      <c r="B13" s="3441"/>
      <c r="C13" s="2128" t="s">
        <v>881</v>
      </c>
      <c r="D13" s="2126">
        <f>'TRAFF-Count-ESAL-Cal'!I11</f>
        <v>0</v>
      </c>
      <c r="E13" s="2134">
        <v>2.86</v>
      </c>
      <c r="F13" s="2133"/>
      <c r="G13" s="2120"/>
      <c r="H13" s="2135"/>
      <c r="I13" s="2135"/>
      <c r="J13" s="2135"/>
      <c r="K13" s="2170"/>
      <c r="L13" s="2164"/>
    </row>
    <row r="14" spans="1:12">
      <c r="A14" s="2118"/>
      <c r="B14" s="3441" t="s">
        <v>882</v>
      </c>
      <c r="C14" s="2128" t="s">
        <v>852</v>
      </c>
      <c r="D14" s="2129">
        <f>'TRAFF-Count-ESAL-Cal'!D11</f>
        <v>8</v>
      </c>
      <c r="E14" s="2136">
        <v>0.31</v>
      </c>
      <c r="F14" s="2133"/>
      <c r="G14" s="2120"/>
      <c r="H14" s="3436" t="s">
        <v>883</v>
      </c>
      <c r="I14" s="3436"/>
      <c r="J14" s="3444"/>
      <c r="K14" s="2171">
        <f>'TRAFF-Count-ESAL-Cal'!G30</f>
        <v>72982.87</v>
      </c>
      <c r="L14" s="2164"/>
    </row>
    <row r="15" spans="1:12" ht="15" customHeight="1">
      <c r="A15" s="2118"/>
      <c r="B15" s="3441"/>
      <c r="C15" s="2128" t="s">
        <v>720</v>
      </c>
      <c r="D15" s="2126">
        <f>'TRAFF-Count-ESAL-Cal'!E11</f>
        <v>7</v>
      </c>
      <c r="E15" s="2137">
        <v>0.02</v>
      </c>
      <c r="F15" s="2138"/>
      <c r="G15" s="2120"/>
      <c r="H15" s="2045"/>
      <c r="I15" s="2045"/>
      <c r="J15" s="2045"/>
      <c r="K15" s="2045"/>
      <c r="L15" s="2164"/>
    </row>
    <row r="16" spans="1:12" ht="27.95" customHeight="1">
      <c r="A16" s="2118"/>
      <c r="B16" s="3441"/>
      <c r="C16" s="2128" t="s">
        <v>881</v>
      </c>
      <c r="D16" s="2126">
        <f>'TRAFF-Count-ESAL-Cal'!F11</f>
        <v>0</v>
      </c>
      <c r="E16" s="2137">
        <v>0.34</v>
      </c>
      <c r="F16" s="2138"/>
      <c r="G16" s="2120"/>
      <c r="H16" s="3446" t="s">
        <v>884</v>
      </c>
      <c r="I16" s="3447"/>
      <c r="J16" s="2172" t="s">
        <v>885</v>
      </c>
      <c r="K16" s="2173">
        <f>IF(AND(K14&gt;10000,K14&lt;30000),1,0)+IF(AND(K14&gt;30000,K14&lt;60000),2,0)+IF(AND(K14&gt;60000,K14&lt;100000),3,0)+IF(AND(K14&gt;100000,K14&lt;200000),4,0)+IF(AND(K14&gt;200000,K14&lt;300000),5,0)+IF(AND(K14&gt;300000,K14&lt;600000),6,0)+IF(AND(K14&gt;600000,K14&lt;1000000),7,0)</f>
        <v>3</v>
      </c>
      <c r="L16" s="2164"/>
    </row>
    <row r="17" spans="1:12">
      <c r="A17" s="2118"/>
      <c r="B17" s="3439" t="s">
        <v>886</v>
      </c>
      <c r="C17" s="3440"/>
      <c r="D17" s="2126">
        <f>'TRAFF-Count-ESAL-Cal'!C11</f>
        <v>38</v>
      </c>
      <c r="E17" s="3466"/>
      <c r="F17" s="2131"/>
      <c r="G17" s="2120"/>
      <c r="H17" s="2045"/>
      <c r="I17" s="2045"/>
      <c r="J17" s="2045"/>
      <c r="K17" s="2045"/>
      <c r="L17" s="2164"/>
    </row>
    <row r="18" spans="1:12">
      <c r="A18" s="2118"/>
      <c r="B18" s="3437" t="s">
        <v>887</v>
      </c>
      <c r="C18" s="3448"/>
      <c r="D18" s="2126">
        <f>'TRAFF-Count-ESAL-Cal'!J11</f>
        <v>30</v>
      </c>
      <c r="E18" s="3467"/>
      <c r="F18" s="2131"/>
      <c r="G18" s="2120"/>
      <c r="H18" s="2045"/>
      <c r="I18" s="2045"/>
      <c r="J18" s="2045"/>
      <c r="K18" s="2174"/>
      <c r="L18" s="2164"/>
    </row>
    <row r="19" spans="1:12">
      <c r="A19" s="2118"/>
      <c r="B19" s="3441" t="s">
        <v>888</v>
      </c>
      <c r="C19" s="2128" t="s">
        <v>889</v>
      </c>
      <c r="D19" s="2126">
        <f>'TRAFF-Count-ESAL-Cal'!K11</f>
        <v>0</v>
      </c>
      <c r="E19" s="3467"/>
      <c r="F19" s="2131"/>
      <c r="G19" s="2120"/>
      <c r="H19" s="2045"/>
      <c r="I19" s="2045"/>
      <c r="J19" s="2045"/>
      <c r="K19" s="2175"/>
      <c r="L19" s="2164"/>
    </row>
    <row r="20" spans="1:12">
      <c r="A20" s="2118"/>
      <c r="B20" s="3441"/>
      <c r="C20" s="2128" t="s">
        <v>890</v>
      </c>
      <c r="D20" s="2139">
        <f>'TRAFF-Count-ESAL-Cal'!L11</f>
        <v>0</v>
      </c>
      <c r="E20" s="3468"/>
      <c r="F20" s="2131"/>
      <c r="G20" s="2120"/>
      <c r="H20" s="2140"/>
      <c r="I20" s="2140"/>
      <c r="J20" s="2140"/>
      <c r="K20" s="2176" t="s">
        <v>891</v>
      </c>
      <c r="L20" s="2164"/>
    </row>
    <row r="21" spans="1:12">
      <c r="A21" s="2118"/>
      <c r="B21" s="2141"/>
      <c r="C21" s="2142"/>
      <c r="D21" s="2143"/>
      <c r="E21" s="2125"/>
      <c r="F21" s="2131"/>
      <c r="G21" s="2120"/>
      <c r="H21" s="3479" t="s">
        <v>892</v>
      </c>
      <c r="I21" s="3480"/>
      <c r="J21" s="3481"/>
      <c r="K21" s="2177">
        <v>30</v>
      </c>
      <c r="L21" s="2164"/>
    </row>
    <row r="22" spans="1:12" ht="17.25" customHeight="1">
      <c r="A22" s="2118"/>
      <c r="B22" s="3449" t="s">
        <v>893</v>
      </c>
      <c r="C22" s="3450"/>
      <c r="D22" s="3451"/>
      <c r="E22" s="2137">
        <v>2</v>
      </c>
      <c r="F22" s="2131"/>
      <c r="G22" s="2120"/>
      <c r="H22" s="3452" t="s">
        <v>894</v>
      </c>
      <c r="I22" s="3453"/>
      <c r="J22" s="3454"/>
      <c r="K22" s="2178">
        <v>150</v>
      </c>
      <c r="L22" s="2164"/>
    </row>
    <row r="23" spans="1:12" ht="15.75">
      <c r="A23" s="2118"/>
      <c r="B23" s="2144"/>
      <c r="C23" s="2144"/>
      <c r="D23" s="2144"/>
      <c r="E23" s="2125"/>
      <c r="F23" s="2131"/>
      <c r="G23" s="2120"/>
      <c r="H23" s="3455" t="s">
        <v>895</v>
      </c>
      <c r="I23" s="3456"/>
      <c r="J23" s="3457"/>
      <c r="K23" s="2179">
        <f>'ESAL-calculation '!H43</f>
        <v>0</v>
      </c>
      <c r="L23" s="2164"/>
    </row>
    <row r="24" spans="1:12" ht="15" customHeight="1">
      <c r="A24" s="2118"/>
      <c r="B24" s="3458" t="s">
        <v>896</v>
      </c>
      <c r="C24" s="3458"/>
      <c r="D24" s="3459"/>
      <c r="E24" s="2145" t="s">
        <v>244</v>
      </c>
      <c r="F24" s="2131"/>
      <c r="G24" s="2120"/>
      <c r="H24" s="3460" t="s">
        <v>897</v>
      </c>
      <c r="I24" s="3461"/>
      <c r="J24" s="3462"/>
      <c r="K24" s="2180">
        <v>175</v>
      </c>
      <c r="L24" s="2164"/>
    </row>
    <row r="25" spans="1:12">
      <c r="A25" s="2118"/>
      <c r="B25" s="3469" t="s">
        <v>898</v>
      </c>
      <c r="C25" s="3470"/>
      <c r="D25" s="3470"/>
      <c r="E25" s="2137">
        <v>2</v>
      </c>
      <c r="F25" s="2131"/>
      <c r="G25" s="2120"/>
      <c r="H25" s="3471" t="s">
        <v>899</v>
      </c>
      <c r="I25" s="3472"/>
      <c r="J25" s="3473"/>
      <c r="K25" s="2176">
        <f>'ESAL-calculation '!H45</f>
        <v>0</v>
      </c>
      <c r="L25" s="2164" t="s">
        <v>900</v>
      </c>
    </row>
    <row r="26" spans="1:12">
      <c r="A26" s="2118"/>
      <c r="B26" s="3474" t="s">
        <v>901</v>
      </c>
      <c r="C26" s="3474"/>
      <c r="D26" s="3475"/>
      <c r="E26" s="2146">
        <v>75</v>
      </c>
      <c r="F26" s="2131"/>
      <c r="G26" s="2120"/>
      <c r="H26" s="2135"/>
      <c r="I26" s="2135"/>
      <c r="J26" s="2135"/>
      <c r="K26" s="2181"/>
      <c r="L26" s="2164"/>
    </row>
    <row r="27" spans="1:12">
      <c r="A27" s="2118"/>
      <c r="B27" s="3469" t="s">
        <v>902</v>
      </c>
      <c r="C27" s="3470"/>
      <c r="D27" s="3470"/>
      <c r="E27" s="2146">
        <v>1</v>
      </c>
      <c r="F27" s="2131"/>
      <c r="G27" s="2120"/>
      <c r="H27" s="2135"/>
      <c r="I27" s="2135"/>
      <c r="J27" s="2135"/>
      <c r="K27" s="2181"/>
      <c r="L27" s="2164"/>
    </row>
    <row r="28" spans="1:12">
      <c r="A28" s="2118"/>
      <c r="E28" s="2125"/>
      <c r="G28" s="2120"/>
      <c r="H28" s="2045"/>
      <c r="I28" s="2045"/>
      <c r="J28" s="2045"/>
      <c r="K28" s="2045"/>
      <c r="L28" s="2164"/>
    </row>
    <row r="29" spans="1:12">
      <c r="A29" s="2118"/>
      <c r="B29" s="3476" t="s">
        <v>903</v>
      </c>
      <c r="C29" s="3476"/>
      <c r="D29" s="3469"/>
      <c r="E29" s="2137">
        <v>4</v>
      </c>
      <c r="G29" s="2120"/>
      <c r="H29" s="3477" t="s">
        <v>904</v>
      </c>
      <c r="I29" s="3477"/>
      <c r="J29" s="3478"/>
      <c r="K29" s="2182">
        <f>'ESAL-calculation '!H47</f>
        <v>325</v>
      </c>
      <c r="L29" s="2164"/>
    </row>
    <row r="30" spans="1:12">
      <c r="A30" s="2147"/>
      <c r="B30" s="2148"/>
      <c r="C30" s="2148"/>
      <c r="D30" s="2149"/>
      <c r="E30" s="2148"/>
      <c r="F30" s="2148"/>
      <c r="G30" s="2150"/>
      <c r="H30" s="2151"/>
      <c r="I30" s="2151"/>
      <c r="J30" s="2151"/>
      <c r="K30" s="2151"/>
      <c r="L30" s="2183"/>
    </row>
    <row r="34" spans="1:16" s="2105" customFormat="1" ht="21" customHeight="1">
      <c r="A34" s="3464"/>
      <c r="B34" s="3464"/>
      <c r="C34" s="3464"/>
      <c r="D34" s="3465"/>
      <c r="E34" s="3465"/>
      <c r="F34" s="3465"/>
      <c r="G34" s="3464"/>
      <c r="H34" s="3464"/>
      <c r="I34" s="3464"/>
      <c r="J34" s="3464"/>
      <c r="K34" s="3464"/>
      <c r="L34" s="3464"/>
      <c r="M34" s="3464"/>
      <c r="N34" s="2184"/>
      <c r="O34" s="2184"/>
      <c r="P34" s="2184"/>
    </row>
    <row r="35" spans="1:16" s="2105" customFormat="1" ht="12.75">
      <c r="A35" s="2152"/>
      <c r="B35" s="2153" t="s">
        <v>905</v>
      </c>
      <c r="C35" s="2154"/>
      <c r="D35" s="2153" t="s">
        <v>863</v>
      </c>
      <c r="E35" s="2153"/>
      <c r="F35" s="2155"/>
      <c r="G35" s="2156"/>
      <c r="H35" s="2153" t="s">
        <v>906</v>
      </c>
      <c r="I35" s="2185"/>
      <c r="J35" s="2186"/>
      <c r="K35" s="2153" t="s">
        <v>685</v>
      </c>
      <c r="L35" s="2152"/>
      <c r="M35" s="2187"/>
      <c r="N35" s="2184"/>
      <c r="O35" s="2184"/>
      <c r="P35" s="2184"/>
    </row>
    <row r="36" spans="1:16" s="2106" customFormat="1" ht="12.75">
      <c r="A36" s="2157"/>
      <c r="B36" s="2158" t="str">
        <f>'TRAFF-Count-ESAL-Cal'!B34</f>
        <v>PRSD, Wanaparthy</v>
      </c>
      <c r="C36" s="2159"/>
      <c r="D36" s="2160" t="str">
        <f>'TRAFF-Count-ESAL-Cal'!E34</f>
        <v>PRSD, Wanaparthy</v>
      </c>
      <c r="E36" s="2160"/>
      <c r="F36" s="2161"/>
      <c r="G36" s="2162"/>
      <c r="H36" s="2158" t="str">
        <f>'TRAFF-Count-ESAL-Cal'!H34</f>
        <v>PIU, Wanaparthy</v>
      </c>
      <c r="I36" s="2188"/>
      <c r="J36" s="2189"/>
      <c r="K36" s="2190" t="str">
        <f>'TRAFF-Count-ESAL-Cal'!K34</f>
        <v>PR, Circle, Warangal</v>
      </c>
      <c r="L36" s="2157"/>
      <c r="M36" s="2157"/>
    </row>
  </sheetData>
  <mergeCells count="33">
    <mergeCell ref="F1:L2"/>
    <mergeCell ref="A34:C34"/>
    <mergeCell ref="D34:F34"/>
    <mergeCell ref="G34:I34"/>
    <mergeCell ref="J34:M34"/>
    <mergeCell ref="B11:B13"/>
    <mergeCell ref="B14:B16"/>
    <mergeCell ref="B19:B20"/>
    <mergeCell ref="E17:E20"/>
    <mergeCell ref="B25:D25"/>
    <mergeCell ref="H25:J25"/>
    <mergeCell ref="B26:D26"/>
    <mergeCell ref="B27:D27"/>
    <mergeCell ref="B29:D29"/>
    <mergeCell ref="H29:J29"/>
    <mergeCell ref="H21:J21"/>
    <mergeCell ref="B22:D22"/>
    <mergeCell ref="H22:J22"/>
    <mergeCell ref="H23:J23"/>
    <mergeCell ref="B24:D24"/>
    <mergeCell ref="H24:J24"/>
    <mergeCell ref="H12:J12"/>
    <mergeCell ref="H14:J14"/>
    <mergeCell ref="H16:I16"/>
    <mergeCell ref="B17:C17"/>
    <mergeCell ref="B18:C18"/>
    <mergeCell ref="C3:D3"/>
    <mergeCell ref="H8:J8"/>
    <mergeCell ref="B9:C9"/>
    <mergeCell ref="B10:C10"/>
    <mergeCell ref="H10:J10"/>
    <mergeCell ref="D7:D8"/>
    <mergeCell ref="E7:E8"/>
  </mergeCells>
  <pageMargins left="0.87" right="0.7" top="0.75" bottom="0.75" header="0.3" footer="0.3"/>
  <pageSetup paperSize="9" scale="83" orientation="landscape" r:id="rId1"/>
</worksheet>
</file>

<file path=xl/worksheets/sheet15.xml><?xml version="1.0" encoding="utf-8"?>
<worksheet xmlns="http://schemas.openxmlformats.org/spreadsheetml/2006/main" xmlns:r="http://schemas.openxmlformats.org/officeDocument/2006/relationships">
  <dimension ref="A2:M47"/>
  <sheetViews>
    <sheetView view="pageBreakPreview" topLeftCell="A25" zoomScaleNormal="90" workbookViewId="0">
      <selection activeCell="I79" sqref="I79"/>
    </sheetView>
  </sheetViews>
  <sheetFormatPr defaultColWidth="9" defaultRowHeight="15"/>
  <cols>
    <col min="1" max="1" width="10.28515625" style="2060" customWidth="1"/>
    <col min="2" max="2" width="7" style="2060" customWidth="1"/>
    <col min="3" max="3" width="7.28515625" style="2060" customWidth="1"/>
    <col min="4" max="4" width="9.28515625" style="2060" customWidth="1"/>
    <col min="5" max="5" width="12" style="2060" customWidth="1"/>
    <col min="6" max="7" width="11.85546875" style="2060" customWidth="1"/>
    <col min="8" max="8" width="13.28515625" style="2060" customWidth="1"/>
    <col min="9" max="9" width="13.7109375" style="2060" customWidth="1"/>
    <col min="10" max="10" width="11.42578125" style="2060" customWidth="1"/>
    <col min="11" max="11" width="13.85546875" style="2060" customWidth="1"/>
    <col min="12" max="12" width="12.42578125" style="2060" customWidth="1"/>
    <col min="13" max="13" width="16.42578125" style="2061" customWidth="1"/>
    <col min="14" max="256" width="9.140625" style="2060"/>
    <col min="257" max="257" width="10.28515625" style="2060" customWidth="1"/>
    <col min="258" max="258" width="7" style="2060" customWidth="1"/>
    <col min="259" max="259" width="7.28515625" style="2060" customWidth="1"/>
    <col min="260" max="260" width="9.28515625" style="2060" customWidth="1"/>
    <col min="261" max="261" width="12" style="2060" customWidth="1"/>
    <col min="262" max="263" width="11.85546875" style="2060" customWidth="1"/>
    <col min="264" max="264" width="13.28515625" style="2060" customWidth="1"/>
    <col min="265" max="265" width="13.7109375" style="2060" customWidth="1"/>
    <col min="266" max="266" width="11.42578125" style="2060" customWidth="1"/>
    <col min="267" max="267" width="13.85546875" style="2060" customWidth="1"/>
    <col min="268" max="268" width="12.42578125" style="2060" customWidth="1"/>
    <col min="269" max="269" width="16.42578125" style="2060" customWidth="1"/>
    <col min="270" max="512" width="9.140625" style="2060"/>
    <col min="513" max="513" width="10.28515625" style="2060" customWidth="1"/>
    <col min="514" max="514" width="7" style="2060" customWidth="1"/>
    <col min="515" max="515" width="7.28515625" style="2060" customWidth="1"/>
    <col min="516" max="516" width="9.28515625" style="2060" customWidth="1"/>
    <col min="517" max="517" width="12" style="2060" customWidth="1"/>
    <col min="518" max="519" width="11.85546875" style="2060" customWidth="1"/>
    <col min="520" max="520" width="13.28515625" style="2060" customWidth="1"/>
    <col min="521" max="521" width="13.7109375" style="2060" customWidth="1"/>
    <col min="522" max="522" width="11.42578125" style="2060" customWidth="1"/>
    <col min="523" max="523" width="13.85546875" style="2060" customWidth="1"/>
    <col min="524" max="524" width="12.42578125" style="2060" customWidth="1"/>
    <col min="525" max="525" width="16.42578125" style="2060" customWidth="1"/>
    <col min="526" max="768" width="9.140625" style="2060"/>
    <col min="769" max="769" width="10.28515625" style="2060" customWidth="1"/>
    <col min="770" max="770" width="7" style="2060" customWidth="1"/>
    <col min="771" max="771" width="7.28515625" style="2060" customWidth="1"/>
    <col min="772" max="772" width="9.28515625" style="2060" customWidth="1"/>
    <col min="773" max="773" width="12" style="2060" customWidth="1"/>
    <col min="774" max="775" width="11.85546875" style="2060" customWidth="1"/>
    <col min="776" max="776" width="13.28515625" style="2060" customWidth="1"/>
    <col min="777" max="777" width="13.7109375" style="2060" customWidth="1"/>
    <col min="778" max="778" width="11.42578125" style="2060" customWidth="1"/>
    <col min="779" max="779" width="13.85546875" style="2060" customWidth="1"/>
    <col min="780" max="780" width="12.42578125" style="2060" customWidth="1"/>
    <col min="781" max="781" width="16.42578125" style="2060" customWidth="1"/>
    <col min="782" max="1024" width="9.140625" style="2060"/>
    <col min="1025" max="1025" width="10.28515625" style="2060" customWidth="1"/>
    <col min="1026" max="1026" width="7" style="2060" customWidth="1"/>
    <col min="1027" max="1027" width="7.28515625" style="2060" customWidth="1"/>
    <col min="1028" max="1028" width="9.28515625" style="2060" customWidth="1"/>
    <col min="1029" max="1029" width="12" style="2060" customWidth="1"/>
    <col min="1030" max="1031" width="11.85546875" style="2060" customWidth="1"/>
    <col min="1032" max="1032" width="13.28515625" style="2060" customWidth="1"/>
    <col min="1033" max="1033" width="13.7109375" style="2060" customWidth="1"/>
    <col min="1034" max="1034" width="11.42578125" style="2060" customWidth="1"/>
    <col min="1035" max="1035" width="13.85546875" style="2060" customWidth="1"/>
    <col min="1036" max="1036" width="12.42578125" style="2060" customWidth="1"/>
    <col min="1037" max="1037" width="16.42578125" style="2060" customWidth="1"/>
    <col min="1038" max="1280" width="9.140625" style="2060"/>
    <col min="1281" max="1281" width="10.28515625" style="2060" customWidth="1"/>
    <col min="1282" max="1282" width="7" style="2060" customWidth="1"/>
    <col min="1283" max="1283" width="7.28515625" style="2060" customWidth="1"/>
    <col min="1284" max="1284" width="9.28515625" style="2060" customWidth="1"/>
    <col min="1285" max="1285" width="12" style="2060" customWidth="1"/>
    <col min="1286" max="1287" width="11.85546875" style="2060" customWidth="1"/>
    <col min="1288" max="1288" width="13.28515625" style="2060" customWidth="1"/>
    <col min="1289" max="1289" width="13.7109375" style="2060" customWidth="1"/>
    <col min="1290" max="1290" width="11.42578125" style="2060" customWidth="1"/>
    <col min="1291" max="1291" width="13.85546875" style="2060" customWidth="1"/>
    <col min="1292" max="1292" width="12.42578125" style="2060" customWidth="1"/>
    <col min="1293" max="1293" width="16.42578125" style="2060" customWidth="1"/>
    <col min="1294" max="1536" width="9.140625" style="2060"/>
    <col min="1537" max="1537" width="10.28515625" style="2060" customWidth="1"/>
    <col min="1538" max="1538" width="7" style="2060" customWidth="1"/>
    <col min="1539" max="1539" width="7.28515625" style="2060" customWidth="1"/>
    <col min="1540" max="1540" width="9.28515625" style="2060" customWidth="1"/>
    <col min="1541" max="1541" width="12" style="2060" customWidth="1"/>
    <col min="1542" max="1543" width="11.85546875" style="2060" customWidth="1"/>
    <col min="1544" max="1544" width="13.28515625" style="2060" customWidth="1"/>
    <col min="1545" max="1545" width="13.7109375" style="2060" customWidth="1"/>
    <col min="1546" max="1546" width="11.42578125" style="2060" customWidth="1"/>
    <col min="1547" max="1547" width="13.85546875" style="2060" customWidth="1"/>
    <col min="1548" max="1548" width="12.42578125" style="2060" customWidth="1"/>
    <col min="1549" max="1549" width="16.42578125" style="2060" customWidth="1"/>
    <col min="1550" max="1792" width="9.140625" style="2060"/>
    <col min="1793" max="1793" width="10.28515625" style="2060" customWidth="1"/>
    <col min="1794" max="1794" width="7" style="2060" customWidth="1"/>
    <col min="1795" max="1795" width="7.28515625" style="2060" customWidth="1"/>
    <col min="1796" max="1796" width="9.28515625" style="2060" customWidth="1"/>
    <col min="1797" max="1797" width="12" style="2060" customWidth="1"/>
    <col min="1798" max="1799" width="11.85546875" style="2060" customWidth="1"/>
    <col min="1800" max="1800" width="13.28515625" style="2060" customWidth="1"/>
    <col min="1801" max="1801" width="13.7109375" style="2060" customWidth="1"/>
    <col min="1802" max="1802" width="11.42578125" style="2060" customWidth="1"/>
    <col min="1803" max="1803" width="13.85546875" style="2060" customWidth="1"/>
    <col min="1804" max="1804" width="12.42578125" style="2060" customWidth="1"/>
    <col min="1805" max="1805" width="16.42578125" style="2060" customWidth="1"/>
    <col min="1806" max="2048" width="9.140625" style="2060"/>
    <col min="2049" max="2049" width="10.28515625" style="2060" customWidth="1"/>
    <col min="2050" max="2050" width="7" style="2060" customWidth="1"/>
    <col min="2051" max="2051" width="7.28515625" style="2060" customWidth="1"/>
    <col min="2052" max="2052" width="9.28515625" style="2060" customWidth="1"/>
    <col min="2053" max="2053" width="12" style="2060" customWidth="1"/>
    <col min="2054" max="2055" width="11.85546875" style="2060" customWidth="1"/>
    <col min="2056" max="2056" width="13.28515625" style="2060" customWidth="1"/>
    <col min="2057" max="2057" width="13.7109375" style="2060" customWidth="1"/>
    <col min="2058" max="2058" width="11.42578125" style="2060" customWidth="1"/>
    <col min="2059" max="2059" width="13.85546875" style="2060" customWidth="1"/>
    <col min="2060" max="2060" width="12.42578125" style="2060" customWidth="1"/>
    <col min="2061" max="2061" width="16.42578125" style="2060" customWidth="1"/>
    <col min="2062" max="2304" width="9.140625" style="2060"/>
    <col min="2305" max="2305" width="10.28515625" style="2060" customWidth="1"/>
    <col min="2306" max="2306" width="7" style="2060" customWidth="1"/>
    <col min="2307" max="2307" width="7.28515625" style="2060" customWidth="1"/>
    <col min="2308" max="2308" width="9.28515625" style="2060" customWidth="1"/>
    <col min="2309" max="2309" width="12" style="2060" customWidth="1"/>
    <col min="2310" max="2311" width="11.85546875" style="2060" customWidth="1"/>
    <col min="2312" max="2312" width="13.28515625" style="2060" customWidth="1"/>
    <col min="2313" max="2313" width="13.7109375" style="2060" customWidth="1"/>
    <col min="2314" max="2314" width="11.42578125" style="2060" customWidth="1"/>
    <col min="2315" max="2315" width="13.85546875" style="2060" customWidth="1"/>
    <col min="2316" max="2316" width="12.42578125" style="2060" customWidth="1"/>
    <col min="2317" max="2317" width="16.42578125" style="2060" customWidth="1"/>
    <col min="2318" max="2560" width="9.140625" style="2060"/>
    <col min="2561" max="2561" width="10.28515625" style="2060" customWidth="1"/>
    <col min="2562" max="2562" width="7" style="2060" customWidth="1"/>
    <col min="2563" max="2563" width="7.28515625" style="2060" customWidth="1"/>
    <col min="2564" max="2564" width="9.28515625" style="2060" customWidth="1"/>
    <col min="2565" max="2565" width="12" style="2060" customWidth="1"/>
    <col min="2566" max="2567" width="11.85546875" style="2060" customWidth="1"/>
    <col min="2568" max="2568" width="13.28515625" style="2060" customWidth="1"/>
    <col min="2569" max="2569" width="13.7109375" style="2060" customWidth="1"/>
    <col min="2570" max="2570" width="11.42578125" style="2060" customWidth="1"/>
    <col min="2571" max="2571" width="13.85546875" style="2060" customWidth="1"/>
    <col min="2572" max="2572" width="12.42578125" style="2060" customWidth="1"/>
    <col min="2573" max="2573" width="16.42578125" style="2060" customWidth="1"/>
    <col min="2574" max="2816" width="9.140625" style="2060"/>
    <col min="2817" max="2817" width="10.28515625" style="2060" customWidth="1"/>
    <col min="2818" max="2818" width="7" style="2060" customWidth="1"/>
    <col min="2819" max="2819" width="7.28515625" style="2060" customWidth="1"/>
    <col min="2820" max="2820" width="9.28515625" style="2060" customWidth="1"/>
    <col min="2821" max="2821" width="12" style="2060" customWidth="1"/>
    <col min="2822" max="2823" width="11.85546875" style="2060" customWidth="1"/>
    <col min="2824" max="2824" width="13.28515625" style="2060" customWidth="1"/>
    <col min="2825" max="2825" width="13.7109375" style="2060" customWidth="1"/>
    <col min="2826" max="2826" width="11.42578125" style="2060" customWidth="1"/>
    <col min="2827" max="2827" width="13.85546875" style="2060" customWidth="1"/>
    <col min="2828" max="2828" width="12.42578125" style="2060" customWidth="1"/>
    <col min="2829" max="2829" width="16.42578125" style="2060" customWidth="1"/>
    <col min="2830" max="3072" width="9.140625" style="2060"/>
    <col min="3073" max="3073" width="10.28515625" style="2060" customWidth="1"/>
    <col min="3074" max="3074" width="7" style="2060" customWidth="1"/>
    <col min="3075" max="3075" width="7.28515625" style="2060" customWidth="1"/>
    <col min="3076" max="3076" width="9.28515625" style="2060" customWidth="1"/>
    <col min="3077" max="3077" width="12" style="2060" customWidth="1"/>
    <col min="3078" max="3079" width="11.85546875" style="2060" customWidth="1"/>
    <col min="3080" max="3080" width="13.28515625" style="2060" customWidth="1"/>
    <col min="3081" max="3081" width="13.7109375" style="2060" customWidth="1"/>
    <col min="3082" max="3082" width="11.42578125" style="2060" customWidth="1"/>
    <col min="3083" max="3083" width="13.85546875" style="2060" customWidth="1"/>
    <col min="3084" max="3084" width="12.42578125" style="2060" customWidth="1"/>
    <col min="3085" max="3085" width="16.42578125" style="2060" customWidth="1"/>
    <col min="3086" max="3328" width="9.140625" style="2060"/>
    <col min="3329" max="3329" width="10.28515625" style="2060" customWidth="1"/>
    <col min="3330" max="3330" width="7" style="2060" customWidth="1"/>
    <col min="3331" max="3331" width="7.28515625" style="2060" customWidth="1"/>
    <col min="3332" max="3332" width="9.28515625" style="2060" customWidth="1"/>
    <col min="3333" max="3333" width="12" style="2060" customWidth="1"/>
    <col min="3334" max="3335" width="11.85546875" style="2060" customWidth="1"/>
    <col min="3336" max="3336" width="13.28515625" style="2060" customWidth="1"/>
    <col min="3337" max="3337" width="13.7109375" style="2060" customWidth="1"/>
    <col min="3338" max="3338" width="11.42578125" style="2060" customWidth="1"/>
    <col min="3339" max="3339" width="13.85546875" style="2060" customWidth="1"/>
    <col min="3340" max="3340" width="12.42578125" style="2060" customWidth="1"/>
    <col min="3341" max="3341" width="16.42578125" style="2060" customWidth="1"/>
    <col min="3342" max="3584" width="9.140625" style="2060"/>
    <col min="3585" max="3585" width="10.28515625" style="2060" customWidth="1"/>
    <col min="3586" max="3586" width="7" style="2060" customWidth="1"/>
    <col min="3587" max="3587" width="7.28515625" style="2060" customWidth="1"/>
    <col min="3588" max="3588" width="9.28515625" style="2060" customWidth="1"/>
    <col min="3589" max="3589" width="12" style="2060" customWidth="1"/>
    <col min="3590" max="3591" width="11.85546875" style="2060" customWidth="1"/>
    <col min="3592" max="3592" width="13.28515625" style="2060" customWidth="1"/>
    <col min="3593" max="3593" width="13.7109375" style="2060" customWidth="1"/>
    <col min="3594" max="3594" width="11.42578125" style="2060" customWidth="1"/>
    <col min="3595" max="3595" width="13.85546875" style="2060" customWidth="1"/>
    <col min="3596" max="3596" width="12.42578125" style="2060" customWidth="1"/>
    <col min="3597" max="3597" width="16.42578125" style="2060" customWidth="1"/>
    <col min="3598" max="3840" width="9.140625" style="2060"/>
    <col min="3841" max="3841" width="10.28515625" style="2060" customWidth="1"/>
    <col min="3842" max="3842" width="7" style="2060" customWidth="1"/>
    <col min="3843" max="3843" width="7.28515625" style="2060" customWidth="1"/>
    <col min="3844" max="3844" width="9.28515625" style="2060" customWidth="1"/>
    <col min="3845" max="3845" width="12" style="2060" customWidth="1"/>
    <col min="3846" max="3847" width="11.85546875" style="2060" customWidth="1"/>
    <col min="3848" max="3848" width="13.28515625" style="2060" customWidth="1"/>
    <col min="3849" max="3849" width="13.7109375" style="2060" customWidth="1"/>
    <col min="3850" max="3850" width="11.42578125" style="2060" customWidth="1"/>
    <col min="3851" max="3851" width="13.85546875" style="2060" customWidth="1"/>
    <col min="3852" max="3852" width="12.42578125" style="2060" customWidth="1"/>
    <col min="3853" max="3853" width="16.42578125" style="2060" customWidth="1"/>
    <col min="3854" max="4096" width="9.140625" style="2060"/>
    <col min="4097" max="4097" width="10.28515625" style="2060" customWidth="1"/>
    <col min="4098" max="4098" width="7" style="2060" customWidth="1"/>
    <col min="4099" max="4099" width="7.28515625" style="2060" customWidth="1"/>
    <col min="4100" max="4100" width="9.28515625" style="2060" customWidth="1"/>
    <col min="4101" max="4101" width="12" style="2060" customWidth="1"/>
    <col min="4102" max="4103" width="11.85546875" style="2060" customWidth="1"/>
    <col min="4104" max="4104" width="13.28515625" style="2060" customWidth="1"/>
    <col min="4105" max="4105" width="13.7109375" style="2060" customWidth="1"/>
    <col min="4106" max="4106" width="11.42578125" style="2060" customWidth="1"/>
    <col min="4107" max="4107" width="13.85546875" style="2060" customWidth="1"/>
    <col min="4108" max="4108" width="12.42578125" style="2060" customWidth="1"/>
    <col min="4109" max="4109" width="16.42578125" style="2060" customWidth="1"/>
    <col min="4110" max="4352" width="9.140625" style="2060"/>
    <col min="4353" max="4353" width="10.28515625" style="2060" customWidth="1"/>
    <col min="4354" max="4354" width="7" style="2060" customWidth="1"/>
    <col min="4355" max="4355" width="7.28515625" style="2060" customWidth="1"/>
    <col min="4356" max="4356" width="9.28515625" style="2060" customWidth="1"/>
    <col min="4357" max="4357" width="12" style="2060" customWidth="1"/>
    <col min="4358" max="4359" width="11.85546875" style="2060" customWidth="1"/>
    <col min="4360" max="4360" width="13.28515625" style="2060" customWidth="1"/>
    <col min="4361" max="4361" width="13.7109375" style="2060" customWidth="1"/>
    <col min="4362" max="4362" width="11.42578125" style="2060" customWidth="1"/>
    <col min="4363" max="4363" width="13.85546875" style="2060" customWidth="1"/>
    <col min="4364" max="4364" width="12.42578125" style="2060" customWidth="1"/>
    <col min="4365" max="4365" width="16.42578125" style="2060" customWidth="1"/>
    <col min="4366" max="4608" width="9.140625" style="2060"/>
    <col min="4609" max="4609" width="10.28515625" style="2060" customWidth="1"/>
    <col min="4610" max="4610" width="7" style="2060" customWidth="1"/>
    <col min="4611" max="4611" width="7.28515625" style="2060" customWidth="1"/>
    <col min="4612" max="4612" width="9.28515625" style="2060" customWidth="1"/>
    <col min="4613" max="4613" width="12" style="2060" customWidth="1"/>
    <col min="4614" max="4615" width="11.85546875" style="2060" customWidth="1"/>
    <col min="4616" max="4616" width="13.28515625" style="2060" customWidth="1"/>
    <col min="4617" max="4617" width="13.7109375" style="2060" customWidth="1"/>
    <col min="4618" max="4618" width="11.42578125" style="2060" customWidth="1"/>
    <col min="4619" max="4619" width="13.85546875" style="2060" customWidth="1"/>
    <col min="4620" max="4620" width="12.42578125" style="2060" customWidth="1"/>
    <col min="4621" max="4621" width="16.42578125" style="2060" customWidth="1"/>
    <col min="4622" max="4864" width="9.140625" style="2060"/>
    <col min="4865" max="4865" width="10.28515625" style="2060" customWidth="1"/>
    <col min="4866" max="4866" width="7" style="2060" customWidth="1"/>
    <col min="4867" max="4867" width="7.28515625" style="2060" customWidth="1"/>
    <col min="4868" max="4868" width="9.28515625" style="2060" customWidth="1"/>
    <col min="4869" max="4869" width="12" style="2060" customWidth="1"/>
    <col min="4870" max="4871" width="11.85546875" style="2060" customWidth="1"/>
    <col min="4872" max="4872" width="13.28515625" style="2060" customWidth="1"/>
    <col min="4873" max="4873" width="13.7109375" style="2060" customWidth="1"/>
    <col min="4874" max="4874" width="11.42578125" style="2060" customWidth="1"/>
    <col min="4875" max="4875" width="13.85546875" style="2060" customWidth="1"/>
    <col min="4876" max="4876" width="12.42578125" style="2060" customWidth="1"/>
    <col min="4877" max="4877" width="16.42578125" style="2060" customWidth="1"/>
    <col min="4878" max="5120" width="9.140625" style="2060"/>
    <col min="5121" max="5121" width="10.28515625" style="2060" customWidth="1"/>
    <col min="5122" max="5122" width="7" style="2060" customWidth="1"/>
    <col min="5123" max="5123" width="7.28515625" style="2060" customWidth="1"/>
    <col min="5124" max="5124" width="9.28515625" style="2060" customWidth="1"/>
    <col min="5125" max="5125" width="12" style="2060" customWidth="1"/>
    <col min="5126" max="5127" width="11.85546875" style="2060" customWidth="1"/>
    <col min="5128" max="5128" width="13.28515625" style="2060" customWidth="1"/>
    <col min="5129" max="5129" width="13.7109375" style="2060" customWidth="1"/>
    <col min="5130" max="5130" width="11.42578125" style="2060" customWidth="1"/>
    <col min="5131" max="5131" width="13.85546875" style="2060" customWidth="1"/>
    <col min="5132" max="5132" width="12.42578125" style="2060" customWidth="1"/>
    <col min="5133" max="5133" width="16.42578125" style="2060" customWidth="1"/>
    <col min="5134" max="5376" width="9.140625" style="2060"/>
    <col min="5377" max="5377" width="10.28515625" style="2060" customWidth="1"/>
    <col min="5378" max="5378" width="7" style="2060" customWidth="1"/>
    <col min="5379" max="5379" width="7.28515625" style="2060" customWidth="1"/>
    <col min="5380" max="5380" width="9.28515625" style="2060" customWidth="1"/>
    <col min="5381" max="5381" width="12" style="2060" customWidth="1"/>
    <col min="5382" max="5383" width="11.85546875" style="2060" customWidth="1"/>
    <col min="5384" max="5384" width="13.28515625" style="2060" customWidth="1"/>
    <col min="5385" max="5385" width="13.7109375" style="2060" customWidth="1"/>
    <col min="5386" max="5386" width="11.42578125" style="2060" customWidth="1"/>
    <col min="5387" max="5387" width="13.85546875" style="2060" customWidth="1"/>
    <col min="5388" max="5388" width="12.42578125" style="2060" customWidth="1"/>
    <col min="5389" max="5389" width="16.42578125" style="2060" customWidth="1"/>
    <col min="5390" max="5632" width="9.140625" style="2060"/>
    <col min="5633" max="5633" width="10.28515625" style="2060" customWidth="1"/>
    <col min="5634" max="5634" width="7" style="2060" customWidth="1"/>
    <col min="5635" max="5635" width="7.28515625" style="2060" customWidth="1"/>
    <col min="5636" max="5636" width="9.28515625" style="2060" customWidth="1"/>
    <col min="5637" max="5637" width="12" style="2060" customWidth="1"/>
    <col min="5638" max="5639" width="11.85546875" style="2060" customWidth="1"/>
    <col min="5640" max="5640" width="13.28515625" style="2060" customWidth="1"/>
    <col min="5641" max="5641" width="13.7109375" style="2060" customWidth="1"/>
    <col min="5642" max="5642" width="11.42578125" style="2060" customWidth="1"/>
    <col min="5643" max="5643" width="13.85546875" style="2060" customWidth="1"/>
    <col min="5644" max="5644" width="12.42578125" style="2060" customWidth="1"/>
    <col min="5645" max="5645" width="16.42578125" style="2060" customWidth="1"/>
    <col min="5646" max="5888" width="9.140625" style="2060"/>
    <col min="5889" max="5889" width="10.28515625" style="2060" customWidth="1"/>
    <col min="5890" max="5890" width="7" style="2060" customWidth="1"/>
    <col min="5891" max="5891" width="7.28515625" style="2060" customWidth="1"/>
    <col min="5892" max="5892" width="9.28515625" style="2060" customWidth="1"/>
    <col min="5893" max="5893" width="12" style="2060" customWidth="1"/>
    <col min="5894" max="5895" width="11.85546875" style="2060" customWidth="1"/>
    <col min="5896" max="5896" width="13.28515625" style="2060" customWidth="1"/>
    <col min="5897" max="5897" width="13.7109375" style="2060" customWidth="1"/>
    <col min="5898" max="5898" width="11.42578125" style="2060" customWidth="1"/>
    <col min="5899" max="5899" width="13.85546875" style="2060" customWidth="1"/>
    <col min="5900" max="5900" width="12.42578125" style="2060" customWidth="1"/>
    <col min="5901" max="5901" width="16.42578125" style="2060" customWidth="1"/>
    <col min="5902" max="6144" width="9.140625" style="2060"/>
    <col min="6145" max="6145" width="10.28515625" style="2060" customWidth="1"/>
    <col min="6146" max="6146" width="7" style="2060" customWidth="1"/>
    <col min="6147" max="6147" width="7.28515625" style="2060" customWidth="1"/>
    <col min="6148" max="6148" width="9.28515625" style="2060" customWidth="1"/>
    <col min="6149" max="6149" width="12" style="2060" customWidth="1"/>
    <col min="6150" max="6151" width="11.85546875" style="2060" customWidth="1"/>
    <col min="6152" max="6152" width="13.28515625" style="2060" customWidth="1"/>
    <col min="6153" max="6153" width="13.7109375" style="2060" customWidth="1"/>
    <col min="6154" max="6154" width="11.42578125" style="2060" customWidth="1"/>
    <col min="6155" max="6155" width="13.85546875" style="2060" customWidth="1"/>
    <col min="6156" max="6156" width="12.42578125" style="2060" customWidth="1"/>
    <col min="6157" max="6157" width="16.42578125" style="2060" customWidth="1"/>
    <col min="6158" max="6400" width="9.140625" style="2060"/>
    <col min="6401" max="6401" width="10.28515625" style="2060" customWidth="1"/>
    <col min="6402" max="6402" width="7" style="2060" customWidth="1"/>
    <col min="6403" max="6403" width="7.28515625" style="2060" customWidth="1"/>
    <col min="6404" max="6404" width="9.28515625" style="2060" customWidth="1"/>
    <col min="6405" max="6405" width="12" style="2060" customWidth="1"/>
    <col min="6406" max="6407" width="11.85546875" style="2060" customWidth="1"/>
    <col min="6408" max="6408" width="13.28515625" style="2060" customWidth="1"/>
    <col min="6409" max="6409" width="13.7109375" style="2060" customWidth="1"/>
    <col min="6410" max="6410" width="11.42578125" style="2060" customWidth="1"/>
    <col min="6411" max="6411" width="13.85546875" style="2060" customWidth="1"/>
    <col min="6412" max="6412" width="12.42578125" style="2060" customWidth="1"/>
    <col min="6413" max="6413" width="16.42578125" style="2060" customWidth="1"/>
    <col min="6414" max="6656" width="9.140625" style="2060"/>
    <col min="6657" max="6657" width="10.28515625" style="2060" customWidth="1"/>
    <col min="6658" max="6658" width="7" style="2060" customWidth="1"/>
    <col min="6659" max="6659" width="7.28515625" style="2060" customWidth="1"/>
    <col min="6660" max="6660" width="9.28515625" style="2060" customWidth="1"/>
    <col min="6661" max="6661" width="12" style="2060" customWidth="1"/>
    <col min="6662" max="6663" width="11.85546875" style="2060" customWidth="1"/>
    <col min="6664" max="6664" width="13.28515625" style="2060" customWidth="1"/>
    <col min="6665" max="6665" width="13.7109375" style="2060" customWidth="1"/>
    <col min="6666" max="6666" width="11.42578125" style="2060" customWidth="1"/>
    <col min="6667" max="6667" width="13.85546875" style="2060" customWidth="1"/>
    <col min="6668" max="6668" width="12.42578125" style="2060" customWidth="1"/>
    <col min="6669" max="6669" width="16.42578125" style="2060" customWidth="1"/>
    <col min="6670" max="6912" width="9.140625" style="2060"/>
    <col min="6913" max="6913" width="10.28515625" style="2060" customWidth="1"/>
    <col min="6914" max="6914" width="7" style="2060" customWidth="1"/>
    <col min="6915" max="6915" width="7.28515625" style="2060" customWidth="1"/>
    <col min="6916" max="6916" width="9.28515625" style="2060" customWidth="1"/>
    <col min="6917" max="6917" width="12" style="2060" customWidth="1"/>
    <col min="6918" max="6919" width="11.85546875" style="2060" customWidth="1"/>
    <col min="6920" max="6920" width="13.28515625" style="2060" customWidth="1"/>
    <col min="6921" max="6921" width="13.7109375" style="2060" customWidth="1"/>
    <col min="6922" max="6922" width="11.42578125" style="2060" customWidth="1"/>
    <col min="6923" max="6923" width="13.85546875" style="2060" customWidth="1"/>
    <col min="6924" max="6924" width="12.42578125" style="2060" customWidth="1"/>
    <col min="6925" max="6925" width="16.42578125" style="2060" customWidth="1"/>
    <col min="6926" max="7168" width="9.140625" style="2060"/>
    <col min="7169" max="7169" width="10.28515625" style="2060" customWidth="1"/>
    <col min="7170" max="7170" width="7" style="2060" customWidth="1"/>
    <col min="7171" max="7171" width="7.28515625" style="2060" customWidth="1"/>
    <col min="7172" max="7172" width="9.28515625" style="2060" customWidth="1"/>
    <col min="7173" max="7173" width="12" style="2060" customWidth="1"/>
    <col min="7174" max="7175" width="11.85546875" style="2060" customWidth="1"/>
    <col min="7176" max="7176" width="13.28515625" style="2060" customWidth="1"/>
    <col min="7177" max="7177" width="13.7109375" style="2060" customWidth="1"/>
    <col min="7178" max="7178" width="11.42578125" style="2060" customWidth="1"/>
    <col min="7179" max="7179" width="13.85546875" style="2060" customWidth="1"/>
    <col min="7180" max="7180" width="12.42578125" style="2060" customWidth="1"/>
    <col min="7181" max="7181" width="16.42578125" style="2060" customWidth="1"/>
    <col min="7182" max="7424" width="9.140625" style="2060"/>
    <col min="7425" max="7425" width="10.28515625" style="2060" customWidth="1"/>
    <col min="7426" max="7426" width="7" style="2060" customWidth="1"/>
    <col min="7427" max="7427" width="7.28515625" style="2060" customWidth="1"/>
    <col min="7428" max="7428" width="9.28515625" style="2060" customWidth="1"/>
    <col min="7429" max="7429" width="12" style="2060" customWidth="1"/>
    <col min="7430" max="7431" width="11.85546875" style="2060" customWidth="1"/>
    <col min="7432" max="7432" width="13.28515625" style="2060" customWidth="1"/>
    <col min="7433" max="7433" width="13.7109375" style="2060" customWidth="1"/>
    <col min="7434" max="7434" width="11.42578125" style="2060" customWidth="1"/>
    <col min="7435" max="7435" width="13.85546875" style="2060" customWidth="1"/>
    <col min="7436" max="7436" width="12.42578125" style="2060" customWidth="1"/>
    <col min="7437" max="7437" width="16.42578125" style="2060" customWidth="1"/>
    <col min="7438" max="7680" width="9.140625" style="2060"/>
    <col min="7681" max="7681" width="10.28515625" style="2060" customWidth="1"/>
    <col min="7682" max="7682" width="7" style="2060" customWidth="1"/>
    <col min="7683" max="7683" width="7.28515625" style="2060" customWidth="1"/>
    <col min="7684" max="7684" width="9.28515625" style="2060" customWidth="1"/>
    <col min="7685" max="7685" width="12" style="2060" customWidth="1"/>
    <col min="7686" max="7687" width="11.85546875" style="2060" customWidth="1"/>
    <col min="7688" max="7688" width="13.28515625" style="2060" customWidth="1"/>
    <col min="7689" max="7689" width="13.7109375" style="2060" customWidth="1"/>
    <col min="7690" max="7690" width="11.42578125" style="2060" customWidth="1"/>
    <col min="7691" max="7691" width="13.85546875" style="2060" customWidth="1"/>
    <col min="7692" max="7692" width="12.42578125" style="2060" customWidth="1"/>
    <col min="7693" max="7693" width="16.42578125" style="2060" customWidth="1"/>
    <col min="7694" max="7936" width="9.140625" style="2060"/>
    <col min="7937" max="7937" width="10.28515625" style="2060" customWidth="1"/>
    <col min="7938" max="7938" width="7" style="2060" customWidth="1"/>
    <col min="7939" max="7939" width="7.28515625" style="2060" customWidth="1"/>
    <col min="7940" max="7940" width="9.28515625" style="2060" customWidth="1"/>
    <col min="7941" max="7941" width="12" style="2060" customWidth="1"/>
    <col min="7942" max="7943" width="11.85546875" style="2060" customWidth="1"/>
    <col min="7944" max="7944" width="13.28515625" style="2060" customWidth="1"/>
    <col min="7945" max="7945" width="13.7109375" style="2060" customWidth="1"/>
    <col min="7946" max="7946" width="11.42578125" style="2060" customWidth="1"/>
    <col min="7947" max="7947" width="13.85546875" style="2060" customWidth="1"/>
    <col min="7948" max="7948" width="12.42578125" style="2060" customWidth="1"/>
    <col min="7949" max="7949" width="16.42578125" style="2060" customWidth="1"/>
    <col min="7950" max="8192" width="9.140625" style="2060"/>
    <col min="8193" max="8193" width="10.28515625" style="2060" customWidth="1"/>
    <col min="8194" max="8194" width="7" style="2060" customWidth="1"/>
    <col min="8195" max="8195" width="7.28515625" style="2060" customWidth="1"/>
    <col min="8196" max="8196" width="9.28515625" style="2060" customWidth="1"/>
    <col min="8197" max="8197" width="12" style="2060" customWidth="1"/>
    <col min="8198" max="8199" width="11.85546875" style="2060" customWidth="1"/>
    <col min="8200" max="8200" width="13.28515625" style="2060" customWidth="1"/>
    <col min="8201" max="8201" width="13.7109375" style="2060" customWidth="1"/>
    <col min="8202" max="8202" width="11.42578125" style="2060" customWidth="1"/>
    <col min="8203" max="8203" width="13.85546875" style="2060" customWidth="1"/>
    <col min="8204" max="8204" width="12.42578125" style="2060" customWidth="1"/>
    <col min="8205" max="8205" width="16.42578125" style="2060" customWidth="1"/>
    <col min="8206" max="8448" width="9.140625" style="2060"/>
    <col min="8449" max="8449" width="10.28515625" style="2060" customWidth="1"/>
    <col min="8450" max="8450" width="7" style="2060" customWidth="1"/>
    <col min="8451" max="8451" width="7.28515625" style="2060" customWidth="1"/>
    <col min="8452" max="8452" width="9.28515625" style="2060" customWidth="1"/>
    <col min="8453" max="8453" width="12" style="2060" customWidth="1"/>
    <col min="8454" max="8455" width="11.85546875" style="2060" customWidth="1"/>
    <col min="8456" max="8456" width="13.28515625" style="2060" customWidth="1"/>
    <col min="8457" max="8457" width="13.7109375" style="2060" customWidth="1"/>
    <col min="8458" max="8458" width="11.42578125" style="2060" customWidth="1"/>
    <col min="8459" max="8459" width="13.85546875" style="2060" customWidth="1"/>
    <col min="8460" max="8460" width="12.42578125" style="2060" customWidth="1"/>
    <col min="8461" max="8461" width="16.42578125" style="2060" customWidth="1"/>
    <col min="8462" max="8704" width="9.140625" style="2060"/>
    <col min="8705" max="8705" width="10.28515625" style="2060" customWidth="1"/>
    <col min="8706" max="8706" width="7" style="2060" customWidth="1"/>
    <col min="8707" max="8707" width="7.28515625" style="2060" customWidth="1"/>
    <col min="8708" max="8708" width="9.28515625" style="2060" customWidth="1"/>
    <col min="8709" max="8709" width="12" style="2060" customWidth="1"/>
    <col min="8710" max="8711" width="11.85546875" style="2060" customWidth="1"/>
    <col min="8712" max="8712" width="13.28515625" style="2060" customWidth="1"/>
    <col min="8713" max="8713" width="13.7109375" style="2060" customWidth="1"/>
    <col min="8714" max="8714" width="11.42578125" style="2060" customWidth="1"/>
    <col min="8715" max="8715" width="13.85546875" style="2060" customWidth="1"/>
    <col min="8716" max="8716" width="12.42578125" style="2060" customWidth="1"/>
    <col min="8717" max="8717" width="16.42578125" style="2060" customWidth="1"/>
    <col min="8718" max="8960" width="9.140625" style="2060"/>
    <col min="8961" max="8961" width="10.28515625" style="2060" customWidth="1"/>
    <col min="8962" max="8962" width="7" style="2060" customWidth="1"/>
    <col min="8963" max="8963" width="7.28515625" style="2060" customWidth="1"/>
    <col min="8964" max="8964" width="9.28515625" style="2060" customWidth="1"/>
    <col min="8965" max="8965" width="12" style="2060" customWidth="1"/>
    <col min="8966" max="8967" width="11.85546875" style="2060" customWidth="1"/>
    <col min="8968" max="8968" width="13.28515625" style="2060" customWidth="1"/>
    <col min="8969" max="8969" width="13.7109375" style="2060" customWidth="1"/>
    <col min="8970" max="8970" width="11.42578125" style="2060" customWidth="1"/>
    <col min="8971" max="8971" width="13.85546875" style="2060" customWidth="1"/>
    <col min="8972" max="8972" width="12.42578125" style="2060" customWidth="1"/>
    <col min="8973" max="8973" width="16.42578125" style="2060" customWidth="1"/>
    <col min="8974" max="9216" width="9.140625" style="2060"/>
    <col min="9217" max="9217" width="10.28515625" style="2060" customWidth="1"/>
    <col min="9218" max="9218" width="7" style="2060" customWidth="1"/>
    <col min="9219" max="9219" width="7.28515625" style="2060" customWidth="1"/>
    <col min="9220" max="9220" width="9.28515625" style="2060" customWidth="1"/>
    <col min="9221" max="9221" width="12" style="2060" customWidth="1"/>
    <col min="9222" max="9223" width="11.85546875" style="2060" customWidth="1"/>
    <col min="9224" max="9224" width="13.28515625" style="2060" customWidth="1"/>
    <col min="9225" max="9225" width="13.7109375" style="2060" customWidth="1"/>
    <col min="9226" max="9226" width="11.42578125" style="2060" customWidth="1"/>
    <col min="9227" max="9227" width="13.85546875" style="2060" customWidth="1"/>
    <col min="9228" max="9228" width="12.42578125" style="2060" customWidth="1"/>
    <col min="9229" max="9229" width="16.42578125" style="2060" customWidth="1"/>
    <col min="9230" max="9472" width="9.140625" style="2060"/>
    <col min="9473" max="9473" width="10.28515625" style="2060" customWidth="1"/>
    <col min="9474" max="9474" width="7" style="2060" customWidth="1"/>
    <col min="9475" max="9475" width="7.28515625" style="2060" customWidth="1"/>
    <col min="9476" max="9476" width="9.28515625" style="2060" customWidth="1"/>
    <col min="9477" max="9477" width="12" style="2060" customWidth="1"/>
    <col min="9478" max="9479" width="11.85546875" style="2060" customWidth="1"/>
    <col min="9480" max="9480" width="13.28515625" style="2060" customWidth="1"/>
    <col min="9481" max="9481" width="13.7109375" style="2060" customWidth="1"/>
    <col min="9482" max="9482" width="11.42578125" style="2060" customWidth="1"/>
    <col min="9483" max="9483" width="13.85546875" style="2060" customWidth="1"/>
    <col min="9484" max="9484" width="12.42578125" style="2060" customWidth="1"/>
    <col min="9485" max="9485" width="16.42578125" style="2060" customWidth="1"/>
    <col min="9486" max="9728" width="9.140625" style="2060"/>
    <col min="9729" max="9729" width="10.28515625" style="2060" customWidth="1"/>
    <col min="9730" max="9730" width="7" style="2060" customWidth="1"/>
    <col min="9731" max="9731" width="7.28515625" style="2060" customWidth="1"/>
    <col min="9732" max="9732" width="9.28515625" style="2060" customWidth="1"/>
    <col min="9733" max="9733" width="12" style="2060" customWidth="1"/>
    <col min="9734" max="9735" width="11.85546875" style="2060" customWidth="1"/>
    <col min="9736" max="9736" width="13.28515625" style="2060" customWidth="1"/>
    <col min="9737" max="9737" width="13.7109375" style="2060" customWidth="1"/>
    <col min="9738" max="9738" width="11.42578125" style="2060" customWidth="1"/>
    <col min="9739" max="9739" width="13.85546875" style="2060" customWidth="1"/>
    <col min="9740" max="9740" width="12.42578125" style="2060" customWidth="1"/>
    <col min="9741" max="9741" width="16.42578125" style="2060" customWidth="1"/>
    <col min="9742" max="9984" width="9.140625" style="2060"/>
    <col min="9985" max="9985" width="10.28515625" style="2060" customWidth="1"/>
    <col min="9986" max="9986" width="7" style="2060" customWidth="1"/>
    <col min="9987" max="9987" width="7.28515625" style="2060" customWidth="1"/>
    <col min="9988" max="9988" width="9.28515625" style="2060" customWidth="1"/>
    <col min="9989" max="9989" width="12" style="2060" customWidth="1"/>
    <col min="9990" max="9991" width="11.85546875" style="2060" customWidth="1"/>
    <col min="9992" max="9992" width="13.28515625" style="2060" customWidth="1"/>
    <col min="9993" max="9993" width="13.7109375" style="2060" customWidth="1"/>
    <col min="9994" max="9994" width="11.42578125" style="2060" customWidth="1"/>
    <col min="9995" max="9995" width="13.85546875" style="2060" customWidth="1"/>
    <col min="9996" max="9996" width="12.42578125" style="2060" customWidth="1"/>
    <col min="9997" max="9997" width="16.42578125" style="2060" customWidth="1"/>
    <col min="9998" max="10240" width="9.140625" style="2060"/>
    <col min="10241" max="10241" width="10.28515625" style="2060" customWidth="1"/>
    <col min="10242" max="10242" width="7" style="2060" customWidth="1"/>
    <col min="10243" max="10243" width="7.28515625" style="2060" customWidth="1"/>
    <col min="10244" max="10244" width="9.28515625" style="2060" customWidth="1"/>
    <col min="10245" max="10245" width="12" style="2060" customWidth="1"/>
    <col min="10246" max="10247" width="11.85546875" style="2060" customWidth="1"/>
    <col min="10248" max="10248" width="13.28515625" style="2060" customWidth="1"/>
    <col min="10249" max="10249" width="13.7109375" style="2060" customWidth="1"/>
    <col min="10250" max="10250" width="11.42578125" style="2060" customWidth="1"/>
    <col min="10251" max="10251" width="13.85546875" style="2060" customWidth="1"/>
    <col min="10252" max="10252" width="12.42578125" style="2060" customWidth="1"/>
    <col min="10253" max="10253" width="16.42578125" style="2060" customWidth="1"/>
    <col min="10254" max="10496" width="9.140625" style="2060"/>
    <col min="10497" max="10497" width="10.28515625" style="2060" customWidth="1"/>
    <col min="10498" max="10498" width="7" style="2060" customWidth="1"/>
    <col min="10499" max="10499" width="7.28515625" style="2060" customWidth="1"/>
    <col min="10500" max="10500" width="9.28515625" style="2060" customWidth="1"/>
    <col min="10501" max="10501" width="12" style="2060" customWidth="1"/>
    <col min="10502" max="10503" width="11.85546875" style="2060" customWidth="1"/>
    <col min="10504" max="10504" width="13.28515625" style="2060" customWidth="1"/>
    <col min="10505" max="10505" width="13.7109375" style="2060" customWidth="1"/>
    <col min="10506" max="10506" width="11.42578125" style="2060" customWidth="1"/>
    <col min="10507" max="10507" width="13.85546875" style="2060" customWidth="1"/>
    <col min="10508" max="10508" width="12.42578125" style="2060" customWidth="1"/>
    <col min="10509" max="10509" width="16.42578125" style="2060" customWidth="1"/>
    <col min="10510" max="10752" width="9.140625" style="2060"/>
    <col min="10753" max="10753" width="10.28515625" style="2060" customWidth="1"/>
    <col min="10754" max="10754" width="7" style="2060" customWidth="1"/>
    <col min="10755" max="10755" width="7.28515625" style="2060" customWidth="1"/>
    <col min="10756" max="10756" width="9.28515625" style="2060" customWidth="1"/>
    <col min="10757" max="10757" width="12" style="2060" customWidth="1"/>
    <col min="10758" max="10759" width="11.85546875" style="2060" customWidth="1"/>
    <col min="10760" max="10760" width="13.28515625" style="2060" customWidth="1"/>
    <col min="10761" max="10761" width="13.7109375" style="2060" customWidth="1"/>
    <col min="10762" max="10762" width="11.42578125" style="2060" customWidth="1"/>
    <col min="10763" max="10763" width="13.85546875" style="2060" customWidth="1"/>
    <col min="10764" max="10764" width="12.42578125" style="2060" customWidth="1"/>
    <col min="10765" max="10765" width="16.42578125" style="2060" customWidth="1"/>
    <col min="10766" max="11008" width="9.140625" style="2060"/>
    <col min="11009" max="11009" width="10.28515625" style="2060" customWidth="1"/>
    <col min="11010" max="11010" width="7" style="2060" customWidth="1"/>
    <col min="11011" max="11011" width="7.28515625" style="2060" customWidth="1"/>
    <col min="11012" max="11012" width="9.28515625" style="2060" customWidth="1"/>
    <col min="11013" max="11013" width="12" style="2060" customWidth="1"/>
    <col min="11014" max="11015" width="11.85546875" style="2060" customWidth="1"/>
    <col min="11016" max="11016" width="13.28515625" style="2060" customWidth="1"/>
    <col min="11017" max="11017" width="13.7109375" style="2060" customWidth="1"/>
    <col min="11018" max="11018" width="11.42578125" style="2060" customWidth="1"/>
    <col min="11019" max="11019" width="13.85546875" style="2060" customWidth="1"/>
    <col min="11020" max="11020" width="12.42578125" style="2060" customWidth="1"/>
    <col min="11021" max="11021" width="16.42578125" style="2060" customWidth="1"/>
    <col min="11022" max="11264" width="9.140625" style="2060"/>
    <col min="11265" max="11265" width="10.28515625" style="2060" customWidth="1"/>
    <col min="11266" max="11266" width="7" style="2060" customWidth="1"/>
    <col min="11267" max="11267" width="7.28515625" style="2060" customWidth="1"/>
    <col min="11268" max="11268" width="9.28515625" style="2060" customWidth="1"/>
    <col min="11269" max="11269" width="12" style="2060" customWidth="1"/>
    <col min="11270" max="11271" width="11.85546875" style="2060" customWidth="1"/>
    <col min="11272" max="11272" width="13.28515625" style="2060" customWidth="1"/>
    <col min="11273" max="11273" width="13.7109375" style="2060" customWidth="1"/>
    <col min="11274" max="11274" width="11.42578125" style="2060" customWidth="1"/>
    <col min="11275" max="11275" width="13.85546875" style="2060" customWidth="1"/>
    <col min="11276" max="11276" width="12.42578125" style="2060" customWidth="1"/>
    <col min="11277" max="11277" width="16.42578125" style="2060" customWidth="1"/>
    <col min="11278" max="11520" width="9.140625" style="2060"/>
    <col min="11521" max="11521" width="10.28515625" style="2060" customWidth="1"/>
    <col min="11522" max="11522" width="7" style="2060" customWidth="1"/>
    <col min="11523" max="11523" width="7.28515625" style="2060" customWidth="1"/>
    <col min="11524" max="11524" width="9.28515625" style="2060" customWidth="1"/>
    <col min="11525" max="11525" width="12" style="2060" customWidth="1"/>
    <col min="11526" max="11527" width="11.85546875" style="2060" customWidth="1"/>
    <col min="11528" max="11528" width="13.28515625" style="2060" customWidth="1"/>
    <col min="11529" max="11529" width="13.7109375" style="2060" customWidth="1"/>
    <col min="11530" max="11530" width="11.42578125" style="2060" customWidth="1"/>
    <col min="11531" max="11531" width="13.85546875" style="2060" customWidth="1"/>
    <col min="11532" max="11532" width="12.42578125" style="2060" customWidth="1"/>
    <col min="11533" max="11533" width="16.42578125" style="2060" customWidth="1"/>
    <col min="11534" max="11776" width="9.140625" style="2060"/>
    <col min="11777" max="11777" width="10.28515625" style="2060" customWidth="1"/>
    <col min="11778" max="11778" width="7" style="2060" customWidth="1"/>
    <col min="11779" max="11779" width="7.28515625" style="2060" customWidth="1"/>
    <col min="11780" max="11780" width="9.28515625" style="2060" customWidth="1"/>
    <col min="11781" max="11781" width="12" style="2060" customWidth="1"/>
    <col min="11782" max="11783" width="11.85546875" style="2060" customWidth="1"/>
    <col min="11784" max="11784" width="13.28515625" style="2060" customWidth="1"/>
    <col min="11785" max="11785" width="13.7109375" style="2060" customWidth="1"/>
    <col min="11786" max="11786" width="11.42578125" style="2060" customWidth="1"/>
    <col min="11787" max="11787" width="13.85546875" style="2060" customWidth="1"/>
    <col min="11788" max="11788" width="12.42578125" style="2060" customWidth="1"/>
    <col min="11789" max="11789" width="16.42578125" style="2060" customWidth="1"/>
    <col min="11790" max="12032" width="9.140625" style="2060"/>
    <col min="12033" max="12033" width="10.28515625" style="2060" customWidth="1"/>
    <col min="12034" max="12034" width="7" style="2060" customWidth="1"/>
    <col min="12035" max="12035" width="7.28515625" style="2060" customWidth="1"/>
    <col min="12036" max="12036" width="9.28515625" style="2060" customWidth="1"/>
    <col min="12037" max="12037" width="12" style="2060" customWidth="1"/>
    <col min="12038" max="12039" width="11.85546875" style="2060" customWidth="1"/>
    <col min="12040" max="12040" width="13.28515625" style="2060" customWidth="1"/>
    <col min="12041" max="12041" width="13.7109375" style="2060" customWidth="1"/>
    <col min="12042" max="12042" width="11.42578125" style="2060" customWidth="1"/>
    <col min="12043" max="12043" width="13.85546875" style="2060" customWidth="1"/>
    <col min="12044" max="12044" width="12.42578125" style="2060" customWidth="1"/>
    <col min="12045" max="12045" width="16.42578125" style="2060" customWidth="1"/>
    <col min="12046" max="12288" width="9.140625" style="2060"/>
    <col min="12289" max="12289" width="10.28515625" style="2060" customWidth="1"/>
    <col min="12290" max="12290" width="7" style="2060" customWidth="1"/>
    <col min="12291" max="12291" width="7.28515625" style="2060" customWidth="1"/>
    <col min="12292" max="12292" width="9.28515625" style="2060" customWidth="1"/>
    <col min="12293" max="12293" width="12" style="2060" customWidth="1"/>
    <col min="12294" max="12295" width="11.85546875" style="2060" customWidth="1"/>
    <col min="12296" max="12296" width="13.28515625" style="2060" customWidth="1"/>
    <col min="12297" max="12297" width="13.7109375" style="2060" customWidth="1"/>
    <col min="12298" max="12298" width="11.42578125" style="2060" customWidth="1"/>
    <col min="12299" max="12299" width="13.85546875" style="2060" customWidth="1"/>
    <col min="12300" max="12300" width="12.42578125" style="2060" customWidth="1"/>
    <col min="12301" max="12301" width="16.42578125" style="2060" customWidth="1"/>
    <col min="12302" max="12544" width="9.140625" style="2060"/>
    <col min="12545" max="12545" width="10.28515625" style="2060" customWidth="1"/>
    <col min="12546" max="12546" width="7" style="2060" customWidth="1"/>
    <col min="12547" max="12547" width="7.28515625" style="2060" customWidth="1"/>
    <col min="12548" max="12548" width="9.28515625" style="2060" customWidth="1"/>
    <col min="12549" max="12549" width="12" style="2060" customWidth="1"/>
    <col min="12550" max="12551" width="11.85546875" style="2060" customWidth="1"/>
    <col min="12552" max="12552" width="13.28515625" style="2060" customWidth="1"/>
    <col min="12553" max="12553" width="13.7109375" style="2060" customWidth="1"/>
    <col min="12554" max="12554" width="11.42578125" style="2060" customWidth="1"/>
    <col min="12555" max="12555" width="13.85546875" style="2060" customWidth="1"/>
    <col min="12556" max="12556" width="12.42578125" style="2060" customWidth="1"/>
    <col min="12557" max="12557" width="16.42578125" style="2060" customWidth="1"/>
    <col min="12558" max="12800" width="9.140625" style="2060"/>
    <col min="12801" max="12801" width="10.28515625" style="2060" customWidth="1"/>
    <col min="12802" max="12802" width="7" style="2060" customWidth="1"/>
    <col min="12803" max="12803" width="7.28515625" style="2060" customWidth="1"/>
    <col min="12804" max="12804" width="9.28515625" style="2060" customWidth="1"/>
    <col min="12805" max="12805" width="12" style="2060" customWidth="1"/>
    <col min="12806" max="12807" width="11.85546875" style="2060" customWidth="1"/>
    <col min="12808" max="12808" width="13.28515625" style="2060" customWidth="1"/>
    <col min="12809" max="12809" width="13.7109375" style="2060" customWidth="1"/>
    <col min="12810" max="12810" width="11.42578125" style="2060" customWidth="1"/>
    <col min="12811" max="12811" width="13.85546875" style="2060" customWidth="1"/>
    <col min="12812" max="12812" width="12.42578125" style="2060" customWidth="1"/>
    <col min="12813" max="12813" width="16.42578125" style="2060" customWidth="1"/>
    <col min="12814" max="13056" width="9.140625" style="2060"/>
    <col min="13057" max="13057" width="10.28515625" style="2060" customWidth="1"/>
    <col min="13058" max="13058" width="7" style="2060" customWidth="1"/>
    <col min="13059" max="13059" width="7.28515625" style="2060" customWidth="1"/>
    <col min="13060" max="13060" width="9.28515625" style="2060" customWidth="1"/>
    <col min="13061" max="13061" width="12" style="2060" customWidth="1"/>
    <col min="13062" max="13063" width="11.85546875" style="2060" customWidth="1"/>
    <col min="13064" max="13064" width="13.28515625" style="2060" customWidth="1"/>
    <col min="13065" max="13065" width="13.7109375" style="2060" customWidth="1"/>
    <col min="13066" max="13066" width="11.42578125" style="2060" customWidth="1"/>
    <col min="13067" max="13067" width="13.85546875" style="2060" customWidth="1"/>
    <col min="13068" max="13068" width="12.42578125" style="2060" customWidth="1"/>
    <col min="13069" max="13069" width="16.42578125" style="2060" customWidth="1"/>
    <col min="13070" max="13312" width="9.140625" style="2060"/>
    <col min="13313" max="13313" width="10.28515625" style="2060" customWidth="1"/>
    <col min="13314" max="13314" width="7" style="2060" customWidth="1"/>
    <col min="13315" max="13315" width="7.28515625" style="2060" customWidth="1"/>
    <col min="13316" max="13316" width="9.28515625" style="2060" customWidth="1"/>
    <col min="13317" max="13317" width="12" style="2060" customWidth="1"/>
    <col min="13318" max="13319" width="11.85546875" style="2060" customWidth="1"/>
    <col min="13320" max="13320" width="13.28515625" style="2060" customWidth="1"/>
    <col min="13321" max="13321" width="13.7109375" style="2060" customWidth="1"/>
    <col min="13322" max="13322" width="11.42578125" style="2060" customWidth="1"/>
    <col min="13323" max="13323" width="13.85546875" style="2060" customWidth="1"/>
    <col min="13324" max="13324" width="12.42578125" style="2060" customWidth="1"/>
    <col min="13325" max="13325" width="16.42578125" style="2060" customWidth="1"/>
    <col min="13326" max="13568" width="9.140625" style="2060"/>
    <col min="13569" max="13569" width="10.28515625" style="2060" customWidth="1"/>
    <col min="13570" max="13570" width="7" style="2060" customWidth="1"/>
    <col min="13571" max="13571" width="7.28515625" style="2060" customWidth="1"/>
    <col min="13572" max="13572" width="9.28515625" style="2060" customWidth="1"/>
    <col min="13573" max="13573" width="12" style="2060" customWidth="1"/>
    <col min="13574" max="13575" width="11.85546875" style="2060" customWidth="1"/>
    <col min="13576" max="13576" width="13.28515625" style="2060" customWidth="1"/>
    <col min="13577" max="13577" width="13.7109375" style="2060" customWidth="1"/>
    <col min="13578" max="13578" width="11.42578125" style="2060" customWidth="1"/>
    <col min="13579" max="13579" width="13.85546875" style="2060" customWidth="1"/>
    <col min="13580" max="13580" width="12.42578125" style="2060" customWidth="1"/>
    <col min="13581" max="13581" width="16.42578125" style="2060" customWidth="1"/>
    <col min="13582" max="13824" width="9.140625" style="2060"/>
    <col min="13825" max="13825" width="10.28515625" style="2060" customWidth="1"/>
    <col min="13826" max="13826" width="7" style="2060" customWidth="1"/>
    <col min="13827" max="13827" width="7.28515625" style="2060" customWidth="1"/>
    <col min="13828" max="13828" width="9.28515625" style="2060" customWidth="1"/>
    <col min="13829" max="13829" width="12" style="2060" customWidth="1"/>
    <col min="13830" max="13831" width="11.85546875" style="2060" customWidth="1"/>
    <col min="13832" max="13832" width="13.28515625" style="2060" customWidth="1"/>
    <col min="13833" max="13833" width="13.7109375" style="2060" customWidth="1"/>
    <col min="13834" max="13834" width="11.42578125" style="2060" customWidth="1"/>
    <col min="13835" max="13835" width="13.85546875" style="2060" customWidth="1"/>
    <col min="13836" max="13836" width="12.42578125" style="2060" customWidth="1"/>
    <col min="13837" max="13837" width="16.42578125" style="2060" customWidth="1"/>
    <col min="13838" max="14080" width="9.140625" style="2060"/>
    <col min="14081" max="14081" width="10.28515625" style="2060" customWidth="1"/>
    <col min="14082" max="14082" width="7" style="2060" customWidth="1"/>
    <col min="14083" max="14083" width="7.28515625" style="2060" customWidth="1"/>
    <col min="14084" max="14084" width="9.28515625" style="2060" customWidth="1"/>
    <col min="14085" max="14085" width="12" style="2060" customWidth="1"/>
    <col min="14086" max="14087" width="11.85546875" style="2060" customWidth="1"/>
    <col min="14088" max="14088" width="13.28515625" style="2060" customWidth="1"/>
    <col min="14089" max="14089" width="13.7109375" style="2060" customWidth="1"/>
    <col min="14090" max="14090" width="11.42578125" style="2060" customWidth="1"/>
    <col min="14091" max="14091" width="13.85546875" style="2060" customWidth="1"/>
    <col min="14092" max="14092" width="12.42578125" style="2060" customWidth="1"/>
    <col min="14093" max="14093" width="16.42578125" style="2060" customWidth="1"/>
    <col min="14094" max="14336" width="9.140625" style="2060"/>
    <col min="14337" max="14337" width="10.28515625" style="2060" customWidth="1"/>
    <col min="14338" max="14338" width="7" style="2060" customWidth="1"/>
    <col min="14339" max="14339" width="7.28515625" style="2060" customWidth="1"/>
    <col min="14340" max="14340" width="9.28515625" style="2060" customWidth="1"/>
    <col min="14341" max="14341" width="12" style="2060" customWidth="1"/>
    <col min="14342" max="14343" width="11.85546875" style="2060" customWidth="1"/>
    <col min="14344" max="14344" width="13.28515625" style="2060" customWidth="1"/>
    <col min="14345" max="14345" width="13.7109375" style="2060" customWidth="1"/>
    <col min="14346" max="14346" width="11.42578125" style="2060" customWidth="1"/>
    <col min="14347" max="14347" width="13.85546875" style="2060" customWidth="1"/>
    <col min="14348" max="14348" width="12.42578125" style="2060" customWidth="1"/>
    <col min="14349" max="14349" width="16.42578125" style="2060" customWidth="1"/>
    <col min="14350" max="14592" width="9.140625" style="2060"/>
    <col min="14593" max="14593" width="10.28515625" style="2060" customWidth="1"/>
    <col min="14594" max="14594" width="7" style="2060" customWidth="1"/>
    <col min="14595" max="14595" width="7.28515625" style="2060" customWidth="1"/>
    <col min="14596" max="14596" width="9.28515625" style="2060" customWidth="1"/>
    <col min="14597" max="14597" width="12" style="2060" customWidth="1"/>
    <col min="14598" max="14599" width="11.85546875" style="2060" customWidth="1"/>
    <col min="14600" max="14600" width="13.28515625" style="2060" customWidth="1"/>
    <col min="14601" max="14601" width="13.7109375" style="2060" customWidth="1"/>
    <col min="14602" max="14602" width="11.42578125" style="2060" customWidth="1"/>
    <col min="14603" max="14603" width="13.85546875" style="2060" customWidth="1"/>
    <col min="14604" max="14604" width="12.42578125" style="2060" customWidth="1"/>
    <col min="14605" max="14605" width="16.42578125" style="2060" customWidth="1"/>
    <col min="14606" max="14848" width="9.140625" style="2060"/>
    <col min="14849" max="14849" width="10.28515625" style="2060" customWidth="1"/>
    <col min="14850" max="14850" width="7" style="2060" customWidth="1"/>
    <col min="14851" max="14851" width="7.28515625" style="2060" customWidth="1"/>
    <col min="14852" max="14852" width="9.28515625" style="2060" customWidth="1"/>
    <col min="14853" max="14853" width="12" style="2060" customWidth="1"/>
    <col min="14854" max="14855" width="11.85546875" style="2060" customWidth="1"/>
    <col min="14856" max="14856" width="13.28515625" style="2060" customWidth="1"/>
    <col min="14857" max="14857" width="13.7109375" style="2060" customWidth="1"/>
    <col min="14858" max="14858" width="11.42578125" style="2060" customWidth="1"/>
    <col min="14859" max="14859" width="13.85546875" style="2060" customWidth="1"/>
    <col min="14860" max="14860" width="12.42578125" style="2060" customWidth="1"/>
    <col min="14861" max="14861" width="16.42578125" style="2060" customWidth="1"/>
    <col min="14862" max="15104" width="9.140625" style="2060"/>
    <col min="15105" max="15105" width="10.28515625" style="2060" customWidth="1"/>
    <col min="15106" max="15106" width="7" style="2060" customWidth="1"/>
    <col min="15107" max="15107" width="7.28515625" style="2060" customWidth="1"/>
    <col min="15108" max="15108" width="9.28515625" style="2060" customWidth="1"/>
    <col min="15109" max="15109" width="12" style="2060" customWidth="1"/>
    <col min="15110" max="15111" width="11.85546875" style="2060" customWidth="1"/>
    <col min="15112" max="15112" width="13.28515625" style="2060" customWidth="1"/>
    <col min="15113" max="15113" width="13.7109375" style="2060" customWidth="1"/>
    <col min="15114" max="15114" width="11.42578125" style="2060" customWidth="1"/>
    <col min="15115" max="15115" width="13.85546875" style="2060" customWidth="1"/>
    <col min="15116" max="15116" width="12.42578125" style="2060" customWidth="1"/>
    <col min="15117" max="15117" width="16.42578125" style="2060" customWidth="1"/>
    <col min="15118" max="15360" width="9.140625" style="2060"/>
    <col min="15361" max="15361" width="10.28515625" style="2060" customWidth="1"/>
    <col min="15362" max="15362" width="7" style="2060" customWidth="1"/>
    <col min="15363" max="15363" width="7.28515625" style="2060" customWidth="1"/>
    <col min="15364" max="15364" width="9.28515625" style="2060" customWidth="1"/>
    <col min="15365" max="15365" width="12" style="2060" customWidth="1"/>
    <col min="15366" max="15367" width="11.85546875" style="2060" customWidth="1"/>
    <col min="15368" max="15368" width="13.28515625" style="2060" customWidth="1"/>
    <col min="15369" max="15369" width="13.7109375" style="2060" customWidth="1"/>
    <col min="15370" max="15370" width="11.42578125" style="2060" customWidth="1"/>
    <col min="15371" max="15371" width="13.85546875" style="2060" customWidth="1"/>
    <col min="15372" max="15372" width="12.42578125" style="2060" customWidth="1"/>
    <col min="15373" max="15373" width="16.42578125" style="2060" customWidth="1"/>
    <col min="15374" max="15616" width="9.140625" style="2060"/>
    <col min="15617" max="15617" width="10.28515625" style="2060" customWidth="1"/>
    <col min="15618" max="15618" width="7" style="2060" customWidth="1"/>
    <col min="15619" max="15619" width="7.28515625" style="2060" customWidth="1"/>
    <col min="15620" max="15620" width="9.28515625" style="2060" customWidth="1"/>
    <col min="15621" max="15621" width="12" style="2060" customWidth="1"/>
    <col min="15622" max="15623" width="11.85546875" style="2060" customWidth="1"/>
    <col min="15624" max="15624" width="13.28515625" style="2060" customWidth="1"/>
    <col min="15625" max="15625" width="13.7109375" style="2060" customWidth="1"/>
    <col min="15626" max="15626" width="11.42578125" style="2060" customWidth="1"/>
    <col min="15627" max="15627" width="13.85546875" style="2060" customWidth="1"/>
    <col min="15628" max="15628" width="12.42578125" style="2060" customWidth="1"/>
    <col min="15629" max="15629" width="16.42578125" style="2060" customWidth="1"/>
    <col min="15630" max="15872" width="9.140625" style="2060"/>
    <col min="15873" max="15873" width="10.28515625" style="2060" customWidth="1"/>
    <col min="15874" max="15874" width="7" style="2060" customWidth="1"/>
    <col min="15875" max="15875" width="7.28515625" style="2060" customWidth="1"/>
    <col min="15876" max="15876" width="9.28515625" style="2060" customWidth="1"/>
    <col min="15877" max="15877" width="12" style="2060" customWidth="1"/>
    <col min="15878" max="15879" width="11.85546875" style="2060" customWidth="1"/>
    <col min="15880" max="15880" width="13.28515625" style="2060" customWidth="1"/>
    <col min="15881" max="15881" width="13.7109375" style="2060" customWidth="1"/>
    <col min="15882" max="15882" width="11.42578125" style="2060" customWidth="1"/>
    <col min="15883" max="15883" width="13.85546875" style="2060" customWidth="1"/>
    <col min="15884" max="15884" width="12.42578125" style="2060" customWidth="1"/>
    <col min="15885" max="15885" width="16.42578125" style="2060" customWidth="1"/>
    <col min="15886" max="16128" width="9.140625" style="2060"/>
    <col min="16129" max="16129" width="10.28515625" style="2060" customWidth="1"/>
    <col min="16130" max="16130" width="7" style="2060" customWidth="1"/>
    <col min="16131" max="16131" width="7.28515625" style="2060" customWidth="1"/>
    <col min="16132" max="16132" width="9.28515625" style="2060" customWidth="1"/>
    <col min="16133" max="16133" width="12" style="2060" customWidth="1"/>
    <col min="16134" max="16135" width="11.85546875" style="2060" customWidth="1"/>
    <col min="16136" max="16136" width="13.28515625" style="2060" customWidth="1"/>
    <col min="16137" max="16137" width="13.7109375" style="2060" customWidth="1"/>
    <col min="16138" max="16138" width="11.42578125" style="2060" customWidth="1"/>
    <col min="16139" max="16139" width="13.85546875" style="2060" customWidth="1"/>
    <col min="16140" max="16140" width="12.42578125" style="2060" customWidth="1"/>
    <col min="16141" max="16141" width="16.42578125" style="2060" customWidth="1"/>
    <col min="16142" max="16384" width="9.140625" style="2060"/>
  </cols>
  <sheetData>
    <row r="2" spans="1:13" s="2057" customFormat="1" ht="45" customHeight="1">
      <c r="A2" s="3487" t="s">
        <v>907</v>
      </c>
      <c r="B2" s="3487" t="s">
        <v>877</v>
      </c>
      <c r="C2" s="3482" t="s">
        <v>879</v>
      </c>
      <c r="D2" s="3482"/>
      <c r="E2" s="3482"/>
      <c r="F2" s="3482" t="s">
        <v>908</v>
      </c>
      <c r="G2" s="3482"/>
      <c r="H2" s="3482"/>
      <c r="I2" s="3487" t="s">
        <v>886</v>
      </c>
      <c r="J2" s="3487" t="s">
        <v>887</v>
      </c>
      <c r="K2" s="3482" t="s">
        <v>909</v>
      </c>
      <c r="L2" s="3482"/>
      <c r="M2" s="3487" t="s">
        <v>910</v>
      </c>
    </row>
    <row r="3" spans="1:13">
      <c r="A3" s="3488"/>
      <c r="B3" s="3488"/>
      <c r="C3" s="2062" t="s">
        <v>852</v>
      </c>
      <c r="D3" s="2062" t="s">
        <v>720</v>
      </c>
      <c r="E3" s="2062" t="s">
        <v>881</v>
      </c>
      <c r="F3" s="2062" t="s">
        <v>852</v>
      </c>
      <c r="G3" s="2062" t="s">
        <v>720</v>
      </c>
      <c r="H3" s="2062" t="s">
        <v>911</v>
      </c>
      <c r="I3" s="3488"/>
      <c r="J3" s="3488"/>
      <c r="K3" s="2062" t="s">
        <v>889</v>
      </c>
      <c r="L3" s="2062" t="s">
        <v>890</v>
      </c>
      <c r="M3" s="3488"/>
    </row>
    <row r="4" spans="1:13">
      <c r="A4" s="2063">
        <f>'ESAL-result'!D9</f>
        <v>4</v>
      </c>
      <c r="B4" s="2064">
        <f>'ESAL-result'!D10:D10</f>
        <v>0</v>
      </c>
      <c r="C4" s="2064">
        <f>'ESAL-result'!D11</f>
        <v>3</v>
      </c>
      <c r="D4" s="2064">
        <f>'ESAL-result'!D12</f>
        <v>3</v>
      </c>
      <c r="E4" s="2064">
        <f>'ESAL-result'!D13</f>
        <v>0</v>
      </c>
      <c r="F4" s="2064">
        <f>'ESAL-result'!D14</f>
        <v>8</v>
      </c>
      <c r="G4" s="2064">
        <f>'ESAL-result'!D15</f>
        <v>7</v>
      </c>
      <c r="H4" s="2064">
        <f>'ESAL-result'!D16</f>
        <v>0</v>
      </c>
      <c r="I4" s="2064">
        <f>'ESAL-result'!D17:D17</f>
        <v>38</v>
      </c>
      <c r="J4" s="2064">
        <f>'ESAL-result'!D18</f>
        <v>30</v>
      </c>
      <c r="K4" s="2064">
        <f>'ESAL-result'!D19</f>
        <v>0</v>
      </c>
      <c r="L4" s="2064">
        <f>'ESAL-result'!D20</f>
        <v>0</v>
      </c>
      <c r="M4" s="2064">
        <f>SUM(A4:L4)</f>
        <v>93</v>
      </c>
    </row>
    <row r="5" spans="1:13" s="2058" customFormat="1">
      <c r="A5" s="2065"/>
      <c r="B5" s="2065"/>
      <c r="C5" s="2065"/>
      <c r="D5" s="2065"/>
      <c r="E5" s="2065"/>
      <c r="F5" s="2065"/>
      <c r="G5" s="2065"/>
      <c r="H5" s="2065"/>
      <c r="I5" s="2065"/>
      <c r="J5" s="2065"/>
      <c r="K5" s="2065"/>
      <c r="L5" s="2065"/>
      <c r="M5" s="2065"/>
    </row>
    <row r="6" spans="1:13">
      <c r="A6" s="2066"/>
      <c r="B6" s="2066"/>
      <c r="C6" s="2066"/>
      <c r="D6" s="3483" t="s">
        <v>912</v>
      </c>
      <c r="E6" s="3483"/>
      <c r="F6" s="3483"/>
      <c r="G6" s="2067">
        <f>'ESAL-result'!E25</f>
        <v>2</v>
      </c>
      <c r="H6" s="2066"/>
      <c r="I6" s="3484" t="s">
        <v>913</v>
      </c>
      <c r="J6" s="3485"/>
      <c r="K6" s="3485"/>
      <c r="L6" s="3486"/>
      <c r="M6" s="2067" t="str">
        <f>'ESAL-result'!E24</f>
        <v>NO</v>
      </c>
    </row>
    <row r="7" spans="1:13">
      <c r="D7" s="3491" t="s">
        <v>914</v>
      </c>
      <c r="E7" s="3491"/>
      <c r="F7" s="3491"/>
      <c r="G7" s="2068">
        <f>'ESAL-result'!E27</f>
        <v>1</v>
      </c>
      <c r="I7" s="3492" t="s">
        <v>915</v>
      </c>
      <c r="J7" s="3492"/>
      <c r="K7" s="3492"/>
      <c r="L7" s="3492"/>
      <c r="M7" s="2085">
        <f>'ESAL-result'!E26</f>
        <v>75</v>
      </c>
    </row>
    <row r="8" spans="1:13">
      <c r="I8" s="3493" t="s">
        <v>916</v>
      </c>
      <c r="J8" s="3494"/>
      <c r="K8" s="3494"/>
      <c r="L8" s="3495"/>
      <c r="M8" s="2068">
        <f>IF(M6="yes",M4/2,M4)</f>
        <v>93</v>
      </c>
    </row>
    <row r="9" spans="1:13">
      <c r="I9" s="3493" t="s">
        <v>917</v>
      </c>
      <c r="J9" s="3494"/>
      <c r="K9" s="3494"/>
      <c r="L9" s="3495"/>
      <c r="M9" s="2086">
        <f>ROUND(M8+((0.6*G7*M7*G6*M8)/365),0)</f>
        <v>116</v>
      </c>
    </row>
    <row r="10" spans="1:13">
      <c r="I10" s="3493" t="s">
        <v>918</v>
      </c>
      <c r="J10" s="3494"/>
      <c r="K10" s="3494"/>
      <c r="L10" s="3495"/>
      <c r="M10" s="2087">
        <f>ROUND(M9*((1.06)^'ESAL-result'!E22),0)</f>
        <v>130</v>
      </c>
    </row>
    <row r="11" spans="1:13" ht="15" customHeight="1">
      <c r="I11" s="3493" t="s">
        <v>919</v>
      </c>
      <c r="J11" s="3494"/>
      <c r="K11" s="3494"/>
      <c r="L11" s="3495"/>
      <c r="M11" s="2088">
        <f>M10/M4</f>
        <v>1.3978494623655915</v>
      </c>
    </row>
    <row r="12" spans="1:13" ht="15" hidden="1" customHeight="1">
      <c r="A12" s="2069">
        <f>M11</f>
        <v>1.3978494623655915</v>
      </c>
      <c r="B12" s="2069">
        <f>M11</f>
        <v>1.3978494623655915</v>
      </c>
      <c r="C12" s="2069">
        <f>M11</f>
        <v>1.3978494623655915</v>
      </c>
      <c r="D12" s="2069">
        <f>M11</f>
        <v>1.3978494623655915</v>
      </c>
      <c r="E12" s="2069">
        <f>M11</f>
        <v>1.3978494623655915</v>
      </c>
      <c r="F12" s="2069">
        <f>M11</f>
        <v>1.3978494623655915</v>
      </c>
      <c r="G12" s="2069">
        <f>M11</f>
        <v>1.3978494623655915</v>
      </c>
      <c r="H12" s="2069">
        <f>M11</f>
        <v>1.3978494623655915</v>
      </c>
      <c r="I12" s="2069">
        <f>M11</f>
        <v>1.3978494623655915</v>
      </c>
      <c r="J12" s="2069">
        <f>M11</f>
        <v>1.3978494623655915</v>
      </c>
      <c r="K12" s="2069">
        <f>M11</f>
        <v>1.3978494623655915</v>
      </c>
      <c r="L12" s="2069">
        <f>M11</f>
        <v>1.3978494623655915</v>
      </c>
      <c r="M12" s="2089"/>
    </row>
    <row r="13" spans="1:13" ht="15" customHeight="1">
      <c r="A13" s="2069"/>
      <c r="B13" s="2069"/>
      <c r="C13" s="2069"/>
      <c r="D13" s="2069"/>
      <c r="E13" s="2069"/>
      <c r="F13" s="2069"/>
      <c r="G13" s="2069"/>
      <c r="H13" s="2069" t="s">
        <v>85</v>
      </c>
      <c r="I13" s="2069"/>
      <c r="J13" s="2069"/>
      <c r="K13" s="2069"/>
      <c r="L13" s="2069"/>
      <c r="M13" s="2089"/>
    </row>
    <row r="14" spans="1:13">
      <c r="A14" s="3509" t="s">
        <v>907</v>
      </c>
      <c r="B14" s="3509" t="s">
        <v>877</v>
      </c>
      <c r="C14" s="3509" t="s">
        <v>879</v>
      </c>
      <c r="D14" s="3509"/>
      <c r="E14" s="3509"/>
      <c r="F14" s="3509" t="s">
        <v>920</v>
      </c>
      <c r="G14" s="3509"/>
      <c r="H14" s="3509"/>
      <c r="I14" s="3489" t="s">
        <v>886</v>
      </c>
      <c r="J14" s="3489" t="s">
        <v>887</v>
      </c>
      <c r="K14" s="3509" t="s">
        <v>909</v>
      </c>
      <c r="L14" s="3509"/>
      <c r="M14" s="3518"/>
    </row>
    <row r="15" spans="1:13" ht="43.5" customHeight="1">
      <c r="A15" s="3509"/>
      <c r="B15" s="3509"/>
      <c r="C15" s="2067" t="s">
        <v>852</v>
      </c>
      <c r="D15" s="2067" t="s">
        <v>720</v>
      </c>
      <c r="E15" s="2067" t="s">
        <v>881</v>
      </c>
      <c r="F15" s="2067" t="s">
        <v>852</v>
      </c>
      <c r="G15" s="2067" t="s">
        <v>720</v>
      </c>
      <c r="H15" s="2067" t="s">
        <v>911</v>
      </c>
      <c r="I15" s="3490"/>
      <c r="J15" s="3490"/>
      <c r="K15" s="2067" t="s">
        <v>889</v>
      </c>
      <c r="L15" s="2067" t="s">
        <v>890</v>
      </c>
      <c r="M15" s="3518"/>
    </row>
    <row r="16" spans="1:13" s="2059" customFormat="1">
      <c r="A16" s="2070">
        <f>ROUND(A4*A12,0)</f>
        <v>6</v>
      </c>
      <c r="B16" s="2070">
        <f>ROUND(B4*B12,0)</f>
        <v>0</v>
      </c>
      <c r="C16" s="2070">
        <f>ROUND(C4*C12,0)</f>
        <v>4</v>
      </c>
      <c r="D16" s="2070">
        <f t="shared" ref="D16:L16" si="0">ROUND(D4*D12,0)</f>
        <v>4</v>
      </c>
      <c r="E16" s="2070">
        <f t="shared" si="0"/>
        <v>0</v>
      </c>
      <c r="F16" s="2070">
        <f t="shared" si="0"/>
        <v>11</v>
      </c>
      <c r="G16" s="2070">
        <f t="shared" si="0"/>
        <v>10</v>
      </c>
      <c r="H16" s="2070">
        <f t="shared" si="0"/>
        <v>0</v>
      </c>
      <c r="I16" s="2070">
        <f t="shared" si="0"/>
        <v>53</v>
      </c>
      <c r="J16" s="2070">
        <f t="shared" si="0"/>
        <v>42</v>
      </c>
      <c r="K16" s="2070">
        <f t="shared" si="0"/>
        <v>0</v>
      </c>
      <c r="L16" s="2070">
        <f t="shared" si="0"/>
        <v>0</v>
      </c>
      <c r="M16" s="2090"/>
    </row>
    <row r="18" spans="1:13">
      <c r="A18" s="3510" t="s">
        <v>921</v>
      </c>
      <c r="B18" s="3511" t="s">
        <v>922</v>
      </c>
      <c r="C18" s="3517" t="s">
        <v>879</v>
      </c>
      <c r="D18" s="3509"/>
      <c r="E18" s="3509"/>
      <c r="F18" s="3509" t="s">
        <v>85</v>
      </c>
      <c r="G18" s="3509"/>
      <c r="H18" s="3509"/>
    </row>
    <row r="19" spans="1:13">
      <c r="A19" s="3510"/>
      <c r="B19" s="3511"/>
      <c r="C19" s="2071" t="s">
        <v>852</v>
      </c>
      <c r="D19" s="2067" t="s">
        <v>720</v>
      </c>
      <c r="E19" s="2067" t="s">
        <v>881</v>
      </c>
      <c r="F19" s="2067" t="s">
        <v>852</v>
      </c>
      <c r="G19" s="2067" t="s">
        <v>720</v>
      </c>
      <c r="H19" s="2067" t="s">
        <v>911</v>
      </c>
    </row>
    <row r="20" spans="1:13">
      <c r="A20" s="3510"/>
      <c r="B20" s="3511"/>
      <c r="C20" s="2072">
        <f>'ESAL-result'!E11</f>
        <v>2.58</v>
      </c>
      <c r="D20" s="2073">
        <f>'ESAL-result'!E12</f>
        <v>0.31</v>
      </c>
      <c r="E20" s="2073">
        <f>'ESAL-result'!E13</f>
        <v>2.86</v>
      </c>
      <c r="F20" s="2073">
        <f>'ESAL-result'!E14</f>
        <v>0.31</v>
      </c>
      <c r="G20" s="2073">
        <f>'ESAL-result'!E15</f>
        <v>0.02</v>
      </c>
      <c r="H20" s="2073">
        <f>'ESAL-result'!E16</f>
        <v>0.34</v>
      </c>
    </row>
    <row r="21" spans="1:13">
      <c r="A21" s="3510"/>
      <c r="B21" s="3515"/>
      <c r="C21" s="3516"/>
      <c r="D21" s="3516"/>
      <c r="E21" s="3516"/>
      <c r="F21" s="3516"/>
      <c r="G21" s="3516"/>
      <c r="H21" s="3516"/>
    </row>
    <row r="22" spans="1:13">
      <c r="A22" s="3510"/>
      <c r="B22" s="3512" t="s">
        <v>923</v>
      </c>
      <c r="C22" s="3517" t="s">
        <v>879</v>
      </c>
      <c r="D22" s="3509"/>
      <c r="E22" s="3509"/>
      <c r="F22" s="3509" t="s">
        <v>920</v>
      </c>
      <c r="G22" s="3509"/>
      <c r="H22" s="3509"/>
      <c r="I22" s="3531" t="s">
        <v>924</v>
      </c>
    </row>
    <row r="23" spans="1:13">
      <c r="A23" s="3510"/>
      <c r="B23" s="3513"/>
      <c r="C23" s="2071" t="s">
        <v>852</v>
      </c>
      <c r="D23" s="2067" t="s">
        <v>720</v>
      </c>
      <c r="E23" s="2067" t="s">
        <v>881</v>
      </c>
      <c r="F23" s="2067" t="s">
        <v>852</v>
      </c>
      <c r="G23" s="2067" t="s">
        <v>720</v>
      </c>
      <c r="H23" s="2067" t="s">
        <v>911</v>
      </c>
      <c r="I23" s="3532"/>
    </row>
    <row r="24" spans="1:13">
      <c r="A24" s="3510"/>
      <c r="B24" s="3514"/>
      <c r="C24" s="2074">
        <f t="shared" ref="C24:H24" si="1">C16*C20</f>
        <v>10.32</v>
      </c>
      <c r="D24" s="2070">
        <f t="shared" si="1"/>
        <v>1.24</v>
      </c>
      <c r="E24" s="2070">
        <f t="shared" si="1"/>
        <v>0</v>
      </c>
      <c r="F24" s="2070">
        <f t="shared" si="1"/>
        <v>3.41</v>
      </c>
      <c r="G24" s="2070">
        <f t="shared" si="1"/>
        <v>0.2</v>
      </c>
      <c r="H24" s="2070">
        <f t="shared" si="1"/>
        <v>0</v>
      </c>
      <c r="I24" s="2091">
        <f>ROUNDUP(SUM(C24:H24),2)</f>
        <v>15.17</v>
      </c>
      <c r="K24" s="3492" t="s">
        <v>924</v>
      </c>
      <c r="L24" s="3492"/>
      <c r="M24" s="2092">
        <f>I24</f>
        <v>15.17</v>
      </c>
    </row>
    <row r="25" spans="1:13">
      <c r="K25" s="3528"/>
      <c r="L25" s="3529"/>
      <c r="M25" s="3530"/>
    </row>
    <row r="26" spans="1:13">
      <c r="K26" s="3527" t="s">
        <v>925</v>
      </c>
      <c r="L26" s="3527"/>
      <c r="M26" s="2092">
        <f>M24*4811*1</f>
        <v>72982.87</v>
      </c>
    </row>
    <row r="27" spans="1:13">
      <c r="K27" s="3528"/>
      <c r="L27" s="3529"/>
      <c r="M27" s="3530"/>
    </row>
    <row r="28" spans="1:13">
      <c r="K28" s="3491" t="s">
        <v>926</v>
      </c>
      <c r="L28" s="3491"/>
      <c r="M28" s="2092">
        <f>IF(K4=0,1,(IF(AND(M10&gt;100,M10&lt;150),((((L43-L42)/(K43-K42))*(M10-K42))+L42),0)+IF(AND(M10&gt;150,M10&lt;200),((((L44-L43)/(K44-K43))*(M10-K43))+L43),0)+IF(AND(M10&gt;200,M10&lt;300),((((L45-L44)/(K45-K44))*(M10-K44))+L44),0)+IF(AND(M10&gt;300,M10&lt;400),((((L46-L45)/(K46-K45))*(M10-K45))+L45),0)+IF(AND(M10&gt;400,M10&lt;500),((((L47-L46)/(K47-K46))*(M10-K46))+L46),0)))</f>
        <v>1</v>
      </c>
    </row>
    <row r="29" spans="1:13">
      <c r="K29" s="3528"/>
      <c r="L29" s="3529"/>
      <c r="M29" s="3530"/>
    </row>
    <row r="30" spans="1:13">
      <c r="K30" s="3491" t="s">
        <v>883</v>
      </c>
      <c r="L30" s="3491"/>
      <c r="M30" s="2068">
        <f>M26*M28</f>
        <v>72982.87</v>
      </c>
    </row>
    <row r="31" spans="1:13">
      <c r="K31" s="2093"/>
      <c r="L31" s="2093"/>
    </row>
    <row r="32" spans="1:13" ht="21">
      <c r="H32" s="2075"/>
      <c r="K32" s="2094" t="s">
        <v>884</v>
      </c>
      <c r="L32" s="2095" t="s">
        <v>885</v>
      </c>
      <c r="M32" s="2096">
        <f>IF(AND(M30&gt;10000,M30&lt;30000),1,0)+IF(AND(M30&gt;30000,M30&lt;60000),2,0)+IF(AND(M30&gt;60000,M30&lt;100000),3,0)+IF(AND(M30&gt;100000,M30&lt;200000),4,0)+IF(AND(M30&gt;200000,M30&lt;300000),5,0)+IF(AND(M30&gt;300000,M30&lt;600000),6,0)+IF(AND(M30&gt;600000,M30&lt;1000000),7,0)</f>
        <v>3</v>
      </c>
    </row>
    <row r="35" spans="2:13">
      <c r="G35" s="2066" t="s">
        <v>927</v>
      </c>
    </row>
    <row r="36" spans="2:13" ht="31.5">
      <c r="D36" s="2076" t="s">
        <v>469</v>
      </c>
      <c r="E36" s="2077">
        <f>'ESAL-result'!$E$29</f>
        <v>4</v>
      </c>
      <c r="G36" s="2066">
        <f>IF(E36=2,1,0)+IF(AND(E36&gt;=3,E36&lt;=4),2,0)+IF(AND(E36&gt;=5,E36&lt;=6),3,0)+IF(AND(E36&gt;=7,E36&lt;=9),4,0)+IF(AND(E36&gt;=10,E36&lt;=15),5,0)</f>
        <v>2</v>
      </c>
      <c r="I36" s="2097" t="s">
        <v>884</v>
      </c>
      <c r="J36" s="2098" t="s">
        <v>885</v>
      </c>
      <c r="K36" s="2099">
        <f>M32</f>
        <v>3</v>
      </c>
    </row>
    <row r="39" spans="2:13">
      <c r="B39" s="3496" t="s">
        <v>928</v>
      </c>
      <c r="C39" s="3496"/>
      <c r="D39" s="3496"/>
    </row>
    <row r="40" spans="2:13" ht="18.75">
      <c r="H40" s="2078" t="s">
        <v>891</v>
      </c>
      <c r="J40" s="3497" t="s">
        <v>929</v>
      </c>
      <c r="K40" s="3498"/>
      <c r="L40" s="3498"/>
      <c r="M40" s="3499"/>
    </row>
    <row r="41" spans="2:13" ht="34.5" customHeight="1">
      <c r="E41" s="3500" t="s">
        <v>892</v>
      </c>
      <c r="F41" s="3501"/>
      <c r="G41" s="3502"/>
      <c r="H41" s="2079">
        <f>INDEX('ESAL-Data'!B30:H34,'ESAL-calculation '!G36,'ESAL-calculation '!M32)</f>
        <v>75</v>
      </c>
      <c r="I41" s="2058"/>
      <c r="J41" s="2100"/>
      <c r="M41" s="2101"/>
    </row>
    <row r="42" spans="2:13" ht="33" customHeight="1">
      <c r="E42" s="3503" t="s">
        <v>894</v>
      </c>
      <c r="F42" s="3504"/>
      <c r="G42" s="3505"/>
      <c r="H42" s="2080">
        <f>INDEX('ESAL-Data'!B23:H27,'ESAL-calculation '!G36,'ESAL-calculation '!M32)</f>
        <v>100</v>
      </c>
      <c r="J42" s="2100"/>
      <c r="K42" s="2067">
        <v>100</v>
      </c>
      <c r="L42" s="2067">
        <v>1.7</v>
      </c>
      <c r="M42" s="2101"/>
    </row>
    <row r="43" spans="2:13" ht="27" customHeight="1">
      <c r="E43" s="3506" t="s">
        <v>895</v>
      </c>
      <c r="F43" s="3507"/>
      <c r="G43" s="3508"/>
      <c r="H43" s="2081">
        <f>INDEX('ESAL-Data'!B16:H20,'ESAL-calculation '!G36,'ESAL-calculation '!M32)</f>
        <v>0</v>
      </c>
      <c r="J43" s="2100"/>
      <c r="K43" s="2067">
        <v>150</v>
      </c>
      <c r="L43" s="2067">
        <v>1.25</v>
      </c>
      <c r="M43" s="2101"/>
    </row>
    <row r="44" spans="2:13" ht="30" customHeight="1">
      <c r="E44" s="3519" t="s">
        <v>897</v>
      </c>
      <c r="F44" s="3520"/>
      <c r="G44" s="3521"/>
      <c r="H44" s="2082">
        <f>INDEX('ESAL-Data'!B9:H13,'ESAL-calculation '!G36,'ESAL-calculation '!M32)</f>
        <v>150</v>
      </c>
      <c r="J44" s="2100"/>
      <c r="K44" s="2067">
        <v>200</v>
      </c>
      <c r="L44" s="2067">
        <v>1.2</v>
      </c>
      <c r="M44" s="2101"/>
    </row>
    <row r="45" spans="2:13" ht="29.25" customHeight="1">
      <c r="E45" s="3522" t="s">
        <v>899</v>
      </c>
      <c r="F45" s="3523"/>
      <c r="G45" s="3524"/>
      <c r="H45" s="2083">
        <f>INDEX('ESAL-Data'!B2:H6,'ESAL-calculation '!G36,'ESAL-calculation '!M32)</f>
        <v>0</v>
      </c>
      <c r="J45" s="2100"/>
      <c r="K45" s="2067">
        <v>300</v>
      </c>
      <c r="L45" s="2067">
        <v>1.1499999999999999</v>
      </c>
      <c r="M45" s="2101"/>
    </row>
    <row r="46" spans="2:13">
      <c r="J46" s="2100"/>
      <c r="K46" s="2067">
        <v>400</v>
      </c>
      <c r="L46" s="2067">
        <v>1.1000000000000001</v>
      </c>
      <c r="M46" s="2101"/>
    </row>
    <row r="47" spans="2:13" ht="21">
      <c r="F47" s="3525" t="s">
        <v>904</v>
      </c>
      <c r="G47" s="3526"/>
      <c r="H47" s="2084">
        <f>SUM(H41:H45)</f>
        <v>325</v>
      </c>
      <c r="J47" s="2102"/>
      <c r="K47" s="2103">
        <v>500</v>
      </c>
      <c r="L47" s="2103">
        <v>1.07</v>
      </c>
      <c r="M47" s="2104"/>
    </row>
  </sheetData>
  <mergeCells count="48">
    <mergeCell ref="M2:M3"/>
    <mergeCell ref="M14:M15"/>
    <mergeCell ref="E44:G44"/>
    <mergeCell ref="E45:G45"/>
    <mergeCell ref="F47:G47"/>
    <mergeCell ref="K26:L26"/>
    <mergeCell ref="K27:M27"/>
    <mergeCell ref="K28:L28"/>
    <mergeCell ref="K29:M29"/>
    <mergeCell ref="K30:L30"/>
    <mergeCell ref="K24:L24"/>
    <mergeCell ref="K25:M25"/>
    <mergeCell ref="I22:I23"/>
    <mergeCell ref="I11:L11"/>
    <mergeCell ref="K14:L14"/>
    <mergeCell ref="I14:I15"/>
    <mergeCell ref="A2:A3"/>
    <mergeCell ref="A14:A15"/>
    <mergeCell ref="A18:A24"/>
    <mergeCell ref="B2:B3"/>
    <mergeCell ref="B14:B15"/>
    <mergeCell ref="B18:B20"/>
    <mergeCell ref="B22:B24"/>
    <mergeCell ref="B21:H21"/>
    <mergeCell ref="C22:E22"/>
    <mergeCell ref="F22:H22"/>
    <mergeCell ref="C14:E14"/>
    <mergeCell ref="F14:H14"/>
    <mergeCell ref="C18:E18"/>
    <mergeCell ref="F18:H18"/>
    <mergeCell ref="C2:E2"/>
    <mergeCell ref="F2:H2"/>
    <mergeCell ref="B39:D39"/>
    <mergeCell ref="J40:M40"/>
    <mergeCell ref="E41:G41"/>
    <mergeCell ref="E42:G42"/>
    <mergeCell ref="E43:G43"/>
    <mergeCell ref="J14:J15"/>
    <mergeCell ref="D7:F7"/>
    <mergeCell ref="I7:L7"/>
    <mergeCell ref="I8:L8"/>
    <mergeCell ref="I9:L9"/>
    <mergeCell ref="I10:L10"/>
    <mergeCell ref="K2:L2"/>
    <mergeCell ref="D6:F6"/>
    <mergeCell ref="I6:L6"/>
    <mergeCell ref="I2:I3"/>
    <mergeCell ref="J2:J3"/>
  </mergeCells>
  <pageMargins left="0.2" right="0.2" top="0.75" bottom="0.75" header="0.3" footer="0.3"/>
  <pageSetup paperSize="9" scale="90" orientation="landscape" r:id="rId1"/>
</worksheet>
</file>

<file path=xl/worksheets/sheet16.xml><?xml version="1.0" encoding="utf-8"?>
<worksheet xmlns="http://schemas.openxmlformats.org/spreadsheetml/2006/main" xmlns:r="http://schemas.openxmlformats.org/officeDocument/2006/relationships">
  <sheetPr codeName="Sheet42"/>
  <dimension ref="A1:L34"/>
  <sheetViews>
    <sheetView workbookViewId="0">
      <selection activeCell="I79" sqref="I79"/>
    </sheetView>
  </sheetViews>
  <sheetFormatPr defaultColWidth="9" defaultRowHeight="15"/>
  <cols>
    <col min="1" max="1" width="8.85546875" style="2045"/>
    <col min="2" max="2" width="14.85546875" style="2045" customWidth="1"/>
    <col min="3" max="257" width="8.85546875" style="2045"/>
    <col min="258" max="258" width="14.85546875" style="2045" customWidth="1"/>
    <col min="259" max="513" width="8.85546875" style="2045"/>
    <col min="514" max="514" width="14.85546875" style="2045" customWidth="1"/>
    <col min="515" max="769" width="8.85546875" style="2045"/>
    <col min="770" max="770" width="14.85546875" style="2045" customWidth="1"/>
    <col min="771" max="1025" width="8.85546875" style="2045"/>
    <col min="1026" max="1026" width="14.85546875" style="2045" customWidth="1"/>
    <col min="1027" max="1281" width="8.85546875" style="2045"/>
    <col min="1282" max="1282" width="14.85546875" style="2045" customWidth="1"/>
    <col min="1283" max="1537" width="8.85546875" style="2045"/>
    <col min="1538" max="1538" width="14.85546875" style="2045" customWidth="1"/>
    <col min="1539" max="1793" width="8.85546875" style="2045"/>
    <col min="1794" max="1794" width="14.85546875" style="2045" customWidth="1"/>
    <col min="1795" max="2049" width="8.85546875" style="2045"/>
    <col min="2050" max="2050" width="14.85546875" style="2045" customWidth="1"/>
    <col min="2051" max="2305" width="8.85546875" style="2045"/>
    <col min="2306" max="2306" width="14.85546875" style="2045" customWidth="1"/>
    <col min="2307" max="2561" width="8.85546875" style="2045"/>
    <col min="2562" max="2562" width="14.85546875" style="2045" customWidth="1"/>
    <col min="2563" max="2817" width="8.85546875" style="2045"/>
    <col min="2818" max="2818" width="14.85546875" style="2045" customWidth="1"/>
    <col min="2819" max="3073" width="8.85546875" style="2045"/>
    <col min="3074" max="3074" width="14.85546875" style="2045" customWidth="1"/>
    <col min="3075" max="3329" width="8.85546875" style="2045"/>
    <col min="3330" max="3330" width="14.85546875" style="2045" customWidth="1"/>
    <col min="3331" max="3585" width="8.85546875" style="2045"/>
    <col min="3586" max="3586" width="14.85546875" style="2045" customWidth="1"/>
    <col min="3587" max="3841" width="8.85546875" style="2045"/>
    <col min="3842" max="3842" width="14.85546875" style="2045" customWidth="1"/>
    <col min="3843" max="4097" width="8.85546875" style="2045"/>
    <col min="4098" max="4098" width="14.85546875" style="2045" customWidth="1"/>
    <col min="4099" max="4353" width="8.85546875" style="2045"/>
    <col min="4354" max="4354" width="14.85546875" style="2045" customWidth="1"/>
    <col min="4355" max="4609" width="8.85546875" style="2045"/>
    <col min="4610" max="4610" width="14.85546875" style="2045" customWidth="1"/>
    <col min="4611" max="4865" width="8.85546875" style="2045"/>
    <col min="4866" max="4866" width="14.85546875" style="2045" customWidth="1"/>
    <col min="4867" max="5121" width="8.85546875" style="2045"/>
    <col min="5122" max="5122" width="14.85546875" style="2045" customWidth="1"/>
    <col min="5123" max="5377" width="8.85546875" style="2045"/>
    <col min="5378" max="5378" width="14.85546875" style="2045" customWidth="1"/>
    <col min="5379" max="5633" width="8.85546875" style="2045"/>
    <col min="5634" max="5634" width="14.85546875" style="2045" customWidth="1"/>
    <col min="5635" max="5889" width="8.85546875" style="2045"/>
    <col min="5890" max="5890" width="14.85546875" style="2045" customWidth="1"/>
    <col min="5891" max="6145" width="8.85546875" style="2045"/>
    <col min="6146" max="6146" width="14.85546875" style="2045" customWidth="1"/>
    <col min="6147" max="6401" width="8.85546875" style="2045"/>
    <col min="6402" max="6402" width="14.85546875" style="2045" customWidth="1"/>
    <col min="6403" max="6657" width="8.85546875" style="2045"/>
    <col min="6658" max="6658" width="14.85546875" style="2045" customWidth="1"/>
    <col min="6659" max="6913" width="8.85546875" style="2045"/>
    <col min="6914" max="6914" width="14.85546875" style="2045" customWidth="1"/>
    <col min="6915" max="7169" width="8.85546875" style="2045"/>
    <col min="7170" max="7170" width="14.85546875" style="2045" customWidth="1"/>
    <col min="7171" max="7425" width="8.85546875" style="2045"/>
    <col min="7426" max="7426" width="14.85546875" style="2045" customWidth="1"/>
    <col min="7427" max="7681" width="8.85546875" style="2045"/>
    <col min="7682" max="7682" width="14.85546875" style="2045" customWidth="1"/>
    <col min="7683" max="7937" width="8.85546875" style="2045"/>
    <col min="7938" max="7938" width="14.85546875" style="2045" customWidth="1"/>
    <col min="7939" max="8193" width="8.85546875" style="2045"/>
    <col min="8194" max="8194" width="14.85546875" style="2045" customWidth="1"/>
    <col min="8195" max="8449" width="8.85546875" style="2045"/>
    <col min="8450" max="8450" width="14.85546875" style="2045" customWidth="1"/>
    <col min="8451" max="8705" width="8.85546875" style="2045"/>
    <col min="8706" max="8706" width="14.85546875" style="2045" customWidth="1"/>
    <col min="8707" max="8961" width="8.85546875" style="2045"/>
    <col min="8962" max="8962" width="14.85546875" style="2045" customWidth="1"/>
    <col min="8963" max="9217" width="8.85546875" style="2045"/>
    <col min="9218" max="9218" width="14.85546875" style="2045" customWidth="1"/>
    <col min="9219" max="9473" width="8.85546875" style="2045"/>
    <col min="9474" max="9474" width="14.85546875" style="2045" customWidth="1"/>
    <col min="9475" max="9729" width="8.85546875" style="2045"/>
    <col min="9730" max="9730" width="14.85546875" style="2045" customWidth="1"/>
    <col min="9731" max="9985" width="8.85546875" style="2045"/>
    <col min="9986" max="9986" width="14.85546875" style="2045" customWidth="1"/>
    <col min="9987" max="10241" width="8.85546875" style="2045"/>
    <col min="10242" max="10242" width="14.85546875" style="2045" customWidth="1"/>
    <col min="10243" max="10497" width="8.85546875" style="2045"/>
    <col min="10498" max="10498" width="14.85546875" style="2045" customWidth="1"/>
    <col min="10499" max="10753" width="8.85546875" style="2045"/>
    <col min="10754" max="10754" width="14.85546875" style="2045" customWidth="1"/>
    <col min="10755" max="11009" width="8.85546875" style="2045"/>
    <col min="11010" max="11010" width="14.85546875" style="2045" customWidth="1"/>
    <col min="11011" max="11265" width="8.85546875" style="2045"/>
    <col min="11266" max="11266" width="14.85546875" style="2045" customWidth="1"/>
    <col min="11267" max="11521" width="8.85546875" style="2045"/>
    <col min="11522" max="11522" width="14.85546875" style="2045" customWidth="1"/>
    <col min="11523" max="11777" width="8.85546875" style="2045"/>
    <col min="11778" max="11778" width="14.85546875" style="2045" customWidth="1"/>
    <col min="11779" max="12033" width="8.85546875" style="2045"/>
    <col min="12034" max="12034" width="14.85546875" style="2045" customWidth="1"/>
    <col min="12035" max="12289" width="8.85546875" style="2045"/>
    <col min="12290" max="12290" width="14.85546875" style="2045" customWidth="1"/>
    <col min="12291" max="12545" width="8.85546875" style="2045"/>
    <col min="12546" max="12546" width="14.85546875" style="2045" customWidth="1"/>
    <col min="12547" max="12801" width="8.85546875" style="2045"/>
    <col min="12802" max="12802" width="14.85546875" style="2045" customWidth="1"/>
    <col min="12803" max="13057" width="8.85546875" style="2045"/>
    <col min="13058" max="13058" width="14.85546875" style="2045" customWidth="1"/>
    <col min="13059" max="13313" width="8.85546875" style="2045"/>
    <col min="13314" max="13314" width="14.85546875" style="2045" customWidth="1"/>
    <col min="13315" max="13569" width="8.85546875" style="2045"/>
    <col min="13570" max="13570" width="14.85546875" style="2045" customWidth="1"/>
    <col min="13571" max="13825" width="8.85546875" style="2045"/>
    <col min="13826" max="13826" width="14.85546875" style="2045" customWidth="1"/>
    <col min="13827" max="14081" width="8.85546875" style="2045"/>
    <col min="14082" max="14082" width="14.85546875" style="2045" customWidth="1"/>
    <col min="14083" max="14337" width="8.85546875" style="2045"/>
    <col min="14338" max="14338" width="14.85546875" style="2045" customWidth="1"/>
    <col min="14339" max="14593" width="8.85546875" style="2045"/>
    <col min="14594" max="14594" width="14.85546875" style="2045" customWidth="1"/>
    <col min="14595" max="14849" width="8.85546875" style="2045"/>
    <col min="14850" max="14850" width="14.85546875" style="2045" customWidth="1"/>
    <col min="14851" max="15105" width="8.85546875" style="2045"/>
    <col min="15106" max="15106" width="14.85546875" style="2045" customWidth="1"/>
    <col min="15107" max="15361" width="8.85546875" style="2045"/>
    <col min="15362" max="15362" width="14.85546875" style="2045" customWidth="1"/>
    <col min="15363" max="15617" width="8.85546875" style="2045"/>
    <col min="15618" max="15618" width="14.85546875" style="2045" customWidth="1"/>
    <col min="15619" max="15873" width="8.85546875" style="2045"/>
    <col min="15874" max="15874" width="14.85546875" style="2045" customWidth="1"/>
    <col min="15875" max="16129" width="8.85546875" style="2045"/>
    <col min="16130" max="16130" width="14.85546875" style="2045" customWidth="1"/>
    <col min="16131" max="16384" width="8.85546875" style="2045"/>
  </cols>
  <sheetData>
    <row r="1" spans="1:12">
      <c r="A1" s="2046" t="s">
        <v>469</v>
      </c>
      <c r="B1" s="2047">
        <v>1</v>
      </c>
      <c r="C1" s="2048">
        <v>2</v>
      </c>
      <c r="D1" s="2048">
        <v>3</v>
      </c>
      <c r="E1" s="2048">
        <v>4</v>
      </c>
      <c r="F1" s="2048">
        <v>5</v>
      </c>
      <c r="G1" s="2048">
        <v>6</v>
      </c>
      <c r="H1" s="2049">
        <v>7</v>
      </c>
    </row>
    <row r="2" spans="1:12" ht="12.75" customHeight="1">
      <c r="A2" s="2050">
        <v>1</v>
      </c>
      <c r="B2" s="2051">
        <v>100</v>
      </c>
      <c r="C2" s="2052">
        <v>100</v>
      </c>
      <c r="D2" s="2052">
        <v>100</v>
      </c>
      <c r="E2" s="2052">
        <v>150</v>
      </c>
      <c r="F2" s="2052">
        <v>150</v>
      </c>
      <c r="G2" s="2052">
        <v>150</v>
      </c>
      <c r="H2" s="2052">
        <v>225</v>
      </c>
    </row>
    <row r="3" spans="1:12" ht="12" customHeight="1">
      <c r="A3" s="2053">
        <v>2</v>
      </c>
      <c r="B3" s="2054">
        <v>0</v>
      </c>
      <c r="C3" s="2055">
        <v>0</v>
      </c>
      <c r="D3" s="2055">
        <v>0</v>
      </c>
      <c r="E3" s="2055">
        <v>100</v>
      </c>
      <c r="F3" s="2055">
        <v>150</v>
      </c>
      <c r="G3" s="2055">
        <v>150</v>
      </c>
      <c r="H3" s="2055">
        <v>150</v>
      </c>
    </row>
    <row r="4" spans="1:12" ht="15" customHeight="1">
      <c r="A4" s="2053">
        <v>3</v>
      </c>
      <c r="B4" s="2054">
        <v>0</v>
      </c>
      <c r="C4" s="2055">
        <v>0</v>
      </c>
      <c r="D4" s="2055">
        <v>0</v>
      </c>
      <c r="E4" s="2055">
        <v>0</v>
      </c>
      <c r="F4" s="2055">
        <v>0</v>
      </c>
      <c r="G4" s="2055">
        <v>100</v>
      </c>
      <c r="H4" s="2055">
        <v>100</v>
      </c>
      <c r="J4" s="3533" t="s">
        <v>930</v>
      </c>
      <c r="K4" s="3533"/>
      <c r="L4" s="3533"/>
    </row>
    <row r="5" spans="1:12" ht="15.75" customHeight="1">
      <c r="A5" s="2053">
        <v>4</v>
      </c>
      <c r="B5" s="2054">
        <v>0</v>
      </c>
      <c r="C5" s="2055">
        <v>0</v>
      </c>
      <c r="D5" s="2055">
        <v>0</v>
      </c>
      <c r="E5" s="2055">
        <v>0</v>
      </c>
      <c r="F5" s="2055">
        <v>0</v>
      </c>
      <c r="G5" s="2055">
        <v>0</v>
      </c>
      <c r="H5" s="2055">
        <v>0</v>
      </c>
    </row>
    <row r="6" spans="1:12" ht="15.75" customHeight="1">
      <c r="A6" s="2056">
        <v>5</v>
      </c>
      <c r="B6" s="2054">
        <v>0</v>
      </c>
      <c r="C6" s="2055">
        <v>0</v>
      </c>
      <c r="D6" s="2055">
        <v>0</v>
      </c>
      <c r="E6" s="2055">
        <v>0</v>
      </c>
      <c r="F6" s="2055">
        <v>0</v>
      </c>
      <c r="G6" s="2055">
        <v>0</v>
      </c>
      <c r="H6" s="2055">
        <v>0</v>
      </c>
    </row>
    <row r="8" spans="1:12">
      <c r="A8" s="2046" t="s">
        <v>469</v>
      </c>
      <c r="B8" s="2047">
        <v>1</v>
      </c>
      <c r="C8" s="2048">
        <v>2</v>
      </c>
      <c r="D8" s="2048">
        <v>3</v>
      </c>
      <c r="E8" s="2048">
        <v>4</v>
      </c>
      <c r="F8" s="2048">
        <v>5</v>
      </c>
      <c r="G8" s="2048">
        <v>6</v>
      </c>
      <c r="H8" s="2049">
        <v>7</v>
      </c>
    </row>
    <row r="9" spans="1:12">
      <c r="A9" s="2050">
        <v>1</v>
      </c>
      <c r="B9" s="2051">
        <v>0</v>
      </c>
      <c r="C9" s="2052">
        <v>0</v>
      </c>
      <c r="D9" s="2052">
        <v>100</v>
      </c>
      <c r="E9" s="2052">
        <v>100</v>
      </c>
      <c r="F9" s="2052">
        <v>150</v>
      </c>
      <c r="G9" s="2052">
        <v>225</v>
      </c>
      <c r="H9" s="2052">
        <v>200</v>
      </c>
    </row>
    <row r="10" spans="1:12">
      <c r="A10" s="2053">
        <v>2</v>
      </c>
      <c r="B10" s="2054">
        <v>0</v>
      </c>
      <c r="C10" s="2055">
        <v>0</v>
      </c>
      <c r="D10" s="2055">
        <v>150</v>
      </c>
      <c r="E10" s="2055">
        <v>100</v>
      </c>
      <c r="F10" s="2055">
        <v>100</v>
      </c>
      <c r="G10" s="2055">
        <v>100</v>
      </c>
      <c r="H10" s="2055">
        <v>150</v>
      </c>
      <c r="J10" s="3533" t="s">
        <v>931</v>
      </c>
      <c r="K10" s="3533"/>
      <c r="L10" s="3533"/>
    </row>
    <row r="11" spans="1:12">
      <c r="A11" s="2053">
        <v>3</v>
      </c>
      <c r="B11" s="2054">
        <v>0</v>
      </c>
      <c r="C11" s="2055">
        <v>0</v>
      </c>
      <c r="D11" s="2055">
        <v>0</v>
      </c>
      <c r="E11" s="2055">
        <v>125</v>
      </c>
      <c r="F11" s="2055">
        <v>150</v>
      </c>
      <c r="G11" s="2055">
        <v>100</v>
      </c>
      <c r="H11" s="2055">
        <v>100</v>
      </c>
    </row>
    <row r="12" spans="1:12">
      <c r="A12" s="2053">
        <v>4</v>
      </c>
      <c r="B12" s="2054">
        <v>0</v>
      </c>
      <c r="C12" s="2055">
        <v>0</v>
      </c>
      <c r="D12" s="2055">
        <v>0</v>
      </c>
      <c r="E12" s="2055">
        <v>100</v>
      </c>
      <c r="F12" s="2055">
        <v>125</v>
      </c>
      <c r="G12" s="2055">
        <v>150</v>
      </c>
      <c r="H12" s="2055">
        <v>150</v>
      </c>
    </row>
    <row r="13" spans="1:12">
      <c r="A13" s="2056">
        <v>5</v>
      </c>
      <c r="B13" s="2054">
        <v>0</v>
      </c>
      <c r="C13" s="2055">
        <v>0</v>
      </c>
      <c r="D13" s="2055">
        <v>0</v>
      </c>
      <c r="E13" s="2055">
        <v>0</v>
      </c>
      <c r="F13" s="2055">
        <v>100</v>
      </c>
      <c r="G13" s="2055">
        <v>125</v>
      </c>
      <c r="H13" s="2055">
        <v>125</v>
      </c>
    </row>
    <row r="15" spans="1:12">
      <c r="A15" s="2046" t="s">
        <v>469</v>
      </c>
      <c r="B15" s="2047">
        <v>1</v>
      </c>
      <c r="C15" s="2048">
        <v>2</v>
      </c>
      <c r="D15" s="2048">
        <v>3</v>
      </c>
      <c r="E15" s="2048">
        <v>4</v>
      </c>
      <c r="F15" s="2048">
        <v>5</v>
      </c>
      <c r="G15" s="2048">
        <v>6</v>
      </c>
      <c r="H15" s="2049">
        <v>7</v>
      </c>
    </row>
    <row r="16" spans="1:12">
      <c r="A16" s="2050">
        <v>1</v>
      </c>
      <c r="B16" s="2051">
        <v>200</v>
      </c>
      <c r="C16" s="2052">
        <v>150</v>
      </c>
      <c r="D16" s="2052">
        <v>0</v>
      </c>
      <c r="E16" s="2052">
        <v>0</v>
      </c>
      <c r="F16" s="2052">
        <v>0</v>
      </c>
      <c r="G16" s="2052">
        <v>0</v>
      </c>
      <c r="H16" s="2052">
        <v>0</v>
      </c>
    </row>
    <row r="17" spans="1:12">
      <c r="A17" s="2053">
        <v>2</v>
      </c>
      <c r="B17" s="2054">
        <v>200</v>
      </c>
      <c r="C17" s="2055">
        <v>275</v>
      </c>
      <c r="D17" s="2055">
        <v>0</v>
      </c>
      <c r="E17" s="2055">
        <v>0</v>
      </c>
      <c r="F17" s="2055">
        <v>0</v>
      </c>
      <c r="G17" s="2055">
        <v>0</v>
      </c>
      <c r="H17" s="2055">
        <v>0</v>
      </c>
      <c r="J17" s="3533" t="s">
        <v>498</v>
      </c>
      <c r="K17" s="3533"/>
      <c r="L17" s="3533"/>
    </row>
    <row r="18" spans="1:12">
      <c r="A18" s="2053">
        <v>3</v>
      </c>
      <c r="B18" s="2054">
        <v>175</v>
      </c>
      <c r="C18" s="2055">
        <v>250</v>
      </c>
      <c r="D18" s="2055">
        <v>275</v>
      </c>
      <c r="E18" s="2055">
        <v>0</v>
      </c>
      <c r="F18" s="2055">
        <v>0</v>
      </c>
      <c r="G18" s="2055">
        <v>0</v>
      </c>
      <c r="H18" s="2055">
        <v>0</v>
      </c>
    </row>
    <row r="19" spans="1:12">
      <c r="A19" s="2053">
        <v>4</v>
      </c>
      <c r="B19" s="2054">
        <v>150</v>
      </c>
      <c r="C19" s="2055">
        <v>175</v>
      </c>
      <c r="D19" s="2055">
        <v>225</v>
      </c>
      <c r="E19" s="2055">
        <v>0</v>
      </c>
      <c r="F19" s="2055">
        <v>0</v>
      </c>
      <c r="G19" s="2055">
        <v>0</v>
      </c>
      <c r="H19" s="2055">
        <v>0</v>
      </c>
    </row>
    <row r="20" spans="1:12">
      <c r="A20" s="2056">
        <v>5</v>
      </c>
      <c r="B20" s="2054">
        <v>125</v>
      </c>
      <c r="C20" s="2055">
        <v>150</v>
      </c>
      <c r="D20" s="2055">
        <v>175</v>
      </c>
      <c r="E20" s="2055">
        <v>0</v>
      </c>
      <c r="F20" s="2055">
        <v>0</v>
      </c>
      <c r="G20" s="2055">
        <v>0</v>
      </c>
      <c r="H20" s="2055">
        <v>0</v>
      </c>
    </row>
    <row r="22" spans="1:12">
      <c r="A22" s="2046" t="s">
        <v>469</v>
      </c>
      <c r="B22" s="2047">
        <v>1</v>
      </c>
      <c r="C22" s="2048">
        <v>2</v>
      </c>
      <c r="D22" s="2048">
        <v>3</v>
      </c>
      <c r="E22" s="2048">
        <v>4</v>
      </c>
      <c r="F22" s="2048">
        <v>5</v>
      </c>
      <c r="G22" s="2048">
        <v>6</v>
      </c>
      <c r="H22" s="2049">
        <v>7</v>
      </c>
    </row>
    <row r="23" spans="1:12">
      <c r="A23" s="2050">
        <v>1</v>
      </c>
      <c r="B23" s="2051">
        <v>0</v>
      </c>
      <c r="C23" s="2052">
        <v>0</v>
      </c>
      <c r="D23" s="2052">
        <v>100</v>
      </c>
      <c r="E23" s="2052">
        <v>100</v>
      </c>
      <c r="F23" s="2052">
        <v>100</v>
      </c>
      <c r="G23" s="2052">
        <v>100</v>
      </c>
      <c r="H23" s="2052">
        <v>150</v>
      </c>
    </row>
    <row r="24" spans="1:12">
      <c r="A24" s="2053">
        <v>2</v>
      </c>
      <c r="B24" s="2054">
        <v>0</v>
      </c>
      <c r="C24" s="2055">
        <v>0</v>
      </c>
      <c r="D24" s="2055">
        <v>100</v>
      </c>
      <c r="E24" s="2055">
        <v>100</v>
      </c>
      <c r="F24" s="2055">
        <v>100</v>
      </c>
      <c r="G24" s="2055">
        <v>150</v>
      </c>
      <c r="H24" s="2055">
        <v>150</v>
      </c>
      <c r="J24" s="3533" t="s">
        <v>932</v>
      </c>
      <c r="K24" s="3533"/>
      <c r="L24" s="3533"/>
    </row>
    <row r="25" spans="1:12">
      <c r="A25" s="2053">
        <v>3</v>
      </c>
      <c r="B25" s="2054">
        <v>0</v>
      </c>
      <c r="C25" s="2055">
        <v>0</v>
      </c>
      <c r="D25" s="2055">
        <v>0</v>
      </c>
      <c r="E25" s="2055">
        <v>100</v>
      </c>
      <c r="F25" s="2055">
        <v>100</v>
      </c>
      <c r="G25" s="2055">
        <v>100</v>
      </c>
      <c r="H25" s="2055">
        <v>150</v>
      </c>
    </row>
    <row r="26" spans="1:12">
      <c r="A26" s="2053">
        <v>4</v>
      </c>
      <c r="B26" s="2054">
        <v>0</v>
      </c>
      <c r="C26" s="2055">
        <v>0</v>
      </c>
      <c r="D26" s="2055">
        <v>0</v>
      </c>
      <c r="E26" s="2055">
        <v>100</v>
      </c>
      <c r="F26" s="2055">
        <v>100</v>
      </c>
      <c r="G26" s="2055">
        <v>100</v>
      </c>
      <c r="H26" s="2055">
        <v>150</v>
      </c>
    </row>
    <row r="27" spans="1:12">
      <c r="A27" s="2056">
        <v>5</v>
      </c>
      <c r="B27" s="2054">
        <v>0</v>
      </c>
      <c r="C27" s="2055">
        <v>0</v>
      </c>
      <c r="D27" s="2055">
        <v>0</v>
      </c>
      <c r="E27" s="2055">
        <v>150</v>
      </c>
      <c r="F27" s="2055">
        <v>100</v>
      </c>
      <c r="G27" s="2055">
        <v>100</v>
      </c>
      <c r="H27" s="2055">
        <v>150</v>
      </c>
    </row>
    <row r="29" spans="1:12">
      <c r="A29" s="2046" t="s">
        <v>469</v>
      </c>
      <c r="B29" s="2047">
        <v>1</v>
      </c>
      <c r="C29" s="2048">
        <v>2</v>
      </c>
      <c r="D29" s="2048">
        <v>3</v>
      </c>
      <c r="E29" s="2048">
        <v>4</v>
      </c>
      <c r="F29" s="2048">
        <v>5</v>
      </c>
      <c r="G29" s="2048">
        <v>6</v>
      </c>
      <c r="H29" s="2049">
        <v>7</v>
      </c>
    </row>
    <row r="30" spans="1:12">
      <c r="A30" s="2050">
        <v>1</v>
      </c>
      <c r="B30" s="2051">
        <v>0</v>
      </c>
      <c r="C30" s="2052">
        <v>75</v>
      </c>
      <c r="D30" s="2052">
        <v>75</v>
      </c>
      <c r="E30" s="2052">
        <v>75</v>
      </c>
      <c r="F30" s="2052">
        <v>75</v>
      </c>
      <c r="G30" s="2052">
        <v>75</v>
      </c>
      <c r="H30" s="2052">
        <v>75</v>
      </c>
    </row>
    <row r="31" spans="1:12">
      <c r="A31" s="2053">
        <v>2</v>
      </c>
      <c r="B31" s="2054">
        <v>0</v>
      </c>
      <c r="C31" s="2055">
        <v>0</v>
      </c>
      <c r="D31" s="2055">
        <v>75</v>
      </c>
      <c r="E31" s="2055">
        <v>75</v>
      </c>
      <c r="F31" s="2055">
        <v>75</v>
      </c>
      <c r="G31" s="2055">
        <v>75</v>
      </c>
      <c r="H31" s="2055">
        <v>75</v>
      </c>
      <c r="J31" s="3534" t="s">
        <v>933</v>
      </c>
      <c r="K31" s="3535"/>
      <c r="L31" s="3536"/>
    </row>
    <row r="32" spans="1:12">
      <c r="A32" s="2053">
        <v>3</v>
      </c>
      <c r="B32" s="2054">
        <v>0</v>
      </c>
      <c r="C32" s="2055">
        <v>0</v>
      </c>
      <c r="D32" s="2055">
        <v>0</v>
      </c>
      <c r="E32" s="2055">
        <v>75</v>
      </c>
      <c r="F32" s="2055">
        <v>75</v>
      </c>
      <c r="G32" s="2055">
        <v>75</v>
      </c>
      <c r="H32" s="2055">
        <v>75</v>
      </c>
      <c r="J32" s="3537"/>
      <c r="K32" s="3538"/>
      <c r="L32" s="3539"/>
    </row>
    <row r="33" spans="1:8">
      <c r="A33" s="2053">
        <v>4</v>
      </c>
      <c r="B33" s="2054">
        <v>0</v>
      </c>
      <c r="C33" s="2055">
        <v>0</v>
      </c>
      <c r="D33" s="2055">
        <v>0</v>
      </c>
      <c r="E33" s="2055">
        <v>75</v>
      </c>
      <c r="F33" s="2055">
        <v>75</v>
      </c>
      <c r="G33" s="2055">
        <v>75</v>
      </c>
      <c r="H33" s="2055">
        <v>75</v>
      </c>
    </row>
    <row r="34" spans="1:8">
      <c r="A34" s="2056">
        <v>5</v>
      </c>
      <c r="B34" s="2054">
        <v>0</v>
      </c>
      <c r="C34" s="2055">
        <v>0</v>
      </c>
      <c r="D34" s="2055">
        <v>0</v>
      </c>
      <c r="E34" s="2055">
        <v>75</v>
      </c>
      <c r="F34" s="2055">
        <v>75</v>
      </c>
      <c r="G34" s="2055">
        <v>75</v>
      </c>
      <c r="H34" s="2055">
        <v>75</v>
      </c>
    </row>
  </sheetData>
  <sheetProtection password="CC6F" sheet="1" objects="1" scenarios="1"/>
  <mergeCells count="5">
    <mergeCell ref="J4:L4"/>
    <mergeCell ref="J10:L10"/>
    <mergeCell ref="J17:L17"/>
    <mergeCell ref="J24:L24"/>
    <mergeCell ref="J31:L32"/>
  </mergeCells>
  <pageMargins left="0.7" right="0.7" top="0.75" bottom="0.75" header="0.3" footer="0.3"/>
  <pageSetup orientation="portrait"/>
</worksheet>
</file>

<file path=xl/worksheets/sheet17.xml><?xml version="1.0" encoding="utf-8"?>
<worksheet xmlns="http://schemas.openxmlformats.org/spreadsheetml/2006/main" xmlns:r="http://schemas.openxmlformats.org/officeDocument/2006/relationships">
  <sheetPr codeName="Sheet8"/>
  <dimension ref="B1:AJ1025"/>
  <sheetViews>
    <sheetView view="pageBreakPreview" topLeftCell="A11" workbookViewId="0">
      <selection activeCell="AB4" sqref="AB4"/>
    </sheetView>
  </sheetViews>
  <sheetFormatPr defaultColWidth="9.140625" defaultRowHeight="12.75"/>
  <cols>
    <col min="1" max="17" width="5.28515625" style="2007" customWidth="1"/>
    <col min="18" max="20" width="1.5703125" style="2007" customWidth="1"/>
    <col min="21" max="28" width="2.7109375" style="2007" customWidth="1"/>
    <col min="29" max="29" width="5" style="2007" customWidth="1"/>
    <col min="30" max="34" width="2.7109375" style="2007" customWidth="1"/>
    <col min="35" max="35" width="9.140625" style="2007" customWidth="1"/>
    <col min="36" max="16384" width="9.140625" style="2007"/>
  </cols>
  <sheetData>
    <row r="1" spans="2:35" ht="25.5" customHeight="1">
      <c r="AI1" s="2044"/>
    </row>
    <row r="2" spans="2:35" ht="25.5" customHeight="1">
      <c r="AI2" s="2044"/>
    </row>
    <row r="3" spans="2:35" ht="25.5" customHeight="1">
      <c r="B3" s="2008"/>
      <c r="C3" s="3541" t="s">
        <v>424</v>
      </c>
      <c r="D3" s="3541"/>
      <c r="E3" s="3541"/>
      <c r="F3" s="3541"/>
      <c r="G3" s="3541"/>
      <c r="H3" s="3541"/>
      <c r="I3" s="3541"/>
      <c r="J3" s="3541"/>
      <c r="K3" s="3541"/>
      <c r="L3" s="3541"/>
      <c r="M3" s="3541"/>
      <c r="N3" s="3541"/>
      <c r="O3" s="3541"/>
      <c r="P3" s="2026"/>
      <c r="Q3" s="2008"/>
      <c r="AI3" s="2044"/>
    </row>
    <row r="4" spans="2:35" ht="30">
      <c r="B4" s="2008"/>
      <c r="C4" s="3541"/>
      <c r="D4" s="3541"/>
      <c r="E4" s="3541"/>
      <c r="F4" s="3541"/>
      <c r="G4" s="3541"/>
      <c r="H4" s="3541"/>
      <c r="I4" s="3541"/>
      <c r="J4" s="3541"/>
      <c r="K4" s="3541"/>
      <c r="L4" s="3541"/>
      <c r="M4" s="3541"/>
      <c r="N4" s="3541"/>
      <c r="O4" s="3541"/>
      <c r="P4" s="2026"/>
      <c r="Q4" s="2008"/>
      <c r="AI4" s="2044"/>
    </row>
    <row r="5" spans="2:35" ht="12.75" customHeight="1">
      <c r="B5" s="2009"/>
      <c r="C5" s="3541"/>
      <c r="D5" s="3541"/>
      <c r="E5" s="3541"/>
      <c r="F5" s="3541"/>
      <c r="G5" s="3541"/>
      <c r="H5" s="3541"/>
      <c r="I5" s="3541"/>
      <c r="J5" s="3541"/>
      <c r="K5" s="3541"/>
      <c r="L5" s="3541"/>
      <c r="M5" s="3541"/>
      <c r="N5" s="3541"/>
      <c r="O5" s="3541"/>
      <c r="P5" s="2010"/>
      <c r="Q5" s="2009"/>
      <c r="AI5" s="2044"/>
    </row>
    <row r="6" spans="2:35" ht="25.5" customHeight="1">
      <c r="B6" s="2009"/>
      <c r="C6" s="2010"/>
      <c r="D6" s="2010"/>
      <c r="E6" s="2010"/>
      <c r="F6" s="2010"/>
      <c r="G6" s="2010"/>
      <c r="H6" s="2010"/>
      <c r="I6" s="2010"/>
      <c r="J6" s="2010"/>
      <c r="K6" s="2010"/>
      <c r="L6" s="2010"/>
      <c r="M6" s="2010"/>
      <c r="N6" s="2010"/>
      <c r="O6" s="2010"/>
      <c r="P6" s="2010"/>
      <c r="Q6" s="2009"/>
      <c r="AI6" s="2044"/>
    </row>
    <row r="7" spans="2:35" ht="25.5" customHeight="1">
      <c r="B7" s="2009"/>
      <c r="C7" s="2010"/>
      <c r="D7" s="3542" t="s">
        <v>425</v>
      </c>
      <c r="E7" s="3542"/>
      <c r="F7" s="3542"/>
      <c r="G7" s="3542"/>
      <c r="H7" s="3542"/>
      <c r="I7" s="3542"/>
      <c r="J7" s="3542"/>
      <c r="K7" s="3542"/>
      <c r="L7" s="3542"/>
      <c r="M7" s="3542"/>
      <c r="N7" s="3542"/>
      <c r="O7" s="2010"/>
      <c r="P7" s="2010"/>
      <c r="Q7" s="2009"/>
      <c r="AI7" s="2044"/>
    </row>
    <row r="8" spans="2:35" ht="25.5" customHeight="1">
      <c r="B8" s="2009"/>
      <c r="C8" s="2010"/>
      <c r="D8" s="3542"/>
      <c r="E8" s="3542"/>
      <c r="F8" s="3542"/>
      <c r="G8" s="3542"/>
      <c r="H8" s="3542"/>
      <c r="I8" s="3542"/>
      <c r="J8" s="3542"/>
      <c r="K8" s="3542"/>
      <c r="L8" s="3542"/>
      <c r="M8" s="3542"/>
      <c r="N8" s="3542"/>
      <c r="O8" s="2010"/>
      <c r="P8" s="2010"/>
      <c r="Q8" s="2009"/>
      <c r="AI8" s="2044"/>
    </row>
    <row r="9" spans="2:35" ht="3" customHeight="1">
      <c r="B9" s="2009"/>
      <c r="C9" s="2010"/>
      <c r="D9" s="3542"/>
      <c r="E9" s="3542"/>
      <c r="F9" s="3542"/>
      <c r="G9" s="3542"/>
      <c r="H9" s="3542"/>
      <c r="I9" s="3542"/>
      <c r="J9" s="3542"/>
      <c r="K9" s="3542"/>
      <c r="L9" s="3542"/>
      <c r="M9" s="3542"/>
      <c r="N9" s="3542"/>
      <c r="O9" s="2010"/>
      <c r="P9" s="2010"/>
      <c r="Q9" s="2009"/>
      <c r="AI9" s="2044"/>
    </row>
    <row r="10" spans="2:35" ht="6.75" customHeight="1">
      <c r="B10" s="2009"/>
      <c r="C10" s="2010"/>
      <c r="D10" s="2011"/>
      <c r="E10" s="2011"/>
      <c r="F10" s="2011"/>
      <c r="G10" s="2011"/>
      <c r="H10" s="2011"/>
      <c r="I10" s="2011"/>
      <c r="J10" s="2011"/>
      <c r="K10" s="2011"/>
      <c r="L10" s="2011"/>
      <c r="M10" s="2011"/>
      <c r="N10" s="2011"/>
      <c r="O10" s="2010"/>
      <c r="P10" s="2010"/>
      <c r="Q10" s="2009"/>
      <c r="AI10" s="2044"/>
    </row>
    <row r="11" spans="2:35" ht="25.5" customHeight="1">
      <c r="B11" s="2012"/>
      <c r="C11" s="2013"/>
      <c r="D11" s="2012"/>
      <c r="E11" s="2012"/>
      <c r="F11" s="2012"/>
      <c r="G11" s="2012"/>
      <c r="H11" s="2012"/>
      <c r="I11" s="2011"/>
      <c r="J11" s="3545"/>
      <c r="K11" s="3545"/>
      <c r="L11" s="3545"/>
      <c r="M11" s="3545"/>
      <c r="N11" s="2012"/>
      <c r="O11" s="2012"/>
      <c r="P11" s="2012"/>
      <c r="Q11" s="2009"/>
      <c r="X11" s="2037"/>
      <c r="AI11" s="2044"/>
    </row>
    <row r="12" spans="2:35" ht="25.5" customHeight="1">
      <c r="B12" s="2012"/>
      <c r="C12" s="2013" t="s">
        <v>426</v>
      </c>
      <c r="D12" s="2012"/>
      <c r="E12" s="2012"/>
      <c r="F12" s="2012"/>
      <c r="G12" s="2012"/>
      <c r="H12" s="2012"/>
      <c r="I12" s="2011" t="s">
        <v>427</v>
      </c>
      <c r="J12" s="2013" t="s">
        <v>934</v>
      </c>
      <c r="K12" s="2012"/>
      <c r="L12" s="2012"/>
      <c r="M12" s="2012"/>
      <c r="N12" s="2012"/>
      <c r="O12" s="2012"/>
      <c r="P12" s="2012"/>
      <c r="Q12" s="2009"/>
      <c r="X12" s="2037"/>
      <c r="AI12" s="2044"/>
    </row>
    <row r="13" spans="2:35" ht="15.75" customHeight="1">
      <c r="B13" s="2012"/>
      <c r="C13" s="2012"/>
      <c r="D13" s="2012"/>
      <c r="E13" s="2012"/>
      <c r="F13" s="2012"/>
      <c r="G13" s="2012"/>
      <c r="H13" s="2012"/>
      <c r="I13" s="2012"/>
      <c r="J13" s="2012"/>
      <c r="K13" s="2012"/>
      <c r="L13" s="2012"/>
      <c r="M13" s="2012"/>
      <c r="N13" s="2012"/>
      <c r="O13" s="2012"/>
      <c r="P13" s="2012"/>
      <c r="AI13" s="2044"/>
    </row>
    <row r="14" spans="2:35" ht="25.5" customHeight="1">
      <c r="C14"/>
      <c r="D14"/>
      <c r="E14"/>
      <c r="F14"/>
      <c r="G14"/>
      <c r="H14"/>
      <c r="I14"/>
      <c r="J14"/>
      <c r="K14"/>
      <c r="L14"/>
      <c r="M14"/>
      <c r="N14"/>
      <c r="O14"/>
      <c r="P14" s="2027"/>
      <c r="Q14" s="2038"/>
      <c r="AI14" s="2044"/>
    </row>
    <row r="15" spans="2:35" ht="25.5" customHeight="1">
      <c r="B15" s="2014"/>
      <c r="C15" s="2015" t="s">
        <v>428</v>
      </c>
      <c r="D15" s="2016"/>
      <c r="E15" s="2016"/>
      <c r="F15" s="2016"/>
      <c r="G15" s="2012"/>
      <c r="H15" s="2012"/>
      <c r="I15"/>
      <c r="J15"/>
      <c r="K15"/>
      <c r="L15"/>
      <c r="M15"/>
      <c r="N15"/>
      <c r="O15"/>
      <c r="P15" s="2028"/>
      <c r="Q15" s="2039"/>
      <c r="AI15" s="2044"/>
    </row>
    <row r="16" spans="2:35" ht="24.75">
      <c r="C16" s="3543" t="str">
        <f>'Input Data'!E1</f>
        <v>R/F A to B in Wanaparthy Mandal of Wanaparthy District</v>
      </c>
      <c r="D16" s="3544"/>
      <c r="E16" s="3544"/>
      <c r="F16" s="3544"/>
      <c r="G16" s="3544"/>
      <c r="H16" s="3544"/>
      <c r="I16" s="3544"/>
      <c r="J16" s="3544"/>
      <c r="K16" s="3544"/>
      <c r="L16" s="3544"/>
      <c r="M16" s="3544"/>
      <c r="N16" s="3544"/>
      <c r="O16" s="3544"/>
      <c r="P16" s="3544"/>
      <c r="Q16" s="2039"/>
      <c r="AI16" s="2044"/>
    </row>
    <row r="17" spans="3:36" ht="24.75">
      <c r="C17" s="3544"/>
      <c r="D17" s="3544"/>
      <c r="E17" s="3544"/>
      <c r="F17" s="3544"/>
      <c r="G17" s="3544"/>
      <c r="H17" s="3544"/>
      <c r="I17" s="3544"/>
      <c r="J17" s="3544"/>
      <c r="K17" s="3544"/>
      <c r="L17" s="3544"/>
      <c r="M17" s="3544"/>
      <c r="N17" s="3544"/>
      <c r="O17" s="3544"/>
      <c r="P17" s="3544"/>
      <c r="Q17" s="2039"/>
      <c r="AI17" s="2044"/>
    </row>
    <row r="18" spans="3:36" ht="43.5" customHeight="1">
      <c r="C18" s="3544"/>
      <c r="D18" s="3544"/>
      <c r="E18" s="3544"/>
      <c r="F18" s="3544"/>
      <c r="G18" s="3544"/>
      <c r="H18" s="3544"/>
      <c r="I18" s="3544"/>
      <c r="J18" s="3544"/>
      <c r="K18" s="3544"/>
      <c r="L18" s="3544"/>
      <c r="M18" s="3544"/>
      <c r="N18" s="3544"/>
      <c r="O18" s="3544"/>
      <c r="P18" s="3544"/>
      <c r="Q18" s="2039"/>
      <c r="AI18" s="2044"/>
      <c r="AJ18" s="2017"/>
    </row>
    <row r="19" spans="3:36" ht="39.75" hidden="1" customHeight="1">
      <c r="C19" s="3544"/>
      <c r="D19" s="3544"/>
      <c r="E19" s="3544"/>
      <c r="F19" s="3544"/>
      <c r="G19" s="3544"/>
      <c r="H19" s="3544"/>
      <c r="I19" s="3544"/>
      <c r="J19" s="3544"/>
      <c r="K19" s="3544"/>
      <c r="L19" s="3544"/>
      <c r="M19" s="3544"/>
      <c r="N19" s="3544"/>
      <c r="O19" s="3544"/>
      <c r="P19" s="3544"/>
      <c r="Q19" s="2039"/>
      <c r="AI19" s="2044"/>
    </row>
    <row r="20" spans="3:36" ht="25.5" customHeight="1">
      <c r="C20" s="2017"/>
      <c r="D20"/>
      <c r="E20"/>
      <c r="F20"/>
      <c r="G20"/>
      <c r="H20"/>
      <c r="I20"/>
      <c r="J20"/>
      <c r="K20"/>
      <c r="L20"/>
      <c r="M20"/>
      <c r="N20"/>
      <c r="O20"/>
      <c r="P20"/>
      <c r="Q20" s="2039"/>
      <c r="AI20" s="2044"/>
    </row>
    <row r="21" spans="3:36" s="2005" customFormat="1" ht="25.5" customHeight="1">
      <c r="D21" s="3546" t="s">
        <v>429</v>
      </c>
      <c r="E21" s="3546"/>
      <c r="F21" s="3546"/>
      <c r="G21" s="3546"/>
      <c r="H21" s="3546"/>
      <c r="I21" s="3546"/>
      <c r="J21" s="3546"/>
      <c r="K21" s="2029" t="s">
        <v>427</v>
      </c>
      <c r="L21" s="2030" t="s">
        <v>430</v>
      </c>
      <c r="M21" s="3547">
        <f>+'Input Data'!$J$4</f>
        <v>100</v>
      </c>
      <c r="N21" s="3547"/>
      <c r="O21" s="2031" t="s">
        <v>329</v>
      </c>
      <c r="P21" s="2032"/>
      <c r="Q21" s="2040"/>
      <c r="AI21" s="2044"/>
    </row>
    <row r="22" spans="3:36" s="2005" customFormat="1" ht="25.5" customHeight="1">
      <c r="C22" s="2018"/>
      <c r="D22" s="3546" t="s">
        <v>935</v>
      </c>
      <c r="E22" s="3546"/>
      <c r="F22" s="3546"/>
      <c r="G22" s="3546"/>
      <c r="H22" s="3546"/>
      <c r="I22" s="3546"/>
      <c r="J22" s="3546"/>
      <c r="K22" s="2029" t="s">
        <v>427</v>
      </c>
      <c r="L22" s="3547">
        <f>+'Input Data'!$J$5</f>
        <v>1</v>
      </c>
      <c r="M22" s="3547"/>
      <c r="N22" s="2030" t="s">
        <v>394</v>
      </c>
      <c r="O22" s="2018"/>
      <c r="P22" s="2018"/>
      <c r="Q22" s="2041"/>
      <c r="AI22" s="2044"/>
    </row>
    <row r="23" spans="3:36" s="2006" customFormat="1" ht="25.5" customHeight="1">
      <c r="C23" s="2019"/>
      <c r="D23" s="2017"/>
      <c r="E23" s="2017"/>
      <c r="F23" s="2017"/>
      <c r="G23" s="2017"/>
      <c r="H23" s="2017"/>
      <c r="I23" s="2017"/>
      <c r="J23" s="2017"/>
      <c r="K23" s="2017"/>
      <c r="L23" s="2017"/>
      <c r="M23" s="2017"/>
      <c r="N23" s="2019"/>
      <c r="O23" s="2033"/>
      <c r="P23" s="2034"/>
      <c r="Q23" s="2042"/>
      <c r="AI23" s="2044"/>
    </row>
    <row r="24" spans="3:36" s="2006" customFormat="1" ht="25.5" customHeight="1">
      <c r="C24" s="2020"/>
      <c r="D24" s="2017"/>
      <c r="E24" s="2017"/>
      <c r="F24" s="2017"/>
      <c r="G24" s="2017"/>
      <c r="H24" s="2017"/>
      <c r="I24" s="2017"/>
      <c r="J24" s="2017"/>
      <c r="K24" s="2017"/>
      <c r="L24" s="2017"/>
      <c r="M24" s="2017"/>
      <c r="N24" s="2035"/>
      <c r="O24" s="2035"/>
      <c r="P24" s="2035"/>
      <c r="Q24" s="2043"/>
      <c r="AI24" s="2044"/>
    </row>
    <row r="25" spans="3:36" s="2006" customFormat="1" ht="25.5" customHeight="1">
      <c r="C25" s="2021"/>
      <c r="D25" s="2021"/>
      <c r="E25" s="2021"/>
      <c r="F25" s="2017"/>
      <c r="G25" s="2017"/>
      <c r="H25" s="2017"/>
      <c r="I25" s="2017"/>
      <c r="J25" s="2017"/>
      <c r="K25" s="2017"/>
      <c r="L25" s="2017"/>
      <c r="M25" s="2021"/>
      <c r="N25" s="2021"/>
      <c r="O25" s="2021"/>
      <c r="P25" s="2021"/>
      <c r="Q25" s="2024"/>
      <c r="AI25" s="2044"/>
    </row>
    <row r="26" spans="3:36" s="2006" customFormat="1" ht="25.5" customHeight="1">
      <c r="C26" s="3540" t="s">
        <v>375</v>
      </c>
      <c r="D26" s="3540"/>
      <c r="E26" s="3540"/>
      <c r="F26" s="3540"/>
      <c r="G26" s="2023" t="s">
        <v>433</v>
      </c>
      <c r="H26" s="3540" t="str">
        <f>+'Input Data'!$D$3</f>
        <v>Warangal</v>
      </c>
      <c r="I26" s="3540"/>
      <c r="J26" s="3540"/>
      <c r="K26" s="3540"/>
      <c r="L26" s="3540"/>
      <c r="M26" s="3540"/>
      <c r="N26" s="3540"/>
      <c r="O26" s="3540"/>
      <c r="P26" s="3540"/>
      <c r="Q26" s="2024"/>
      <c r="AI26" s="2044"/>
    </row>
    <row r="27" spans="3:36" s="2006" customFormat="1" ht="25.5" customHeight="1">
      <c r="C27" s="3540" t="s">
        <v>377</v>
      </c>
      <c r="D27" s="3540"/>
      <c r="E27" s="3540"/>
      <c r="F27" s="3540"/>
      <c r="G27" s="2023" t="s">
        <v>433</v>
      </c>
      <c r="H27" s="3540" t="str">
        <f>+'Input Data'!$D$4</f>
        <v>Wanaparthy</v>
      </c>
      <c r="I27" s="3540"/>
      <c r="J27" s="3540"/>
      <c r="K27" s="3540"/>
      <c r="L27" s="3540"/>
      <c r="M27" s="3540"/>
      <c r="N27" s="3540"/>
      <c r="O27" s="3540"/>
      <c r="P27" s="3540"/>
      <c r="Q27" s="2024"/>
      <c r="AI27" s="2044"/>
    </row>
    <row r="28" spans="3:36" s="2006" customFormat="1" ht="25.5" customHeight="1">
      <c r="C28" s="3540" t="s">
        <v>381</v>
      </c>
      <c r="D28" s="3540"/>
      <c r="E28" s="3540"/>
      <c r="F28" s="3540"/>
      <c r="G28" s="2023" t="s">
        <v>433</v>
      </c>
      <c r="H28" s="3540" t="str">
        <f>+'Input Data'!$D$5</f>
        <v>Wanaparthy</v>
      </c>
      <c r="I28" s="3540"/>
      <c r="J28" s="3540"/>
      <c r="K28" s="3540"/>
      <c r="L28" s="3540"/>
      <c r="M28" s="3540"/>
      <c r="N28" s="3540"/>
      <c r="O28" s="3540"/>
      <c r="P28" s="2036"/>
      <c r="Q28" s="2024"/>
      <c r="AI28" s="2044"/>
    </row>
    <row r="29" spans="3:36" s="2006" customFormat="1" ht="25.5" customHeight="1">
      <c r="C29" s="3540" t="s">
        <v>385</v>
      </c>
      <c r="D29" s="3540"/>
      <c r="E29" s="3540"/>
      <c r="F29" s="3540"/>
      <c r="G29" s="2023" t="s">
        <v>433</v>
      </c>
      <c r="H29" s="3540" t="str">
        <f>+'Input Data'!$D$6</f>
        <v>Wanaparthy</v>
      </c>
      <c r="I29" s="3540"/>
      <c r="J29" s="3540"/>
      <c r="K29" s="3540"/>
      <c r="L29" s="3540"/>
      <c r="M29" s="3540"/>
      <c r="N29" s="3540"/>
      <c r="O29" s="3540"/>
      <c r="P29" s="2022"/>
      <c r="Q29" s="2024"/>
      <c r="AI29" s="2044"/>
    </row>
    <row r="30" spans="3:36" s="2006" customFormat="1" ht="25.5" customHeight="1">
      <c r="C30" s="3540" t="s">
        <v>388</v>
      </c>
      <c r="D30" s="3540"/>
      <c r="E30" s="3540"/>
      <c r="F30" s="3540"/>
      <c r="G30" s="2023" t="s">
        <v>433</v>
      </c>
      <c r="H30" s="3540" t="str">
        <f>+'Input Data'!$D$7</f>
        <v>Wanaparthy</v>
      </c>
      <c r="I30" s="3540"/>
      <c r="J30" s="3540"/>
      <c r="K30" s="3540"/>
      <c r="L30" s="3540"/>
      <c r="M30" s="3540"/>
      <c r="N30" s="3540"/>
      <c r="O30" s="3540"/>
      <c r="P30" s="3540"/>
      <c r="Q30" s="2024"/>
      <c r="AI30" s="2044"/>
    </row>
    <row r="31" spans="3:36" s="2006" customFormat="1" ht="25.5" customHeight="1">
      <c r="C31" s="2024"/>
      <c r="D31" s="2024"/>
      <c r="E31" s="2024"/>
      <c r="F31" s="2024"/>
      <c r="G31" s="2024"/>
      <c r="H31" s="2024"/>
      <c r="I31" s="2024"/>
      <c r="J31" s="2024"/>
      <c r="K31" s="2024"/>
      <c r="L31" s="2024"/>
      <c r="M31" s="2024"/>
      <c r="N31" s="2024"/>
      <c r="O31" s="2024"/>
      <c r="P31" s="2024"/>
      <c r="Q31" s="2024"/>
      <c r="AI31" s="2044"/>
    </row>
    <row r="32" spans="3:36" s="2006" customFormat="1" ht="25.5" customHeight="1">
      <c r="C32" s="2024"/>
      <c r="D32" s="2024"/>
      <c r="E32" s="2024"/>
      <c r="F32" s="2024"/>
      <c r="G32" s="2024"/>
      <c r="H32" s="2024"/>
      <c r="I32" s="2024"/>
      <c r="J32" s="2024"/>
      <c r="K32" s="2024"/>
      <c r="L32" s="2024"/>
      <c r="M32" s="2024"/>
      <c r="N32" s="2024"/>
      <c r="O32" s="2024"/>
      <c r="P32" s="2024"/>
      <c r="Q32" s="2024"/>
      <c r="AI32" s="2044"/>
    </row>
    <row r="33" spans="8:35">
      <c r="AI33" s="2044"/>
    </row>
    <row r="34" spans="8:35">
      <c r="AI34" s="2044"/>
    </row>
    <row r="35" spans="8:35">
      <c r="AI35" s="2044"/>
    </row>
    <row r="36" spans="8:35">
      <c r="AI36" s="2044"/>
    </row>
    <row r="37" spans="8:35">
      <c r="AI37" s="2044"/>
    </row>
    <row r="38" spans="8:35">
      <c r="H38" s="2025"/>
      <c r="AI38" s="2044"/>
    </row>
    <row r="39" spans="8:35">
      <c r="AI39" s="2044"/>
    </row>
    <row r="40" spans="8:35">
      <c r="AI40" s="2044"/>
    </row>
    <row r="41" spans="8:35">
      <c r="AI41" s="2044"/>
    </row>
    <row r="42" spans="8:35">
      <c r="AI42" s="2044"/>
    </row>
    <row r="43" spans="8:35">
      <c r="AI43" s="2044"/>
    </row>
    <row r="44" spans="8:35">
      <c r="AI44" s="2044"/>
    </row>
    <row r="45" spans="8:35">
      <c r="AI45" s="2044"/>
    </row>
    <row r="46" spans="8:35">
      <c r="AI46" s="2044"/>
    </row>
    <row r="47" spans="8:35">
      <c r="AI47" s="2044"/>
    </row>
    <row r="48" spans="8:35">
      <c r="AI48" s="2044"/>
    </row>
    <row r="49" spans="35:35">
      <c r="AI49" s="2044"/>
    </row>
    <row r="50" spans="35:35">
      <c r="AI50" s="2044"/>
    </row>
    <row r="51" spans="35:35">
      <c r="AI51" s="2044"/>
    </row>
    <row r="52" spans="35:35">
      <c r="AI52" s="2044"/>
    </row>
    <row r="53" spans="35:35">
      <c r="AI53" s="2044"/>
    </row>
    <row r="54" spans="35:35">
      <c r="AI54" s="2044"/>
    </row>
    <row r="55" spans="35:35">
      <c r="AI55" s="2044"/>
    </row>
    <row r="56" spans="35:35">
      <c r="AI56" s="2044"/>
    </row>
    <row r="57" spans="35:35">
      <c r="AI57" s="2044"/>
    </row>
    <row r="58" spans="35:35">
      <c r="AI58" s="2044"/>
    </row>
    <row r="59" spans="35:35">
      <c r="AI59" s="2044"/>
    </row>
    <row r="60" spans="35:35">
      <c r="AI60" s="2044"/>
    </row>
    <row r="61" spans="35:35">
      <c r="AI61" s="2044"/>
    </row>
    <row r="62" spans="35:35">
      <c r="AI62" s="2044"/>
    </row>
    <row r="63" spans="35:35">
      <c r="AI63" s="2044"/>
    </row>
    <row r="64" spans="35:35">
      <c r="AI64" s="2044"/>
    </row>
    <row r="65" spans="35:35">
      <c r="AI65" s="2044"/>
    </row>
    <row r="66" spans="35:35">
      <c r="AI66" s="2044"/>
    </row>
    <row r="67" spans="35:35">
      <c r="AI67" s="2044"/>
    </row>
    <row r="68" spans="35:35">
      <c r="AI68" s="2044"/>
    </row>
    <row r="69" spans="35:35">
      <c r="AI69" s="2044"/>
    </row>
    <row r="70" spans="35:35">
      <c r="AI70" s="2044"/>
    </row>
    <row r="71" spans="35:35">
      <c r="AI71" s="2044"/>
    </row>
    <row r="72" spans="35:35">
      <c r="AI72" s="2044"/>
    </row>
    <row r="73" spans="35:35">
      <c r="AI73" s="2044"/>
    </row>
    <row r="74" spans="35:35">
      <c r="AI74" s="2044"/>
    </row>
    <row r="75" spans="35:35">
      <c r="AI75" s="2044"/>
    </row>
    <row r="76" spans="35:35">
      <c r="AI76" s="2044"/>
    </row>
    <row r="77" spans="35:35">
      <c r="AI77" s="2044"/>
    </row>
    <row r="78" spans="35:35">
      <c r="AI78" s="2044"/>
    </row>
    <row r="79" spans="35:35">
      <c r="AI79" s="2044"/>
    </row>
    <row r="80" spans="35:35">
      <c r="AI80" s="2044"/>
    </row>
    <row r="81" spans="35:35">
      <c r="AI81" s="2044"/>
    </row>
    <row r="82" spans="35:35">
      <c r="AI82" s="2044"/>
    </row>
    <row r="83" spans="35:35">
      <c r="AI83" s="2044"/>
    </row>
    <row r="84" spans="35:35">
      <c r="AI84" s="2044"/>
    </row>
    <row r="85" spans="35:35">
      <c r="AI85" s="2044"/>
    </row>
    <row r="86" spans="35:35">
      <c r="AI86" s="2044"/>
    </row>
    <row r="87" spans="35:35">
      <c r="AI87" s="2044"/>
    </row>
    <row r="88" spans="35:35">
      <c r="AI88" s="2044"/>
    </row>
    <row r="89" spans="35:35">
      <c r="AI89" s="2044"/>
    </row>
    <row r="90" spans="35:35">
      <c r="AI90" s="2044"/>
    </row>
    <row r="91" spans="35:35">
      <c r="AI91" s="2044"/>
    </row>
    <row r="92" spans="35:35">
      <c r="AI92" s="2044"/>
    </row>
    <row r="93" spans="35:35">
      <c r="AI93" s="2044"/>
    </row>
    <row r="94" spans="35:35">
      <c r="AI94" s="2044"/>
    </row>
    <row r="95" spans="35:35">
      <c r="AI95" s="2044"/>
    </row>
    <row r="96" spans="35:35">
      <c r="AI96" s="2044"/>
    </row>
    <row r="97" spans="35:35">
      <c r="AI97" s="2044"/>
    </row>
    <row r="98" spans="35:35">
      <c r="AI98" s="2044"/>
    </row>
    <row r="99" spans="35:35">
      <c r="AI99" s="2044"/>
    </row>
    <row r="100" spans="35:35">
      <c r="AI100" s="2044"/>
    </row>
    <row r="101" spans="35:35">
      <c r="AI101" s="2044"/>
    </row>
    <row r="102" spans="35:35">
      <c r="AI102" s="2044"/>
    </row>
    <row r="103" spans="35:35">
      <c r="AI103" s="2044"/>
    </row>
    <row r="104" spans="35:35">
      <c r="AI104" s="2044"/>
    </row>
    <row r="105" spans="35:35">
      <c r="AI105" s="2044"/>
    </row>
    <row r="106" spans="35:35">
      <c r="AI106" s="2044"/>
    </row>
    <row r="107" spans="35:35">
      <c r="AI107" s="2044"/>
    </row>
    <row r="108" spans="35:35">
      <c r="AI108" s="2044"/>
    </row>
    <row r="109" spans="35:35">
      <c r="AI109" s="2044"/>
    </row>
    <row r="110" spans="35:35">
      <c r="AI110" s="2044"/>
    </row>
    <row r="111" spans="35:35">
      <c r="AI111" s="2044"/>
    </row>
    <row r="112" spans="35:35">
      <c r="AI112" s="2044"/>
    </row>
    <row r="113" spans="35:35">
      <c r="AI113" s="2044"/>
    </row>
    <row r="114" spans="35:35">
      <c r="AI114" s="2044"/>
    </row>
    <row r="115" spans="35:35">
      <c r="AI115" s="2044"/>
    </row>
    <row r="116" spans="35:35">
      <c r="AI116" s="2044"/>
    </row>
    <row r="117" spans="35:35">
      <c r="AI117" s="2044"/>
    </row>
    <row r="118" spans="35:35">
      <c r="AI118" s="2044"/>
    </row>
    <row r="119" spans="35:35">
      <c r="AI119" s="2044"/>
    </row>
    <row r="120" spans="35:35">
      <c r="AI120" s="2044"/>
    </row>
    <row r="121" spans="35:35">
      <c r="AI121" s="2044"/>
    </row>
    <row r="122" spans="35:35">
      <c r="AI122" s="2044"/>
    </row>
    <row r="123" spans="35:35">
      <c r="AI123" s="2044"/>
    </row>
    <row r="124" spans="35:35">
      <c r="AI124" s="2044"/>
    </row>
    <row r="125" spans="35:35">
      <c r="AI125" s="2044"/>
    </row>
    <row r="126" spans="35:35">
      <c r="AI126" s="2044"/>
    </row>
    <row r="127" spans="35:35">
      <c r="AI127" s="2044"/>
    </row>
    <row r="128" spans="35:35">
      <c r="AI128" s="2044"/>
    </row>
    <row r="129" spans="35:35">
      <c r="AI129" s="2044"/>
    </row>
    <row r="130" spans="35:35">
      <c r="AI130" s="2044"/>
    </row>
    <row r="131" spans="35:35">
      <c r="AI131" s="2044"/>
    </row>
    <row r="132" spans="35:35">
      <c r="AI132" s="2044"/>
    </row>
    <row r="133" spans="35:35">
      <c r="AI133" s="2044"/>
    </row>
    <row r="134" spans="35:35">
      <c r="AI134" s="2044"/>
    </row>
    <row r="135" spans="35:35">
      <c r="AI135" s="2044"/>
    </row>
    <row r="136" spans="35:35">
      <c r="AI136" s="2044"/>
    </row>
    <row r="137" spans="35:35">
      <c r="AI137" s="2044"/>
    </row>
    <row r="138" spans="35:35">
      <c r="AI138" s="2044"/>
    </row>
    <row r="139" spans="35:35">
      <c r="AI139" s="2044"/>
    </row>
    <row r="140" spans="35:35">
      <c r="AI140" s="2044"/>
    </row>
    <row r="141" spans="35:35">
      <c r="AI141" s="2044"/>
    </row>
    <row r="142" spans="35:35">
      <c r="AI142" s="2044"/>
    </row>
    <row r="143" spans="35:35">
      <c r="AI143" s="2044"/>
    </row>
    <row r="144" spans="35:35">
      <c r="AI144" s="2044"/>
    </row>
    <row r="145" spans="35:35">
      <c r="AI145" s="2044"/>
    </row>
    <row r="146" spans="35:35">
      <c r="AI146" s="2044"/>
    </row>
    <row r="147" spans="35:35">
      <c r="AI147" s="2044"/>
    </row>
    <row r="148" spans="35:35">
      <c r="AI148" s="2044"/>
    </row>
    <row r="149" spans="35:35">
      <c r="AI149" s="2044"/>
    </row>
    <row r="150" spans="35:35">
      <c r="AI150" s="2044"/>
    </row>
    <row r="151" spans="35:35">
      <c r="AI151" s="2044"/>
    </row>
    <row r="152" spans="35:35">
      <c r="AI152" s="2044"/>
    </row>
    <row r="153" spans="35:35">
      <c r="AI153" s="2044"/>
    </row>
    <row r="154" spans="35:35">
      <c r="AI154" s="2044"/>
    </row>
    <row r="155" spans="35:35">
      <c r="AI155" s="2044"/>
    </row>
    <row r="156" spans="35:35">
      <c r="AI156" s="2044"/>
    </row>
    <row r="157" spans="35:35">
      <c r="AI157" s="2044"/>
    </row>
    <row r="158" spans="35:35">
      <c r="AI158" s="2044"/>
    </row>
    <row r="159" spans="35:35">
      <c r="AI159" s="2044"/>
    </row>
    <row r="160" spans="35:35">
      <c r="AI160" s="2044"/>
    </row>
    <row r="161" spans="35:35">
      <c r="AI161" s="2044"/>
    </row>
    <row r="162" spans="35:35">
      <c r="AI162" s="2044"/>
    </row>
    <row r="163" spans="35:35">
      <c r="AI163" s="2044"/>
    </row>
    <row r="164" spans="35:35">
      <c r="AI164" s="2044"/>
    </row>
    <row r="165" spans="35:35">
      <c r="AI165" s="2044"/>
    </row>
    <row r="166" spans="35:35">
      <c r="AI166" s="2044"/>
    </row>
    <row r="167" spans="35:35">
      <c r="AI167" s="2044"/>
    </row>
    <row r="168" spans="35:35">
      <c r="AI168" s="2044"/>
    </row>
    <row r="169" spans="35:35">
      <c r="AI169" s="2044"/>
    </row>
    <row r="170" spans="35:35">
      <c r="AI170" s="2044"/>
    </row>
    <row r="171" spans="35:35">
      <c r="AI171" s="2044"/>
    </row>
    <row r="172" spans="35:35">
      <c r="AI172" s="2044"/>
    </row>
    <row r="173" spans="35:35">
      <c r="AI173" s="2044"/>
    </row>
    <row r="174" spans="35:35">
      <c r="AI174" s="2044"/>
    </row>
    <row r="175" spans="35:35">
      <c r="AI175" s="2044"/>
    </row>
    <row r="176" spans="35:35">
      <c r="AI176" s="2044"/>
    </row>
    <row r="177" spans="35:35">
      <c r="AI177" s="2044"/>
    </row>
    <row r="178" spans="35:35">
      <c r="AI178" s="2044"/>
    </row>
    <row r="179" spans="35:35">
      <c r="AI179" s="2044"/>
    </row>
    <row r="180" spans="35:35">
      <c r="AI180" s="2044"/>
    </row>
    <row r="181" spans="35:35">
      <c r="AI181" s="2044"/>
    </row>
    <row r="182" spans="35:35">
      <c r="AI182" s="2044"/>
    </row>
    <row r="183" spans="35:35">
      <c r="AI183" s="2044"/>
    </row>
    <row r="184" spans="35:35">
      <c r="AI184" s="2044"/>
    </row>
    <row r="185" spans="35:35">
      <c r="AI185" s="2044"/>
    </row>
    <row r="186" spans="35:35">
      <c r="AI186" s="2044"/>
    </row>
    <row r="187" spans="35:35">
      <c r="AI187" s="2044"/>
    </row>
    <row r="188" spans="35:35">
      <c r="AI188" s="2044"/>
    </row>
    <row r="189" spans="35:35">
      <c r="AI189" s="2044"/>
    </row>
    <row r="190" spans="35:35">
      <c r="AI190" s="2044"/>
    </row>
    <row r="191" spans="35:35">
      <c r="AI191" s="2044"/>
    </row>
    <row r="192" spans="35:35">
      <c r="AI192" s="2044"/>
    </row>
    <row r="193" spans="35:35">
      <c r="AI193" s="2044"/>
    </row>
    <row r="194" spans="35:35">
      <c r="AI194" s="2044"/>
    </row>
    <row r="195" spans="35:35">
      <c r="AI195" s="2044"/>
    </row>
    <row r="196" spans="35:35">
      <c r="AI196" s="2044"/>
    </row>
    <row r="197" spans="35:35">
      <c r="AI197" s="2044"/>
    </row>
    <row r="198" spans="35:35">
      <c r="AI198" s="2044"/>
    </row>
    <row r="199" spans="35:35">
      <c r="AI199" s="2044"/>
    </row>
    <row r="200" spans="35:35">
      <c r="AI200" s="2044"/>
    </row>
    <row r="201" spans="35:35">
      <c r="AI201" s="2044"/>
    </row>
    <row r="202" spans="35:35">
      <c r="AI202" s="2044"/>
    </row>
    <row r="203" spans="35:35">
      <c r="AI203" s="2044"/>
    </row>
    <row r="204" spans="35:35">
      <c r="AI204" s="2044"/>
    </row>
    <row r="205" spans="35:35">
      <c r="AI205" s="2044"/>
    </row>
    <row r="206" spans="35:35">
      <c r="AI206" s="2044"/>
    </row>
    <row r="207" spans="35:35">
      <c r="AI207" s="2044"/>
    </row>
    <row r="208" spans="35:35">
      <c r="AI208" s="2044"/>
    </row>
    <row r="209" spans="35:35">
      <c r="AI209" s="2044"/>
    </row>
    <row r="210" spans="35:35">
      <c r="AI210" s="2044"/>
    </row>
    <row r="211" spans="35:35">
      <c r="AI211" s="2044"/>
    </row>
    <row r="212" spans="35:35">
      <c r="AI212" s="2044"/>
    </row>
    <row r="213" spans="35:35">
      <c r="AI213" s="2044"/>
    </row>
    <row r="214" spans="35:35">
      <c r="AI214" s="2044"/>
    </row>
    <row r="215" spans="35:35">
      <c r="AI215" s="2044"/>
    </row>
    <row r="216" spans="35:35">
      <c r="AI216" s="2044"/>
    </row>
    <row r="217" spans="35:35">
      <c r="AI217" s="2044"/>
    </row>
    <row r="218" spans="35:35">
      <c r="AI218" s="2044"/>
    </row>
    <row r="219" spans="35:35">
      <c r="AI219" s="2044"/>
    </row>
    <row r="220" spans="35:35">
      <c r="AI220" s="2044"/>
    </row>
    <row r="221" spans="35:35">
      <c r="AI221" s="2044"/>
    </row>
    <row r="222" spans="35:35">
      <c r="AI222" s="2044"/>
    </row>
    <row r="223" spans="35:35">
      <c r="AI223" s="2044"/>
    </row>
    <row r="224" spans="35:35">
      <c r="AI224" s="2044"/>
    </row>
    <row r="225" spans="35:35">
      <c r="AI225" s="2044"/>
    </row>
    <row r="226" spans="35:35">
      <c r="AI226" s="2044"/>
    </row>
    <row r="227" spans="35:35">
      <c r="AI227" s="2044"/>
    </row>
    <row r="228" spans="35:35">
      <c r="AI228" s="2044"/>
    </row>
    <row r="229" spans="35:35">
      <c r="AI229" s="2044"/>
    </row>
    <row r="230" spans="35:35">
      <c r="AI230" s="2044"/>
    </row>
    <row r="231" spans="35:35">
      <c r="AI231" s="2044"/>
    </row>
    <row r="232" spans="35:35">
      <c r="AI232" s="2044"/>
    </row>
    <row r="233" spans="35:35">
      <c r="AI233" s="2044"/>
    </row>
    <row r="234" spans="35:35">
      <c r="AI234" s="2044"/>
    </row>
    <row r="235" spans="35:35">
      <c r="AI235" s="2044"/>
    </row>
    <row r="236" spans="35:35">
      <c r="AI236" s="2044"/>
    </row>
    <row r="237" spans="35:35">
      <c r="AI237" s="2044"/>
    </row>
    <row r="238" spans="35:35">
      <c r="AI238" s="2044"/>
    </row>
    <row r="239" spans="35:35">
      <c r="AI239" s="2044"/>
    </row>
    <row r="240" spans="35:35">
      <c r="AI240" s="2044"/>
    </row>
    <row r="241" spans="35:35">
      <c r="AI241" s="2044"/>
    </row>
    <row r="242" spans="35:35">
      <c r="AI242" s="2044"/>
    </row>
    <row r="243" spans="35:35">
      <c r="AI243" s="2044"/>
    </row>
    <row r="244" spans="35:35">
      <c r="AI244" s="2044"/>
    </row>
    <row r="245" spans="35:35">
      <c r="AI245" s="2044"/>
    </row>
    <row r="246" spans="35:35">
      <c r="AI246" s="2044"/>
    </row>
    <row r="247" spans="35:35">
      <c r="AI247" s="2044"/>
    </row>
    <row r="248" spans="35:35">
      <c r="AI248" s="2044"/>
    </row>
    <row r="249" spans="35:35">
      <c r="AI249" s="2044"/>
    </row>
    <row r="250" spans="35:35">
      <c r="AI250" s="2044"/>
    </row>
    <row r="251" spans="35:35">
      <c r="AI251" s="2044"/>
    </row>
    <row r="252" spans="35:35">
      <c r="AI252" s="2044"/>
    </row>
    <row r="253" spans="35:35">
      <c r="AI253" s="2044"/>
    </row>
    <row r="254" spans="35:35">
      <c r="AI254" s="2044"/>
    </row>
    <row r="255" spans="35:35">
      <c r="AI255" s="2044"/>
    </row>
    <row r="256" spans="35:35">
      <c r="AI256" s="2044"/>
    </row>
    <row r="257" spans="35:35">
      <c r="AI257" s="2044"/>
    </row>
    <row r="258" spans="35:35">
      <c r="AI258" s="2044"/>
    </row>
    <row r="259" spans="35:35">
      <c r="AI259" s="2044"/>
    </row>
    <row r="260" spans="35:35">
      <c r="AI260" s="2044"/>
    </row>
    <row r="261" spans="35:35">
      <c r="AI261" s="2044"/>
    </row>
    <row r="262" spans="35:35">
      <c r="AI262" s="2044"/>
    </row>
    <row r="263" spans="35:35">
      <c r="AI263" s="2044"/>
    </row>
    <row r="264" spans="35:35">
      <c r="AI264" s="2044"/>
    </row>
    <row r="265" spans="35:35">
      <c r="AI265" s="2044"/>
    </row>
    <row r="266" spans="35:35">
      <c r="AI266" s="2044"/>
    </row>
    <row r="267" spans="35:35">
      <c r="AI267" s="2044"/>
    </row>
    <row r="268" spans="35:35">
      <c r="AI268" s="2044"/>
    </row>
    <row r="269" spans="35:35">
      <c r="AI269" s="2044"/>
    </row>
    <row r="270" spans="35:35">
      <c r="AI270" s="2044"/>
    </row>
    <row r="271" spans="35:35">
      <c r="AI271" s="2044"/>
    </row>
    <row r="272" spans="35:35">
      <c r="AI272" s="2044"/>
    </row>
    <row r="273" spans="35:35">
      <c r="AI273" s="2044"/>
    </row>
    <row r="274" spans="35:35">
      <c r="AI274" s="2044"/>
    </row>
    <row r="275" spans="35:35">
      <c r="AI275" s="2044"/>
    </row>
    <row r="276" spans="35:35">
      <c r="AI276" s="2044"/>
    </row>
    <row r="277" spans="35:35">
      <c r="AI277" s="2044"/>
    </row>
    <row r="278" spans="35:35">
      <c r="AI278" s="2044"/>
    </row>
    <row r="279" spans="35:35">
      <c r="AI279" s="2044"/>
    </row>
    <row r="280" spans="35:35">
      <c r="AI280" s="2044"/>
    </row>
    <row r="281" spans="35:35">
      <c r="AI281" s="2044"/>
    </row>
    <row r="282" spans="35:35">
      <c r="AI282" s="2044"/>
    </row>
    <row r="283" spans="35:35">
      <c r="AI283" s="2044"/>
    </row>
    <row r="284" spans="35:35">
      <c r="AI284" s="2044"/>
    </row>
    <row r="285" spans="35:35">
      <c r="AI285" s="2044"/>
    </row>
    <row r="286" spans="35:35">
      <c r="AI286" s="2044"/>
    </row>
    <row r="287" spans="35:35">
      <c r="AI287" s="2044"/>
    </row>
    <row r="288" spans="35:35">
      <c r="AI288" s="2044"/>
    </row>
    <row r="289" spans="35:35">
      <c r="AI289" s="2044"/>
    </row>
    <row r="290" spans="35:35">
      <c r="AI290" s="2044"/>
    </row>
    <row r="291" spans="35:35">
      <c r="AI291" s="2044"/>
    </row>
    <row r="292" spans="35:35">
      <c r="AI292" s="2044"/>
    </row>
    <row r="293" spans="35:35">
      <c r="AI293" s="2044"/>
    </row>
    <row r="294" spans="35:35">
      <c r="AI294" s="2044"/>
    </row>
    <row r="295" spans="35:35">
      <c r="AI295" s="2044"/>
    </row>
    <row r="296" spans="35:35">
      <c r="AI296" s="2044"/>
    </row>
    <row r="297" spans="35:35">
      <c r="AI297" s="2044"/>
    </row>
    <row r="298" spans="35:35">
      <c r="AI298" s="2044"/>
    </row>
    <row r="299" spans="35:35">
      <c r="AI299" s="2044"/>
    </row>
    <row r="300" spans="35:35">
      <c r="AI300" s="2044"/>
    </row>
    <row r="301" spans="35:35">
      <c r="AI301" s="2044"/>
    </row>
    <row r="302" spans="35:35">
      <c r="AI302" s="2044"/>
    </row>
    <row r="303" spans="35:35">
      <c r="AI303" s="2044"/>
    </row>
    <row r="304" spans="35:35">
      <c r="AI304" s="2044"/>
    </row>
    <row r="305" spans="35:35">
      <c r="AI305" s="2044"/>
    </row>
    <row r="306" spans="35:35">
      <c r="AI306" s="2044"/>
    </row>
    <row r="307" spans="35:35">
      <c r="AI307" s="2044"/>
    </row>
    <row r="308" spans="35:35">
      <c r="AI308" s="2044"/>
    </row>
    <row r="309" spans="35:35">
      <c r="AI309" s="2044"/>
    </row>
    <row r="310" spans="35:35">
      <c r="AI310" s="2044"/>
    </row>
    <row r="311" spans="35:35">
      <c r="AI311" s="2044"/>
    </row>
    <row r="312" spans="35:35">
      <c r="AI312" s="2044"/>
    </row>
    <row r="313" spans="35:35">
      <c r="AI313" s="2044"/>
    </row>
    <row r="314" spans="35:35">
      <c r="AI314" s="2044"/>
    </row>
    <row r="315" spans="35:35">
      <c r="AI315" s="2044"/>
    </row>
    <row r="316" spans="35:35">
      <c r="AI316" s="2044"/>
    </row>
    <row r="317" spans="35:35">
      <c r="AI317" s="2044"/>
    </row>
    <row r="318" spans="35:35">
      <c r="AI318" s="2044"/>
    </row>
    <row r="319" spans="35:35">
      <c r="AI319" s="2044"/>
    </row>
    <row r="320" spans="35:35">
      <c r="AI320" s="2044"/>
    </row>
    <row r="321" spans="35:35">
      <c r="AI321" s="2044"/>
    </row>
    <row r="322" spans="35:35">
      <c r="AI322" s="2044"/>
    </row>
    <row r="323" spans="35:35">
      <c r="AI323" s="2044"/>
    </row>
    <row r="324" spans="35:35">
      <c r="AI324" s="2044"/>
    </row>
    <row r="325" spans="35:35">
      <c r="AI325" s="2044"/>
    </row>
    <row r="326" spans="35:35">
      <c r="AI326" s="2044"/>
    </row>
    <row r="327" spans="35:35">
      <c r="AI327" s="2044"/>
    </row>
    <row r="328" spans="35:35">
      <c r="AI328" s="2044"/>
    </row>
    <row r="329" spans="35:35">
      <c r="AI329" s="2044"/>
    </row>
    <row r="330" spans="35:35">
      <c r="AI330" s="2044"/>
    </row>
    <row r="331" spans="35:35">
      <c r="AI331" s="2044"/>
    </row>
    <row r="332" spans="35:35">
      <c r="AI332" s="2044"/>
    </row>
    <row r="333" spans="35:35">
      <c r="AI333" s="2044"/>
    </row>
    <row r="334" spans="35:35">
      <c r="AI334" s="2044"/>
    </row>
    <row r="335" spans="35:35">
      <c r="AI335" s="2044"/>
    </row>
    <row r="336" spans="35:35">
      <c r="AI336" s="2044"/>
    </row>
    <row r="337" spans="35:35">
      <c r="AI337" s="2044"/>
    </row>
    <row r="338" spans="35:35">
      <c r="AI338" s="2044"/>
    </row>
    <row r="339" spans="35:35">
      <c r="AI339" s="2044"/>
    </row>
    <row r="340" spans="35:35">
      <c r="AI340" s="2044"/>
    </row>
    <row r="341" spans="35:35">
      <c r="AI341" s="2044"/>
    </row>
    <row r="342" spans="35:35">
      <c r="AI342" s="2044"/>
    </row>
    <row r="343" spans="35:35">
      <c r="AI343" s="2044"/>
    </row>
    <row r="344" spans="35:35">
      <c r="AI344" s="2044"/>
    </row>
    <row r="345" spans="35:35">
      <c r="AI345" s="2044"/>
    </row>
    <row r="346" spans="35:35">
      <c r="AI346" s="2044"/>
    </row>
    <row r="347" spans="35:35">
      <c r="AI347" s="2044"/>
    </row>
    <row r="348" spans="35:35">
      <c r="AI348" s="2044"/>
    </row>
    <row r="349" spans="35:35">
      <c r="AI349" s="2044"/>
    </row>
    <row r="350" spans="35:35">
      <c r="AI350" s="2044"/>
    </row>
    <row r="351" spans="35:35">
      <c r="AI351" s="2044"/>
    </row>
    <row r="352" spans="35:35">
      <c r="AI352" s="2044"/>
    </row>
    <row r="353" spans="35:35">
      <c r="AI353" s="2044"/>
    </row>
    <row r="354" spans="35:35">
      <c r="AI354" s="2044"/>
    </row>
    <row r="355" spans="35:35">
      <c r="AI355" s="2044"/>
    </row>
    <row r="356" spans="35:35">
      <c r="AI356" s="2044"/>
    </row>
    <row r="357" spans="35:35">
      <c r="AI357" s="2044"/>
    </row>
    <row r="358" spans="35:35">
      <c r="AI358" s="2044"/>
    </row>
    <row r="359" spans="35:35">
      <c r="AI359" s="2044"/>
    </row>
    <row r="360" spans="35:35">
      <c r="AI360" s="2044"/>
    </row>
    <row r="361" spans="35:35">
      <c r="AI361" s="2044"/>
    </row>
    <row r="362" spans="35:35">
      <c r="AI362" s="2044"/>
    </row>
    <row r="363" spans="35:35">
      <c r="AI363" s="2044"/>
    </row>
    <row r="364" spans="35:35">
      <c r="AI364" s="2044"/>
    </row>
    <row r="365" spans="35:35">
      <c r="AI365" s="2044"/>
    </row>
    <row r="366" spans="35:35">
      <c r="AI366" s="2044"/>
    </row>
    <row r="367" spans="35:35">
      <c r="AI367" s="2044"/>
    </row>
    <row r="368" spans="35:35">
      <c r="AI368" s="2044"/>
    </row>
    <row r="369" spans="35:35">
      <c r="AI369" s="2044"/>
    </row>
    <row r="370" spans="35:35">
      <c r="AI370" s="2044"/>
    </row>
    <row r="371" spans="35:35">
      <c r="AI371" s="2044"/>
    </row>
    <row r="372" spans="35:35">
      <c r="AI372" s="2044"/>
    </row>
    <row r="373" spans="35:35">
      <c r="AI373" s="2044"/>
    </row>
    <row r="374" spans="35:35">
      <c r="AI374" s="2044"/>
    </row>
    <row r="375" spans="35:35">
      <c r="AI375" s="2044"/>
    </row>
    <row r="376" spans="35:35">
      <c r="AI376" s="2044"/>
    </row>
    <row r="377" spans="35:35">
      <c r="AI377" s="2044"/>
    </row>
    <row r="378" spans="35:35">
      <c r="AI378" s="2044"/>
    </row>
    <row r="379" spans="35:35">
      <c r="AI379" s="2044"/>
    </row>
    <row r="380" spans="35:35">
      <c r="AI380" s="2044"/>
    </row>
    <row r="381" spans="35:35">
      <c r="AI381" s="2044"/>
    </row>
    <row r="382" spans="35:35">
      <c r="AI382" s="2044"/>
    </row>
    <row r="383" spans="35:35">
      <c r="AI383" s="2044"/>
    </row>
    <row r="384" spans="35:35">
      <c r="AI384" s="2044"/>
    </row>
    <row r="385" spans="35:35">
      <c r="AI385" s="2044"/>
    </row>
    <row r="386" spans="35:35">
      <c r="AI386" s="2044"/>
    </row>
    <row r="387" spans="35:35">
      <c r="AI387" s="2044"/>
    </row>
    <row r="388" spans="35:35">
      <c r="AI388" s="2044"/>
    </row>
    <row r="389" spans="35:35">
      <c r="AI389" s="2044"/>
    </row>
    <row r="390" spans="35:35">
      <c r="AI390" s="2044"/>
    </row>
    <row r="391" spans="35:35">
      <c r="AI391" s="2044"/>
    </row>
    <row r="392" spans="35:35">
      <c r="AI392" s="2044"/>
    </row>
    <row r="393" spans="35:35">
      <c r="AI393" s="2044"/>
    </row>
    <row r="394" spans="35:35">
      <c r="AI394" s="2044"/>
    </row>
    <row r="395" spans="35:35">
      <c r="AI395" s="2044"/>
    </row>
    <row r="396" spans="35:35">
      <c r="AI396" s="2044"/>
    </row>
    <row r="397" spans="35:35">
      <c r="AI397" s="2044"/>
    </row>
    <row r="398" spans="35:35">
      <c r="AI398" s="2044"/>
    </row>
    <row r="399" spans="35:35">
      <c r="AI399" s="2044"/>
    </row>
    <row r="400" spans="35:35">
      <c r="AI400" s="2044"/>
    </row>
    <row r="401" spans="35:35">
      <c r="AI401" s="2044"/>
    </row>
    <row r="402" spans="35:35">
      <c r="AI402" s="2044"/>
    </row>
    <row r="403" spans="35:35">
      <c r="AI403" s="2044"/>
    </row>
    <row r="404" spans="35:35">
      <c r="AI404" s="2044"/>
    </row>
    <row r="405" spans="35:35">
      <c r="AI405" s="2044"/>
    </row>
    <row r="406" spans="35:35">
      <c r="AI406" s="2044"/>
    </row>
    <row r="407" spans="35:35">
      <c r="AI407" s="2044"/>
    </row>
    <row r="408" spans="35:35">
      <c r="AI408" s="2044"/>
    </row>
    <row r="409" spans="35:35">
      <c r="AI409" s="2044"/>
    </row>
    <row r="410" spans="35:35">
      <c r="AI410" s="2044"/>
    </row>
    <row r="411" spans="35:35">
      <c r="AI411" s="2044"/>
    </row>
    <row r="412" spans="35:35">
      <c r="AI412" s="2044"/>
    </row>
    <row r="413" spans="35:35">
      <c r="AI413" s="2044"/>
    </row>
    <row r="414" spans="35:35">
      <c r="AI414" s="2044"/>
    </row>
    <row r="415" spans="35:35">
      <c r="AI415" s="2044"/>
    </row>
    <row r="416" spans="35:35">
      <c r="AI416" s="2044"/>
    </row>
    <row r="417" spans="35:35">
      <c r="AI417" s="2044"/>
    </row>
    <row r="418" spans="35:35">
      <c r="AI418" s="2044"/>
    </row>
    <row r="419" spans="35:35">
      <c r="AI419" s="2044"/>
    </row>
    <row r="420" spans="35:35">
      <c r="AI420" s="2044"/>
    </row>
    <row r="421" spans="35:35">
      <c r="AI421" s="2044"/>
    </row>
    <row r="422" spans="35:35">
      <c r="AI422" s="2044"/>
    </row>
    <row r="423" spans="35:35">
      <c r="AI423" s="2044"/>
    </row>
    <row r="424" spans="35:35">
      <c r="AI424" s="2044"/>
    </row>
    <row r="425" spans="35:35">
      <c r="AI425" s="2044"/>
    </row>
    <row r="426" spans="35:35">
      <c r="AI426" s="2044"/>
    </row>
    <row r="427" spans="35:35">
      <c r="AI427" s="2044"/>
    </row>
    <row r="428" spans="35:35">
      <c r="AI428" s="2044"/>
    </row>
    <row r="429" spans="35:35">
      <c r="AI429" s="2044"/>
    </row>
    <row r="430" spans="35:35">
      <c r="AI430" s="2044"/>
    </row>
    <row r="431" spans="35:35">
      <c r="AI431" s="2044"/>
    </row>
    <row r="432" spans="35:35">
      <c r="AI432" s="2044"/>
    </row>
    <row r="433" spans="35:35">
      <c r="AI433" s="2044"/>
    </row>
    <row r="434" spans="35:35">
      <c r="AI434" s="2044"/>
    </row>
    <row r="435" spans="35:35">
      <c r="AI435" s="2044"/>
    </row>
    <row r="436" spans="35:35">
      <c r="AI436" s="2044"/>
    </row>
    <row r="437" spans="35:35">
      <c r="AI437" s="2044"/>
    </row>
    <row r="438" spans="35:35">
      <c r="AI438" s="2044"/>
    </row>
    <row r="439" spans="35:35">
      <c r="AI439" s="2044"/>
    </row>
    <row r="440" spans="35:35">
      <c r="AI440" s="2044"/>
    </row>
    <row r="441" spans="35:35">
      <c r="AI441" s="2044"/>
    </row>
    <row r="442" spans="35:35">
      <c r="AI442" s="2044"/>
    </row>
    <row r="443" spans="35:35">
      <c r="AI443" s="2044"/>
    </row>
    <row r="444" spans="35:35">
      <c r="AI444" s="2044"/>
    </row>
    <row r="445" spans="35:35">
      <c r="AI445" s="2044"/>
    </row>
    <row r="446" spans="35:35">
      <c r="AI446" s="2044"/>
    </row>
    <row r="447" spans="35:35">
      <c r="AI447" s="2044"/>
    </row>
    <row r="448" spans="35:35">
      <c r="AI448" s="2044"/>
    </row>
    <row r="449" spans="35:35">
      <c r="AI449" s="2044"/>
    </row>
    <row r="450" spans="35:35">
      <c r="AI450" s="2044"/>
    </row>
    <row r="451" spans="35:35">
      <c r="AI451" s="2044"/>
    </row>
    <row r="452" spans="35:35">
      <c r="AI452" s="2044"/>
    </row>
    <row r="453" spans="35:35">
      <c r="AI453" s="2044"/>
    </row>
    <row r="454" spans="35:35">
      <c r="AI454" s="2044"/>
    </row>
    <row r="455" spans="35:35">
      <c r="AI455" s="2044"/>
    </row>
    <row r="456" spans="35:35">
      <c r="AI456" s="2044"/>
    </row>
    <row r="457" spans="35:35">
      <c r="AI457" s="2044"/>
    </row>
    <row r="458" spans="35:35">
      <c r="AI458" s="2044"/>
    </row>
    <row r="459" spans="35:35">
      <c r="AI459" s="2044"/>
    </row>
    <row r="460" spans="35:35">
      <c r="AI460" s="2044"/>
    </row>
    <row r="461" spans="35:35">
      <c r="AI461" s="2044"/>
    </row>
    <row r="462" spans="35:35">
      <c r="AI462" s="2044"/>
    </row>
    <row r="463" spans="35:35">
      <c r="AI463" s="2044"/>
    </row>
    <row r="464" spans="35:35">
      <c r="AI464" s="2044"/>
    </row>
    <row r="465" spans="35:35">
      <c r="AI465" s="2044"/>
    </row>
    <row r="466" spans="35:35">
      <c r="AI466" s="2044"/>
    </row>
    <row r="467" spans="35:35">
      <c r="AI467" s="2044"/>
    </row>
    <row r="468" spans="35:35">
      <c r="AI468" s="2044"/>
    </row>
    <row r="469" spans="35:35">
      <c r="AI469" s="2044"/>
    </row>
    <row r="470" spans="35:35">
      <c r="AI470" s="2044"/>
    </row>
    <row r="471" spans="35:35">
      <c r="AI471" s="2044"/>
    </row>
    <row r="472" spans="35:35">
      <c r="AI472" s="2044"/>
    </row>
    <row r="473" spans="35:35">
      <c r="AI473" s="2044"/>
    </row>
    <row r="474" spans="35:35">
      <c r="AI474" s="2044"/>
    </row>
    <row r="475" spans="35:35">
      <c r="AI475" s="2044"/>
    </row>
    <row r="476" spans="35:35">
      <c r="AI476" s="2044"/>
    </row>
    <row r="477" spans="35:35">
      <c r="AI477" s="2044"/>
    </row>
    <row r="478" spans="35:35">
      <c r="AI478" s="2044"/>
    </row>
    <row r="479" spans="35:35">
      <c r="AI479" s="2044"/>
    </row>
    <row r="480" spans="35:35">
      <c r="AI480" s="2044"/>
    </row>
    <row r="481" spans="35:35">
      <c r="AI481" s="2044"/>
    </row>
    <row r="482" spans="35:35">
      <c r="AI482" s="2044"/>
    </row>
    <row r="483" spans="35:35">
      <c r="AI483" s="2044"/>
    </row>
    <row r="484" spans="35:35">
      <c r="AI484" s="2044"/>
    </row>
    <row r="485" spans="35:35">
      <c r="AI485" s="2044"/>
    </row>
    <row r="486" spans="35:35">
      <c r="AI486" s="2044"/>
    </row>
    <row r="487" spans="35:35">
      <c r="AI487" s="2044"/>
    </row>
    <row r="488" spans="35:35">
      <c r="AI488" s="2044"/>
    </row>
    <row r="489" spans="35:35">
      <c r="AI489" s="2044"/>
    </row>
    <row r="490" spans="35:35">
      <c r="AI490" s="2044"/>
    </row>
    <row r="491" spans="35:35">
      <c r="AI491" s="2044"/>
    </row>
    <row r="492" spans="35:35">
      <c r="AI492" s="2044"/>
    </row>
    <row r="493" spans="35:35">
      <c r="AI493" s="2044"/>
    </row>
    <row r="494" spans="35:35">
      <c r="AI494" s="2044"/>
    </row>
    <row r="495" spans="35:35">
      <c r="AI495" s="2044"/>
    </row>
    <row r="496" spans="35:35">
      <c r="AI496" s="2044"/>
    </row>
    <row r="497" spans="35:35">
      <c r="AI497" s="2044"/>
    </row>
    <row r="498" spans="35:35">
      <c r="AI498" s="2044"/>
    </row>
    <row r="499" spans="35:35">
      <c r="AI499" s="2044"/>
    </row>
    <row r="500" spans="35:35">
      <c r="AI500" s="2044"/>
    </row>
    <row r="501" spans="35:35">
      <c r="AI501" s="2044"/>
    </row>
    <row r="502" spans="35:35">
      <c r="AI502" s="2044"/>
    </row>
    <row r="503" spans="35:35">
      <c r="AI503" s="2044"/>
    </row>
    <row r="504" spans="35:35">
      <c r="AI504" s="2044"/>
    </row>
    <row r="505" spans="35:35">
      <c r="AI505" s="2044"/>
    </row>
    <row r="506" spans="35:35">
      <c r="AI506" s="2044"/>
    </row>
    <row r="507" spans="35:35">
      <c r="AI507" s="2044"/>
    </row>
    <row r="508" spans="35:35">
      <c r="AI508" s="2044"/>
    </row>
    <row r="509" spans="35:35">
      <c r="AI509" s="2044"/>
    </row>
    <row r="510" spans="35:35">
      <c r="AI510" s="2044"/>
    </row>
    <row r="511" spans="35:35">
      <c r="AI511" s="2044"/>
    </row>
    <row r="512" spans="35:35">
      <c r="AI512" s="2044"/>
    </row>
    <row r="513" spans="35:35">
      <c r="AI513" s="2044"/>
    </row>
    <row r="514" spans="35:35">
      <c r="AI514" s="2044"/>
    </row>
    <row r="515" spans="35:35">
      <c r="AI515" s="2044"/>
    </row>
    <row r="516" spans="35:35">
      <c r="AI516" s="2044"/>
    </row>
    <row r="517" spans="35:35">
      <c r="AI517" s="2044"/>
    </row>
    <row r="518" spans="35:35">
      <c r="AI518" s="2044"/>
    </row>
    <row r="519" spans="35:35">
      <c r="AI519" s="2044"/>
    </row>
    <row r="520" spans="35:35">
      <c r="AI520" s="2044"/>
    </row>
    <row r="521" spans="35:35">
      <c r="AI521" s="2044"/>
    </row>
    <row r="522" spans="35:35">
      <c r="AI522" s="2044"/>
    </row>
    <row r="523" spans="35:35">
      <c r="AI523" s="2044"/>
    </row>
    <row r="524" spans="35:35">
      <c r="AI524" s="2044"/>
    </row>
    <row r="525" spans="35:35">
      <c r="AI525" s="2044"/>
    </row>
    <row r="526" spans="35:35">
      <c r="AI526" s="2044"/>
    </row>
    <row r="527" spans="35:35">
      <c r="AI527" s="2044"/>
    </row>
    <row r="528" spans="35:35">
      <c r="AI528" s="2044"/>
    </row>
    <row r="529" spans="35:35">
      <c r="AI529" s="2044"/>
    </row>
    <row r="530" spans="35:35">
      <c r="AI530" s="2044"/>
    </row>
    <row r="531" spans="35:35">
      <c r="AI531" s="2044"/>
    </row>
    <row r="532" spans="35:35">
      <c r="AI532" s="2044"/>
    </row>
    <row r="533" spans="35:35">
      <c r="AI533" s="2044"/>
    </row>
    <row r="534" spans="35:35">
      <c r="AI534" s="2044"/>
    </row>
    <row r="535" spans="35:35">
      <c r="AI535" s="2044"/>
    </row>
    <row r="536" spans="35:35">
      <c r="AI536" s="2044"/>
    </row>
    <row r="537" spans="35:35">
      <c r="AI537" s="2044"/>
    </row>
    <row r="538" spans="35:35">
      <c r="AI538" s="2044"/>
    </row>
    <row r="539" spans="35:35">
      <c r="AI539" s="2044"/>
    </row>
    <row r="540" spans="35:35">
      <c r="AI540" s="2044"/>
    </row>
    <row r="541" spans="35:35">
      <c r="AI541" s="2044"/>
    </row>
    <row r="542" spans="35:35">
      <c r="AI542" s="2044"/>
    </row>
    <row r="543" spans="35:35">
      <c r="AI543" s="2044"/>
    </row>
    <row r="544" spans="35:35">
      <c r="AI544" s="2044"/>
    </row>
    <row r="545" spans="35:35">
      <c r="AI545" s="2044"/>
    </row>
    <row r="546" spans="35:35">
      <c r="AI546" s="2044"/>
    </row>
    <row r="547" spans="35:35">
      <c r="AI547" s="2044"/>
    </row>
    <row r="548" spans="35:35">
      <c r="AI548" s="2044"/>
    </row>
    <row r="549" spans="35:35">
      <c r="AI549" s="2044"/>
    </row>
    <row r="550" spans="35:35">
      <c r="AI550" s="2044"/>
    </row>
    <row r="551" spans="35:35">
      <c r="AI551" s="2044"/>
    </row>
    <row r="552" spans="35:35">
      <c r="AI552" s="2044"/>
    </row>
    <row r="553" spans="35:35">
      <c r="AI553" s="2044"/>
    </row>
    <row r="554" spans="35:35">
      <c r="AI554" s="2044"/>
    </row>
    <row r="555" spans="35:35">
      <c r="AI555" s="2044"/>
    </row>
    <row r="556" spans="35:35">
      <c r="AI556" s="2044"/>
    </row>
    <row r="557" spans="35:35">
      <c r="AI557" s="2044"/>
    </row>
    <row r="558" spans="35:35">
      <c r="AI558" s="2044"/>
    </row>
    <row r="559" spans="35:35">
      <c r="AI559" s="2044"/>
    </row>
    <row r="560" spans="35:35">
      <c r="AI560" s="2044"/>
    </row>
    <row r="561" spans="35:35">
      <c r="AI561" s="2044"/>
    </row>
    <row r="562" spans="35:35">
      <c r="AI562" s="2044"/>
    </row>
    <row r="563" spans="35:35">
      <c r="AI563" s="2044"/>
    </row>
    <row r="564" spans="35:35">
      <c r="AI564" s="2044"/>
    </row>
    <row r="565" spans="35:35">
      <c r="AI565" s="2044"/>
    </row>
    <row r="566" spans="35:35">
      <c r="AI566" s="2044"/>
    </row>
    <row r="567" spans="35:35">
      <c r="AI567" s="2044"/>
    </row>
    <row r="568" spans="35:35">
      <c r="AI568" s="2044"/>
    </row>
    <row r="569" spans="35:35">
      <c r="AI569" s="2044"/>
    </row>
    <row r="570" spans="35:35">
      <c r="AI570" s="2044"/>
    </row>
    <row r="571" spans="35:35">
      <c r="AI571" s="2044"/>
    </row>
    <row r="572" spans="35:35">
      <c r="AI572" s="2044"/>
    </row>
    <row r="573" spans="35:35">
      <c r="AI573" s="2044"/>
    </row>
    <row r="574" spans="35:35">
      <c r="AI574" s="2044"/>
    </row>
    <row r="575" spans="35:35">
      <c r="AI575" s="2044"/>
    </row>
    <row r="576" spans="35:35">
      <c r="AI576" s="2044"/>
    </row>
    <row r="577" spans="35:35">
      <c r="AI577" s="2044"/>
    </row>
    <row r="578" spans="35:35">
      <c r="AI578" s="2044"/>
    </row>
    <row r="579" spans="35:35">
      <c r="AI579" s="2044"/>
    </row>
    <row r="580" spans="35:35">
      <c r="AI580" s="2044"/>
    </row>
    <row r="581" spans="35:35">
      <c r="AI581" s="2044"/>
    </row>
    <row r="582" spans="35:35">
      <c r="AI582" s="2044"/>
    </row>
    <row r="583" spans="35:35">
      <c r="AI583" s="2044"/>
    </row>
    <row r="584" spans="35:35">
      <c r="AI584" s="2044"/>
    </row>
    <row r="585" spans="35:35">
      <c r="AI585" s="2044"/>
    </row>
    <row r="586" spans="35:35">
      <c r="AI586" s="2044"/>
    </row>
    <row r="587" spans="35:35">
      <c r="AI587" s="2044"/>
    </row>
    <row r="588" spans="35:35">
      <c r="AI588" s="2044"/>
    </row>
    <row r="589" spans="35:35">
      <c r="AI589" s="2044"/>
    </row>
    <row r="590" spans="35:35">
      <c r="AI590" s="2044"/>
    </row>
    <row r="591" spans="35:35">
      <c r="AI591" s="2044"/>
    </row>
    <row r="592" spans="35:35">
      <c r="AI592" s="2044"/>
    </row>
    <row r="593" spans="35:35">
      <c r="AI593" s="2044"/>
    </row>
    <row r="594" spans="35:35">
      <c r="AI594" s="2044"/>
    </row>
    <row r="595" spans="35:35">
      <c r="AI595" s="2044"/>
    </row>
    <row r="596" spans="35:35">
      <c r="AI596" s="2044"/>
    </row>
    <row r="597" spans="35:35">
      <c r="AI597" s="2044"/>
    </row>
    <row r="598" spans="35:35">
      <c r="AI598" s="2044"/>
    </row>
    <row r="599" spans="35:35">
      <c r="AI599" s="2044"/>
    </row>
    <row r="600" spans="35:35">
      <c r="AI600" s="2044"/>
    </row>
    <row r="601" spans="35:35">
      <c r="AI601" s="2044"/>
    </row>
    <row r="602" spans="35:35">
      <c r="AI602" s="2044"/>
    </row>
    <row r="603" spans="35:35">
      <c r="AI603" s="2044"/>
    </row>
    <row r="604" spans="35:35">
      <c r="AI604" s="2044"/>
    </row>
    <row r="605" spans="35:35">
      <c r="AI605" s="2044"/>
    </row>
    <row r="606" spans="35:35">
      <c r="AI606" s="2044"/>
    </row>
    <row r="607" spans="35:35">
      <c r="AI607" s="2044"/>
    </row>
    <row r="608" spans="35:35">
      <c r="AI608" s="2044"/>
    </row>
    <row r="609" spans="35:35">
      <c r="AI609" s="2044"/>
    </row>
    <row r="610" spans="35:35">
      <c r="AI610" s="2044"/>
    </row>
    <row r="611" spans="35:35">
      <c r="AI611" s="2044"/>
    </row>
    <row r="612" spans="35:35">
      <c r="AI612" s="2044"/>
    </row>
    <row r="613" spans="35:35">
      <c r="AI613" s="2044"/>
    </row>
    <row r="614" spans="35:35">
      <c r="AI614" s="2044"/>
    </row>
    <row r="615" spans="35:35">
      <c r="AI615" s="2044"/>
    </row>
    <row r="616" spans="35:35">
      <c r="AI616" s="2044"/>
    </row>
    <row r="617" spans="35:35">
      <c r="AI617" s="2044"/>
    </row>
    <row r="618" spans="35:35">
      <c r="AI618" s="2044"/>
    </row>
    <row r="619" spans="35:35">
      <c r="AI619" s="2044"/>
    </row>
    <row r="620" spans="35:35">
      <c r="AI620" s="2044"/>
    </row>
    <row r="621" spans="35:35">
      <c r="AI621" s="2044"/>
    </row>
    <row r="622" spans="35:35">
      <c r="AI622" s="2044"/>
    </row>
    <row r="623" spans="35:35">
      <c r="AI623" s="2044"/>
    </row>
    <row r="624" spans="35:35">
      <c r="AI624" s="2044"/>
    </row>
    <row r="625" spans="35:35">
      <c r="AI625" s="2044"/>
    </row>
    <row r="626" spans="35:35">
      <c r="AI626" s="2044"/>
    </row>
    <row r="627" spans="35:35">
      <c r="AI627" s="2044"/>
    </row>
    <row r="628" spans="35:35">
      <c r="AI628" s="2044"/>
    </row>
    <row r="629" spans="35:35">
      <c r="AI629" s="2044"/>
    </row>
    <row r="630" spans="35:35">
      <c r="AI630" s="2044"/>
    </row>
    <row r="631" spans="35:35">
      <c r="AI631" s="2044"/>
    </row>
    <row r="632" spans="35:35">
      <c r="AI632" s="2044"/>
    </row>
    <row r="633" spans="35:35">
      <c r="AI633" s="2044"/>
    </row>
    <row r="634" spans="35:35">
      <c r="AI634" s="2044"/>
    </row>
    <row r="635" spans="35:35">
      <c r="AI635" s="2044"/>
    </row>
    <row r="636" spans="35:35">
      <c r="AI636" s="2044"/>
    </row>
    <row r="637" spans="35:35">
      <c r="AI637" s="2044"/>
    </row>
    <row r="638" spans="35:35">
      <c r="AI638" s="2044"/>
    </row>
    <row r="639" spans="35:35">
      <c r="AI639" s="2044"/>
    </row>
    <row r="640" spans="35:35">
      <c r="AI640" s="2044"/>
    </row>
    <row r="641" spans="35:35">
      <c r="AI641" s="2044"/>
    </row>
    <row r="642" spans="35:35">
      <c r="AI642" s="2044"/>
    </row>
    <row r="643" spans="35:35">
      <c r="AI643" s="2044"/>
    </row>
    <row r="644" spans="35:35">
      <c r="AI644" s="2044"/>
    </row>
    <row r="645" spans="35:35">
      <c r="AI645" s="2044"/>
    </row>
    <row r="646" spans="35:35">
      <c r="AI646" s="2044"/>
    </row>
    <row r="647" spans="35:35">
      <c r="AI647" s="2044"/>
    </row>
    <row r="648" spans="35:35">
      <c r="AI648" s="2044"/>
    </row>
    <row r="649" spans="35:35">
      <c r="AI649" s="2044"/>
    </row>
    <row r="650" spans="35:35">
      <c r="AI650" s="2044"/>
    </row>
    <row r="651" spans="35:35">
      <c r="AI651" s="2044"/>
    </row>
    <row r="652" spans="35:35">
      <c r="AI652" s="2044"/>
    </row>
    <row r="653" spans="35:35">
      <c r="AI653" s="2044"/>
    </row>
    <row r="654" spans="35:35">
      <c r="AI654" s="2044"/>
    </row>
    <row r="655" spans="35:35">
      <c r="AI655" s="2044"/>
    </row>
    <row r="656" spans="35:35">
      <c r="AI656" s="2044"/>
    </row>
    <row r="657" spans="35:35">
      <c r="AI657" s="2044"/>
    </row>
    <row r="658" spans="35:35">
      <c r="AI658" s="2044"/>
    </row>
    <row r="659" spans="35:35">
      <c r="AI659" s="2044"/>
    </row>
    <row r="660" spans="35:35">
      <c r="AI660" s="2044"/>
    </row>
    <row r="661" spans="35:35">
      <c r="AI661" s="2044"/>
    </row>
    <row r="662" spans="35:35">
      <c r="AI662" s="2044"/>
    </row>
    <row r="663" spans="35:35">
      <c r="AI663" s="2044"/>
    </row>
    <row r="664" spans="35:35">
      <c r="AI664" s="2044"/>
    </row>
    <row r="665" spans="35:35">
      <c r="AI665" s="2044"/>
    </row>
    <row r="666" spans="35:35">
      <c r="AI666" s="2044"/>
    </row>
    <row r="667" spans="35:35">
      <c r="AI667" s="2044"/>
    </row>
    <row r="668" spans="35:35">
      <c r="AI668" s="2044"/>
    </row>
    <row r="669" spans="35:35">
      <c r="AI669" s="2044"/>
    </row>
    <row r="670" spans="35:35">
      <c r="AI670" s="2044"/>
    </row>
    <row r="671" spans="35:35">
      <c r="AI671" s="2044"/>
    </row>
    <row r="672" spans="35:35">
      <c r="AI672" s="2044"/>
    </row>
    <row r="673" spans="35:35">
      <c r="AI673" s="2044"/>
    </row>
    <row r="674" spans="35:35">
      <c r="AI674" s="2044"/>
    </row>
    <row r="675" spans="35:35">
      <c r="AI675" s="2044"/>
    </row>
    <row r="676" spans="35:35">
      <c r="AI676" s="2044"/>
    </row>
    <row r="677" spans="35:35">
      <c r="AI677" s="2044"/>
    </row>
    <row r="678" spans="35:35">
      <c r="AI678" s="2044"/>
    </row>
    <row r="679" spans="35:35">
      <c r="AI679" s="2044"/>
    </row>
    <row r="680" spans="35:35">
      <c r="AI680" s="2044"/>
    </row>
    <row r="681" spans="35:35">
      <c r="AI681" s="2044"/>
    </row>
    <row r="682" spans="35:35">
      <c r="AI682" s="2044"/>
    </row>
    <row r="683" spans="35:35">
      <c r="AI683" s="2044"/>
    </row>
    <row r="684" spans="35:35">
      <c r="AI684" s="2044"/>
    </row>
    <row r="685" spans="35:35">
      <c r="AI685" s="2044"/>
    </row>
    <row r="686" spans="35:35">
      <c r="AI686" s="2044"/>
    </row>
    <row r="687" spans="35:35">
      <c r="AI687" s="2044"/>
    </row>
    <row r="688" spans="35:35">
      <c r="AI688" s="2044"/>
    </row>
    <row r="689" spans="35:35">
      <c r="AI689" s="2044"/>
    </row>
    <row r="690" spans="35:35">
      <c r="AI690" s="2044"/>
    </row>
    <row r="691" spans="35:35">
      <c r="AI691" s="2044"/>
    </row>
    <row r="692" spans="35:35">
      <c r="AI692" s="2044"/>
    </row>
    <row r="693" spans="35:35">
      <c r="AI693" s="2044"/>
    </row>
    <row r="694" spans="35:35">
      <c r="AI694" s="2044"/>
    </row>
    <row r="695" spans="35:35">
      <c r="AI695" s="2044"/>
    </row>
    <row r="696" spans="35:35">
      <c r="AI696" s="2044"/>
    </row>
    <row r="697" spans="35:35">
      <c r="AI697" s="2044"/>
    </row>
    <row r="698" spans="35:35">
      <c r="AI698" s="2044"/>
    </row>
    <row r="699" spans="35:35">
      <c r="AI699" s="2044"/>
    </row>
    <row r="700" spans="35:35">
      <c r="AI700" s="2044"/>
    </row>
    <row r="701" spans="35:35">
      <c r="AI701" s="2044"/>
    </row>
    <row r="702" spans="35:35">
      <c r="AI702" s="2044"/>
    </row>
    <row r="703" spans="35:35">
      <c r="AI703" s="2044"/>
    </row>
    <row r="704" spans="35:35">
      <c r="AI704" s="2044"/>
    </row>
    <row r="705" spans="35:35">
      <c r="AI705" s="2044"/>
    </row>
    <row r="706" spans="35:35">
      <c r="AI706" s="2044"/>
    </row>
    <row r="707" spans="35:35">
      <c r="AI707" s="2044"/>
    </row>
    <row r="708" spans="35:35">
      <c r="AI708" s="2044"/>
    </row>
    <row r="709" spans="35:35">
      <c r="AI709" s="2044"/>
    </row>
    <row r="710" spans="35:35">
      <c r="AI710" s="2044"/>
    </row>
    <row r="711" spans="35:35">
      <c r="AI711" s="2044"/>
    </row>
    <row r="712" spans="35:35">
      <c r="AI712" s="2044"/>
    </row>
    <row r="713" spans="35:35">
      <c r="AI713" s="2044"/>
    </row>
    <row r="714" spans="35:35">
      <c r="AI714" s="2044"/>
    </row>
    <row r="715" spans="35:35">
      <c r="AI715" s="2044"/>
    </row>
    <row r="716" spans="35:35">
      <c r="AI716" s="2044"/>
    </row>
    <row r="717" spans="35:35">
      <c r="AI717" s="2044"/>
    </row>
    <row r="718" spans="35:35">
      <c r="AI718" s="2044"/>
    </row>
    <row r="719" spans="35:35">
      <c r="AI719" s="2044"/>
    </row>
    <row r="720" spans="35:35">
      <c r="AI720" s="2044"/>
    </row>
    <row r="721" spans="35:35">
      <c r="AI721" s="2044"/>
    </row>
    <row r="722" spans="35:35">
      <c r="AI722" s="2044"/>
    </row>
    <row r="723" spans="35:35">
      <c r="AI723" s="2044"/>
    </row>
    <row r="724" spans="35:35">
      <c r="AI724" s="2044"/>
    </row>
    <row r="725" spans="35:35">
      <c r="AI725" s="2044"/>
    </row>
    <row r="726" spans="35:35">
      <c r="AI726" s="2044"/>
    </row>
    <row r="727" spans="35:35">
      <c r="AI727" s="2044"/>
    </row>
    <row r="728" spans="35:35">
      <c r="AI728" s="2044"/>
    </row>
    <row r="729" spans="35:35">
      <c r="AI729" s="2044"/>
    </row>
    <row r="730" spans="35:35">
      <c r="AI730" s="2044"/>
    </row>
    <row r="731" spans="35:35">
      <c r="AI731" s="2044"/>
    </row>
    <row r="732" spans="35:35">
      <c r="AI732" s="2044"/>
    </row>
    <row r="733" spans="35:35">
      <c r="AI733" s="2044"/>
    </row>
    <row r="734" spans="35:35">
      <c r="AI734" s="2044"/>
    </row>
    <row r="735" spans="35:35">
      <c r="AI735" s="2044"/>
    </row>
    <row r="736" spans="35:35">
      <c r="AI736" s="2044"/>
    </row>
    <row r="737" spans="35:35">
      <c r="AI737" s="2044"/>
    </row>
    <row r="738" spans="35:35">
      <c r="AI738" s="2044"/>
    </row>
    <row r="739" spans="35:35">
      <c r="AI739" s="2044"/>
    </row>
    <row r="740" spans="35:35">
      <c r="AI740" s="2044"/>
    </row>
    <row r="741" spans="35:35">
      <c r="AI741" s="2044"/>
    </row>
    <row r="742" spans="35:35">
      <c r="AI742" s="2044"/>
    </row>
    <row r="743" spans="35:35">
      <c r="AI743" s="2044"/>
    </row>
    <row r="744" spans="35:35">
      <c r="AI744" s="2044"/>
    </row>
    <row r="745" spans="35:35">
      <c r="AI745" s="2044"/>
    </row>
    <row r="746" spans="35:35">
      <c r="AI746" s="2044"/>
    </row>
    <row r="747" spans="35:35">
      <c r="AI747" s="2044"/>
    </row>
    <row r="748" spans="35:35">
      <c r="AI748" s="2044"/>
    </row>
    <row r="749" spans="35:35">
      <c r="AI749" s="2044"/>
    </row>
    <row r="750" spans="35:35">
      <c r="AI750" s="2044"/>
    </row>
    <row r="751" spans="35:35">
      <c r="AI751" s="2044"/>
    </row>
    <row r="752" spans="35:35">
      <c r="AI752" s="2044"/>
    </row>
    <row r="753" spans="35:35">
      <c r="AI753" s="2044"/>
    </row>
    <row r="754" spans="35:35">
      <c r="AI754" s="2044"/>
    </row>
    <row r="755" spans="35:35">
      <c r="AI755" s="2044"/>
    </row>
    <row r="756" spans="35:35">
      <c r="AI756" s="2044"/>
    </row>
    <row r="757" spans="35:35">
      <c r="AI757" s="2044"/>
    </row>
    <row r="758" spans="35:35">
      <c r="AI758" s="2044"/>
    </row>
    <row r="759" spans="35:35">
      <c r="AI759" s="2044"/>
    </row>
    <row r="760" spans="35:35">
      <c r="AI760" s="2044"/>
    </row>
    <row r="761" spans="35:35">
      <c r="AI761" s="2044"/>
    </row>
    <row r="762" spans="35:35">
      <c r="AI762" s="2044"/>
    </row>
    <row r="763" spans="35:35">
      <c r="AI763" s="2044"/>
    </row>
    <row r="764" spans="35:35">
      <c r="AI764" s="2044"/>
    </row>
    <row r="765" spans="35:35">
      <c r="AI765" s="2044"/>
    </row>
    <row r="766" spans="35:35">
      <c r="AI766" s="2044"/>
    </row>
    <row r="767" spans="35:35">
      <c r="AI767" s="2044"/>
    </row>
    <row r="768" spans="35:35">
      <c r="AI768" s="2044"/>
    </row>
    <row r="769" spans="35:35">
      <c r="AI769" s="2044"/>
    </row>
    <row r="770" spans="35:35">
      <c r="AI770" s="2044"/>
    </row>
    <row r="771" spans="35:35">
      <c r="AI771" s="2044"/>
    </row>
    <row r="772" spans="35:35">
      <c r="AI772" s="2044"/>
    </row>
    <row r="773" spans="35:35">
      <c r="AI773" s="2044"/>
    </row>
    <row r="774" spans="35:35">
      <c r="AI774" s="2044"/>
    </row>
    <row r="775" spans="35:35">
      <c r="AI775" s="2044"/>
    </row>
    <row r="776" spans="35:35">
      <c r="AI776" s="2044"/>
    </row>
    <row r="777" spans="35:35">
      <c r="AI777" s="2044"/>
    </row>
    <row r="778" spans="35:35">
      <c r="AI778" s="2044"/>
    </row>
    <row r="779" spans="35:35">
      <c r="AI779" s="2044"/>
    </row>
    <row r="780" spans="35:35">
      <c r="AI780" s="2044"/>
    </row>
    <row r="781" spans="35:35">
      <c r="AI781" s="2044"/>
    </row>
    <row r="782" spans="35:35">
      <c r="AI782" s="2044"/>
    </row>
    <row r="783" spans="35:35">
      <c r="AI783" s="2044"/>
    </row>
    <row r="784" spans="35:35">
      <c r="AI784" s="2044"/>
    </row>
    <row r="785" spans="35:35">
      <c r="AI785" s="2044"/>
    </row>
    <row r="786" spans="35:35">
      <c r="AI786" s="2044"/>
    </row>
    <row r="787" spans="35:35">
      <c r="AI787" s="2044"/>
    </row>
    <row r="788" spans="35:35">
      <c r="AI788" s="2044"/>
    </row>
    <row r="789" spans="35:35">
      <c r="AI789" s="2044"/>
    </row>
    <row r="790" spans="35:35">
      <c r="AI790" s="2044"/>
    </row>
    <row r="791" spans="35:35">
      <c r="AI791" s="2044"/>
    </row>
    <row r="792" spans="35:35">
      <c r="AI792" s="2044"/>
    </row>
    <row r="793" spans="35:35">
      <c r="AI793" s="2044"/>
    </row>
    <row r="794" spans="35:35">
      <c r="AI794" s="2044"/>
    </row>
    <row r="795" spans="35:35">
      <c r="AI795" s="2044"/>
    </row>
    <row r="796" spans="35:35">
      <c r="AI796" s="2044"/>
    </row>
    <row r="797" spans="35:35">
      <c r="AI797" s="2044"/>
    </row>
    <row r="798" spans="35:35">
      <c r="AI798" s="2044"/>
    </row>
    <row r="799" spans="35:35">
      <c r="AI799" s="2044"/>
    </row>
    <row r="800" spans="35:35">
      <c r="AI800" s="2044"/>
    </row>
    <row r="801" spans="35:35">
      <c r="AI801" s="2044"/>
    </row>
    <row r="802" spans="35:35">
      <c r="AI802" s="2044"/>
    </row>
    <row r="803" spans="35:35">
      <c r="AI803" s="2044"/>
    </row>
    <row r="804" spans="35:35">
      <c r="AI804" s="2044"/>
    </row>
    <row r="805" spans="35:35">
      <c r="AI805" s="2044"/>
    </row>
    <row r="806" spans="35:35">
      <c r="AI806" s="2044"/>
    </row>
    <row r="807" spans="35:35">
      <c r="AI807" s="2044"/>
    </row>
    <row r="808" spans="35:35">
      <c r="AI808" s="2044"/>
    </row>
    <row r="809" spans="35:35">
      <c r="AI809" s="2044"/>
    </row>
    <row r="810" spans="35:35">
      <c r="AI810" s="2044"/>
    </row>
    <row r="811" spans="35:35">
      <c r="AI811" s="2044"/>
    </row>
    <row r="812" spans="35:35">
      <c r="AI812" s="2044"/>
    </row>
    <row r="813" spans="35:35">
      <c r="AI813" s="2044"/>
    </row>
    <row r="814" spans="35:35">
      <c r="AI814" s="2044"/>
    </row>
    <row r="815" spans="35:35">
      <c r="AI815" s="2044"/>
    </row>
    <row r="816" spans="35:35">
      <c r="AI816" s="2044"/>
    </row>
    <row r="817" spans="35:35">
      <c r="AI817" s="2044"/>
    </row>
    <row r="818" spans="35:35">
      <c r="AI818" s="2044"/>
    </row>
    <row r="819" spans="35:35">
      <c r="AI819" s="2044"/>
    </row>
    <row r="820" spans="35:35">
      <c r="AI820" s="2044"/>
    </row>
    <row r="821" spans="35:35">
      <c r="AI821" s="2044"/>
    </row>
    <row r="822" spans="35:35">
      <c r="AI822" s="2044"/>
    </row>
    <row r="823" spans="35:35">
      <c r="AI823" s="2044"/>
    </row>
    <row r="824" spans="35:35">
      <c r="AI824" s="2044"/>
    </row>
    <row r="825" spans="35:35">
      <c r="AI825" s="2044"/>
    </row>
    <row r="826" spans="35:35">
      <c r="AI826" s="2044"/>
    </row>
    <row r="827" spans="35:35">
      <c r="AI827" s="2044"/>
    </row>
    <row r="828" spans="35:35">
      <c r="AI828" s="2044"/>
    </row>
    <row r="829" spans="35:35">
      <c r="AI829" s="2044"/>
    </row>
    <row r="830" spans="35:35">
      <c r="AI830" s="2044"/>
    </row>
    <row r="831" spans="35:35">
      <c r="AI831" s="2044"/>
    </row>
    <row r="832" spans="35:35">
      <c r="AI832" s="2044"/>
    </row>
    <row r="833" spans="35:35">
      <c r="AI833" s="2044"/>
    </row>
    <row r="834" spans="35:35">
      <c r="AI834" s="2044"/>
    </row>
    <row r="835" spans="35:35">
      <c r="AI835" s="2044"/>
    </row>
    <row r="836" spans="35:35">
      <c r="AI836" s="2044"/>
    </row>
    <row r="837" spans="35:35">
      <c r="AI837" s="2044"/>
    </row>
    <row r="838" spans="35:35">
      <c r="AI838" s="2044"/>
    </row>
    <row r="839" spans="35:35">
      <c r="AI839" s="2044"/>
    </row>
    <row r="840" spans="35:35">
      <c r="AI840" s="2044"/>
    </row>
    <row r="841" spans="35:35">
      <c r="AI841" s="2044"/>
    </row>
    <row r="842" spans="35:35">
      <c r="AI842" s="2044"/>
    </row>
    <row r="843" spans="35:35">
      <c r="AI843" s="2044"/>
    </row>
    <row r="844" spans="35:35">
      <c r="AI844" s="2044"/>
    </row>
    <row r="845" spans="35:35">
      <c r="AI845" s="2044"/>
    </row>
    <row r="846" spans="35:35">
      <c r="AI846" s="2044"/>
    </row>
    <row r="847" spans="35:35">
      <c r="AI847" s="2044"/>
    </row>
    <row r="848" spans="35:35">
      <c r="AI848" s="2044"/>
    </row>
    <row r="849" spans="35:35">
      <c r="AI849" s="2044"/>
    </row>
    <row r="850" spans="35:35">
      <c r="AI850" s="2044"/>
    </row>
    <row r="851" spans="35:35">
      <c r="AI851" s="2044"/>
    </row>
    <row r="852" spans="35:35">
      <c r="AI852" s="2044"/>
    </row>
    <row r="853" spans="35:35">
      <c r="AI853" s="2044"/>
    </row>
    <row r="854" spans="35:35">
      <c r="AI854" s="2044"/>
    </row>
    <row r="855" spans="35:35">
      <c r="AI855" s="2044"/>
    </row>
    <row r="856" spans="35:35">
      <c r="AI856" s="2044"/>
    </row>
    <row r="857" spans="35:35">
      <c r="AI857" s="2044"/>
    </row>
    <row r="858" spans="35:35">
      <c r="AI858" s="2044"/>
    </row>
    <row r="859" spans="35:35">
      <c r="AI859" s="2044"/>
    </row>
    <row r="860" spans="35:35">
      <c r="AI860" s="2044"/>
    </row>
    <row r="861" spans="35:35">
      <c r="AI861" s="2044"/>
    </row>
    <row r="862" spans="35:35">
      <c r="AI862" s="2044"/>
    </row>
    <row r="863" spans="35:35">
      <c r="AI863" s="2044"/>
    </row>
    <row r="864" spans="35:35">
      <c r="AI864" s="2044"/>
    </row>
    <row r="865" spans="35:35">
      <c r="AI865" s="2044"/>
    </row>
    <row r="866" spans="35:35">
      <c r="AI866" s="2044"/>
    </row>
    <row r="867" spans="35:35">
      <c r="AI867" s="2044"/>
    </row>
    <row r="868" spans="35:35">
      <c r="AI868" s="2044"/>
    </row>
    <row r="869" spans="35:35">
      <c r="AI869" s="2044"/>
    </row>
    <row r="870" spans="35:35">
      <c r="AI870" s="2044"/>
    </row>
    <row r="871" spans="35:35">
      <c r="AI871" s="2044"/>
    </row>
    <row r="872" spans="35:35">
      <c r="AI872" s="2044"/>
    </row>
    <row r="873" spans="35:35">
      <c r="AI873" s="2044"/>
    </row>
    <row r="874" spans="35:35">
      <c r="AI874" s="2044"/>
    </row>
    <row r="875" spans="35:35">
      <c r="AI875" s="2044"/>
    </row>
    <row r="876" spans="35:35">
      <c r="AI876" s="2044"/>
    </row>
    <row r="877" spans="35:35">
      <c r="AI877" s="2044"/>
    </row>
    <row r="878" spans="35:35">
      <c r="AI878" s="2044"/>
    </row>
    <row r="879" spans="35:35">
      <c r="AI879" s="2044"/>
    </row>
    <row r="880" spans="35:35">
      <c r="AI880" s="2044"/>
    </row>
    <row r="881" spans="35:35">
      <c r="AI881" s="2044"/>
    </row>
    <row r="882" spans="35:35">
      <c r="AI882" s="2044"/>
    </row>
    <row r="883" spans="35:35">
      <c r="AI883" s="2044"/>
    </row>
    <row r="884" spans="35:35">
      <c r="AI884" s="2044"/>
    </row>
    <row r="885" spans="35:35">
      <c r="AI885" s="2044"/>
    </row>
    <row r="886" spans="35:35">
      <c r="AI886" s="2044"/>
    </row>
    <row r="887" spans="35:35">
      <c r="AI887" s="2044"/>
    </row>
    <row r="888" spans="35:35">
      <c r="AI888" s="2044"/>
    </row>
    <row r="889" spans="35:35">
      <c r="AI889" s="2044"/>
    </row>
    <row r="890" spans="35:35">
      <c r="AI890" s="2044"/>
    </row>
    <row r="891" spans="35:35">
      <c r="AI891" s="2044"/>
    </row>
    <row r="892" spans="35:35">
      <c r="AI892" s="2044"/>
    </row>
    <row r="893" spans="35:35">
      <c r="AI893" s="2044"/>
    </row>
    <row r="894" spans="35:35">
      <c r="AI894" s="2044"/>
    </row>
    <row r="895" spans="35:35">
      <c r="AI895" s="2044"/>
    </row>
    <row r="896" spans="35:35">
      <c r="AI896" s="2044"/>
    </row>
    <row r="897" spans="35:35">
      <c r="AI897" s="2044"/>
    </row>
    <row r="898" spans="35:35">
      <c r="AI898" s="2044"/>
    </row>
    <row r="899" spans="35:35">
      <c r="AI899" s="2044"/>
    </row>
    <row r="900" spans="35:35">
      <c r="AI900" s="2044"/>
    </row>
    <row r="901" spans="35:35">
      <c r="AI901" s="2044"/>
    </row>
    <row r="902" spans="35:35">
      <c r="AI902" s="2044"/>
    </row>
    <row r="903" spans="35:35">
      <c r="AI903" s="2044"/>
    </row>
    <row r="904" spans="35:35">
      <c r="AI904" s="2044"/>
    </row>
    <row r="905" spans="35:35">
      <c r="AI905" s="2044"/>
    </row>
    <row r="906" spans="35:35">
      <c r="AI906" s="2044"/>
    </row>
    <row r="907" spans="35:35">
      <c r="AI907" s="2044"/>
    </row>
    <row r="908" spans="35:35">
      <c r="AI908" s="2044"/>
    </row>
    <row r="909" spans="35:35">
      <c r="AI909" s="2044"/>
    </row>
    <row r="910" spans="35:35">
      <c r="AI910" s="2044"/>
    </row>
    <row r="911" spans="35:35">
      <c r="AI911" s="2044"/>
    </row>
    <row r="912" spans="35:35">
      <c r="AI912" s="2044"/>
    </row>
    <row r="913" spans="35:35">
      <c r="AI913" s="2044"/>
    </row>
    <row r="914" spans="35:35">
      <c r="AI914" s="2044"/>
    </row>
    <row r="915" spans="35:35">
      <c r="AI915" s="2044"/>
    </row>
    <row r="916" spans="35:35">
      <c r="AI916" s="2044"/>
    </row>
    <row r="917" spans="35:35">
      <c r="AI917" s="2044"/>
    </row>
    <row r="918" spans="35:35">
      <c r="AI918" s="2044"/>
    </row>
    <row r="919" spans="35:35">
      <c r="AI919" s="2044"/>
    </row>
    <row r="920" spans="35:35">
      <c r="AI920" s="2044"/>
    </row>
    <row r="921" spans="35:35">
      <c r="AI921" s="2044"/>
    </row>
    <row r="922" spans="35:35">
      <c r="AI922" s="2044"/>
    </row>
    <row r="923" spans="35:35">
      <c r="AI923" s="2044"/>
    </row>
    <row r="924" spans="35:35">
      <c r="AI924" s="2044"/>
    </row>
    <row r="925" spans="35:35">
      <c r="AI925" s="2044"/>
    </row>
    <row r="926" spans="35:35">
      <c r="AI926" s="2044"/>
    </row>
    <row r="927" spans="35:35">
      <c r="AI927" s="2044"/>
    </row>
    <row r="928" spans="35:35">
      <c r="AI928" s="2044"/>
    </row>
    <row r="929" spans="35:35">
      <c r="AI929" s="2044"/>
    </row>
    <row r="930" spans="35:35">
      <c r="AI930" s="2044"/>
    </row>
    <row r="931" spans="35:35">
      <c r="AI931" s="2044"/>
    </row>
    <row r="932" spans="35:35">
      <c r="AI932" s="2044"/>
    </row>
    <row r="933" spans="35:35">
      <c r="AI933" s="2044"/>
    </row>
    <row r="934" spans="35:35">
      <c r="AI934" s="2044"/>
    </row>
    <row r="935" spans="35:35">
      <c r="AI935" s="2044"/>
    </row>
    <row r="936" spans="35:35">
      <c r="AI936" s="2044"/>
    </row>
    <row r="937" spans="35:35">
      <c r="AI937" s="2044"/>
    </row>
    <row r="938" spans="35:35">
      <c r="AI938" s="2044"/>
    </row>
    <row r="939" spans="35:35">
      <c r="AI939" s="2044"/>
    </row>
    <row r="940" spans="35:35">
      <c r="AI940" s="2044"/>
    </row>
    <row r="941" spans="35:35">
      <c r="AI941" s="2044"/>
    </row>
    <row r="942" spans="35:35">
      <c r="AI942" s="2044"/>
    </row>
    <row r="943" spans="35:35">
      <c r="AI943" s="2044"/>
    </row>
    <row r="944" spans="35:35">
      <c r="AI944" s="2044"/>
    </row>
    <row r="945" spans="35:35">
      <c r="AI945" s="2044"/>
    </row>
    <row r="946" spans="35:35">
      <c r="AI946" s="2044"/>
    </row>
    <row r="947" spans="35:35">
      <c r="AI947" s="2044"/>
    </row>
    <row r="948" spans="35:35">
      <c r="AI948" s="2044"/>
    </row>
    <row r="949" spans="35:35">
      <c r="AI949" s="2044"/>
    </row>
    <row r="950" spans="35:35">
      <c r="AI950" s="2044"/>
    </row>
    <row r="951" spans="35:35">
      <c r="AI951" s="2044"/>
    </row>
    <row r="952" spans="35:35">
      <c r="AI952" s="2044"/>
    </row>
    <row r="953" spans="35:35">
      <c r="AI953" s="2044"/>
    </row>
    <row r="954" spans="35:35">
      <c r="AI954" s="2044"/>
    </row>
    <row r="955" spans="35:35">
      <c r="AI955" s="2044"/>
    </row>
    <row r="956" spans="35:35">
      <c r="AI956" s="2044"/>
    </row>
    <row r="957" spans="35:35">
      <c r="AI957" s="2044"/>
    </row>
    <row r="958" spans="35:35">
      <c r="AI958" s="2044"/>
    </row>
    <row r="959" spans="35:35">
      <c r="AI959" s="2044"/>
    </row>
    <row r="960" spans="35:35">
      <c r="AI960" s="2044"/>
    </row>
    <row r="961" spans="35:35">
      <c r="AI961" s="2044"/>
    </row>
    <row r="962" spans="35:35">
      <c r="AI962" s="2044"/>
    </row>
    <row r="963" spans="35:35">
      <c r="AI963" s="2044"/>
    </row>
    <row r="964" spans="35:35">
      <c r="AI964" s="2044"/>
    </row>
    <row r="965" spans="35:35">
      <c r="AI965" s="2044"/>
    </row>
    <row r="966" spans="35:35">
      <c r="AI966" s="2044"/>
    </row>
    <row r="967" spans="35:35">
      <c r="AI967" s="2044"/>
    </row>
    <row r="968" spans="35:35">
      <c r="AI968" s="2044"/>
    </row>
    <row r="969" spans="35:35">
      <c r="AI969" s="2044"/>
    </row>
    <row r="970" spans="35:35">
      <c r="AI970" s="2044"/>
    </row>
    <row r="971" spans="35:35">
      <c r="AI971" s="2044"/>
    </row>
    <row r="972" spans="35:35">
      <c r="AI972" s="2044"/>
    </row>
    <row r="973" spans="35:35">
      <c r="AI973" s="2044"/>
    </row>
    <row r="974" spans="35:35">
      <c r="AI974" s="2044"/>
    </row>
    <row r="975" spans="35:35">
      <c r="AI975" s="2044"/>
    </row>
    <row r="976" spans="35:35">
      <c r="AI976" s="2044"/>
    </row>
    <row r="977" spans="35:35">
      <c r="AI977" s="2044"/>
    </row>
    <row r="978" spans="35:35">
      <c r="AI978" s="2044"/>
    </row>
    <row r="979" spans="35:35">
      <c r="AI979" s="2044"/>
    </row>
    <row r="980" spans="35:35">
      <c r="AI980" s="2044"/>
    </row>
    <row r="981" spans="35:35">
      <c r="AI981" s="2044"/>
    </row>
    <row r="982" spans="35:35">
      <c r="AI982" s="2044"/>
    </row>
    <row r="983" spans="35:35">
      <c r="AI983" s="2044"/>
    </row>
    <row r="984" spans="35:35">
      <c r="AI984" s="2044"/>
    </row>
    <row r="985" spans="35:35">
      <c r="AI985" s="2044"/>
    </row>
    <row r="986" spans="35:35">
      <c r="AI986" s="2044"/>
    </row>
    <row r="987" spans="35:35">
      <c r="AI987" s="2044"/>
    </row>
    <row r="988" spans="35:35">
      <c r="AI988" s="2044"/>
    </row>
    <row r="989" spans="35:35">
      <c r="AI989" s="2044"/>
    </row>
    <row r="990" spans="35:35">
      <c r="AI990" s="2044"/>
    </row>
    <row r="991" spans="35:35">
      <c r="AI991" s="2044"/>
    </row>
    <row r="992" spans="35:35">
      <c r="AI992" s="2044"/>
    </row>
    <row r="993" spans="35:35">
      <c r="AI993" s="2044"/>
    </row>
    <row r="994" spans="35:35">
      <c r="AI994" s="2044"/>
    </row>
    <row r="995" spans="35:35">
      <c r="AI995" s="2044"/>
    </row>
    <row r="996" spans="35:35">
      <c r="AI996" s="2044"/>
    </row>
    <row r="997" spans="35:35">
      <c r="AI997" s="2044"/>
    </row>
    <row r="998" spans="35:35">
      <c r="AI998" s="2044"/>
    </row>
    <row r="999" spans="35:35">
      <c r="AI999" s="2044"/>
    </row>
    <row r="1000" spans="35:35">
      <c r="AI1000" s="2044"/>
    </row>
    <row r="1001" spans="35:35">
      <c r="AI1001" s="2044"/>
    </row>
    <row r="1002" spans="35:35">
      <c r="AI1002" s="2044"/>
    </row>
    <row r="1003" spans="35:35">
      <c r="AI1003" s="2044"/>
    </row>
    <row r="1004" spans="35:35">
      <c r="AI1004" s="2044"/>
    </row>
    <row r="1005" spans="35:35">
      <c r="AI1005" s="2044"/>
    </row>
    <row r="1006" spans="35:35">
      <c r="AI1006" s="2044"/>
    </row>
    <row r="1007" spans="35:35">
      <c r="AI1007" s="2044"/>
    </row>
    <row r="1008" spans="35:35">
      <c r="AI1008" s="2044"/>
    </row>
    <row r="1009" spans="35:35">
      <c r="AI1009" s="2044"/>
    </row>
    <row r="1010" spans="35:35">
      <c r="AI1010" s="2044"/>
    </row>
    <row r="1011" spans="35:35">
      <c r="AI1011" s="2044"/>
    </row>
    <row r="1012" spans="35:35">
      <c r="AI1012" s="2044"/>
    </row>
    <row r="1013" spans="35:35">
      <c r="AI1013" s="2044"/>
    </row>
    <row r="1014" spans="35:35">
      <c r="AI1014" s="2044"/>
    </row>
    <row r="1015" spans="35:35">
      <c r="AI1015" s="2044"/>
    </row>
    <row r="1016" spans="35:35">
      <c r="AI1016" s="2044"/>
    </row>
    <row r="1017" spans="35:35">
      <c r="AI1017" s="2044"/>
    </row>
    <row r="1018" spans="35:35">
      <c r="AI1018" s="2044"/>
    </row>
    <row r="1019" spans="35:35">
      <c r="AI1019" s="2044"/>
    </row>
    <row r="1020" spans="35:35">
      <c r="AI1020" s="2044"/>
    </row>
    <row r="1021" spans="35:35">
      <c r="AI1021" s="2044"/>
    </row>
    <row r="1022" spans="35:35">
      <c r="AI1022" s="2044"/>
    </row>
    <row r="1023" spans="35:35">
      <c r="AI1023" s="2044"/>
    </row>
    <row r="1024" spans="35:35">
      <c r="AI1024" s="2044"/>
    </row>
    <row r="1025" spans="35:35">
      <c r="AI1025" s="2044"/>
    </row>
  </sheetData>
  <mergeCells count="18">
    <mergeCell ref="C3:O5"/>
    <mergeCell ref="D7:N9"/>
    <mergeCell ref="C16:P19"/>
    <mergeCell ref="C26:F26"/>
    <mergeCell ref="H26:P26"/>
    <mergeCell ref="J11:M11"/>
    <mergeCell ref="D21:J21"/>
    <mergeCell ref="M21:N21"/>
    <mergeCell ref="D22:J22"/>
    <mergeCell ref="L22:M22"/>
    <mergeCell ref="C29:F29"/>
    <mergeCell ref="H29:O29"/>
    <mergeCell ref="C30:F30"/>
    <mergeCell ref="H30:P30"/>
    <mergeCell ref="C27:F27"/>
    <mergeCell ref="H27:P27"/>
    <mergeCell ref="C28:F28"/>
    <mergeCell ref="H28:O28"/>
  </mergeCells>
  <conditionalFormatting sqref="AI1:AI1025">
    <cfRule type="cellIs" dxfId="27" priority="1" stopIfTrue="1" operator="lessThan">
      <formula>1</formula>
    </cfRule>
  </conditionalFormatting>
  <printOptions horizontalCentered="1" verticalCentered="1"/>
  <pageMargins left="0.75" right="0.5" top="0.5" bottom="0.5" header="0.5" footer="0.5"/>
  <pageSetup paperSize="9" scale="95" orientation="portrait" r:id="rId1"/>
  <drawing r:id="rId2"/>
</worksheet>
</file>

<file path=xl/worksheets/sheet18.xml><?xml version="1.0" encoding="utf-8"?>
<worksheet xmlns="http://schemas.openxmlformats.org/spreadsheetml/2006/main" xmlns:r="http://schemas.openxmlformats.org/officeDocument/2006/relationships">
  <sheetPr codeName="Sheet13"/>
  <dimension ref="A1"/>
  <sheetViews>
    <sheetView view="pageBreakPreview" topLeftCell="A4" workbookViewId="0">
      <selection activeCell="Q22" sqref="Q22"/>
    </sheetView>
  </sheetViews>
  <sheetFormatPr defaultColWidth="9" defaultRowHeight="12.75"/>
  <sheetData/>
  <pageMargins left="0.7" right="0.7" top="0.75" bottom="0.75" header="0.3" footer="0.3"/>
  <pageSetup paperSize="9" orientation="landscape" r:id="rId1"/>
  <drawing r:id="rId2"/>
</worksheet>
</file>

<file path=xl/worksheets/sheet19.xml><?xml version="1.0" encoding="utf-8"?>
<worksheet xmlns="http://schemas.openxmlformats.org/spreadsheetml/2006/main" xmlns:r="http://schemas.openxmlformats.org/officeDocument/2006/relationships">
  <sheetPr codeName="Sheet22">
    <tabColor rgb="FFFF0000"/>
  </sheetPr>
  <dimension ref="A1:P610"/>
  <sheetViews>
    <sheetView view="pageBreakPreview" topLeftCell="C185" workbookViewId="0">
      <selection activeCell="H198" sqref="H198"/>
    </sheetView>
  </sheetViews>
  <sheetFormatPr defaultColWidth="8.85546875" defaultRowHeight="15"/>
  <cols>
    <col min="1" max="1" width="6.28515625" style="1668" customWidth="1"/>
    <col min="2" max="2" width="11.42578125" style="1669" customWidth="1"/>
    <col min="3" max="3" width="9.140625" style="1668"/>
    <col min="4" max="4" width="69.5703125" style="1666" customWidth="1"/>
    <col min="5" max="5" width="9.5703125" style="1666" customWidth="1"/>
    <col min="6" max="6" width="8.5703125" style="1670" customWidth="1"/>
    <col min="7" max="7" width="11.28515625" style="1666" customWidth="1"/>
    <col min="8" max="8" width="15.28515625" style="1666" customWidth="1"/>
    <col min="9" max="9" width="15" style="1666" customWidth="1"/>
    <col min="10" max="10" width="14.42578125" style="1666" customWidth="1"/>
    <col min="11" max="11" width="15.28515625" style="1666" customWidth="1"/>
    <col min="12" max="16384" width="8.85546875" style="1666"/>
  </cols>
  <sheetData>
    <row r="1" spans="1:14">
      <c r="A1" s="3548" t="s">
        <v>1085</v>
      </c>
      <c r="B1" s="3548"/>
      <c r="C1" s="3548"/>
      <c r="D1" s="3548"/>
      <c r="E1" s="3548"/>
      <c r="F1" s="3548"/>
      <c r="G1" s="3548"/>
      <c r="H1" s="3548"/>
    </row>
    <row r="2" spans="1:14">
      <c r="A2" s="3548" t="s">
        <v>1086</v>
      </c>
      <c r="B2" s="3548"/>
      <c r="C2" s="3548"/>
      <c r="D2" s="3548"/>
      <c r="E2" s="3548"/>
      <c r="F2" s="3548"/>
      <c r="G2" s="3548"/>
      <c r="H2" s="3548"/>
    </row>
    <row r="3" spans="1:14" ht="32.450000000000003" customHeight="1">
      <c r="A3" s="1671" t="s">
        <v>1087</v>
      </c>
      <c r="B3" s="1672"/>
      <c r="C3" s="1673"/>
      <c r="D3" s="3549" t="str">
        <f>+'Input Data'!E1</f>
        <v>R/F A to B in Wanaparthy Mandal of Wanaparthy District</v>
      </c>
      <c r="E3" s="3549"/>
      <c r="F3" s="3549"/>
      <c r="G3" s="3549"/>
      <c r="H3" s="3549"/>
    </row>
    <row r="4" spans="1:14">
      <c r="A4" s="1674" t="s">
        <v>1088</v>
      </c>
      <c r="B4" s="1675"/>
      <c r="C4" s="1676">
        <f>+'Input Data'!J4</f>
        <v>100</v>
      </c>
      <c r="D4" s="1677" t="s">
        <v>329</v>
      </c>
      <c r="E4" s="1323" t="s">
        <v>386</v>
      </c>
      <c r="F4" s="3550" t="str">
        <f>'Input Data'!J6</f>
        <v>CRR-2024-25</v>
      </c>
      <c r="G4" s="3550"/>
      <c r="H4" s="1324" t="str">
        <f>"NIT.No-"&amp;'Input Data'!L5</f>
        <v>NIT.No--</v>
      </c>
    </row>
    <row r="5" spans="1:14" ht="75" customHeight="1">
      <c r="A5" s="1323" t="s">
        <v>1089</v>
      </c>
      <c r="B5" s="3551" t="s">
        <v>1090</v>
      </c>
      <c r="C5" s="3551"/>
      <c r="D5" s="3551"/>
      <c r="E5" s="3551"/>
      <c r="F5" s="3551"/>
      <c r="G5" s="3551"/>
      <c r="H5" s="3551"/>
    </row>
    <row r="6" spans="1:14" ht="60" customHeight="1">
      <c r="A6" s="1323" t="s">
        <v>1091</v>
      </c>
      <c r="B6" s="3551" t="s">
        <v>1092</v>
      </c>
      <c r="C6" s="3551"/>
      <c r="D6" s="3551"/>
      <c r="E6" s="3551"/>
      <c r="F6" s="3551"/>
      <c r="G6" s="3551"/>
      <c r="H6" s="3551"/>
    </row>
    <row r="7" spans="1:14" ht="17.45" customHeight="1">
      <c r="A7" s="1323" t="s">
        <v>1093</v>
      </c>
      <c r="B7" s="3553" t="s">
        <v>1094</v>
      </c>
      <c r="C7" s="3553"/>
      <c r="D7" s="3553"/>
      <c r="E7" s="3553"/>
      <c r="F7" s="3553"/>
      <c r="G7" s="3553"/>
      <c r="H7" s="3553"/>
    </row>
    <row r="8" spans="1:14" ht="28.9" customHeight="1">
      <c r="A8" s="1323" t="s">
        <v>1095</v>
      </c>
      <c r="B8" s="3551" t="s">
        <v>1096</v>
      </c>
      <c r="C8" s="3551"/>
      <c r="D8" s="3551"/>
      <c r="E8" s="3551"/>
      <c r="F8" s="3551"/>
      <c r="G8" s="3551"/>
      <c r="H8" s="3551"/>
    </row>
    <row r="9" spans="1:14" ht="105">
      <c r="A9" s="1679" t="s">
        <v>460</v>
      </c>
      <c r="B9" s="1680" t="s">
        <v>1097</v>
      </c>
      <c r="C9" s="1679" t="s">
        <v>580</v>
      </c>
      <c r="D9" s="1679" t="s">
        <v>1098</v>
      </c>
      <c r="E9" s="1679" t="s">
        <v>1099</v>
      </c>
      <c r="F9" s="1681" t="s">
        <v>1100</v>
      </c>
      <c r="G9" s="1682" t="s">
        <v>1101</v>
      </c>
      <c r="H9" s="1679" t="s">
        <v>532</v>
      </c>
    </row>
    <row r="10" spans="1:14">
      <c r="A10" s="1679">
        <v>1</v>
      </c>
      <c r="B10" s="1679">
        <v>2</v>
      </c>
      <c r="C10" s="1679">
        <v>3</v>
      </c>
      <c r="D10" s="1679">
        <v>4</v>
      </c>
      <c r="E10" s="1679">
        <v>5</v>
      </c>
      <c r="F10" s="1681">
        <v>6</v>
      </c>
      <c r="G10" s="1679">
        <v>7</v>
      </c>
      <c r="H10" s="1679">
        <v>8</v>
      </c>
    </row>
    <row r="11" spans="1:14" s="1321" customFormat="1">
      <c r="A11" s="1679"/>
      <c r="B11" s="1680"/>
      <c r="C11" s="1679">
        <v>1</v>
      </c>
      <c r="D11" s="1683" t="s">
        <v>1102</v>
      </c>
      <c r="E11" s="1684"/>
      <c r="F11" s="1681"/>
      <c r="G11" s="1684"/>
      <c r="H11" s="1684"/>
      <c r="L11" s="1685">
        <v>1</v>
      </c>
      <c r="M11" s="1685">
        <v>0</v>
      </c>
      <c r="N11" s="1698">
        <f>H11</f>
        <v>0</v>
      </c>
    </row>
    <row r="12" spans="1:14" s="1321" customFormat="1" ht="106.9" customHeight="1">
      <c r="A12" s="1685">
        <f>L12</f>
        <v>1</v>
      </c>
      <c r="B12" s="1686">
        <f>'Road Estimate'!I8</f>
        <v>3000</v>
      </c>
      <c r="C12" s="1326" t="s">
        <v>353</v>
      </c>
      <c r="D12" s="1678" t="str">
        <f>'Road Estimate'!B5</f>
        <v>Clearing and grubbing road land including uprooting rank vegetation, grass, bushes, shrubs, saplings and trees girth up to 300 mm, removal of stumps of trees cut earlier and disposal of unserviceable materials and stacking of serviceable material to be used or auctioned, up to a lead of 1000 metres including removal and disposal of top organic soil not exceeding 150 mm in thickness by Mechanical means as per the Techinical Specification Clause 201 MoRTH 5th Revision</v>
      </c>
      <c r="E12" s="1337" t="s">
        <v>1103</v>
      </c>
      <c r="F12" s="1687" t="s">
        <v>1104</v>
      </c>
      <c r="G12" s="1688">
        <f>'Road Estimate'!$J$8</f>
        <v>3.93</v>
      </c>
      <c r="H12" s="1689">
        <f>ROUND(B12*G12,0)</f>
        <v>11790</v>
      </c>
      <c r="L12" s="1699">
        <f t="shared" ref="L12" si="0">IF(M12=M11,0,M12)</f>
        <v>1</v>
      </c>
      <c r="M12" s="1699">
        <f>IF(N12&gt;0,(M11+1),M11)</f>
        <v>1</v>
      </c>
      <c r="N12" s="1698">
        <f>H12</f>
        <v>11790</v>
      </c>
    </row>
    <row r="13" spans="1:14" s="1321" customFormat="1" ht="67.900000000000006" customHeight="1">
      <c r="A13" s="1685">
        <f t="shared" ref="A13:A45" si="1">L13</f>
        <v>0</v>
      </c>
      <c r="B13" s="1686">
        <f>'Road Estimate'!I12</f>
        <v>0</v>
      </c>
      <c r="C13" s="1326" t="s">
        <v>31</v>
      </c>
      <c r="D13" s="1678" t="str">
        <f>'Road Estimate'!B10</f>
        <v xml:space="preserve">Scarifying the granular surface  to a depth of 50 mm by Mechanical means and re-using the scarified material with all leads and lifts  as per MoRT&amp;H (5th Revision) Specn. No.305.4.3    </v>
      </c>
      <c r="E13" s="1337" t="s">
        <v>1105</v>
      </c>
      <c r="F13" s="1687" t="s">
        <v>53</v>
      </c>
      <c r="G13" s="1688">
        <f>'Road Estimate'!J12</f>
        <v>43.84</v>
      </c>
      <c r="H13" s="1689">
        <f>ROUND(B13*G13,0)</f>
        <v>0</v>
      </c>
      <c r="L13" s="1699">
        <f t="shared" ref="L13" si="2">IF(M13=M12,0,M13)</f>
        <v>0</v>
      </c>
      <c r="M13" s="1699">
        <f t="shared" ref="M13" si="3">IF(N13&gt;0,(M12+1),M12)</f>
        <v>1</v>
      </c>
      <c r="N13" s="1698">
        <f>H13</f>
        <v>0</v>
      </c>
    </row>
    <row r="14" spans="1:14" s="1321" customFormat="1" ht="124.15" customHeight="1">
      <c r="A14" s="1685">
        <f t="shared" si="1"/>
        <v>0</v>
      </c>
      <c r="B14" s="1686">
        <f>'Road Estimate'!I16</f>
        <v>0</v>
      </c>
      <c r="C14" s="1326" t="s">
        <v>31</v>
      </c>
      <c r="D14" s="1678" t="str">
        <f>'Road Estimate'!B14</f>
        <v>Excavation for roadwork in soil by mechanical means including cutting and pushing the earth to the site of Embankment  upto a lead of 100m,including trimming bottom and side slopes, in accordance with requirements of lines, grades and cross sections as per Technical sanction Clause 302.3MORD/301 MORTH including overhead charges&amp; Contractor's profit but excluding seignioarge charges for finished item of work .</v>
      </c>
      <c r="E14" s="1337" t="s">
        <v>1106</v>
      </c>
      <c r="F14" s="1687" t="s">
        <v>53</v>
      </c>
      <c r="G14" s="1688">
        <f>'Road Estimate'!$J$16</f>
        <v>127.41</v>
      </c>
      <c r="H14" s="1689">
        <f t="shared" ref="H14:H30" si="4">ROUND(B14*G14,0)</f>
        <v>0</v>
      </c>
      <c r="L14" s="1699">
        <f t="shared" ref="L14:L46" si="5">IF(M14=M13,0,M14)</f>
        <v>0</v>
      </c>
      <c r="M14" s="1699">
        <f t="shared" ref="M14:M46" si="6">IF(N14&gt;0,(M13+1),M13)</f>
        <v>1</v>
      </c>
      <c r="N14" s="1698">
        <f t="shared" ref="N14:N46" si="7">H14</f>
        <v>0</v>
      </c>
    </row>
    <row r="15" spans="1:14" s="1321" customFormat="1" ht="148.15" customHeight="1">
      <c r="A15" s="1685">
        <f t="shared" si="1"/>
        <v>2</v>
      </c>
      <c r="B15" s="1686">
        <f>'Road Estimate'!I20</f>
        <v>2500</v>
      </c>
      <c r="C15" s="1326" t="s">
        <v>31</v>
      </c>
      <c r="D15" s="1678" t="str">
        <f>'Road Estimate'!B18</f>
        <v>Forming Embankment with material obtained from borrowed useful earth from outside road boundary by mechanical means upto SDR with all leads and lifts including pre-watering of soil at borrow area, removal of top soil, excavation of soils at borrowed area, conveyance of soil, depositing the soil on the embankment, spreading soil, breaking clods, sectioning, grading and consolidation with 8 to 10 Tonnes Vibratory Road Roller @ OMC to meet requirement of table 300-2 of MoRT&amp;H, including  all hire and operational charges of T&amp;P, complete for finished item of work as per MoRT&amp;H specification 305 (5th revision). (The soil CBR&gt;10%, PI&lt;18% &amp; MDD&gt;1.8 g/cc)</v>
      </c>
      <c r="E15" s="1337" t="s">
        <v>1106</v>
      </c>
      <c r="F15" s="1687" t="s">
        <v>53</v>
      </c>
      <c r="G15" s="1688">
        <f>'Road Estimate'!$J$20</f>
        <v>270.81</v>
      </c>
      <c r="H15" s="1689">
        <f t="shared" si="4"/>
        <v>677025</v>
      </c>
      <c r="L15" s="1699">
        <f t="shared" si="5"/>
        <v>2</v>
      </c>
      <c r="M15" s="1699">
        <f t="shared" si="6"/>
        <v>2</v>
      </c>
      <c r="N15" s="1698">
        <f t="shared" si="7"/>
        <v>677025</v>
      </c>
    </row>
    <row r="16" spans="1:14" s="1321" customFormat="1" ht="54.6" customHeight="1">
      <c r="A16" s="1685">
        <f t="shared" si="1"/>
        <v>0</v>
      </c>
      <c r="B16" s="1686">
        <f>'Road Estimate'!I24</f>
        <v>0</v>
      </c>
      <c r="C16" s="1326" t="s">
        <v>353</v>
      </c>
      <c r="D16" s="1678" t="str">
        <f>'Road Estimate'!B22</f>
        <v xml:space="preserve">Scarifying the existing bitumen surface  to a depth of 50 mm by Mechanical means and disposal of scarified material with all leads and lifts upto 1000 Mtrs as per MoRT&amp;H (5th Revision) Specn. No.305.4.3    </v>
      </c>
      <c r="E16" s="1337" t="s">
        <v>1107</v>
      </c>
      <c r="F16" s="1687" t="s">
        <v>137</v>
      </c>
      <c r="G16" s="1688">
        <f>'Road Estimate'!$J$24</f>
        <v>10.220000000000001</v>
      </c>
      <c r="H16" s="1689">
        <f t="shared" ref="H16" si="8">ROUND(B16*G16,0)</f>
        <v>0</v>
      </c>
      <c r="L16" s="1699">
        <f t="shared" si="5"/>
        <v>0</v>
      </c>
      <c r="M16" s="1699">
        <f t="shared" si="6"/>
        <v>2</v>
      </c>
      <c r="N16" s="1698">
        <f t="shared" si="7"/>
        <v>0</v>
      </c>
    </row>
    <row r="17" spans="1:16" s="1321" customFormat="1" ht="95.45" customHeight="1">
      <c r="A17" s="1685">
        <f t="shared" si="1"/>
        <v>3</v>
      </c>
      <c r="B17" s="1686">
        <f>'Road Estimate'!I30</f>
        <v>600</v>
      </c>
      <c r="C17" s="1326" t="s">
        <v>31</v>
      </c>
      <c r="D17" s="1690" t="str">
        <f>'Road Estimate'!B26</f>
        <v>Construction of earthen shoulders with selective soils obtained from borrow pits with MDD of 18 KN/Cum , CBR ≥ 12%, PI &lt; 12% from approved sources, grading and consoilidation with 8 to 10 Tonnes Vibratory Road Roller @ OMC to meet requirement of MoRT&amp;H, including all hire and operational charges of T&amp;P complete for finished item of work as per MoRT&amp;H specification 305 (5th  revision)</v>
      </c>
      <c r="E17" s="1337" t="s">
        <v>1106</v>
      </c>
      <c r="F17" s="1687" t="s">
        <v>53</v>
      </c>
      <c r="G17" s="1688">
        <f>'Road Estimate'!$J$30</f>
        <v>288.3</v>
      </c>
      <c r="H17" s="1689">
        <f t="shared" si="4"/>
        <v>172980</v>
      </c>
      <c r="L17" s="1699">
        <f t="shared" si="5"/>
        <v>3</v>
      </c>
      <c r="M17" s="1699">
        <f t="shared" si="6"/>
        <v>3</v>
      </c>
      <c r="N17" s="1698">
        <f t="shared" si="7"/>
        <v>172980</v>
      </c>
    </row>
    <row r="18" spans="1:16" s="1321" customFormat="1" ht="151.15" customHeight="1">
      <c r="A18" s="1685">
        <f t="shared" si="1"/>
        <v>4</v>
      </c>
      <c r="B18" s="1686">
        <f>'Road Estimate'!I36</f>
        <v>640</v>
      </c>
      <c r="C18" s="1326" t="s">
        <v>31</v>
      </c>
      <c r="D18" s="1678" t="str">
        <f>'Road Estimate'!B32</f>
        <v>Construction of Granular sub-base by providing   HBG material confirming to Grading - VI of MoRT&amp;H (Table 400-1 &amp; 400-2) including cost, and conveyance of all materials to work site and spreading in uniform layers with motor grader or by approved means,  on prepared surface mixing by mix-in-place method with rotavator / approved means at OMC and compacting with vibratory roller to achieve CBR value minimum of 30% at 98% of dry density and PI value maximum 6, complete for finished item of work as per MoRT&amp;H Specification   401  (5th revision) including contractors profit &amp; Over head charges excluding Seignarage charges etc</v>
      </c>
      <c r="E18" s="1337" t="s">
        <v>1108</v>
      </c>
      <c r="F18" s="1687" t="s">
        <v>53</v>
      </c>
      <c r="G18" s="1688">
        <f>'Road Estimate'!$J$36</f>
        <v>2686.07</v>
      </c>
      <c r="H18" s="1689">
        <f t="shared" si="4"/>
        <v>1719085</v>
      </c>
      <c r="L18" s="1699">
        <f t="shared" si="5"/>
        <v>4</v>
      </c>
      <c r="M18" s="1699">
        <f t="shared" si="6"/>
        <v>4</v>
      </c>
      <c r="N18" s="1698">
        <f t="shared" si="7"/>
        <v>1719085</v>
      </c>
    </row>
    <row r="19" spans="1:16" s="1321" customFormat="1" ht="165.6" customHeight="1">
      <c r="A19" s="1685">
        <f t="shared" si="1"/>
        <v>0</v>
      </c>
      <c r="B19" s="1686">
        <f>'Road Estimate'!I41</f>
        <v>0</v>
      </c>
      <c r="C19" s="1326" t="s">
        <v>31</v>
      </c>
      <c r="D19" s="1678" t="str">
        <f>'Road Estimate'!B38</f>
        <v>Providing, laying, spreading and compacting stone aggregates of specific sizes  for Grading 2 material to water bound macadam specification including spreading in uniform thickness, hand packing, rolling with Vibratory  roller 80-100 kN in stages to proper grade and camber, applying and brooming, stone screening/binding materials to fill-up the interstices of coarse aggregate, watering and compacting to the required density grading 2, as directed by the Engineer-in-Charge and as per Technical Specification Clause 404 MoRT&amp;H ( 5th revision ) . For compacted thickness of 75 mm.  including all  over heads , and Contractors profit etc,But excluding VAT &amp; Seignarage charges., Complete, for WBM Grading II ( Hand Broken) HBG metal</v>
      </c>
      <c r="E19" s="1337" t="s">
        <v>1109</v>
      </c>
      <c r="F19" s="1687" t="s">
        <v>53</v>
      </c>
      <c r="G19" s="1688">
        <f>'Road Estimate'!$J$41</f>
        <v>2889.56</v>
      </c>
      <c r="H19" s="1689">
        <f t="shared" ref="H19" si="9">ROUND(B19*G19,0)</f>
        <v>0</v>
      </c>
      <c r="L19" s="1699">
        <f t="shared" si="5"/>
        <v>0</v>
      </c>
      <c r="M19" s="1699">
        <f t="shared" si="6"/>
        <v>4</v>
      </c>
      <c r="N19" s="1698">
        <f t="shared" si="7"/>
        <v>0</v>
      </c>
    </row>
    <row r="20" spans="1:16" s="1321" customFormat="1" ht="172.15" customHeight="1">
      <c r="A20" s="1685">
        <f t="shared" si="1"/>
        <v>0</v>
      </c>
      <c r="B20" s="1686">
        <f>'Road Estimate'!I46</f>
        <v>0</v>
      </c>
      <c r="C20" s="1326" t="s">
        <v>31</v>
      </c>
      <c r="D20" s="1678" t="str">
        <f>'Road Estimate'!B43</f>
        <v>Providing, laying, spreading and compacting stone aggregates of specific sizes  for Grading 3 material to  to water bound macadam specification including spreading in uniform thickness, hand packing, rolling with Vibratory  roller 80-100 kN in stages to proper grade and camber, applying and brooming, stone screening to fill-up the interstices of coarse aggregate, watering and compacting to the required density Grading 3,  as directed by the Engineer-in-Charge and as per Technical Specification Clause 404 MoRT&amp;H ( 5th revision ) .. For compacted thickness of 75 mm.  including all  over heads , and Contractors profit  etc excluding Seignarage charges complete  for WBM Grading III ( Machine Crushed) HBG metal</v>
      </c>
      <c r="E20" s="1337" t="s">
        <v>1109</v>
      </c>
      <c r="F20" s="1687" t="s">
        <v>53</v>
      </c>
      <c r="G20" s="1688">
        <f>'Road Estimate'!$J$46</f>
        <v>3079</v>
      </c>
      <c r="H20" s="1689">
        <f t="shared" ref="H20" si="10">ROUND(B20*G20,0)</f>
        <v>0</v>
      </c>
      <c r="L20" s="1699">
        <f t="shared" si="5"/>
        <v>0</v>
      </c>
      <c r="M20" s="1699">
        <f t="shared" si="6"/>
        <v>4</v>
      </c>
      <c r="N20" s="1698">
        <f t="shared" si="7"/>
        <v>0</v>
      </c>
    </row>
    <row r="21" spans="1:16" s="1321" customFormat="1" ht="151.9" customHeight="1">
      <c r="A21" s="1685">
        <f t="shared" si="1"/>
        <v>5</v>
      </c>
      <c r="B21" s="1686">
        <f>'Road Estimate'!I52</f>
        <v>506.25</v>
      </c>
      <c r="C21" s="1326" t="s">
        <v>31</v>
      </c>
      <c r="D21" s="1678" t="str">
        <f>'Road Estimate'!B48</f>
        <v>Providing, laying, spreading and compacting graded stone aggregate to Wet mix macadam specification including premixing the  material with water at OMC in mechanical mixer (Pug Mill), carriage of mixed material by tipper to site, laying  in uniform layers in sub-base/base course on a well prepared sub-base and compacting with Vibratory  roller of 80 to 100kN  to achieve the desired density including lighting, barricading and maintenance of diversion, etc as directed by the Engineer-in-Charge and as per Technical Specification Clause 406 MoRT&amp;H ( 5th revision ), including overhead charges &amp; Contractor profit excluding Seignarage charges etc complete.</v>
      </c>
      <c r="E21" s="1337" t="s">
        <v>1110</v>
      </c>
      <c r="F21" s="1687" t="s">
        <v>53</v>
      </c>
      <c r="G21" s="1688">
        <f>'Road Estimate'!$J$52</f>
        <v>3062.5</v>
      </c>
      <c r="H21" s="1689">
        <f t="shared" si="4"/>
        <v>1550391</v>
      </c>
      <c r="L21" s="1699">
        <f t="shared" si="5"/>
        <v>5</v>
      </c>
      <c r="M21" s="1699">
        <f t="shared" si="6"/>
        <v>5</v>
      </c>
      <c r="N21" s="1698">
        <f t="shared" si="7"/>
        <v>1550391</v>
      </c>
    </row>
    <row r="22" spans="1:16" s="1321" customFormat="1" ht="108.6" customHeight="1">
      <c r="A22" s="1685">
        <f t="shared" si="1"/>
        <v>6</v>
      </c>
      <c r="B22" s="1686">
        <f>'Road Estimate'!I57</f>
        <v>3000</v>
      </c>
      <c r="C22" s="1326" t="s">
        <v>353</v>
      </c>
      <c r="D22" s="1678" t="str">
        <f>'Road Estimate'!B54</f>
        <v>Providing and applying primer coat with bitumen emulsion (SS-1) on prepared surface of granular base including cleaning of road surface and spraying primer at the rate of 0.60 kg/sqm using mechanical means, as directed by the Engineer-in-Charge and as per Technical Specification Clause 502 MoRT&amp;H (5th Revision)  (for use on Wet mix macadam &amp; WBM) ,including overhead charges &amp; Contractors profit excluding Seignarage charges etc complete.</v>
      </c>
      <c r="E22" s="1337" t="s">
        <v>1111</v>
      </c>
      <c r="F22" s="1687" t="s">
        <v>137</v>
      </c>
      <c r="G22" s="1688">
        <f>'Road Estimate'!$J$57</f>
        <v>55.37</v>
      </c>
      <c r="H22" s="1689">
        <f t="shared" si="4"/>
        <v>166110</v>
      </c>
      <c r="L22" s="1699">
        <f t="shared" si="5"/>
        <v>6</v>
      </c>
      <c r="M22" s="1699">
        <f t="shared" si="6"/>
        <v>6</v>
      </c>
      <c r="N22" s="1698">
        <f t="shared" si="7"/>
        <v>166110</v>
      </c>
    </row>
    <row r="23" spans="1:16" s="1321" customFormat="1" ht="114.6" customHeight="1">
      <c r="A23" s="1685">
        <f t="shared" si="1"/>
        <v>7</v>
      </c>
      <c r="B23" s="1686">
        <f>'Road Estimate'!I62</f>
        <v>3000</v>
      </c>
      <c r="C23" s="1326" t="s">
        <v>353</v>
      </c>
      <c r="D23" s="1678" t="str">
        <f>'Road Estimate'!B59</f>
        <v>Providing and applying tack coat with Bitumen emulsion (RS-1)  using emulsion  distributor at the rate of 0.275 kg per sqm on the prepared granular surfaces treated with primer &amp; cleaned with Hydraulic broom,as directed by the Engineer-in-Charge and as per Technical Specification Clause 503 MoRT&amp;H (5th Revision), including overhead charges &amp; Contractors profit excluding Seignarage charges etc complete.</v>
      </c>
      <c r="E23" s="1337" t="s">
        <v>1111</v>
      </c>
      <c r="F23" s="1687" t="s">
        <v>137</v>
      </c>
      <c r="G23" s="1688">
        <f>'Road Estimate'!$J$62</f>
        <v>15.66</v>
      </c>
      <c r="H23" s="1689">
        <f t="shared" si="4"/>
        <v>46980</v>
      </c>
      <c r="L23" s="1699">
        <f t="shared" si="5"/>
        <v>7</v>
      </c>
      <c r="M23" s="1699">
        <f t="shared" si="6"/>
        <v>7</v>
      </c>
      <c r="N23" s="1698">
        <f t="shared" si="7"/>
        <v>46980</v>
      </c>
    </row>
    <row r="24" spans="1:16" s="1321" customFormat="1" ht="230.45" customHeight="1">
      <c r="A24" s="1685">
        <f t="shared" si="1"/>
        <v>0</v>
      </c>
      <c r="B24" s="1686">
        <f>'Road Estimate'!I66</f>
        <v>0</v>
      </c>
      <c r="C24" s="1326" t="s">
        <v>353</v>
      </c>
      <c r="D24" s="1678" t="str">
        <f>'Road Estimate'!B64</f>
        <v>Providing, laying and rolling of open-graded premix carpet of 20 mm thickness composed of 13.2 mm to 5.6 mm aggregates either using penetration grade bitumen 60/70 grade at the rate of 14.6 kg/10 sqm to required line, grade and level to serve as wearing course on a previously prepared base, including mixing in a Hot Mix plant of 60TPH, laying and rolling with a three wheel 80-100 kN static roller capacity, finished to required level and grades to be followed by seal coat of Type B including cost and conveyance of all materials from approved sources, , labour charges and hire and operational charges of power road roller and all other machinery, tools and plants, providing barricading for diversion of traffic, erecting red flags other incidental and operational charges etc., complete for finished item of work, as directed by the Engineer-in-Charge and as per clause 511 MoRT&amp;H (5th Revision), including overhead charges &amp; Contractors profit excluding Seignarage charges etc complete.</v>
      </c>
      <c r="E24" s="1337" t="s">
        <v>1112</v>
      </c>
      <c r="F24" s="1687" t="s">
        <v>137</v>
      </c>
      <c r="G24" s="1688">
        <f>'Road Estimate'!$J$66</f>
        <v>147.13999999999999</v>
      </c>
      <c r="H24" s="1689">
        <f t="shared" ref="H24" si="11">ROUND(B24*G24,0)</f>
        <v>0</v>
      </c>
      <c r="L24" s="1699">
        <f t="shared" si="5"/>
        <v>0</v>
      </c>
      <c r="M24" s="1699">
        <f t="shared" si="6"/>
        <v>7</v>
      </c>
      <c r="N24" s="1698">
        <f t="shared" si="7"/>
        <v>0</v>
      </c>
    </row>
    <row r="25" spans="1:16" s="1321" customFormat="1" ht="290.45" customHeight="1">
      <c r="A25" s="1685">
        <f t="shared" si="1"/>
        <v>0</v>
      </c>
      <c r="B25" s="1686">
        <f>'Road Estimate'!I70</f>
        <v>0</v>
      </c>
      <c r="C25" s="1326" t="s">
        <v>353</v>
      </c>
      <c r="D25" s="1678" t="str">
        <f>'Road Estimate'!B68</f>
        <v>Providing and laying bituminous premixed Seal coat (Type B) with HMP of appropriate capacity not less than 60TPH comprising of a thin application of fine aggregate premixed by mechanical means with bituminous binder of grading as defined in table 500.16 of MOST Crushed sand defined as passing through 2.36 mm sieve and retained on 180 micron seive applied @ 0.06 cum per 10 sqm.to be laid simultaneously along with the bitumunous course using 6.80 kgs of bitumen 60/70 grade for 10 sqm and rolling with power roller including of required line, level, grade to serve as wearing course on previously prepared surface and finishing to rquired level and grades including cost and conveyance of all materials from approved sources and stacking at site to departmental gauge for  premeasurements, seigniorage, labour charges and hire and operational charges of power road roller 8 to 10 tonnes capacity and all other machinery, tools and plants, providing barricading for diversion of traffic, erecting red flags other incidental and operational charges etc., complete for finished item of work as directed by the Engineer-in-Charge and as per technical specification clause 513 of MoRT&amp;H (5th Revision) Using Hot mix plant including contractors profit &amp; Over head charges excluding Seignarage charges etc complete using Mechanical means</v>
      </c>
      <c r="E25" s="1337" t="s">
        <v>1113</v>
      </c>
      <c r="F25" s="1687" t="s">
        <v>137</v>
      </c>
      <c r="G25" s="1688">
        <f>'Road Estimate'!$J$70</f>
        <v>58.07</v>
      </c>
      <c r="H25" s="1689">
        <f t="shared" ref="H25" si="12">ROUND(B25*G25,0)</f>
        <v>0</v>
      </c>
      <c r="L25" s="1699">
        <f t="shared" si="5"/>
        <v>0</v>
      </c>
      <c r="M25" s="1699">
        <f t="shared" si="6"/>
        <v>7</v>
      </c>
      <c r="N25" s="1698">
        <f t="shared" si="7"/>
        <v>0</v>
      </c>
    </row>
    <row r="26" spans="1:16" s="1321" customFormat="1" ht="157.9" customHeight="1">
      <c r="A26" s="1685">
        <f t="shared" si="1"/>
        <v>0</v>
      </c>
      <c r="B26" s="1686">
        <f>'Road Estimate'!I74</f>
        <v>0</v>
      </c>
      <c r="C26" s="1326" t="s">
        <v>31</v>
      </c>
      <c r="D26" s="1678" t="str">
        <f>'Road Estimate'!B72</f>
        <v xml:space="preserve">Providing  and laying 50 mm thick of Dense Graded Bituminous Macadam with  100-120 TPH batch type  hot mix plant  using HBG crushed aggregates of Grading - II as per table 500-10 of MoRT&amp;H Specification 505 (5th revision) premixed with bitumen VG-30 grade (60/70)@ 4 to 4.50% of weight of total mixture, transported to site, laid over a previously prepared surface with Mechanical Paver finisher to the required grade, level and alignment and rolled as per Clauses 501.6 and 501.7 to achieve the desired compaction for finished item of work as directed by the Engineer-in-Charge including hire and operational charges all T&amp;P and all other contingent charges necessary including  charges of all materials etc., complete and  as per MoRTH specification No. 505(5th Revision) </v>
      </c>
      <c r="E26" s="1337" t="s">
        <v>1114</v>
      </c>
      <c r="F26" s="1687" t="s">
        <v>53</v>
      </c>
      <c r="G26" s="1688">
        <f>'Road Estimate'!$J$74</f>
        <v>9744.4699999999993</v>
      </c>
      <c r="H26" s="1689">
        <f t="shared" si="4"/>
        <v>0</v>
      </c>
      <c r="L26" s="1699">
        <f t="shared" si="5"/>
        <v>0</v>
      </c>
      <c r="M26" s="1699">
        <f t="shared" si="6"/>
        <v>7</v>
      </c>
      <c r="N26" s="1698">
        <f t="shared" si="7"/>
        <v>0</v>
      </c>
    </row>
    <row r="27" spans="1:16" s="1321" customFormat="1" ht="100.15" customHeight="1">
      <c r="A27" s="1685">
        <f t="shared" si="1"/>
        <v>0</v>
      </c>
      <c r="B27" s="1686">
        <f>'Road Estimate'!I78</f>
        <v>0</v>
      </c>
      <c r="C27" s="1326" t="s">
        <v>353</v>
      </c>
      <c r="D27" s="1678" t="str">
        <f>'Road Estimate'!B76</f>
        <v>Providing and applying tack coat with Bitumen emulsion (RS-1)  using emulsion  distributor at the rate of 0.20 kg per sqm on the prepared Bitumenus surfaces &amp; cleaned with Hydraulic broom,as directed by the Engineer-in-Charge and as per Technical Specification Clause 503 MoRT&amp;H (5th Revision), including overhead charges &amp; Contractors profit excluding Seignarage charges etc complete.</v>
      </c>
      <c r="E27" s="1337" t="s">
        <v>1115</v>
      </c>
      <c r="F27" s="1687" t="s">
        <v>137</v>
      </c>
      <c r="G27" s="1688">
        <f>'Road Estimate'!$J$78</f>
        <v>11.97</v>
      </c>
      <c r="H27" s="1689">
        <f t="shared" ref="H27" si="13">ROUND(B27*G27,0)</f>
        <v>0</v>
      </c>
      <c r="L27" s="1699">
        <f t="shared" si="5"/>
        <v>0</v>
      </c>
      <c r="M27" s="1699">
        <f t="shared" si="6"/>
        <v>7</v>
      </c>
      <c r="N27" s="1698">
        <f t="shared" si="7"/>
        <v>0</v>
      </c>
    </row>
    <row r="28" spans="1:16" s="1321" customFormat="1" ht="142.15" customHeight="1">
      <c r="A28" s="1685">
        <f t="shared" si="1"/>
        <v>0</v>
      </c>
      <c r="B28" s="1686">
        <f>'Road Estimate'!I82</f>
        <v>0</v>
      </c>
      <c r="C28" s="1326" t="s">
        <v>353</v>
      </c>
      <c r="D28" s="1678" t="str">
        <f>'Road Estimate'!B80</f>
        <v>Providing and laying semi dense bituminous concrete with 100-120 TPH batch type HMP producing an average output of 75 tonnes per hour using crushed aggregates of grading-II, premixed with bituminous binder 60/70 @ 4.5 to 5  per cent  of mix and filler, transporting the hot mix to work site, laying with a hydrostatic paver finisher with sensor control to the required grade, level and alignment, rolling with smooth wheeled, vibratory and tandem rollers to achieve the desired compaction as per MoRTH specification clause No. 508 (5th Revision) complete in all respects</v>
      </c>
      <c r="E28" s="1337" t="s">
        <v>1116</v>
      </c>
      <c r="F28" s="1687" t="s">
        <v>137</v>
      </c>
      <c r="G28" s="1688">
        <f>'Road Estimate'!$J$82</f>
        <v>10227.82</v>
      </c>
      <c r="H28" s="1689">
        <f t="shared" si="4"/>
        <v>0</v>
      </c>
      <c r="L28" s="1699">
        <f t="shared" si="5"/>
        <v>0</v>
      </c>
      <c r="M28" s="1699">
        <f t="shared" si="6"/>
        <v>7</v>
      </c>
      <c r="N28" s="1698">
        <f t="shared" si="7"/>
        <v>0</v>
      </c>
    </row>
    <row r="29" spans="1:16" s="1321" customFormat="1" ht="124.9" customHeight="1">
      <c r="A29" s="1685">
        <f t="shared" si="1"/>
        <v>8</v>
      </c>
      <c r="B29" s="1686">
        <f>'Road Estimate'!I87</f>
        <v>90</v>
      </c>
      <c r="C29" s="1326" t="s">
        <v>31</v>
      </c>
      <c r="D29" s="1678" t="str">
        <f>'Road Estimate'!B84</f>
        <v>Providing and laying bituminous concrete with 100-120 TPH batch type hot mix plant producing an average output of 75 tonnes per hour using crushed aggregates of grading-II premixed with bituminous binder 60/70 @ 5.4 to 5.6 percent of mix and filler with stone dust, transporting the hot mix to work site, laying with a Mechanical paver finisher to the required grade, level and alignment, rolling with smooth wheeled, vibratory and tandem rollers to achieve the desired compaction as per MORTH specification clause No. 507 complete in all respects</v>
      </c>
      <c r="E29" s="1337" t="s">
        <v>1117</v>
      </c>
      <c r="F29" s="1687" t="s">
        <v>53</v>
      </c>
      <c r="G29" s="1688">
        <f>'Road Estimate'!$J$87</f>
        <v>10932.2</v>
      </c>
      <c r="H29" s="1689">
        <f t="shared" si="4"/>
        <v>983898</v>
      </c>
      <c r="L29" s="1699">
        <f t="shared" si="5"/>
        <v>8</v>
      </c>
      <c r="M29" s="1699">
        <f t="shared" si="6"/>
        <v>8</v>
      </c>
      <c r="N29" s="1698">
        <f t="shared" si="7"/>
        <v>983898</v>
      </c>
    </row>
    <row r="30" spans="1:16" s="1321" customFormat="1" ht="271.89999999999998" customHeight="1">
      <c r="A30" s="1685">
        <f t="shared" si="1"/>
        <v>9</v>
      </c>
      <c r="B30" s="1686">
        <f>'Road Estimate'!I91</f>
        <v>150</v>
      </c>
      <c r="C30" s="1326" t="s">
        <v>31</v>
      </c>
      <c r="D30" s="1678" t="str">
        <f>'Road Estimate'!B89</f>
        <v>Construction of  dowel jointed un-reinforced, expansion and construction joint plain cement concrete pavement, thickness as per design, over a prepared sub base, with 43 grade cement or any other type as per Clause 1501.2.2 M30 (Grade), coarse and fine aggregates (Natural sand 50%+Manufactured sand(Rock Sand)50% ) conforming to IS : 383, mixed in a concrete mixer of not less than 0.2 cum capacity and appropriate weigh batcher using approved mix design, laid in approved fixed side formwork (steel channel, laying and fixing of 125 micron thick polythene film, wedges, steel plates including levelling the formwork as per drawing), spreading the concrete with sholvels, rakes, compacted using needle, screed and plate vibrators and finished in continuous operation including provision of contraction and expansion and  construction joints, applying primer, sealant, admixtures as approved, curing of concrete slabs for 14- days, curing compound (where specified) and water finishing to lines and grade as per drawing  and Technical Specification Clause 1501 MORD including overhead charges &amp; Contractors profit excluding Seignarage charges etc complete.</v>
      </c>
      <c r="E30" s="1337" t="s">
        <v>1118</v>
      </c>
      <c r="F30" s="1687" t="s">
        <v>53</v>
      </c>
      <c r="G30" s="1688">
        <f>'Road Estimate'!$J$91</f>
        <v>7502.51</v>
      </c>
      <c r="H30" s="1689">
        <f t="shared" si="4"/>
        <v>1125377</v>
      </c>
      <c r="L30" s="1699">
        <f t="shared" si="5"/>
        <v>9</v>
      </c>
      <c r="M30" s="1699">
        <f t="shared" si="6"/>
        <v>9</v>
      </c>
      <c r="N30" s="1698">
        <f t="shared" si="7"/>
        <v>1125377</v>
      </c>
    </row>
    <row r="31" spans="1:16" s="1321" customFormat="1">
      <c r="A31" s="1685">
        <f t="shared" si="1"/>
        <v>0</v>
      </c>
      <c r="B31" s="1686"/>
      <c r="C31" s="1326"/>
      <c r="D31" s="1691" t="s">
        <v>624</v>
      </c>
      <c r="E31" s="1337"/>
      <c r="F31" s="1692"/>
      <c r="G31" s="1688"/>
      <c r="H31" s="1689"/>
      <c r="I31" s="1700">
        <f>SUM(H12:H30)</f>
        <v>6453636</v>
      </c>
      <c r="J31" s="1701">
        <f>'Road Estimate'!L93</f>
        <v>6453636</v>
      </c>
      <c r="K31" s="1701">
        <f>I31-J31</f>
        <v>0</v>
      </c>
      <c r="L31" s="1699">
        <f t="shared" si="5"/>
        <v>0</v>
      </c>
      <c r="M31" s="1699">
        <f t="shared" si="6"/>
        <v>9</v>
      </c>
      <c r="N31" s="1698">
        <f t="shared" si="7"/>
        <v>0</v>
      </c>
    </row>
    <row r="32" spans="1:16" s="1667" customFormat="1">
      <c r="A32" s="1685">
        <f t="shared" si="1"/>
        <v>0</v>
      </c>
      <c r="B32" s="1686"/>
      <c r="C32" s="1324"/>
      <c r="D32" s="1677" t="str">
        <f>'CD Abs'!B5</f>
        <v xml:space="preserve">Construction of HP Culvert 1V of 1000mm Dia.NP4 Pipes at Km </v>
      </c>
      <c r="E32" s="1693">
        <f>'CD Abs'!C5</f>
        <v>3</v>
      </c>
      <c r="F32" s="1694"/>
      <c r="G32" s="1688"/>
      <c r="H32" s="1689"/>
      <c r="L32" s="1699">
        <f t="shared" si="5"/>
        <v>0</v>
      </c>
      <c r="M32" s="1699">
        <f t="shared" si="6"/>
        <v>9</v>
      </c>
      <c r="N32" s="1698">
        <f t="shared" si="7"/>
        <v>0</v>
      </c>
      <c r="O32" s="1321"/>
      <c r="P32" s="1321"/>
    </row>
    <row r="33" spans="1:14" s="1321" customFormat="1" ht="105">
      <c r="A33" s="1685">
        <f t="shared" si="1"/>
        <v>10</v>
      </c>
      <c r="B33" s="1686">
        <f>'1V 1m dia Pipe Culverts'!I9*E32</f>
        <v>81.990000000000009</v>
      </c>
      <c r="C33" s="1326" t="s">
        <v>31</v>
      </c>
      <c r="D33" s="1678" t="str">
        <f>'2V 1m dia Pipe Culverts'!$B$6</f>
        <v>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v>
      </c>
      <c r="E33" s="1337" t="s">
        <v>1119</v>
      </c>
      <c r="F33" s="1687" t="s">
        <v>53</v>
      </c>
      <c r="G33" s="1688">
        <f>'2V 1m dia Pipe Culverts'!$J$9</f>
        <v>123.69927804166667</v>
      </c>
      <c r="H33" s="1689">
        <f>ROUND(B33*G33,0)</f>
        <v>10142</v>
      </c>
      <c r="L33" s="1699">
        <f t="shared" si="5"/>
        <v>10</v>
      </c>
      <c r="M33" s="1699">
        <f t="shared" si="6"/>
        <v>10</v>
      </c>
      <c r="N33" s="1698">
        <f t="shared" si="7"/>
        <v>10142</v>
      </c>
    </row>
    <row r="34" spans="1:14" s="1321" customFormat="1" ht="45">
      <c r="A34" s="1685">
        <f t="shared" si="1"/>
        <v>11</v>
      </c>
      <c r="B34" s="1686">
        <f>'1V 1m dia Pipe Culverts'!I14*E32</f>
        <v>17.310000000000002</v>
      </c>
      <c r="C34" s="1326" t="s">
        <v>31</v>
      </c>
      <c r="D34" s="1695" t="str">
        <f>'2V 1m dia Pipe Culverts'!$B$11</f>
        <v>Sand  Filling  in foundation trenches as per drawing and technical specification Clause 304 of MORTH including overhead charges &amp; Contractors profit etc complete.</v>
      </c>
      <c r="E34" s="1337" t="s">
        <v>1119</v>
      </c>
      <c r="F34" s="1687" t="s">
        <v>53</v>
      </c>
      <c r="G34" s="1688">
        <f>'2V 1m dia Pipe Culverts'!$J$14</f>
        <v>1237.43</v>
      </c>
      <c r="H34" s="1689">
        <f t="shared" ref="H34:H182" si="14">ROUND(B34*G34,0)</f>
        <v>21420</v>
      </c>
      <c r="L34" s="1699">
        <f t="shared" si="5"/>
        <v>11</v>
      </c>
      <c r="M34" s="1699">
        <f t="shared" si="6"/>
        <v>11</v>
      </c>
      <c r="N34" s="1698">
        <f t="shared" si="7"/>
        <v>21420</v>
      </c>
    </row>
    <row r="35" spans="1:14" s="1321" customFormat="1" ht="120">
      <c r="A35" s="1685">
        <f t="shared" ref="A35" si="15">L35</f>
        <v>12</v>
      </c>
      <c r="B35" s="1686">
        <f>'1V 1m dia Pipe Culverts'!I19*E32</f>
        <v>11.790000000000001</v>
      </c>
      <c r="C35" s="1326" t="s">
        <v>31</v>
      </c>
      <c r="D35" s="2989" t="str">
        <f>'1V 1m dia Pipe Culverts'!B16</f>
        <v>Providing Plain Cement Concrete (1:3:6) mix using 40mm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E35" s="1337" t="s">
        <v>1120</v>
      </c>
      <c r="F35" s="1687" t="s">
        <v>53</v>
      </c>
      <c r="G35" s="1688">
        <f>'1V 1m dia Pipe Culverts'!J19</f>
        <v>5706.01</v>
      </c>
      <c r="H35" s="1689">
        <f t="shared" si="14"/>
        <v>67274</v>
      </c>
      <c r="L35" s="1699">
        <f t="shared" ref="L35" si="16">IF(M35=M34,0,M35)</f>
        <v>12</v>
      </c>
      <c r="M35" s="1699">
        <f t="shared" ref="M35" si="17">IF(N35&gt;0,(M34+1),M34)</f>
        <v>12</v>
      </c>
      <c r="N35" s="1698">
        <f t="shared" ref="N35" si="18">H35</f>
        <v>67274</v>
      </c>
    </row>
    <row r="36" spans="1:14" s="1321" customFormat="1" ht="135">
      <c r="A36" s="1685">
        <f t="shared" si="1"/>
        <v>13</v>
      </c>
      <c r="B36" s="1686">
        <f>'1V 1m dia Pipe Culverts'!I24*E32</f>
        <v>53.34</v>
      </c>
      <c r="C36" s="1326" t="s">
        <v>31</v>
      </c>
      <c r="D36" s="1678" t="str">
        <f>'2V 1m dia Pipe Culverts'!$B$21</f>
        <v>Vibrated  cement concrete M 15 Grade Concrete using 40mm , 20mm and 10mm size HBG crushed stone aggregate (Coarse aggregate conforming to table 1000-1 and fine aggregate (Natural sand 50%+Manufactured sand(Rock Sand)50% ) conforming to table 1000-2) including cost, (excluding  seigniorage) and conveyance of  all  materials to site and all labour charges , centering, machine mixing, laying in position, Compacting, Vibrating and curing including all other incidental and all other operational charges of T&amp;P required etc., complete as per MoRT&amp;H Specification 1500,1700, 2200 (5th Revision)  for foundations.</v>
      </c>
      <c r="E36" s="1337" t="s">
        <v>1120</v>
      </c>
      <c r="F36" s="1687" t="s">
        <v>53</v>
      </c>
      <c r="G36" s="1688">
        <f>'2V 1m dia Pipe Culverts'!$J$24</f>
        <v>6381.51</v>
      </c>
      <c r="H36" s="1689">
        <f t="shared" si="14"/>
        <v>340390</v>
      </c>
      <c r="L36" s="1699">
        <f t="shared" ref="L36" si="19">IF(M36=M35,0,M36)</f>
        <v>13</v>
      </c>
      <c r="M36" s="1699">
        <f t="shared" ref="M36" si="20">IF(N36&gt;0,(M35+1),M35)</f>
        <v>13</v>
      </c>
      <c r="N36" s="1698">
        <f t="shared" si="7"/>
        <v>340390</v>
      </c>
    </row>
    <row r="37" spans="1:14" s="1321" customFormat="1" ht="120">
      <c r="A37" s="1685">
        <f t="shared" si="1"/>
        <v>14</v>
      </c>
      <c r="B37" s="1686">
        <f>'1V 1m dia Pipe Culverts'!I30*E32</f>
        <v>42.96</v>
      </c>
      <c r="C37" s="1326" t="s">
        <v>31</v>
      </c>
      <c r="D37" s="1678" t="str">
        <f>'2V 1m dia Pipe Culverts'!$B$26</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v>
      </c>
      <c r="E37" s="1337" t="s">
        <v>1121</v>
      </c>
      <c r="F37" s="1687" t="s">
        <v>53</v>
      </c>
      <c r="G37" s="1688">
        <f>'2V 1m dia Pipe Culverts'!$J$30</f>
        <v>6749.67</v>
      </c>
      <c r="H37" s="1689">
        <f t="shared" si="14"/>
        <v>289966</v>
      </c>
      <c r="L37" s="1699">
        <f t="shared" si="5"/>
        <v>14</v>
      </c>
      <c r="M37" s="1699">
        <f t="shared" si="6"/>
        <v>14</v>
      </c>
      <c r="N37" s="1698">
        <f t="shared" si="7"/>
        <v>289966</v>
      </c>
    </row>
    <row r="38" spans="1:14" s="1321" customFormat="1" ht="60">
      <c r="A38" s="1685">
        <f t="shared" si="1"/>
        <v>0</v>
      </c>
      <c r="B38" s="1686">
        <f t="shared" ref="B38" si="21">$E$32*0</f>
        <v>0</v>
      </c>
      <c r="C38" s="1326" t="s">
        <v>31</v>
      </c>
      <c r="D38" s="1678" t="str">
        <f>'Slab-Culverts Data'!$B$538</f>
        <v xml:space="preserve">Providing and laying boulders apron for bed protection against scour with stone boulders weighing not less than 40kg each complete as per drawing and specification. complete for finished item of work as per MoRT&amp;H specification 2504 ( 5th revision ) and as directed by the Engineer-in-Charge </v>
      </c>
      <c r="E38" s="1337" t="s">
        <v>1122</v>
      </c>
      <c r="F38" s="1687" t="s">
        <v>53</v>
      </c>
      <c r="G38" s="1688">
        <f>'Slab-Culverts Data'!$J$559</f>
        <v>2028.19</v>
      </c>
      <c r="H38" s="1689">
        <f t="shared" ref="H38" si="22">ROUND(B38*G38,0)</f>
        <v>0</v>
      </c>
      <c r="I38" s="1702"/>
      <c r="J38" s="1703"/>
      <c r="K38" s="1703"/>
      <c r="L38" s="1699">
        <f t="shared" si="5"/>
        <v>0</v>
      </c>
      <c r="M38" s="1699">
        <f t="shared" si="6"/>
        <v>14</v>
      </c>
      <c r="N38" s="1698">
        <f t="shared" si="7"/>
        <v>0</v>
      </c>
    </row>
    <row r="39" spans="1:14" s="1321" customFormat="1" ht="105">
      <c r="A39" s="1685">
        <f t="shared" si="1"/>
        <v>15</v>
      </c>
      <c r="B39" s="1686">
        <f>'1V 1m dia Pipe Culverts'!I33*E32</f>
        <v>22.5</v>
      </c>
      <c r="C39" s="1326" t="s">
        <v>107</v>
      </c>
      <c r="D39" s="1678" t="str">
        <f>'2V 1m dia Pipe Culverts'!$B$32</f>
        <v xml:space="preserve">Providing, laying Reinforced cement concrete Hume pipes of 1000 mm Dia., NP4 class for pipe culverts  including cost and conveyance of Pipes etc., complete and Labour charges for laying, jointing of 1000mm dia. R.C.C Hume pipes  in position including lifting, aligning, lowering and hoisting etc., as per drawing and as per MoRT&amp;H Specification  2900, 2905 and 2906 (5th Revision) and IRC Special Publication No: 13 and as directed by the Engineer-in-Charge for finished item of work. </v>
      </c>
      <c r="E39" s="1337" t="s">
        <v>1123</v>
      </c>
      <c r="F39" s="1687" t="s">
        <v>112</v>
      </c>
      <c r="G39" s="1688">
        <f>'1V 1m dia Pipe Culverts'!J33</f>
        <v>13850.07</v>
      </c>
      <c r="H39" s="1689">
        <f t="shared" si="14"/>
        <v>311627</v>
      </c>
      <c r="I39" s="1701">
        <f>SUM(H33:H39)</f>
        <v>1040819</v>
      </c>
      <c r="J39" s="1701">
        <f>'CD Abs'!E5</f>
        <v>1040820</v>
      </c>
      <c r="L39" s="1699">
        <f t="shared" si="5"/>
        <v>15</v>
      </c>
      <c r="M39" s="1699">
        <f t="shared" si="6"/>
        <v>15</v>
      </c>
      <c r="N39" s="1698">
        <f t="shared" si="7"/>
        <v>311627</v>
      </c>
    </row>
    <row r="40" spans="1:14" s="1321" customFormat="1">
      <c r="A40" s="1685">
        <f t="shared" si="1"/>
        <v>0</v>
      </c>
      <c r="B40" s="1686"/>
      <c r="C40" s="1324">
        <v>2</v>
      </c>
      <c r="D40" s="1677" t="str">
        <f>'CD Abs'!B6</f>
        <v>Construction of HP Culvert 2V of 1000mm Dia.NP4 Pipes at Km</v>
      </c>
      <c r="E40" s="1693">
        <f>'CD Abs'!C6</f>
        <v>1</v>
      </c>
      <c r="F40" s="1694"/>
      <c r="G40" s="1688"/>
      <c r="H40" s="1689"/>
      <c r="I40" s="1667"/>
      <c r="L40" s="1699">
        <f t="shared" si="5"/>
        <v>0</v>
      </c>
      <c r="M40" s="1699">
        <f t="shared" si="6"/>
        <v>15</v>
      </c>
      <c r="N40" s="1698">
        <f t="shared" si="7"/>
        <v>0</v>
      </c>
    </row>
    <row r="41" spans="1:14" s="1321" customFormat="1" ht="105">
      <c r="A41" s="1685">
        <f t="shared" si="1"/>
        <v>16</v>
      </c>
      <c r="B41" s="1686">
        <f>'2V 1m dia Pipe Culverts'!I9*E40</f>
        <v>37.409999999999997</v>
      </c>
      <c r="C41" s="1326" t="s">
        <v>31</v>
      </c>
      <c r="D41" s="1678" t="str">
        <f>'2V 1m dia Pipe Culverts'!$B$6</f>
        <v>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v>
      </c>
      <c r="E41" s="1337" t="s">
        <v>1119</v>
      </c>
      <c r="F41" s="1687" t="s">
        <v>53</v>
      </c>
      <c r="G41" s="1688">
        <f>'2V 1m dia Pipe Culverts'!$J$9</f>
        <v>123.69927804166667</v>
      </c>
      <c r="H41" s="1689">
        <f>ROUND(B41*G41,0)</f>
        <v>4628</v>
      </c>
      <c r="L41" s="1699">
        <f t="shared" si="5"/>
        <v>16</v>
      </c>
      <c r="M41" s="1699">
        <f t="shared" si="6"/>
        <v>16</v>
      </c>
      <c r="N41" s="1698">
        <f t="shared" si="7"/>
        <v>4628</v>
      </c>
    </row>
    <row r="42" spans="1:14" s="1321" customFormat="1" ht="45">
      <c r="A42" s="1685">
        <f t="shared" si="1"/>
        <v>17</v>
      </c>
      <c r="B42" s="1686">
        <f>'2V 1m dia Pipe Culverts'!I14*E40</f>
        <v>6.99</v>
      </c>
      <c r="C42" s="1326" t="s">
        <v>31</v>
      </c>
      <c r="D42" s="1695" t="str">
        <f>'2V 1m dia Pipe Culverts'!$B$11</f>
        <v>Sand  Filling  in foundation trenches as per drawing and technical specification Clause 304 of MORTH including overhead charges &amp; Contractors profit etc complete.</v>
      </c>
      <c r="E42" s="1337" t="s">
        <v>1119</v>
      </c>
      <c r="F42" s="1687" t="s">
        <v>53</v>
      </c>
      <c r="G42" s="1688">
        <f>'2V 1m dia Pipe Culverts'!$J$14</f>
        <v>1237.43</v>
      </c>
      <c r="H42" s="1689">
        <f t="shared" ref="H42:H47" si="23">ROUND(B42*G42,0)</f>
        <v>8650</v>
      </c>
      <c r="L42" s="1699">
        <f t="shared" si="5"/>
        <v>17</v>
      </c>
      <c r="M42" s="1699">
        <f t="shared" si="6"/>
        <v>17</v>
      </c>
      <c r="N42" s="1698">
        <f t="shared" si="7"/>
        <v>8650</v>
      </c>
    </row>
    <row r="43" spans="1:14" s="1321" customFormat="1" ht="120">
      <c r="A43" s="1685">
        <f t="shared" si="1"/>
        <v>18</v>
      </c>
      <c r="B43" s="1686">
        <f>'2V 1m dia Pipe Culverts'!I19*E40</f>
        <v>4.6899999999999995</v>
      </c>
      <c r="C43" s="1326" t="s">
        <v>31</v>
      </c>
      <c r="D43" s="1695" t="str">
        <f>'2V 1m dia Pipe Culverts'!B16</f>
        <v>Providing Plain Cement Concrete (1:3:6) mix using 40mm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E43" s="1337" t="s">
        <v>1120</v>
      </c>
      <c r="F43" s="1687" t="s">
        <v>53</v>
      </c>
      <c r="G43" s="1688">
        <f>'2V 1m dia Pipe Culverts'!J19</f>
        <v>5706.01</v>
      </c>
      <c r="H43" s="1689">
        <f t="shared" si="23"/>
        <v>26761</v>
      </c>
      <c r="L43" s="1699">
        <f t="shared" si="5"/>
        <v>18</v>
      </c>
      <c r="M43" s="1699">
        <f t="shared" si="6"/>
        <v>18</v>
      </c>
      <c r="N43" s="1698">
        <f t="shared" si="7"/>
        <v>26761</v>
      </c>
    </row>
    <row r="44" spans="1:14" s="1321" customFormat="1" ht="120">
      <c r="A44" s="1685">
        <f t="shared" si="1"/>
        <v>19</v>
      </c>
      <c r="B44" s="1686">
        <f>'2V 1m dia Pipe Culverts'!I24*E40</f>
        <v>23.6</v>
      </c>
      <c r="C44" s="1326" t="s">
        <v>31</v>
      </c>
      <c r="D44" s="1696" t="s">
        <v>1124</v>
      </c>
      <c r="E44" s="1337" t="s">
        <v>1120</v>
      </c>
      <c r="F44" s="1687" t="s">
        <v>53</v>
      </c>
      <c r="G44" s="1688">
        <f>'2V 1m dia Pipe Culverts'!$J$24</f>
        <v>6381.51</v>
      </c>
      <c r="H44" s="1689">
        <f t="shared" si="23"/>
        <v>150604</v>
      </c>
      <c r="L44" s="1699">
        <f t="shared" si="5"/>
        <v>19</v>
      </c>
      <c r="M44" s="1699">
        <f t="shared" si="6"/>
        <v>19</v>
      </c>
      <c r="N44" s="1698">
        <f t="shared" si="7"/>
        <v>150604</v>
      </c>
    </row>
    <row r="45" spans="1:14" s="1321" customFormat="1" ht="120">
      <c r="A45" s="1685">
        <f t="shared" si="1"/>
        <v>20</v>
      </c>
      <c r="B45" s="1686">
        <f>'2V 1m dia Pipe Culverts'!I30*E40</f>
        <v>19.509999999999998</v>
      </c>
      <c r="C45" s="1326" t="s">
        <v>31</v>
      </c>
      <c r="D45" s="1678" t="str">
        <f>'2V 1m dia Pipe Culverts'!$B$26</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v>
      </c>
      <c r="E45" s="1337" t="s">
        <v>1120</v>
      </c>
      <c r="F45" s="1687" t="s">
        <v>53</v>
      </c>
      <c r="G45" s="1688">
        <f>'2V 1m dia Pipe Culverts'!$J$30</f>
        <v>6749.67</v>
      </c>
      <c r="H45" s="1689">
        <f t="shared" si="23"/>
        <v>131686</v>
      </c>
      <c r="L45" s="1699">
        <f t="shared" si="5"/>
        <v>20</v>
      </c>
      <c r="M45" s="1699">
        <f t="shared" si="6"/>
        <v>20</v>
      </c>
      <c r="N45" s="1698">
        <f t="shared" si="7"/>
        <v>131686</v>
      </c>
    </row>
    <row r="46" spans="1:14" s="1321" customFormat="1" ht="60">
      <c r="A46" s="1685">
        <f t="shared" ref="A46:A77" si="24">L46</f>
        <v>0</v>
      </c>
      <c r="B46" s="1686">
        <f t="shared" ref="B46" si="25">$E$40*0</f>
        <v>0</v>
      </c>
      <c r="C46" s="1326" t="s">
        <v>31</v>
      </c>
      <c r="D46" s="1678" t="str">
        <f>'Slab-Culverts Data'!$B$538</f>
        <v xml:space="preserve">Providing and laying boulders apron for bed protection against scour with stone boulders weighing not less than 40kg each complete as per drawing and specification. complete for finished item of work as per MoRT&amp;H specification 2504 ( 5th revision ) and as directed by the Engineer-in-Charge </v>
      </c>
      <c r="E46" s="1337" t="s">
        <v>1122</v>
      </c>
      <c r="F46" s="1687" t="s">
        <v>53</v>
      </c>
      <c r="G46" s="1688">
        <f>'Slab-Culverts Data'!$J$559</f>
        <v>2028.19</v>
      </c>
      <c r="H46" s="1689">
        <f t="shared" ref="H46" si="26">ROUND(B46*G46,0)</f>
        <v>0</v>
      </c>
      <c r="L46" s="1699">
        <f t="shared" si="5"/>
        <v>0</v>
      </c>
      <c r="M46" s="1699">
        <f t="shared" si="6"/>
        <v>20</v>
      </c>
      <c r="N46" s="1698">
        <f t="shared" si="7"/>
        <v>0</v>
      </c>
    </row>
    <row r="47" spans="1:14" s="1321" customFormat="1" ht="105">
      <c r="A47" s="1685">
        <f t="shared" si="24"/>
        <v>21</v>
      </c>
      <c r="B47" s="1686">
        <f>'2V 1m dia Pipe Culverts'!I33*E40</f>
        <v>15</v>
      </c>
      <c r="C47" s="1326" t="s">
        <v>107</v>
      </c>
      <c r="D47" s="1678" t="str">
        <f>'Pipe data'!$B$105</f>
        <v xml:space="preserve">Providing, laying Reinforced cement concrete Hume pipes of 1000 mm Dia., NP4 class for pipe culverts  including cost and conveyance of Pipes etc., complete and Labour charges for laying, jointing of 1000mm dia. R.C.C Hume pipes  in position including lifting, aligning, lowering and hoisting etc., as per drawing and as per MoRT&amp;H Specification  2900, 2905 and 2906 (5th Revision) and IRC Special Publication No: 13 and as directed by the Engineer-in-Charge for finished item of work. </v>
      </c>
      <c r="E47" s="1337" t="s">
        <v>1123</v>
      </c>
      <c r="F47" s="1687" t="s">
        <v>112</v>
      </c>
      <c r="G47" s="1688">
        <f>'Pipe data'!$G$128</f>
        <v>13850.07</v>
      </c>
      <c r="H47" s="1689">
        <f t="shared" si="23"/>
        <v>207751</v>
      </c>
      <c r="I47" s="1701">
        <f>SUM(H41:H47)</f>
        <v>530080</v>
      </c>
      <c r="J47" s="1701">
        <f>'CD Abs'!E6</f>
        <v>530080</v>
      </c>
      <c r="K47" s="1701">
        <f>I47-J47</f>
        <v>0</v>
      </c>
      <c r="L47" s="1699">
        <f t="shared" ref="L47:L78" si="27">IF(M47=M46,0,M47)</f>
        <v>21</v>
      </c>
      <c r="M47" s="1699">
        <f t="shared" ref="M47:M78" si="28">IF(N47&gt;0,(M46+1),M46)</f>
        <v>21</v>
      </c>
      <c r="N47" s="1698">
        <f t="shared" ref="N47:N78" si="29">H47</f>
        <v>207751</v>
      </c>
    </row>
    <row r="48" spans="1:14" s="1321" customFormat="1" ht="30">
      <c r="A48" s="1685">
        <f t="shared" si="24"/>
        <v>0</v>
      </c>
      <c r="B48" s="1686"/>
      <c r="C48" s="1324"/>
      <c r="D48" s="1677" t="str">
        <f>"Construction of HP Culvert 1 V of 1000mm Dia.NP4 Pipes  "&amp;E48&amp;" Nos at 2/150 (Skew) Kms"</f>
        <v>Construction of HP Culvert 1 V of 1000mm Dia.NP4 Pipes  0 Nos at 2/150 (Skew) Kms</v>
      </c>
      <c r="E48" s="1693">
        <f>'CD Abs'!C7</f>
        <v>0</v>
      </c>
      <c r="F48" s="1694"/>
      <c r="G48" s="1688"/>
      <c r="H48" s="1689"/>
      <c r="I48" s="1667"/>
      <c r="L48" s="1699">
        <f t="shared" si="27"/>
        <v>0</v>
      </c>
      <c r="M48" s="1699">
        <f t="shared" si="28"/>
        <v>21</v>
      </c>
      <c r="N48" s="1698">
        <f t="shared" si="29"/>
        <v>0</v>
      </c>
    </row>
    <row r="49" spans="1:14" s="1321" customFormat="1" ht="105">
      <c r="A49" s="1685">
        <f t="shared" si="24"/>
        <v>0</v>
      </c>
      <c r="B49" s="1686">
        <v>0</v>
      </c>
      <c r="C49" s="1326" t="s">
        <v>31</v>
      </c>
      <c r="D49" s="1678" t="str">
        <f>'2V 1m dia Pipe Culverts'!$B$6</f>
        <v>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v>
      </c>
      <c r="E49" s="1337" t="s">
        <v>1119</v>
      </c>
      <c r="F49" s="1687" t="s">
        <v>53</v>
      </c>
      <c r="G49" s="1688">
        <f>'2V 1m dia Pipe Culverts'!$J$9</f>
        <v>123.69927804166667</v>
      </c>
      <c r="H49" s="1689">
        <f t="shared" ref="H49:H54" si="30">ROUND(B49*G49,0)</f>
        <v>0</v>
      </c>
      <c r="L49" s="1699">
        <f t="shared" si="27"/>
        <v>0</v>
      </c>
      <c r="M49" s="1699">
        <f t="shared" si="28"/>
        <v>21</v>
      </c>
      <c r="N49" s="1698">
        <f t="shared" si="29"/>
        <v>0</v>
      </c>
    </row>
    <row r="50" spans="1:14" s="1321" customFormat="1" ht="45">
      <c r="A50" s="1685">
        <f t="shared" si="24"/>
        <v>0</v>
      </c>
      <c r="B50" s="1686">
        <v>0</v>
      </c>
      <c r="C50" s="1326" t="s">
        <v>31</v>
      </c>
      <c r="D50" s="1695" t="str">
        <f>'2V 1m dia Pipe Culverts'!$B$11</f>
        <v>Sand  Filling  in foundation trenches as per drawing and technical specification Clause 304 of MORTH including overhead charges &amp; Contractors profit etc complete.</v>
      </c>
      <c r="E50" s="1337" t="s">
        <v>1119</v>
      </c>
      <c r="F50" s="1687" t="s">
        <v>53</v>
      </c>
      <c r="G50" s="1688">
        <f>'2V 1m dia Pipe Culverts'!$J$14</f>
        <v>1237.43</v>
      </c>
      <c r="H50" s="1689">
        <f t="shared" si="30"/>
        <v>0</v>
      </c>
      <c r="L50" s="1699">
        <f t="shared" si="27"/>
        <v>0</v>
      </c>
      <c r="M50" s="1699">
        <f t="shared" si="28"/>
        <v>21</v>
      </c>
      <c r="N50" s="1698">
        <f t="shared" si="29"/>
        <v>0</v>
      </c>
    </row>
    <row r="51" spans="1:14" s="1321" customFormat="1" ht="135">
      <c r="A51" s="1685">
        <f t="shared" si="24"/>
        <v>0</v>
      </c>
      <c r="B51" s="1686">
        <v>0</v>
      </c>
      <c r="C51" s="1326" t="s">
        <v>31</v>
      </c>
      <c r="D51" s="1678" t="str">
        <f>'2V 1m dia Pipe Culverts'!$B$21</f>
        <v>Vibrated  cement concrete M 15 Grade Concrete using 40mm , 20mm and 10mm size HBG crushed stone aggregate (Coarse aggregate conforming to table 1000-1 and fine aggregate (Natural sand 50%+Manufactured sand(Rock Sand)50% ) conforming to table 1000-2) including cost, (excluding  seigniorage) and conveyance of  all  materials to site and all labour charges , centering, machine mixing, laying in position, Compacting, Vibrating and curing including all other incidental and all other operational charges of T&amp;P required etc., complete as per MoRT&amp;H Specification 1500,1700, 2200 (5th Revision)  for foundations.</v>
      </c>
      <c r="E51" s="1337" t="s">
        <v>1120</v>
      </c>
      <c r="F51" s="1687" t="s">
        <v>53</v>
      </c>
      <c r="G51" s="1688">
        <f>'2V 1m dia Pipe Culverts'!$J$24</f>
        <v>6381.51</v>
      </c>
      <c r="H51" s="1689">
        <f t="shared" si="30"/>
        <v>0</v>
      </c>
      <c r="L51" s="1699">
        <f t="shared" si="27"/>
        <v>0</v>
      </c>
      <c r="M51" s="1699">
        <f t="shared" si="28"/>
        <v>21</v>
      </c>
      <c r="N51" s="1698">
        <f t="shared" si="29"/>
        <v>0</v>
      </c>
    </row>
    <row r="52" spans="1:14" s="1321" customFormat="1" ht="120">
      <c r="A52" s="1685">
        <f t="shared" si="24"/>
        <v>0</v>
      </c>
      <c r="B52" s="1686">
        <v>0</v>
      </c>
      <c r="C52" s="1326" t="s">
        <v>31</v>
      </c>
      <c r="D52" s="1678" t="str">
        <f>'2V 1m dia Pipe Culverts'!$B$26</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v>
      </c>
      <c r="E52" s="1337" t="s">
        <v>1121</v>
      </c>
      <c r="F52" s="1687" t="s">
        <v>53</v>
      </c>
      <c r="G52" s="1688">
        <f>'2V 1m dia Pipe Culverts'!$J$30</f>
        <v>6749.67</v>
      </c>
      <c r="H52" s="1689">
        <f t="shared" si="30"/>
        <v>0</v>
      </c>
      <c r="L52" s="1699">
        <f t="shared" si="27"/>
        <v>0</v>
      </c>
      <c r="M52" s="1699">
        <f t="shared" si="28"/>
        <v>21</v>
      </c>
      <c r="N52" s="1698">
        <f t="shared" si="29"/>
        <v>0</v>
      </c>
    </row>
    <row r="53" spans="1:14" s="1321" customFormat="1" ht="60">
      <c r="A53" s="1685">
        <f t="shared" si="24"/>
        <v>0</v>
      </c>
      <c r="B53" s="1686">
        <f t="shared" ref="B53" si="31">$E$48*0</f>
        <v>0</v>
      </c>
      <c r="C53" s="1326" t="s">
        <v>31</v>
      </c>
      <c r="D53" s="1678" t="str">
        <f>'Slab-Culverts Data'!$B$538</f>
        <v xml:space="preserve">Providing and laying boulders apron for bed protection against scour with stone boulders weighing not less than 40kg each complete as per drawing and specification. complete for finished item of work as per MoRT&amp;H specification 2504 ( 5th revision ) and as directed by the Engineer-in-Charge </v>
      </c>
      <c r="E53" s="1337" t="s">
        <v>1122</v>
      </c>
      <c r="F53" s="1687" t="s">
        <v>53</v>
      </c>
      <c r="G53" s="1688">
        <f>'Slab-Culverts Data'!$J$559</f>
        <v>2028.19</v>
      </c>
      <c r="H53" s="1689">
        <f t="shared" ref="H53" si="32">ROUND(B53*G53,0)</f>
        <v>0</v>
      </c>
      <c r="L53" s="1699">
        <f t="shared" si="27"/>
        <v>0</v>
      </c>
      <c r="M53" s="1699">
        <f t="shared" si="28"/>
        <v>21</v>
      </c>
      <c r="N53" s="1698">
        <f t="shared" si="29"/>
        <v>0</v>
      </c>
    </row>
    <row r="54" spans="1:14" s="1321" customFormat="1" ht="105">
      <c r="A54" s="1685">
        <f t="shared" si="24"/>
        <v>0</v>
      </c>
      <c r="B54" s="1686">
        <v>0</v>
      </c>
      <c r="C54" s="1326" t="s">
        <v>107</v>
      </c>
      <c r="D54" s="1678" t="str">
        <f>'Pipe data'!$B$105</f>
        <v xml:space="preserve">Providing, laying Reinforced cement concrete Hume pipes of 1000 mm Dia., NP4 class for pipe culverts  including cost and conveyance of Pipes etc., complete and Labour charges for laying, jointing of 1000mm dia. R.C.C Hume pipes  in position including lifting, aligning, lowering and hoisting etc., as per drawing and as per MoRT&amp;H Specification  2900, 2905 and 2906 (5th Revision) and IRC Special Publication No: 13 and as directed by the Engineer-in-Charge for finished item of work. </v>
      </c>
      <c r="E54" s="1337" t="s">
        <v>1123</v>
      </c>
      <c r="F54" s="1687" t="s">
        <v>112</v>
      </c>
      <c r="G54" s="1688">
        <f>'Pipe data'!$G$128</f>
        <v>13850.07</v>
      </c>
      <c r="H54" s="1689">
        <f t="shared" si="30"/>
        <v>0</v>
      </c>
      <c r="I54" s="1701">
        <f>SUM(H49:H54)</f>
        <v>0</v>
      </c>
      <c r="L54" s="1699">
        <f t="shared" si="27"/>
        <v>0</v>
      </c>
      <c r="M54" s="1699">
        <f t="shared" si="28"/>
        <v>21</v>
      </c>
      <c r="N54" s="1698">
        <f t="shared" si="29"/>
        <v>0</v>
      </c>
    </row>
    <row r="55" spans="1:14" s="1321" customFormat="1">
      <c r="A55" s="1685">
        <f t="shared" si="24"/>
        <v>0</v>
      </c>
      <c r="B55" s="1686"/>
      <c r="C55" s="1324"/>
      <c r="D55" s="1677" t="str">
        <f>"Wearing Coat over  existing road Dam  - "&amp;E55&amp;" at     Km  "</f>
        <v xml:space="preserve">Wearing Coat over  existing road Dam  - 0 at     Km  </v>
      </c>
      <c r="E55" s="1693">
        <v>0</v>
      </c>
      <c r="F55" s="1687"/>
      <c r="G55" s="1697"/>
      <c r="H55" s="1689"/>
      <c r="I55" s="1703"/>
      <c r="J55" s="1703"/>
      <c r="K55" s="1703"/>
      <c r="L55" s="1699">
        <f t="shared" si="27"/>
        <v>0</v>
      </c>
      <c r="M55" s="1699">
        <f t="shared" si="28"/>
        <v>21</v>
      </c>
      <c r="N55" s="1698">
        <f t="shared" si="29"/>
        <v>0</v>
      </c>
    </row>
    <row r="56" spans="1:14" s="1321" customFormat="1" ht="105">
      <c r="A56" s="1685">
        <f t="shared" si="24"/>
        <v>0</v>
      </c>
      <c r="B56" s="1686">
        <f>$E$55*0</f>
        <v>0</v>
      </c>
      <c r="C56" s="1326" t="s">
        <v>31</v>
      </c>
      <c r="D56" s="1678" t="str">
        <f>'Slab Culvert 1V 5m x 2m span'!$B$6</f>
        <v>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v>
      </c>
      <c r="E56" s="1337" t="s">
        <v>1119</v>
      </c>
      <c r="F56" s="1687" t="s">
        <v>53</v>
      </c>
      <c r="G56" s="1688">
        <f>'Slab Culvert 1V 5m x 2m span'!$J$9</f>
        <v>123.69927804166667</v>
      </c>
      <c r="H56" s="1689">
        <f t="shared" si="14"/>
        <v>0</v>
      </c>
      <c r="I56" s="1703"/>
      <c r="J56" s="1703"/>
      <c r="K56" s="1703"/>
      <c r="L56" s="1699">
        <f t="shared" si="27"/>
        <v>0</v>
      </c>
      <c r="M56" s="1699">
        <f t="shared" si="28"/>
        <v>21</v>
      </c>
      <c r="N56" s="1698">
        <f t="shared" si="29"/>
        <v>0</v>
      </c>
    </row>
    <row r="57" spans="1:14" s="1321" customFormat="1" ht="45">
      <c r="A57" s="1685">
        <f t="shared" si="24"/>
        <v>0</v>
      </c>
      <c r="B57" s="1686">
        <f t="shared" ref="B57:B62" si="33">$E$55*0</f>
        <v>0</v>
      </c>
      <c r="C57" s="1326" t="s">
        <v>31</v>
      </c>
      <c r="D57" s="1695" t="str">
        <f>'Slab Culvert 1V 5m x 2m span'!$B$11</f>
        <v>Sand  Filling  in foundation trenches as per drawing and technical specification Clause 304 of MORTH including overhead charges &amp; Contractors profit etc complete.</v>
      </c>
      <c r="E57" s="1337" t="s">
        <v>1119</v>
      </c>
      <c r="F57" s="1687" t="s">
        <v>53</v>
      </c>
      <c r="G57" s="1688">
        <f>'Slab Culvert 1V 5m x 2m span'!$J$13</f>
        <v>1237.43</v>
      </c>
      <c r="H57" s="1689">
        <f t="shared" si="14"/>
        <v>0</v>
      </c>
      <c r="I57" s="1703"/>
      <c r="J57" s="1703"/>
      <c r="K57" s="1703"/>
      <c r="L57" s="1699">
        <f t="shared" si="27"/>
        <v>0</v>
      </c>
      <c r="M57" s="1699">
        <f t="shared" si="28"/>
        <v>21</v>
      </c>
      <c r="N57" s="1698">
        <f t="shared" si="29"/>
        <v>0</v>
      </c>
    </row>
    <row r="58" spans="1:14" s="1321" customFormat="1" ht="120">
      <c r="A58" s="1685">
        <f t="shared" si="24"/>
        <v>0</v>
      </c>
      <c r="B58" s="1686">
        <f t="shared" si="33"/>
        <v>0</v>
      </c>
      <c r="C58" s="1326" t="s">
        <v>31</v>
      </c>
      <c r="D58" s="1678" t="str">
        <f>'Slab Culvert 1V 5m x 2m span'!$B$15</f>
        <v>Providing Plain Cement Concrete (1:3:6) mix using 40mm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E58" s="1337" t="s">
        <v>1120</v>
      </c>
      <c r="F58" s="1687" t="s">
        <v>53</v>
      </c>
      <c r="G58" s="1688">
        <f>'Slab Culvert 1V 5m x 2m span'!$J$18</f>
        <v>5706.01</v>
      </c>
      <c r="H58" s="1689">
        <f t="shared" si="14"/>
        <v>0</v>
      </c>
      <c r="I58" s="1703"/>
      <c r="J58" s="1703"/>
      <c r="K58" s="1703"/>
      <c r="L58" s="1699">
        <f t="shared" si="27"/>
        <v>0</v>
      </c>
      <c r="M58" s="1699">
        <f t="shared" si="28"/>
        <v>21</v>
      </c>
      <c r="N58" s="1698">
        <f t="shared" si="29"/>
        <v>0</v>
      </c>
    </row>
    <row r="59" spans="1:14" s="1321" customFormat="1" ht="120">
      <c r="A59" s="1685">
        <f t="shared" si="24"/>
        <v>0</v>
      </c>
      <c r="B59" s="1686">
        <f t="shared" si="33"/>
        <v>0</v>
      </c>
      <c r="C59" s="1326" t="s">
        <v>31</v>
      </c>
      <c r="D59" s="1678" t="str">
        <f>'2V 1m dia Pipe Culverts'!$B$26</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v>
      </c>
      <c r="E59" s="1337" t="s">
        <v>1121</v>
      </c>
      <c r="F59" s="1687" t="s">
        <v>53</v>
      </c>
      <c r="G59" s="1688">
        <f>'2V 1m dia Pipe Culverts'!$J$30</f>
        <v>6749.67</v>
      </c>
      <c r="H59" s="1689">
        <f t="shared" si="14"/>
        <v>0</v>
      </c>
      <c r="I59" s="1703"/>
      <c r="J59" s="1703"/>
      <c r="K59" s="1703"/>
      <c r="L59" s="1699">
        <f t="shared" si="27"/>
        <v>0</v>
      </c>
      <c r="M59" s="1699">
        <f t="shared" si="28"/>
        <v>21</v>
      </c>
      <c r="N59" s="1698">
        <f t="shared" si="29"/>
        <v>0</v>
      </c>
    </row>
    <row r="60" spans="1:14" s="1321" customFormat="1" ht="150">
      <c r="A60" s="1685">
        <f t="shared" si="24"/>
        <v>0</v>
      </c>
      <c r="B60" s="1686">
        <f t="shared" si="33"/>
        <v>0</v>
      </c>
      <c r="C60" s="1326" t="s">
        <v>31</v>
      </c>
      <c r="D60" s="1678" t="str">
        <f>'Slab Culvert 1V 5m x 2m span'!B$46</f>
        <v xml:space="preserve">Vibrated reinforced cement concrete M 25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MoRT&amp;H specification  1500,1600,1700 &amp; 2200  (5th revision ) and  as directed by the Engineer-in-Charge </v>
      </c>
      <c r="E60" s="1337" t="s">
        <v>1125</v>
      </c>
      <c r="F60" s="1687" t="s">
        <v>53</v>
      </c>
      <c r="G60" s="1688">
        <f>'Slab Culvert 1V 5m x 2m span'!$J$49</f>
        <v>8336.31</v>
      </c>
      <c r="H60" s="1689">
        <f t="shared" si="14"/>
        <v>0</v>
      </c>
      <c r="I60" s="1703"/>
      <c r="J60" s="1703"/>
      <c r="K60" s="1703"/>
      <c r="L60" s="1699">
        <f t="shared" si="27"/>
        <v>0</v>
      </c>
      <c r="M60" s="1699">
        <f t="shared" si="28"/>
        <v>21</v>
      </c>
      <c r="N60" s="1698">
        <f t="shared" si="29"/>
        <v>0</v>
      </c>
    </row>
    <row r="61" spans="1:14" s="1321" customFormat="1" ht="150">
      <c r="A61" s="1685">
        <f t="shared" si="24"/>
        <v>0</v>
      </c>
      <c r="B61" s="1686">
        <f t="shared" si="33"/>
        <v>0</v>
      </c>
      <c r="C61" s="1326" t="s">
        <v>31</v>
      </c>
      <c r="D61" s="1678" t="str">
        <f>'Slab Culvert 1V 5m x 2m span'!B$55</f>
        <v>Vibrated cement concrete M 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1500, 1600, 1700 &amp; 2702 as directed by the Engineer-in-Charge for Wearing Coat.</v>
      </c>
      <c r="E61" s="1337" t="s">
        <v>1126</v>
      </c>
      <c r="F61" s="1687" t="s">
        <v>53</v>
      </c>
      <c r="G61" s="1688">
        <f>'Slab Culvert 1V 5m x 2m span'!$J$57</f>
        <v>7037.28</v>
      </c>
      <c r="H61" s="1689">
        <f t="shared" si="14"/>
        <v>0</v>
      </c>
      <c r="I61" s="1703"/>
      <c r="J61" s="1703"/>
      <c r="K61" s="1703"/>
      <c r="L61" s="1699">
        <f t="shared" si="27"/>
        <v>0</v>
      </c>
      <c r="M61" s="1699">
        <f t="shared" si="28"/>
        <v>21</v>
      </c>
      <c r="N61" s="1698">
        <f t="shared" si="29"/>
        <v>0</v>
      </c>
    </row>
    <row r="62" spans="1:14" s="1321" customFormat="1" ht="165">
      <c r="A62" s="1685">
        <f t="shared" si="24"/>
        <v>0</v>
      </c>
      <c r="B62" s="1686">
        <f t="shared" si="33"/>
        <v>0</v>
      </c>
      <c r="C62" s="1326" t="s">
        <v>66</v>
      </c>
      <c r="D62" s="1678" t="str">
        <f>'Slab Culvert 1V 5m x 2m span'!B$97</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 2200  (5th revision) in super structure.</v>
      </c>
      <c r="E62" s="1337" t="s">
        <v>1127</v>
      </c>
      <c r="F62" s="1687" t="s">
        <v>1128</v>
      </c>
      <c r="G62" s="1688">
        <f>'Slab Culvert 1V 5m x 2m span'!$J$98</f>
        <v>66904.47</v>
      </c>
      <c r="H62" s="1689">
        <f t="shared" si="14"/>
        <v>0</v>
      </c>
      <c r="I62" s="1703">
        <f>SUM(H56:H62)</f>
        <v>0</v>
      </c>
      <c r="J62" s="1703"/>
      <c r="K62" s="1703">
        <f>I62-J62</f>
        <v>0</v>
      </c>
      <c r="L62" s="1699">
        <f t="shared" si="27"/>
        <v>0</v>
      </c>
      <c r="M62" s="1699">
        <f t="shared" si="28"/>
        <v>21</v>
      </c>
      <c r="N62" s="1698">
        <f t="shared" si="29"/>
        <v>0</v>
      </c>
    </row>
    <row r="63" spans="1:14" s="1321" customFormat="1">
      <c r="A63" s="1685">
        <f t="shared" si="24"/>
        <v>0</v>
      </c>
      <c r="B63" s="1686"/>
      <c r="C63" s="1324"/>
      <c r="D63" s="1677" t="str">
        <f>"Construction of 1 Vents of 2.00m span Slab Culvert  "&amp;E63&amp;" Nos at 1/944  Km "</f>
        <v xml:space="preserve">Construction of 1 Vents of 2.00m span Slab Culvert  0 Nos at 1/944  Km </v>
      </c>
      <c r="E63" s="1693">
        <v>0</v>
      </c>
      <c r="F63" s="1687"/>
      <c r="G63" s="1697"/>
      <c r="H63" s="1689"/>
      <c r="I63" s="1703"/>
      <c r="J63" s="1703"/>
      <c r="K63" s="1703"/>
      <c r="L63" s="1699">
        <f t="shared" si="27"/>
        <v>0</v>
      </c>
      <c r="M63" s="1699">
        <f t="shared" si="28"/>
        <v>21</v>
      </c>
      <c r="N63" s="1698">
        <f t="shared" si="29"/>
        <v>0</v>
      </c>
    </row>
    <row r="64" spans="1:14" s="1321" customFormat="1" ht="105">
      <c r="A64" s="1685">
        <f t="shared" si="24"/>
        <v>0</v>
      </c>
      <c r="B64" s="1686">
        <f>$E$63*0</f>
        <v>0</v>
      </c>
      <c r="C64" s="1326" t="s">
        <v>31</v>
      </c>
      <c r="D64" s="1678" t="str">
        <f>'Slab Culvert 1V 5m x 2m span'!$B$6</f>
        <v>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v>
      </c>
      <c r="E64" s="1337" t="s">
        <v>1119</v>
      </c>
      <c r="F64" s="1687" t="s">
        <v>53</v>
      </c>
      <c r="G64" s="1688">
        <f>'Slab Culvert 1V 5m x 2m span'!$J$9</f>
        <v>123.69927804166667</v>
      </c>
      <c r="H64" s="1689">
        <f t="shared" si="14"/>
        <v>0</v>
      </c>
      <c r="I64" s="1702"/>
      <c r="J64" s="1703"/>
      <c r="K64" s="1703"/>
      <c r="L64" s="1699">
        <f t="shared" si="27"/>
        <v>0</v>
      </c>
      <c r="M64" s="1699">
        <f t="shared" si="28"/>
        <v>21</v>
      </c>
      <c r="N64" s="1698">
        <f t="shared" si="29"/>
        <v>0</v>
      </c>
    </row>
    <row r="65" spans="1:14" s="1321" customFormat="1" ht="45">
      <c r="A65" s="1685">
        <f t="shared" si="24"/>
        <v>0</v>
      </c>
      <c r="B65" s="1686">
        <f t="shared" ref="B65:B73" si="34">$E$63*0</f>
        <v>0</v>
      </c>
      <c r="C65" s="1326" t="s">
        <v>31</v>
      </c>
      <c r="D65" s="1695" t="str">
        <f>'Slab Culvert 1V 5m x 2m span'!$B$11</f>
        <v>Sand  Filling  in foundation trenches as per drawing and technical specification Clause 304 of MORTH including overhead charges &amp; Contractors profit etc complete.</v>
      </c>
      <c r="E65" s="1337" t="s">
        <v>1119</v>
      </c>
      <c r="F65" s="1687" t="s">
        <v>53</v>
      </c>
      <c r="G65" s="1688">
        <f>'Slab Culvert 1V 5m x 2m span'!$J$13</f>
        <v>1237.43</v>
      </c>
      <c r="H65" s="1689">
        <f t="shared" si="14"/>
        <v>0</v>
      </c>
      <c r="I65" s="1702"/>
      <c r="J65" s="1703"/>
      <c r="K65" s="1703"/>
      <c r="L65" s="1699">
        <f t="shared" si="27"/>
        <v>0</v>
      </c>
      <c r="M65" s="1699">
        <f t="shared" si="28"/>
        <v>21</v>
      </c>
      <c r="N65" s="1698">
        <f t="shared" si="29"/>
        <v>0</v>
      </c>
    </row>
    <row r="66" spans="1:14" s="1321" customFormat="1" ht="120">
      <c r="A66" s="1685">
        <f t="shared" si="24"/>
        <v>0</v>
      </c>
      <c r="B66" s="1686">
        <f t="shared" si="34"/>
        <v>0</v>
      </c>
      <c r="C66" s="1326" t="s">
        <v>31</v>
      </c>
      <c r="D66" s="1678" t="str">
        <f>'Slab Culvert 1V 5m x 2m span'!$B$15</f>
        <v>Providing Plain Cement Concrete (1:3:6) mix using 40mm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E66" s="1337" t="s">
        <v>1120</v>
      </c>
      <c r="F66" s="1687" t="s">
        <v>53</v>
      </c>
      <c r="G66" s="1688">
        <f>'Slab Culvert 1V 5m x 2m span'!$J$18</f>
        <v>5706.01</v>
      </c>
      <c r="H66" s="1689">
        <f t="shared" si="14"/>
        <v>0</v>
      </c>
      <c r="I66" s="1702"/>
      <c r="J66" s="1703"/>
      <c r="K66" s="1703"/>
      <c r="L66" s="1699">
        <f t="shared" si="27"/>
        <v>0</v>
      </c>
      <c r="M66" s="1699">
        <f t="shared" si="28"/>
        <v>21</v>
      </c>
      <c r="N66" s="1698">
        <f t="shared" si="29"/>
        <v>0</v>
      </c>
    </row>
    <row r="67" spans="1:14" s="1321" customFormat="1" ht="135">
      <c r="A67" s="1685">
        <f t="shared" si="24"/>
        <v>0</v>
      </c>
      <c r="B67" s="1686">
        <f t="shared" si="34"/>
        <v>0</v>
      </c>
      <c r="C67" s="1326" t="s">
        <v>31</v>
      </c>
      <c r="D67" s="1678" t="str">
        <f>'2V 1m dia Pipe Culverts'!$B$21</f>
        <v>Vibrated  cement concrete M 15 Grade Concrete using 40mm , 20mm and 10mm size HBG crushed stone aggregate (Coarse aggregate conforming to table 1000-1 and fine aggregate (Natural sand 50%+Manufactured sand(Rock Sand)50% ) conforming to table 1000-2) including cost, (excluding  seigniorage) and conveyance of  all  materials to site and all labour charges , centering, machine mixing, laying in position, Compacting, Vibrating and curing including all other incidental and all other operational charges of T&amp;P required etc., complete as per MoRT&amp;H Specification 1500,1700, 2200 (5th Revision)  for foundations.</v>
      </c>
      <c r="E67" s="1337" t="s">
        <v>1120</v>
      </c>
      <c r="F67" s="1687" t="s">
        <v>53</v>
      </c>
      <c r="G67" s="1688">
        <f>'2V 1m dia Pipe Culverts'!$J$24</f>
        <v>6381.51</v>
      </c>
      <c r="H67" s="1689">
        <f t="shared" ref="H67" si="35">ROUND(B67*G67,0)</f>
        <v>0</v>
      </c>
      <c r="I67" s="1702"/>
      <c r="J67" s="1703"/>
      <c r="K67" s="1703"/>
      <c r="L67" s="1699">
        <f t="shared" si="27"/>
        <v>0</v>
      </c>
      <c r="M67" s="1699">
        <f t="shared" si="28"/>
        <v>21</v>
      </c>
      <c r="N67" s="1698">
        <f t="shared" si="29"/>
        <v>0</v>
      </c>
    </row>
    <row r="68" spans="1:14" s="1321" customFormat="1" ht="120">
      <c r="A68" s="1685">
        <f t="shared" si="24"/>
        <v>0</v>
      </c>
      <c r="B68" s="1686">
        <f t="shared" si="34"/>
        <v>0</v>
      </c>
      <c r="C68" s="1326" t="s">
        <v>31</v>
      </c>
      <c r="D68" s="1678" t="str">
        <f>'2V 1m dia Pipe Culverts'!$B$26</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v>
      </c>
      <c r="E68" s="1337" t="s">
        <v>1121</v>
      </c>
      <c r="F68" s="1687" t="s">
        <v>53</v>
      </c>
      <c r="G68" s="1688">
        <f>'2V 1m dia Pipe Culverts'!$J$30</f>
        <v>6749.67</v>
      </c>
      <c r="H68" s="1689">
        <f t="shared" si="14"/>
        <v>0</v>
      </c>
      <c r="I68" s="1702"/>
      <c r="J68" s="1703"/>
      <c r="K68" s="1703"/>
      <c r="L68" s="1699">
        <f t="shared" si="27"/>
        <v>0</v>
      </c>
      <c r="M68" s="1699">
        <f t="shared" si="28"/>
        <v>21</v>
      </c>
      <c r="N68" s="1698">
        <f t="shared" si="29"/>
        <v>0</v>
      </c>
    </row>
    <row r="69" spans="1:14" s="1321" customFormat="1" ht="135">
      <c r="A69" s="1685">
        <f t="shared" si="24"/>
        <v>0</v>
      </c>
      <c r="B69" s="1686">
        <f t="shared" si="34"/>
        <v>0</v>
      </c>
      <c r="C69" s="1326" t="s">
        <v>31</v>
      </c>
      <c r="D69" s="1704" t="str">
        <f>'Slab-Culverts Data'!$B$239</f>
        <v>Providing reinforced concrete of M25 mix using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Sub-structure.for  Bed blocks &amp; Backing walls</v>
      </c>
      <c r="E69" s="1705" t="s">
        <v>1129</v>
      </c>
      <c r="F69" s="1706" t="s">
        <v>53</v>
      </c>
      <c r="G69" s="1707">
        <f>'Slab-Culverts Data'!$J$267</f>
        <v>7666.61</v>
      </c>
      <c r="H69" s="1689">
        <f t="shared" ref="H69" si="36">ROUND(B69*G69,0)</f>
        <v>0</v>
      </c>
      <c r="I69" s="1702"/>
      <c r="J69" s="1703"/>
      <c r="K69" s="1703"/>
      <c r="L69" s="1699">
        <f t="shared" si="27"/>
        <v>0</v>
      </c>
      <c r="M69" s="1699">
        <f t="shared" si="28"/>
        <v>21</v>
      </c>
      <c r="N69" s="1698">
        <f t="shared" si="29"/>
        <v>0</v>
      </c>
    </row>
    <row r="70" spans="1:14" s="1321" customFormat="1" ht="150">
      <c r="A70" s="1685">
        <f t="shared" si="24"/>
        <v>0</v>
      </c>
      <c r="B70" s="1686">
        <f t="shared" si="34"/>
        <v>0</v>
      </c>
      <c r="C70" s="1326" t="s">
        <v>31</v>
      </c>
      <c r="D70" s="1678" t="str">
        <f>'Slab Culvert 1V 5m x 2m span'!B$46</f>
        <v xml:space="preserve">Vibrated reinforced cement concrete M 25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MoRT&amp;H specification  1500,1600,1700 &amp; 2200  (5th revision ) and  as directed by the Engineer-in-Charge </v>
      </c>
      <c r="E70" s="1337" t="s">
        <v>1125</v>
      </c>
      <c r="F70" s="1687" t="s">
        <v>53</v>
      </c>
      <c r="G70" s="1688">
        <f>'Slab Culvert 1V 5m x 2m span'!$J$49</f>
        <v>8336.31</v>
      </c>
      <c r="H70" s="1689">
        <f t="shared" si="14"/>
        <v>0</v>
      </c>
      <c r="I70" s="1702"/>
      <c r="J70" s="1703"/>
      <c r="K70" s="1703"/>
      <c r="L70" s="1699">
        <f t="shared" si="27"/>
        <v>0</v>
      </c>
      <c r="M70" s="1699">
        <f t="shared" si="28"/>
        <v>21</v>
      </c>
      <c r="N70" s="1698">
        <f t="shared" si="29"/>
        <v>0</v>
      </c>
    </row>
    <row r="71" spans="1:14" s="1321" customFormat="1" ht="150">
      <c r="A71" s="1685">
        <f t="shared" si="24"/>
        <v>0</v>
      </c>
      <c r="B71" s="1686">
        <f t="shared" si="34"/>
        <v>0</v>
      </c>
      <c r="C71" s="1326" t="s">
        <v>31</v>
      </c>
      <c r="D71" s="1678" t="str">
        <f>'Slab Culvert 1V 5m x 2m span'!B$55</f>
        <v>Vibrated cement concrete M 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1500, 1600, 1700 &amp; 2702 as directed by the Engineer-in-Charge for Wearing Coat.</v>
      </c>
      <c r="E71" s="1337" t="s">
        <v>1126</v>
      </c>
      <c r="F71" s="1687" t="s">
        <v>53</v>
      </c>
      <c r="G71" s="1688">
        <f>'Slab Culvert 1V 5m x 2m span'!$J$57</f>
        <v>7037.28</v>
      </c>
      <c r="H71" s="1689">
        <f t="shared" si="14"/>
        <v>0</v>
      </c>
      <c r="I71" s="1702"/>
      <c r="J71" s="1703"/>
      <c r="K71" s="1703"/>
      <c r="L71" s="1699">
        <f t="shared" si="27"/>
        <v>0</v>
      </c>
      <c r="M71" s="1699">
        <f t="shared" si="28"/>
        <v>21</v>
      </c>
      <c r="N71" s="1698">
        <f t="shared" si="29"/>
        <v>0</v>
      </c>
    </row>
    <row r="72" spans="1:14" s="1321" customFormat="1" ht="165">
      <c r="A72" s="1685">
        <f t="shared" si="24"/>
        <v>0</v>
      </c>
      <c r="B72" s="1686">
        <f t="shared" si="34"/>
        <v>0</v>
      </c>
      <c r="C72" s="1326" t="s">
        <v>31</v>
      </c>
      <c r="D72" s="1678" t="str">
        <f>'Slab Culvert 1V 5m x 2m span'!B$97</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 2200  (5th revision) in super structure.</v>
      </c>
      <c r="E72" s="1337" t="s">
        <v>1127</v>
      </c>
      <c r="F72" s="1687" t="s">
        <v>1128</v>
      </c>
      <c r="G72" s="1688">
        <f>'Slab Culvert 1V 5m x 2m span'!$J$98</f>
        <v>66904.47</v>
      </c>
      <c r="H72" s="1689">
        <f t="shared" si="14"/>
        <v>0</v>
      </c>
      <c r="I72" s="1702"/>
      <c r="J72" s="1703"/>
      <c r="K72" s="1709"/>
      <c r="L72" s="1699">
        <f t="shared" si="27"/>
        <v>0</v>
      </c>
      <c r="M72" s="1699">
        <f t="shared" si="28"/>
        <v>21</v>
      </c>
      <c r="N72" s="1698">
        <f t="shared" si="29"/>
        <v>0</v>
      </c>
    </row>
    <row r="73" spans="1:14" s="1321" customFormat="1">
      <c r="A73" s="1685">
        <f t="shared" si="24"/>
        <v>0</v>
      </c>
      <c r="B73" s="1686">
        <f t="shared" si="34"/>
        <v>0</v>
      </c>
      <c r="C73" s="1326" t="s">
        <v>554</v>
      </c>
      <c r="D73" s="1678"/>
      <c r="E73" s="1337"/>
      <c r="F73" s="1687"/>
      <c r="G73" s="1688"/>
      <c r="H73" s="1689">
        <f t="shared" si="14"/>
        <v>0</v>
      </c>
      <c r="I73" s="1703">
        <f>SUM(H64:H73)</f>
        <v>0</v>
      </c>
      <c r="J73" s="1703"/>
      <c r="K73" s="1703"/>
      <c r="L73" s="1699">
        <f t="shared" si="27"/>
        <v>0</v>
      </c>
      <c r="M73" s="1699">
        <f t="shared" si="28"/>
        <v>21</v>
      </c>
      <c r="N73" s="1698">
        <f t="shared" si="29"/>
        <v>0</v>
      </c>
    </row>
    <row r="74" spans="1:14" s="1321" customFormat="1">
      <c r="A74" s="1685">
        <f t="shared" si="24"/>
        <v>0</v>
      </c>
      <c r="B74" s="1686"/>
      <c r="C74" s="1324"/>
      <c r="D74" s="1677" t="str">
        <f>"Construction of  1 Vents of  2.00m span Slab Culverts  "&amp;E74&amp;" Nos at  1/944 Kms "</f>
        <v xml:space="preserve">Construction of  1 Vents of  2.00m span Slab Culverts  0 Nos at  1/944 Kms </v>
      </c>
      <c r="E74" s="1693">
        <v>0</v>
      </c>
      <c r="F74" s="1687"/>
      <c r="G74" s="1697"/>
      <c r="H74" s="1689"/>
      <c r="I74" s="1703"/>
      <c r="J74" s="1703"/>
      <c r="K74" s="1703"/>
      <c r="L74" s="1699">
        <f t="shared" si="27"/>
        <v>0</v>
      </c>
      <c r="M74" s="1699">
        <f t="shared" si="28"/>
        <v>21</v>
      </c>
      <c r="N74" s="1698">
        <f t="shared" si="29"/>
        <v>0</v>
      </c>
    </row>
    <row r="75" spans="1:14" s="1321" customFormat="1" ht="105">
      <c r="A75" s="1685">
        <f t="shared" si="24"/>
        <v>0</v>
      </c>
      <c r="B75" s="1686">
        <f>$E$74*0</f>
        <v>0</v>
      </c>
      <c r="C75" s="1708" t="s">
        <v>31</v>
      </c>
      <c r="D75" s="1704" t="str">
        <f>'Pipe data'!$B$4</f>
        <v>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v>
      </c>
      <c r="E75" s="1705" t="s">
        <v>1119</v>
      </c>
      <c r="F75" s="1706" t="s">
        <v>53</v>
      </c>
      <c r="G75" s="1707">
        <f>'Pipe data'!$G$20</f>
        <v>123.69927804166667</v>
      </c>
      <c r="H75" s="1689">
        <f t="shared" ref="H75:H91" si="37">ROUND(B75*G75,0)</f>
        <v>0</v>
      </c>
      <c r="I75" s="1702"/>
      <c r="J75" s="1703"/>
      <c r="K75" s="1703"/>
      <c r="L75" s="1699">
        <f t="shared" si="27"/>
        <v>0</v>
      </c>
      <c r="M75" s="1699">
        <f t="shared" si="28"/>
        <v>21</v>
      </c>
      <c r="N75" s="1698">
        <f t="shared" si="29"/>
        <v>0</v>
      </c>
    </row>
    <row r="76" spans="1:14" s="1321" customFormat="1" ht="45">
      <c r="A76" s="1685">
        <f t="shared" si="24"/>
        <v>0</v>
      </c>
      <c r="B76" s="1686">
        <f t="shared" ref="B76:B91" si="38">$E$74*0</f>
        <v>0</v>
      </c>
      <c r="C76" s="1708" t="s">
        <v>31</v>
      </c>
      <c r="D76" s="1696" t="str">
        <f>'Pipe data'!$B$55</f>
        <v>Sand  Filling  in foundation trenches as per drawing and technical specification Clause 304 of MORTH including overhead charges &amp; Contractors profit etc complete.</v>
      </c>
      <c r="E76" s="1705" t="s">
        <v>1119</v>
      </c>
      <c r="F76" s="1706" t="s">
        <v>53</v>
      </c>
      <c r="G76" s="1707">
        <f>'Pipe data'!$G$72</f>
        <v>1237.43</v>
      </c>
      <c r="H76" s="1689">
        <f t="shared" si="37"/>
        <v>0</v>
      </c>
      <c r="I76" s="1702"/>
      <c r="J76" s="1703"/>
      <c r="K76" s="1703"/>
      <c r="L76" s="1699">
        <f t="shared" si="27"/>
        <v>0</v>
      </c>
      <c r="M76" s="1699">
        <f t="shared" si="28"/>
        <v>21</v>
      </c>
      <c r="N76" s="1698">
        <f t="shared" si="29"/>
        <v>0</v>
      </c>
    </row>
    <row r="77" spans="1:14" s="1321" customFormat="1" ht="120">
      <c r="A77" s="1685">
        <f t="shared" si="24"/>
        <v>0</v>
      </c>
      <c r="B77" s="1686">
        <f t="shared" si="38"/>
        <v>0</v>
      </c>
      <c r="C77" s="1708" t="s">
        <v>31</v>
      </c>
      <c r="D77" s="1704" t="str">
        <f>'Slab-Culverts Data'!$B$5</f>
        <v>Providing Plain Cement Concrete (1:3:6) mix using 40mm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E77" s="1705" t="s">
        <v>1120</v>
      </c>
      <c r="F77" s="1706" t="s">
        <v>53</v>
      </c>
      <c r="G77" s="1707">
        <f>'Slab-Culverts Data'!$J$31</f>
        <v>5706.01</v>
      </c>
      <c r="H77" s="1689">
        <f t="shared" si="37"/>
        <v>0</v>
      </c>
      <c r="I77" s="1702"/>
      <c r="J77" s="1703"/>
      <c r="K77" s="1703"/>
      <c r="L77" s="1699">
        <f t="shared" si="27"/>
        <v>0</v>
      </c>
      <c r="M77" s="1699">
        <f t="shared" si="28"/>
        <v>21</v>
      </c>
      <c r="N77" s="1698">
        <f t="shared" si="29"/>
        <v>0</v>
      </c>
    </row>
    <row r="78" spans="1:14" s="1321" customFormat="1" ht="120">
      <c r="A78" s="1685">
        <f t="shared" ref="A78:A107" si="39">L78</f>
        <v>0</v>
      </c>
      <c r="B78" s="1686">
        <f t="shared" si="38"/>
        <v>0</v>
      </c>
      <c r="C78" s="1708" t="s">
        <v>31</v>
      </c>
      <c r="D78" s="1696" t="str">
        <f>'Slab-Culverts Data'!$B$33</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E78" s="1705" t="s">
        <v>1120</v>
      </c>
      <c r="F78" s="1706" t="s">
        <v>53</v>
      </c>
      <c r="G78" s="1707">
        <f>'Slab-Culverts Data'!$J$62</f>
        <v>6381.51</v>
      </c>
      <c r="H78" s="1689">
        <f t="shared" si="37"/>
        <v>0</v>
      </c>
      <c r="I78" s="1702"/>
      <c r="J78" s="1703"/>
      <c r="K78" s="1703"/>
      <c r="L78" s="1699">
        <f t="shared" si="27"/>
        <v>0</v>
      </c>
      <c r="M78" s="1699">
        <f t="shared" si="28"/>
        <v>21</v>
      </c>
      <c r="N78" s="1698">
        <f t="shared" si="29"/>
        <v>0</v>
      </c>
    </row>
    <row r="79" spans="1:14" s="1321" customFormat="1" ht="120">
      <c r="A79" s="1685">
        <f t="shared" si="39"/>
        <v>0</v>
      </c>
      <c r="B79" s="1686">
        <f t="shared" si="38"/>
        <v>0</v>
      </c>
      <c r="C79" s="1708" t="s">
        <v>31</v>
      </c>
      <c r="D79" s="1704" t="str">
        <f>'Slab-Culverts Data'!$B$177</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v>
      </c>
      <c r="E79" s="1705" t="s">
        <v>1120</v>
      </c>
      <c r="F79" s="1706" t="s">
        <v>53</v>
      </c>
      <c r="G79" s="1707">
        <f>'Slab-Culverts Data'!$J$206</f>
        <v>6749.67</v>
      </c>
      <c r="H79" s="1689">
        <f t="shared" si="37"/>
        <v>0</v>
      </c>
      <c r="I79" s="1702"/>
      <c r="J79" s="1703"/>
      <c r="K79" s="1703"/>
      <c r="L79" s="1699">
        <f t="shared" ref="L79:L101" si="40">IF(M79=M78,0,M79)</f>
        <v>0</v>
      </c>
      <c r="M79" s="1699">
        <f t="shared" ref="M79:M101" si="41">IF(N79&gt;0,(M78+1),M78)</f>
        <v>21</v>
      </c>
      <c r="N79" s="1698">
        <f t="shared" ref="N79:N101" si="42">H79</f>
        <v>0</v>
      </c>
    </row>
    <row r="80" spans="1:14" s="1321" customFormat="1" ht="135">
      <c r="A80" s="1685">
        <f t="shared" si="39"/>
        <v>0</v>
      </c>
      <c r="B80" s="1686">
        <f t="shared" si="38"/>
        <v>0</v>
      </c>
      <c r="C80" s="1708" t="s">
        <v>31</v>
      </c>
      <c r="D80" s="1704" t="str">
        <f>'Slab-Culverts Data'!$B$239</f>
        <v>Providing reinforced concrete of M25 mix using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Sub-structure.for  Bed blocks &amp; Backing walls</v>
      </c>
      <c r="E80" s="1705" t="s">
        <v>1129</v>
      </c>
      <c r="F80" s="1706" t="s">
        <v>53</v>
      </c>
      <c r="G80" s="1707">
        <f>'Slab-Culverts Data'!$J$267</f>
        <v>7666.61</v>
      </c>
      <c r="H80" s="1689">
        <f t="shared" si="37"/>
        <v>0</v>
      </c>
      <c r="I80" s="1702"/>
      <c r="J80" s="1703"/>
      <c r="K80" s="1703">
        <f>18774/G80</f>
        <v>2.4488007085269761</v>
      </c>
      <c r="L80" s="1699">
        <f t="shared" si="40"/>
        <v>0</v>
      </c>
      <c r="M80" s="1699">
        <f t="shared" si="41"/>
        <v>21</v>
      </c>
      <c r="N80" s="1698">
        <f t="shared" si="42"/>
        <v>0</v>
      </c>
    </row>
    <row r="81" spans="1:14" s="1321" customFormat="1" ht="150">
      <c r="A81" s="1685">
        <f t="shared" si="39"/>
        <v>0</v>
      </c>
      <c r="B81" s="1686">
        <f t="shared" si="38"/>
        <v>0</v>
      </c>
      <c r="C81" s="1708" t="s">
        <v>31</v>
      </c>
      <c r="D81" s="1704" t="str">
        <f>'Slab-Culverts Data'!$B$369</f>
        <v>Vibrated reinforced cement concrete M 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MoRT&amp;H  specification 1500, 1600, 1700&amp; 2300 as directed by the Engineer-in-Charge for  superstructure (Deck Slab)</v>
      </c>
      <c r="E81" s="1705" t="s">
        <v>1125</v>
      </c>
      <c r="F81" s="1706" t="s">
        <v>53</v>
      </c>
      <c r="G81" s="1707">
        <f>'Slab-Culverts Data'!$J$397</f>
        <v>8444.74</v>
      </c>
      <c r="H81" s="1689">
        <f t="shared" si="37"/>
        <v>0</v>
      </c>
      <c r="I81" s="1702"/>
      <c r="J81" s="1703"/>
      <c r="K81" s="1709"/>
      <c r="L81" s="1699">
        <f t="shared" si="40"/>
        <v>0</v>
      </c>
      <c r="M81" s="1699">
        <f t="shared" si="41"/>
        <v>21</v>
      </c>
      <c r="N81" s="1698">
        <f t="shared" si="42"/>
        <v>0</v>
      </c>
    </row>
    <row r="82" spans="1:14" s="1321" customFormat="1" ht="150">
      <c r="A82" s="1685">
        <f t="shared" si="39"/>
        <v>0</v>
      </c>
      <c r="B82" s="1686">
        <f t="shared" si="38"/>
        <v>0</v>
      </c>
      <c r="C82" s="1708" t="s">
        <v>31</v>
      </c>
      <c r="D82" s="1704" t="str">
        <f>'Slab-Culverts Data'!$B$400</f>
        <v>Vibrated cement concrete M 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1500, 1600, 1700 &amp; 2702 as directed by the Engineer-in-Charge for Wearing Coat.</v>
      </c>
      <c r="E82" s="1705" t="s">
        <v>1126</v>
      </c>
      <c r="F82" s="1706" t="s">
        <v>53</v>
      </c>
      <c r="G82" s="1707">
        <f>'Slab-Culverts Data'!$J$428</f>
        <v>7037.28</v>
      </c>
      <c r="H82" s="1689">
        <f t="shared" si="37"/>
        <v>0</v>
      </c>
      <c r="I82" s="1702"/>
      <c r="J82" s="1703"/>
      <c r="K82" s="1703">
        <f>61979/5270.45</f>
        <v>11.759716912218122</v>
      </c>
      <c r="L82" s="1699">
        <f t="shared" si="40"/>
        <v>0</v>
      </c>
      <c r="M82" s="1699">
        <f t="shared" si="41"/>
        <v>21</v>
      </c>
      <c r="N82" s="1698">
        <f t="shared" si="42"/>
        <v>0</v>
      </c>
    </row>
    <row r="83" spans="1:14" s="1321" customFormat="1" ht="120">
      <c r="A83" s="1685">
        <f t="shared" si="39"/>
        <v>0</v>
      </c>
      <c r="B83" s="1686">
        <f t="shared" si="38"/>
        <v>0</v>
      </c>
      <c r="C83" s="1708" t="s">
        <v>31</v>
      </c>
      <c r="D83" s="1696" t="str">
        <f>'Slab-Culverts Data'!$B$33</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E83" s="1705" t="s">
        <v>1120</v>
      </c>
      <c r="F83" s="1706" t="s">
        <v>53</v>
      </c>
      <c r="G83" s="1707">
        <f>'Slab-Culverts Data'!$J$62</f>
        <v>6381.51</v>
      </c>
      <c r="H83" s="1689">
        <f t="shared" ref="H83" si="43">ROUND(B83*G83,0)</f>
        <v>0</v>
      </c>
      <c r="I83" s="1702"/>
      <c r="J83" s="1703"/>
      <c r="K83" s="1703"/>
      <c r="L83" s="1699">
        <f t="shared" si="40"/>
        <v>0</v>
      </c>
      <c r="M83" s="1699">
        <f t="shared" si="41"/>
        <v>21</v>
      </c>
      <c r="N83" s="1698">
        <f t="shared" si="42"/>
        <v>0</v>
      </c>
    </row>
    <row r="84" spans="1:14" s="1321" customFormat="1" ht="165">
      <c r="A84" s="1685">
        <f t="shared" si="39"/>
        <v>0</v>
      </c>
      <c r="B84" s="1686">
        <f t="shared" si="38"/>
        <v>0</v>
      </c>
      <c r="C84" s="1708" t="s">
        <v>66</v>
      </c>
      <c r="D84" s="1704" t="str">
        <f>'Slab-Culverts Data'!$B$431</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 2200  (5th revision) in super structure.</v>
      </c>
      <c r="E84" s="1705" t="s">
        <v>1127</v>
      </c>
      <c r="F84" s="1706" t="s">
        <v>1128</v>
      </c>
      <c r="G84" s="1707">
        <f>'Slab-Culverts Data'!$J$451</f>
        <v>66904.47</v>
      </c>
      <c r="H84" s="1689">
        <f t="shared" si="37"/>
        <v>0</v>
      </c>
      <c r="I84" s="1702"/>
      <c r="J84" s="1703"/>
      <c r="K84" s="1703"/>
      <c r="L84" s="1699">
        <f t="shared" si="40"/>
        <v>0</v>
      </c>
      <c r="M84" s="1699">
        <f t="shared" si="41"/>
        <v>21</v>
      </c>
      <c r="N84" s="1698">
        <f t="shared" si="42"/>
        <v>0</v>
      </c>
    </row>
    <row r="85" spans="1:14" s="1321" customFormat="1" ht="75">
      <c r="A85" s="1685">
        <f t="shared" si="39"/>
        <v>0</v>
      </c>
      <c r="B85" s="1686">
        <f t="shared" si="38"/>
        <v>0</v>
      </c>
      <c r="C85" s="1708" t="s">
        <v>31</v>
      </c>
      <c r="D85" s="1704" t="str">
        <f>'Pipe data'!$B$156</f>
        <v xml:space="preserve">Providing and filling  bedding of Selected Earth material around the pipes of  Hume pipe culverts suitably compacted / rammed including cost, (excluding  seigniorage) and conveyance of materials to site etc.,  complete as per drawing and MoRT&amp;H Specification  2900 ( 5th Revision) and as directed by the Engineer-in-Charge. </v>
      </c>
      <c r="E85" s="1705" t="s">
        <v>1130</v>
      </c>
      <c r="F85" s="1706" t="s">
        <v>53</v>
      </c>
      <c r="G85" s="1707">
        <f>'Pipe data'!$G$177</f>
        <v>691.79</v>
      </c>
      <c r="H85" s="1689">
        <f t="shared" si="37"/>
        <v>0</v>
      </c>
      <c r="I85" s="1702"/>
      <c r="J85" s="1703"/>
      <c r="K85" s="1703"/>
      <c r="L85" s="1699">
        <f t="shared" si="40"/>
        <v>0</v>
      </c>
      <c r="M85" s="1699">
        <f t="shared" si="41"/>
        <v>21</v>
      </c>
      <c r="N85" s="1698">
        <f t="shared" si="42"/>
        <v>0</v>
      </c>
    </row>
    <row r="86" spans="1:14" s="1321" customFormat="1" ht="60">
      <c r="A86" s="1685">
        <f t="shared" si="39"/>
        <v>0</v>
      </c>
      <c r="B86" s="1686">
        <f t="shared" si="38"/>
        <v>0</v>
      </c>
      <c r="C86" s="1708" t="s">
        <v>31</v>
      </c>
      <c r="D86" s="1704" t="str">
        <f>'Slab-Culverts Data'!$B$538</f>
        <v xml:space="preserve">Providing and laying boulders apron for bed protection against scour with stone boulders weighing not less than 40kg each complete as per drawing and specification. complete for finished item of work as per MoRT&amp;H specification 2504 ( 5th revision ) and as directed by the Engineer-in-Charge </v>
      </c>
      <c r="E86" s="1705" t="s">
        <v>1122</v>
      </c>
      <c r="F86" s="1706" t="s">
        <v>53</v>
      </c>
      <c r="G86" s="1707">
        <f>'Slab-Culverts Data'!$J$559</f>
        <v>2028.19</v>
      </c>
      <c r="H86" s="1689">
        <f t="shared" si="37"/>
        <v>0</v>
      </c>
      <c r="I86" s="1702"/>
      <c r="J86" s="1703"/>
      <c r="K86" s="1703"/>
      <c r="L86" s="1699">
        <f t="shared" si="40"/>
        <v>0</v>
      </c>
      <c r="M86" s="1699">
        <f t="shared" si="41"/>
        <v>21</v>
      </c>
      <c r="N86" s="1698">
        <f t="shared" si="42"/>
        <v>0</v>
      </c>
    </row>
    <row r="87" spans="1:14" s="1321" customFormat="1" ht="135">
      <c r="A87" s="1685">
        <f t="shared" si="39"/>
        <v>0</v>
      </c>
      <c r="B87" s="1686">
        <f t="shared" si="38"/>
        <v>0</v>
      </c>
      <c r="C87" s="1708" t="s">
        <v>31</v>
      </c>
      <c r="D87" s="1704" t="str">
        <f>'Slab-Culverts Data'!$B$506</f>
        <v>Vibrated  cement concrete M 15 Grade Concrete using 40mm , 20mm and 10mm size HBG crushed stone aggregate (Coarse aggregate conforming to table 1000-1 and fine aggregate(Natural sand 50%+Manufactured sand(Rock Sand)50% ) conforming to table 1000-2) including cost, (excluding  seigniorage) and conveyance of all  materials to site and all labour charges ,centering, machine mixing, laying in position, Compacting , Vibrating and curing including all other incidental and all other operational charges of T&amp;P required etc., complete as per MoRT&amp;H Specification 1500,1700, 2100 (5th Revision)  for levelling course.</v>
      </c>
      <c r="E87" s="1705" t="s">
        <v>1120</v>
      </c>
      <c r="F87" s="1706" t="s">
        <v>53</v>
      </c>
      <c r="G87" s="1707">
        <f>'Slab-Culverts Data'!$J$535</f>
        <v>6139.47</v>
      </c>
      <c r="H87" s="1689">
        <f t="shared" si="37"/>
        <v>0</v>
      </c>
      <c r="I87" s="1702"/>
      <c r="J87" s="1703"/>
      <c r="K87" s="1703"/>
      <c r="L87" s="1699">
        <f t="shared" si="40"/>
        <v>0</v>
      </c>
      <c r="M87" s="1699">
        <f t="shared" si="41"/>
        <v>21</v>
      </c>
      <c r="N87" s="1698">
        <f t="shared" si="42"/>
        <v>0</v>
      </c>
    </row>
    <row r="88" spans="1:14" s="1321" customFormat="1" ht="150">
      <c r="A88" s="1685">
        <f t="shared" si="39"/>
        <v>0</v>
      </c>
      <c r="B88" s="1686">
        <f t="shared" si="38"/>
        <v>0</v>
      </c>
      <c r="C88" s="1708" t="s">
        <v>31</v>
      </c>
      <c r="D88" s="1704" t="str">
        <f>'Slab-Culverts Data'!$B$476</f>
        <v>Vibrated reinforced cement concrete M30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all other incidental and operational charges of all T&amp;P  etc., complete for finished item of work as per Approved drawing but excluding  cost of steel  and its fabrication charges as per MoRT&amp;H specification   1500, 1600,1700,  &amp; 2704  (5th Revision) and  as directed by the Engineer-in-Charge for Approach slab.</v>
      </c>
      <c r="E88" s="1705" t="s">
        <v>1131</v>
      </c>
      <c r="F88" s="1706" t="s">
        <v>53</v>
      </c>
      <c r="G88" s="1707">
        <f>'Slab-Culverts Data'!$J$504</f>
        <v>7131.83</v>
      </c>
      <c r="H88" s="1689">
        <f t="shared" si="37"/>
        <v>0</v>
      </c>
      <c r="I88" s="1702"/>
      <c r="J88" s="1703"/>
      <c r="K88" s="1703"/>
      <c r="L88" s="1699">
        <f t="shared" si="40"/>
        <v>0</v>
      </c>
      <c r="M88" s="1699">
        <f t="shared" si="41"/>
        <v>21</v>
      </c>
      <c r="N88" s="1698">
        <f t="shared" si="42"/>
        <v>0</v>
      </c>
    </row>
    <row r="89" spans="1:14" s="1321" customFormat="1" ht="135">
      <c r="A89" s="1685">
        <f t="shared" si="39"/>
        <v>0</v>
      </c>
      <c r="B89" s="1686">
        <f t="shared" si="38"/>
        <v>0</v>
      </c>
      <c r="C89" s="1708" t="s">
        <v>31</v>
      </c>
      <c r="D89" s="1704" t="str">
        <f>'Road data'!$B$161</f>
        <v>Forming Embankment with material obtained from borrowed useful earth from outside road boundary by mechanical means upto SDR with all leads and lifts including pre-watering of soil at borrow area, removal of top soil, excavation of soils at borrowed area, conveyance of soil, depositing the soil on the embankment, spreading soil, breaking clods, sectioning, grading and consolidation with 8 to 10 Tonnes Vibratory Road Roller @ OMC to meet requirement of table 300-2 of MoRT&amp;H, including  all hire and operational charges of T&amp;P, complete for finished item of work as per MoRT&amp;H specification 305 (5th revision). (The soil CBR&gt;10%, PI&lt;18% &amp; MDD&gt;1.8 g/cc)</v>
      </c>
      <c r="E89" s="1705" t="s">
        <v>1106</v>
      </c>
      <c r="F89" s="1706" t="s">
        <v>53</v>
      </c>
      <c r="G89" s="1707">
        <f>'Road data'!$G$188</f>
        <v>270.81</v>
      </c>
      <c r="H89" s="1689">
        <f t="shared" si="37"/>
        <v>0</v>
      </c>
      <c r="I89" s="1702"/>
      <c r="J89" s="1703"/>
      <c r="K89" s="1703"/>
      <c r="L89" s="1699">
        <f t="shared" si="40"/>
        <v>0</v>
      </c>
      <c r="M89" s="1699">
        <f t="shared" si="41"/>
        <v>21</v>
      </c>
      <c r="N89" s="1698">
        <f t="shared" si="42"/>
        <v>0</v>
      </c>
    </row>
    <row r="90" spans="1:14" s="1321" customFormat="1" ht="60">
      <c r="A90" s="1685">
        <f t="shared" si="39"/>
        <v>0</v>
      </c>
      <c r="B90" s="1686">
        <f t="shared" si="38"/>
        <v>0</v>
      </c>
      <c r="C90" s="1708" t="s">
        <v>554</v>
      </c>
      <c r="D90" s="1704" t="str">
        <f>'Slab-Culverts Data'!$B$580</f>
        <v>Construction of RCC guide posts of 250 mm dia M25 grade cast-in-situ with 20 mm nominal size aggregate, true to line and grade, tolerance of vertical RCC posts not to exceed 1 in 500 as per drawing and Technical Specification Clause 1608.2</v>
      </c>
      <c r="E90" s="1705" t="s">
        <v>1132</v>
      </c>
      <c r="F90" s="1706" t="s">
        <v>1133</v>
      </c>
      <c r="G90" s="1707">
        <f>'Slab-Culverts Data'!$J$601</f>
        <v>804.3</v>
      </c>
      <c r="H90" s="1689">
        <f t="shared" si="37"/>
        <v>0</v>
      </c>
      <c r="I90" s="1702"/>
      <c r="J90" s="1703"/>
      <c r="K90" s="1703"/>
      <c r="L90" s="1699">
        <f t="shared" si="40"/>
        <v>0</v>
      </c>
      <c r="M90" s="1699">
        <f t="shared" si="41"/>
        <v>21</v>
      </c>
      <c r="N90" s="1698">
        <f t="shared" si="42"/>
        <v>0</v>
      </c>
    </row>
    <row r="91" spans="1:14" s="1321" customFormat="1" ht="120">
      <c r="A91" s="1685">
        <f t="shared" si="39"/>
        <v>0</v>
      </c>
      <c r="B91" s="1686">
        <f t="shared" si="38"/>
        <v>0</v>
      </c>
      <c r="C91" s="1708" t="s">
        <v>554</v>
      </c>
      <c r="D91" s="1704" t="str">
        <f>'Slab-Culverts Data'!$B$291</f>
        <v xml:space="preserve">Providing Weep holes in VCC Abutment/ Wing wall/return wall with 100mm Diameter AC pipe  extending through the full width of the structure at 1.00m C/C in both horizontal and vertical direction so that the weep holes in each horizontal direction is staggered from the weep holes laying above and below lines as shown in drawing including cost and conveyance of the A.C pipes and labour charges for cutting to required length, placing the pipe with a slope of about 1V : 20H towards stream side face etc., complete for finished item of work for weep holes as per SSR Data </v>
      </c>
      <c r="E91" s="1705" t="s">
        <v>1134</v>
      </c>
      <c r="F91" s="1706" t="s">
        <v>1133</v>
      </c>
      <c r="G91" s="1707">
        <f>'Slab-Culverts Data'!J289</f>
        <v>64943.470150000001</v>
      </c>
      <c r="H91" s="1689">
        <f t="shared" si="37"/>
        <v>0</v>
      </c>
      <c r="I91" s="1703">
        <f>SUM(H75:H91)</f>
        <v>0</v>
      </c>
      <c r="J91" s="1703"/>
      <c r="K91" s="1703">
        <f>I91-J91</f>
        <v>0</v>
      </c>
      <c r="L91" s="1699">
        <f t="shared" si="40"/>
        <v>0</v>
      </c>
      <c r="M91" s="1699">
        <f t="shared" si="41"/>
        <v>21</v>
      </c>
      <c r="N91" s="1698">
        <f t="shared" si="42"/>
        <v>0</v>
      </c>
    </row>
    <row r="92" spans="1:14" s="1321" customFormat="1">
      <c r="A92" s="1685">
        <f t="shared" si="39"/>
        <v>0</v>
      </c>
      <c r="B92" s="1686"/>
      <c r="C92" s="1326"/>
      <c r="D92" s="1678"/>
      <c r="E92" s="1337"/>
      <c r="F92" s="1687"/>
      <c r="G92" s="1688"/>
      <c r="H92" s="1689"/>
      <c r="I92" s="1703"/>
      <c r="J92" s="1703"/>
      <c r="K92" s="1703"/>
      <c r="L92" s="1699">
        <f t="shared" si="40"/>
        <v>0</v>
      </c>
      <c r="M92" s="1699">
        <f t="shared" si="41"/>
        <v>21</v>
      </c>
      <c r="N92" s="1698">
        <f t="shared" si="42"/>
        <v>0</v>
      </c>
    </row>
    <row r="93" spans="1:14" s="1321" customFormat="1">
      <c r="A93" s="1685">
        <f t="shared" si="39"/>
        <v>0</v>
      </c>
      <c r="B93" s="1686"/>
      <c r="C93" s="1324">
        <v>3</v>
      </c>
      <c r="D93" s="1677" t="str">
        <f>'Slab Culvert 1V 5m x 2m span'!A3</f>
        <v xml:space="preserve">Construction of 1 Vent of 5.00 x 2.00m span Slab Culverts- 1nos  at Km 2/100 </v>
      </c>
      <c r="E93" s="1693">
        <v>0</v>
      </c>
      <c r="F93" s="1687"/>
      <c r="G93" s="1697"/>
      <c r="H93" s="1689"/>
      <c r="I93" s="1703"/>
      <c r="J93" s="1703"/>
      <c r="K93" s="1703"/>
      <c r="L93" s="1699">
        <f t="shared" si="40"/>
        <v>0</v>
      </c>
      <c r="M93" s="1699">
        <f t="shared" si="41"/>
        <v>21</v>
      </c>
      <c r="N93" s="1698">
        <f t="shared" si="42"/>
        <v>0</v>
      </c>
    </row>
    <row r="94" spans="1:14" s="1321" customFormat="1" ht="105">
      <c r="A94" s="1685">
        <f t="shared" si="39"/>
        <v>0</v>
      </c>
      <c r="B94" s="1688">
        <f>'Slab Culvert 1V 5m x 2m span'!I9*E93</f>
        <v>0</v>
      </c>
      <c r="C94" s="1708" t="s">
        <v>31</v>
      </c>
      <c r="D94" s="1704" t="str">
        <f>'Pipe data'!$B$4</f>
        <v>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v>
      </c>
      <c r="E94" s="1705" t="s">
        <v>1119</v>
      </c>
      <c r="F94" s="1706" t="s">
        <v>53</v>
      </c>
      <c r="G94" s="1707">
        <f>'Pipe data'!$G$20</f>
        <v>123.69927804166667</v>
      </c>
      <c r="H94" s="1689">
        <f>ROUND(B94*G94,0)</f>
        <v>0</v>
      </c>
      <c r="I94" s="1702"/>
      <c r="J94" s="1703"/>
      <c r="K94" s="1703"/>
      <c r="L94" s="1699">
        <f t="shared" si="40"/>
        <v>0</v>
      </c>
      <c r="M94" s="1699">
        <f t="shared" si="41"/>
        <v>21</v>
      </c>
      <c r="N94" s="1698">
        <f t="shared" si="42"/>
        <v>0</v>
      </c>
    </row>
    <row r="95" spans="1:14" s="1321" customFormat="1" ht="45">
      <c r="A95" s="1685">
        <f t="shared" si="39"/>
        <v>0</v>
      </c>
      <c r="B95" s="1686">
        <f>'Slab Culvert 1V 5m x 2m span'!I13*E93</f>
        <v>0</v>
      </c>
      <c r="C95" s="1708" t="s">
        <v>31</v>
      </c>
      <c r="D95" s="1696" t="str">
        <f>'Pipe data'!$B$55</f>
        <v>Sand  Filling  in foundation trenches as per drawing and technical specification Clause 304 of MORTH including overhead charges &amp; Contractors profit etc complete.</v>
      </c>
      <c r="E95" s="1705" t="s">
        <v>1119</v>
      </c>
      <c r="F95" s="1706" t="s">
        <v>53</v>
      </c>
      <c r="G95" s="1707">
        <f>'Pipe data'!$G$72</f>
        <v>1237.43</v>
      </c>
      <c r="H95" s="1689">
        <f t="shared" ref="H95:H112" si="44">ROUND(B95*G95,0)</f>
        <v>0</v>
      </c>
      <c r="I95" s="1702"/>
      <c r="J95" s="1703"/>
      <c r="K95" s="1703"/>
      <c r="L95" s="1699">
        <f t="shared" si="40"/>
        <v>0</v>
      </c>
      <c r="M95" s="1699">
        <f t="shared" si="41"/>
        <v>21</v>
      </c>
      <c r="N95" s="1698">
        <f t="shared" si="42"/>
        <v>0</v>
      </c>
    </row>
    <row r="96" spans="1:14" s="1321" customFormat="1" ht="120">
      <c r="A96" s="1685">
        <f t="shared" si="39"/>
        <v>0</v>
      </c>
      <c r="B96" s="1686">
        <f>'Slab Culvert 1V 5m x 2m span'!I18*E93</f>
        <v>0</v>
      </c>
      <c r="C96" s="1708" t="s">
        <v>31</v>
      </c>
      <c r="D96" s="1704" t="str">
        <f>'Slab-Culverts Data'!$B$5</f>
        <v>Providing Plain Cement Concrete (1:3:6) mix using 40mm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E96" s="1705" t="s">
        <v>1120</v>
      </c>
      <c r="F96" s="1706" t="s">
        <v>53</v>
      </c>
      <c r="G96" s="1707">
        <f>'Slab-Culverts Data'!$J$31</f>
        <v>5706.01</v>
      </c>
      <c r="H96" s="1689">
        <f t="shared" si="44"/>
        <v>0</v>
      </c>
      <c r="I96" s="1702"/>
      <c r="J96" s="1703"/>
      <c r="K96" s="1703"/>
      <c r="L96" s="1699">
        <f t="shared" si="40"/>
        <v>0</v>
      </c>
      <c r="M96" s="1699">
        <f t="shared" si="41"/>
        <v>21</v>
      </c>
      <c r="N96" s="1698">
        <f t="shared" si="42"/>
        <v>0</v>
      </c>
    </row>
    <row r="97" spans="1:14" s="1321" customFormat="1" ht="120">
      <c r="A97" s="1685">
        <f t="shared" si="39"/>
        <v>0</v>
      </c>
      <c r="B97" s="1686">
        <f>'Slab Culvert 1V 5m x 2m span'!I29*E93</f>
        <v>0</v>
      </c>
      <c r="C97" s="1708" t="s">
        <v>31</v>
      </c>
      <c r="D97" s="1696" t="str">
        <f>'Slab-Culverts Data'!$B$33</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E97" s="1705" t="s">
        <v>1120</v>
      </c>
      <c r="F97" s="1706" t="s">
        <v>53</v>
      </c>
      <c r="G97" s="1707">
        <f>'Slab-Culverts Data'!$J$62</f>
        <v>6381.51</v>
      </c>
      <c r="H97" s="1689">
        <f t="shared" si="44"/>
        <v>0</v>
      </c>
      <c r="I97" s="1702"/>
      <c r="J97" s="1703"/>
      <c r="K97" s="1703"/>
      <c r="L97" s="1699">
        <f t="shared" si="40"/>
        <v>0</v>
      </c>
      <c r="M97" s="1699">
        <f t="shared" si="41"/>
        <v>21</v>
      </c>
      <c r="N97" s="1698">
        <f t="shared" si="42"/>
        <v>0</v>
      </c>
    </row>
    <row r="98" spans="1:14" s="1321" customFormat="1" ht="120">
      <c r="A98" s="1685">
        <f t="shared" si="39"/>
        <v>0</v>
      </c>
      <c r="B98" s="1686">
        <f>'Slab Culvert 1V 5m x 2m span'!I35*E93</f>
        <v>0</v>
      </c>
      <c r="C98" s="1708" t="s">
        <v>31</v>
      </c>
      <c r="D98" s="1704" t="str">
        <f>'Slab-Culverts Data'!$B$177</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v>
      </c>
      <c r="E98" s="1705" t="s">
        <v>1120</v>
      </c>
      <c r="F98" s="1706" t="s">
        <v>53</v>
      </c>
      <c r="G98" s="1707">
        <f>'Slab-Culverts Data'!$J$206</f>
        <v>6749.67</v>
      </c>
      <c r="H98" s="1689">
        <f t="shared" si="44"/>
        <v>0</v>
      </c>
      <c r="I98" s="1702"/>
      <c r="J98" s="1703"/>
      <c r="K98" s="1703"/>
      <c r="L98" s="1699">
        <f t="shared" si="40"/>
        <v>0</v>
      </c>
      <c r="M98" s="1699">
        <f t="shared" si="41"/>
        <v>21</v>
      </c>
      <c r="N98" s="1698">
        <f t="shared" si="42"/>
        <v>0</v>
      </c>
    </row>
    <row r="99" spans="1:14" s="1321" customFormat="1" ht="135">
      <c r="A99" s="1685">
        <f t="shared" si="39"/>
        <v>0</v>
      </c>
      <c r="B99" s="1686">
        <f>'Slab Culvert 1V 5m x 2m span'!I43*E93</f>
        <v>0</v>
      </c>
      <c r="C99" s="1708" t="s">
        <v>31</v>
      </c>
      <c r="D99" s="1704" t="str">
        <f>'Slab-Culverts Data'!$B$239</f>
        <v>Providing reinforced concrete of M25 mix using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Sub-structure.for  Bed blocks &amp; Backing walls</v>
      </c>
      <c r="E99" s="1705" t="s">
        <v>1129</v>
      </c>
      <c r="F99" s="1706" t="s">
        <v>53</v>
      </c>
      <c r="G99" s="1707">
        <f>'Slab-Culverts Data'!$J$267</f>
        <v>7666.61</v>
      </c>
      <c r="H99" s="1689">
        <f t="shared" si="44"/>
        <v>0</v>
      </c>
      <c r="I99" s="1702"/>
      <c r="J99" s="1703"/>
      <c r="K99" s="1703">
        <f>18774/G99</f>
        <v>2.4488007085269761</v>
      </c>
      <c r="L99" s="1699">
        <f t="shared" si="40"/>
        <v>0</v>
      </c>
      <c r="M99" s="1699">
        <f t="shared" si="41"/>
        <v>21</v>
      </c>
      <c r="N99" s="1698">
        <f t="shared" si="42"/>
        <v>0</v>
      </c>
    </row>
    <row r="100" spans="1:14" s="1321" customFormat="1" ht="150">
      <c r="A100" s="1685">
        <f t="shared" si="39"/>
        <v>0</v>
      </c>
      <c r="B100" s="1686">
        <f>'Slab Culvert 1V 5m x 2m span'!I49*E93</f>
        <v>0</v>
      </c>
      <c r="C100" s="1708" t="s">
        <v>31</v>
      </c>
      <c r="D100" s="1704" t="str">
        <f>'Slab-Culverts Data'!B338</f>
        <v xml:space="preserve">Vibrated reinforced cement concrete M 25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MoRT&amp;H specification  1500,1600,1700 &amp; 2200  (5th revision ) and  as directed by the Engineer-in-Charge </v>
      </c>
      <c r="E100" s="1705" t="s">
        <v>1125</v>
      </c>
      <c r="F100" s="1706" t="s">
        <v>53</v>
      </c>
      <c r="G100" s="1707">
        <f>'Slab-Culverts Data'!J366</f>
        <v>8336.31</v>
      </c>
      <c r="H100" s="1689">
        <f t="shared" si="44"/>
        <v>0</v>
      </c>
      <c r="I100" s="1702"/>
      <c r="J100" s="1703"/>
      <c r="K100" s="1709"/>
      <c r="L100" s="1699">
        <f t="shared" si="40"/>
        <v>0</v>
      </c>
      <c r="M100" s="1699">
        <f t="shared" si="41"/>
        <v>21</v>
      </c>
      <c r="N100" s="1698">
        <f t="shared" si="42"/>
        <v>0</v>
      </c>
    </row>
    <row r="101" spans="1:14" s="1321" customFormat="1" ht="150">
      <c r="A101" s="1685">
        <f t="shared" si="39"/>
        <v>0</v>
      </c>
      <c r="B101" s="1686">
        <f>'Slab Culvert 1V 5m x 2m span'!I57*E93</f>
        <v>0</v>
      </c>
      <c r="C101" s="1708" t="s">
        <v>31</v>
      </c>
      <c r="D101" s="1704" t="str">
        <f>'Slab-Culverts Data'!$B$400</f>
        <v>Vibrated cement concrete M 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1500, 1600, 1700 &amp; 2702 as directed by the Engineer-in-Charge for Wearing Coat.</v>
      </c>
      <c r="E101" s="1705" t="s">
        <v>1126</v>
      </c>
      <c r="F101" s="1706" t="s">
        <v>53</v>
      </c>
      <c r="G101" s="1707">
        <f>'Slab-Culverts Data'!$J$428</f>
        <v>7037.28</v>
      </c>
      <c r="H101" s="1689">
        <f t="shared" si="44"/>
        <v>0</v>
      </c>
      <c r="I101" s="1702"/>
      <c r="J101" s="1703"/>
      <c r="K101" s="1703">
        <f>61979/5270.45</f>
        <v>11.759716912218122</v>
      </c>
      <c r="L101" s="1699">
        <f t="shared" si="40"/>
        <v>0</v>
      </c>
      <c r="M101" s="1699">
        <f t="shared" si="41"/>
        <v>21</v>
      </c>
      <c r="N101" s="1698">
        <f t="shared" si="42"/>
        <v>0</v>
      </c>
    </row>
    <row r="102" spans="1:14" s="1321" customFormat="1" ht="165">
      <c r="A102" s="1685">
        <f t="shared" si="39"/>
        <v>0</v>
      </c>
      <c r="B102" s="1686">
        <f>'Slab Culvert 1V 5m x 2m span'!I91*E93</f>
        <v>0</v>
      </c>
      <c r="C102" s="1708" t="s">
        <v>66</v>
      </c>
      <c r="D102" s="1704" t="str">
        <f>'Slab Culvert 1V 5m x 2m span'!B90</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&amp;2200  (5th revision) in foundation.</v>
      </c>
      <c r="E102" s="1705" t="s">
        <v>1127</v>
      </c>
      <c r="F102" s="1706" t="s">
        <v>1128</v>
      </c>
      <c r="G102" s="1707">
        <f>'Slab Culvert 1V 5m x 2m span'!$J$91</f>
        <v>64656.02</v>
      </c>
      <c r="H102" s="1689">
        <f t="shared" si="44"/>
        <v>0</v>
      </c>
      <c r="I102" s="1702"/>
      <c r="J102" s="1703"/>
      <c r="K102" s="1703"/>
      <c r="L102" s="1699">
        <f t="shared" ref="L102:L165" si="45">IF(M102=M101,0,M102)</f>
        <v>0</v>
      </c>
      <c r="M102" s="1699">
        <f t="shared" ref="M102:M165" si="46">IF(N102&gt;0,(M101+1),M101)</f>
        <v>21</v>
      </c>
      <c r="N102" s="1698">
        <f t="shared" ref="N102:N165" si="47">H102</f>
        <v>0</v>
      </c>
    </row>
    <row r="103" spans="1:14" s="1321" customFormat="1" ht="60">
      <c r="A103" s="1685">
        <f t="shared" si="39"/>
        <v>0</v>
      </c>
      <c r="B103" s="1686">
        <f>'Slab Culvert 1V 5m x 2m span'!I53*E93</f>
        <v>0</v>
      </c>
      <c r="C103" s="1708" t="s">
        <v>31</v>
      </c>
      <c r="D103" s="1704" t="str">
        <f>'Slab Culvert 1V 5m x 2m span'!B51</f>
        <v xml:space="preserve">Back filling behind abutment, wing wall and return wall complete as per drawing and Technical Specification  and specifications of  IRC:78 &amp; 2200 MORTH  and  as directed by the Engineer-in-Charge including overhead charges &amp; Contractors profit ,But Seignarage charges. </v>
      </c>
      <c r="E103" s="1705" t="s">
        <v>1135</v>
      </c>
      <c r="F103" s="1706" t="s">
        <v>53</v>
      </c>
      <c r="G103" s="1707">
        <f>'Slab Culvert 1V 5m x 2m span'!$J$53</f>
        <v>691.79</v>
      </c>
      <c r="H103" s="1689">
        <f t="shared" si="44"/>
        <v>0</v>
      </c>
      <c r="I103" s="1702"/>
      <c r="J103" s="1703"/>
      <c r="K103" s="1703"/>
      <c r="L103" s="1699">
        <f t="shared" si="45"/>
        <v>0</v>
      </c>
      <c r="M103" s="1699">
        <f t="shared" si="46"/>
        <v>21</v>
      </c>
      <c r="N103" s="1698">
        <f t="shared" si="47"/>
        <v>0</v>
      </c>
    </row>
    <row r="104" spans="1:14" s="1321" customFormat="1" ht="135">
      <c r="A104" s="1685">
        <f t="shared" si="39"/>
        <v>0</v>
      </c>
      <c r="B104" s="1686">
        <f>'Slab Culvert 1V 5m x 2m span'!I65*E93</f>
        <v>0</v>
      </c>
      <c r="C104" s="1708" t="s">
        <v>31</v>
      </c>
      <c r="D104" s="1704" t="str">
        <f>'Slab-Culverts Data'!$B$506</f>
        <v>Vibrated  cement concrete M 15 Grade Concrete using 40mm , 20mm and 10mm size HBG crushed stone aggregate (Coarse aggregate conforming to table 1000-1 and fine aggregate(Natural sand 50%+Manufactured sand(Rock Sand)50% ) conforming to table 1000-2) including cost, (excluding  seigniorage) and conveyance of all  materials to site and all labour charges ,centering, machine mixing, laying in position, Compacting , Vibrating and curing including all other incidental and all other operational charges of T&amp;P required etc., complete as per MoRT&amp;H Specification 1500,1700, 2100 (5th Revision)  for levelling course.</v>
      </c>
      <c r="E104" s="1705" t="s">
        <v>1120</v>
      </c>
      <c r="F104" s="1706" t="s">
        <v>53</v>
      </c>
      <c r="G104" s="1707">
        <f>'Slab-Culverts Data'!$J$535</f>
        <v>6139.47</v>
      </c>
      <c r="H104" s="1689">
        <f t="shared" si="44"/>
        <v>0</v>
      </c>
      <c r="I104" s="1702"/>
      <c r="J104" s="1703"/>
      <c r="K104" s="1703"/>
      <c r="L104" s="1699">
        <f t="shared" si="45"/>
        <v>0</v>
      </c>
      <c r="M104" s="1699">
        <f t="shared" si="46"/>
        <v>21</v>
      </c>
      <c r="N104" s="1698">
        <f t="shared" si="47"/>
        <v>0</v>
      </c>
    </row>
    <row r="105" spans="1:14" s="1321" customFormat="1" ht="150">
      <c r="A105" s="1685">
        <f t="shared" si="39"/>
        <v>0</v>
      </c>
      <c r="B105" s="1686">
        <f>'Slab Culvert 1V 5m x 2m span'!I69*E93</f>
        <v>0</v>
      </c>
      <c r="C105" s="1708" t="s">
        <v>31</v>
      </c>
      <c r="D105" s="1704" t="str">
        <f>'Slab-Culverts Data'!$B$476</f>
        <v>Vibrated reinforced cement concrete M30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all other incidental and operational charges of all T&amp;P  etc., complete for finished item of work as per Approved drawing but excluding  cost of steel  and its fabrication charges as per MoRT&amp;H specification   1500, 1600,1700,  &amp; 2704  (5th Revision) and  as directed by the Engineer-in-Charge for Approach slab.</v>
      </c>
      <c r="E105" s="1705" t="s">
        <v>1131</v>
      </c>
      <c r="F105" s="1706" t="s">
        <v>53</v>
      </c>
      <c r="G105" s="1707">
        <f>'Slab-Culverts Data'!$J$504</f>
        <v>7131.83</v>
      </c>
      <c r="H105" s="1689">
        <f t="shared" si="44"/>
        <v>0</v>
      </c>
      <c r="I105" s="1702"/>
      <c r="J105" s="1703"/>
      <c r="K105" s="1703"/>
      <c r="L105" s="1699">
        <f t="shared" si="45"/>
        <v>0</v>
      </c>
      <c r="M105" s="1699">
        <f t="shared" si="46"/>
        <v>21</v>
      </c>
      <c r="N105" s="1698">
        <f t="shared" si="47"/>
        <v>0</v>
      </c>
    </row>
    <row r="106" spans="1:14" s="1321" customFormat="1" ht="105">
      <c r="A106" s="1685">
        <f t="shared" si="39"/>
        <v>0</v>
      </c>
      <c r="B106" s="1686">
        <f>'Slab Culvert 1V 5m x 2m span'!I73*E93</f>
        <v>0</v>
      </c>
      <c r="C106" s="1708" t="s">
        <v>202</v>
      </c>
      <c r="D106" s="1704" t="str">
        <f>'Slab Culvert 1V 5m x 2m span'!B71</f>
        <v>Construction of p  RCC railing of M 25 grade , aggregate size not exceeding 12 mm, true to line and grade, tolerance of vertical RCC post not to exceed 1 in 500, centre to center spacing between vertical post not to exceed 2000 mm , leaving adequate space between vertiacal post for expansion, complete as per approved drawings and Technical Specifications as per MoRTH spn nos.2703,1500,1600,&amp;1700 excluding cost of steel and its fabrication charges</v>
      </c>
      <c r="E106" s="1705" t="s">
        <v>1136</v>
      </c>
      <c r="F106" s="1706" t="s">
        <v>1137</v>
      </c>
      <c r="G106" s="1707">
        <f>'Slab-Culverts Data'!$J$673</f>
        <v>613.8489567984376</v>
      </c>
      <c r="H106" s="1689">
        <f t="shared" si="44"/>
        <v>0</v>
      </c>
      <c r="I106" s="1702"/>
      <c r="J106" s="1703"/>
      <c r="K106" s="1703"/>
      <c r="L106" s="1699">
        <f t="shared" si="45"/>
        <v>0</v>
      </c>
      <c r="M106" s="1699">
        <f t="shared" si="46"/>
        <v>21</v>
      </c>
      <c r="N106" s="1698">
        <f t="shared" si="47"/>
        <v>0</v>
      </c>
    </row>
    <row r="107" spans="1:14" s="1321" customFormat="1" ht="135">
      <c r="A107" s="1685">
        <f t="shared" si="39"/>
        <v>0</v>
      </c>
      <c r="B107" s="1686">
        <f>$E$93*'Slab Culvert 1V 5m x 2m span'!I61</f>
        <v>0</v>
      </c>
      <c r="C107" s="1708" t="s">
        <v>31</v>
      </c>
      <c r="D107" s="1704" t="str">
        <f>'Road data'!$B$161</f>
        <v>Forming Embankment with material obtained from borrowed useful earth from outside road boundary by mechanical means upto SDR with all leads and lifts including pre-watering of soil at borrow area, removal of top soil, excavation of soils at borrowed area, conveyance of soil, depositing the soil on the embankment, spreading soil, breaking clods, sectioning, grading and consolidation with 8 to 10 Tonnes Vibratory Road Roller @ OMC to meet requirement of table 300-2 of MoRT&amp;H, including  all hire and operational charges of T&amp;P, complete for finished item of work as per MoRT&amp;H specification 305 (5th revision). (The soil CBR&gt;10%, PI&lt;18% &amp; MDD&gt;1.8 g/cc)</v>
      </c>
      <c r="E107" s="1705" t="s">
        <v>1106</v>
      </c>
      <c r="F107" s="1706" t="s">
        <v>53</v>
      </c>
      <c r="G107" s="1707">
        <f>'Road data'!$G$188</f>
        <v>270.81</v>
      </c>
      <c r="H107" s="1689">
        <f t="shared" si="44"/>
        <v>0</v>
      </c>
      <c r="I107" s="1702"/>
      <c r="J107" s="1703"/>
      <c r="K107" s="1703"/>
      <c r="L107" s="1699">
        <f t="shared" si="45"/>
        <v>0</v>
      </c>
      <c r="M107" s="1699">
        <f t="shared" si="46"/>
        <v>21</v>
      </c>
      <c r="N107" s="1698">
        <f t="shared" si="47"/>
        <v>0</v>
      </c>
    </row>
    <row r="108" spans="1:14" s="1321" customFormat="1" ht="60">
      <c r="A108" s="1685">
        <f t="shared" ref="A108:A139" si="48">L108</f>
        <v>0</v>
      </c>
      <c r="B108" s="1686">
        <f>'Slab Culvert 1V 5m x 2m span'!I87*E93</f>
        <v>0</v>
      </c>
      <c r="C108" s="1708" t="s">
        <v>31</v>
      </c>
      <c r="D108" s="1704" t="str">
        <f>'Slab Culvert 1V 5m x 2m span'!B83</f>
        <v xml:space="preserve">Providing and laying boulders apron for bed protection against scour with stone boulders weighing not less than 40kg each complete as per drawing and specification. complete for finished item of work as per MoRT&amp;H specification 2504 ( 5th revision ) and as directed by the Engineer-in-Charge </v>
      </c>
      <c r="E108" s="1705" t="s">
        <v>1122</v>
      </c>
      <c r="F108" s="1706" t="s">
        <v>53</v>
      </c>
      <c r="G108" s="1707">
        <f>'Slab Culvert 1V 5m x 2m span'!$J$87</f>
        <v>2028.19</v>
      </c>
      <c r="H108" s="1689">
        <f t="shared" si="44"/>
        <v>0</v>
      </c>
      <c r="I108" s="1702"/>
      <c r="J108" s="1703"/>
      <c r="K108" s="1703"/>
      <c r="L108" s="1699">
        <f t="shared" si="45"/>
        <v>0</v>
      </c>
      <c r="M108" s="1699">
        <f t="shared" si="46"/>
        <v>21</v>
      </c>
      <c r="N108" s="1698">
        <f t="shared" si="47"/>
        <v>0</v>
      </c>
    </row>
    <row r="109" spans="1:14" s="1321" customFormat="1" ht="165">
      <c r="A109" s="1685">
        <f t="shared" si="48"/>
        <v>0</v>
      </c>
      <c r="B109" s="1686">
        <f>'Slab Culvert 1V 5m x 2m span'!I95*E93</f>
        <v>0</v>
      </c>
      <c r="C109" s="1708" t="s">
        <v>66</v>
      </c>
      <c r="D109" s="1704" t="str">
        <f>'Slab Culvert 1V 5m x 2m span'!B94</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&amp;2200  (5th revision) in sub-structure.</v>
      </c>
      <c r="E109" s="1705" t="s">
        <v>1127</v>
      </c>
      <c r="F109" s="1706" t="s">
        <v>1128</v>
      </c>
      <c r="G109" s="1707">
        <f>'Slab Culvert 1V 5m x 2m span'!$J$95</f>
        <v>64943.47</v>
      </c>
      <c r="H109" s="1689">
        <f t="shared" si="44"/>
        <v>0</v>
      </c>
      <c r="I109" s="1702"/>
      <c r="J109" s="1703"/>
      <c r="K109" s="1703"/>
      <c r="L109" s="1699">
        <f t="shared" si="45"/>
        <v>0</v>
      </c>
      <c r="M109" s="1699">
        <f t="shared" si="46"/>
        <v>21</v>
      </c>
      <c r="N109" s="1698">
        <f t="shared" si="47"/>
        <v>0</v>
      </c>
    </row>
    <row r="110" spans="1:14" s="1321" customFormat="1" ht="165">
      <c r="A110" s="1685">
        <f t="shared" si="48"/>
        <v>0</v>
      </c>
      <c r="B110" s="1686">
        <f>'Slab Culvert 1V 5m x 2m span'!I98*E93</f>
        <v>0</v>
      </c>
      <c r="C110" s="1708" t="s">
        <v>66</v>
      </c>
      <c r="D110" s="1704" t="str">
        <f>'Slab Culvert 1V 5m x 2m span'!B97</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 2200  (5th revision) in super structure.</v>
      </c>
      <c r="E110" s="1705" t="s">
        <v>1127</v>
      </c>
      <c r="F110" s="1706" t="s">
        <v>1128</v>
      </c>
      <c r="G110" s="1707">
        <f>'Slab Culvert 1V 5m x 2m span'!$J$98</f>
        <v>66904.47</v>
      </c>
      <c r="H110" s="1689">
        <f t="shared" ref="H110" si="49">ROUND(B110*G110,0)</f>
        <v>0</v>
      </c>
      <c r="I110" s="1702"/>
      <c r="J110" s="1703"/>
      <c r="K110" s="1703"/>
      <c r="L110" s="1699">
        <f t="shared" si="45"/>
        <v>0</v>
      </c>
      <c r="M110" s="1699">
        <f t="shared" si="46"/>
        <v>21</v>
      </c>
      <c r="N110" s="1698">
        <f t="shared" si="47"/>
        <v>0</v>
      </c>
    </row>
    <row r="111" spans="1:14" s="1321" customFormat="1" ht="150">
      <c r="A111" s="1685">
        <f t="shared" si="48"/>
        <v>0</v>
      </c>
      <c r="B111" s="1686">
        <f>'Slab Culvert 1V 5m x 2m span'!I81*E93</f>
        <v>0</v>
      </c>
      <c r="C111" s="1708" t="s">
        <v>31</v>
      </c>
      <c r="D111" s="1704" t="str">
        <f>'Slab Culvert 1V 5m x 2m span'!B79</f>
        <v xml:space="preserve">Providing and laying of  filter media using 50% of 150 mm IRC soling  stone and  50 % of 40 mm  HBG metal satisfying the requirements laid down in clause 2504.2.2 of MoRT&amp;H specifications to a thickness of not less than 600mm with smaller size towards the soil and bigger size towards the wall and provided over the entire surface behind the abutment, wing wall and return wall to the full height compacted to a firm condition including cost and conveyance of all metal (excluding  seigniorage) charges ,and all labour charges  as directed  by  the departmental officers as per drawing and Technical specifications as per clause 710.1.1 of IRC:78 and Clause 2200 of MoRT&amp;H (5th Revision) for finished item of work. </v>
      </c>
      <c r="E111" s="1705" t="s">
        <v>1138</v>
      </c>
      <c r="F111" s="1687" t="s">
        <v>53</v>
      </c>
      <c r="G111" s="1707">
        <f>'Slab Culvert 1V 5m x 2m span'!$J$81</f>
        <v>2392.09</v>
      </c>
      <c r="H111" s="1689">
        <f t="shared" si="44"/>
        <v>0</v>
      </c>
      <c r="I111" s="1702"/>
      <c r="J111" s="1703"/>
      <c r="K111" s="1703"/>
      <c r="L111" s="1699">
        <f t="shared" si="45"/>
        <v>0</v>
      </c>
      <c r="M111" s="1699">
        <f t="shared" si="46"/>
        <v>21</v>
      </c>
      <c r="N111" s="1698">
        <f t="shared" si="47"/>
        <v>0</v>
      </c>
    </row>
    <row r="112" spans="1:14" s="1321" customFormat="1" ht="120">
      <c r="A112" s="1685">
        <f t="shared" si="48"/>
        <v>0</v>
      </c>
      <c r="B112" s="1686">
        <f>'Slab Culvert 1V 5m x 2m span'!I77*E93</f>
        <v>0</v>
      </c>
      <c r="C112" s="1708" t="s">
        <v>107</v>
      </c>
      <c r="D112" s="1704" t="str">
        <f>'Slab-Culverts Data'!$B$291</f>
        <v xml:space="preserve">Providing Weep holes in VCC Abutment/ Wing wall/return wall with 100mm Diameter AC pipe  extending through the full width of the structure at 1.00m C/C in both horizontal and vertical direction so that the weep holes in each horizontal direction is staggered from the weep holes laying above and below lines as shown in drawing including cost and conveyance of the A.C pipes and labour charges for cutting to required length, placing the pipe with a slope of about 1V : 20H towards stream side face etc., complete for finished item of work for weep holes as per SSR Data </v>
      </c>
      <c r="E112" s="1705" t="s">
        <v>1134</v>
      </c>
      <c r="F112" s="1706" t="s">
        <v>1139</v>
      </c>
      <c r="G112" s="1707">
        <f>'Slab-Culverts Data'!$J$312</f>
        <v>614.2736666666666</v>
      </c>
      <c r="H112" s="1689">
        <f t="shared" si="44"/>
        <v>0</v>
      </c>
      <c r="I112" s="1703">
        <f>SUM(H94:H112)</f>
        <v>0</v>
      </c>
      <c r="J112" s="1703">
        <f>'CD Abs'!E9</f>
        <v>0</v>
      </c>
      <c r="K112" s="1703">
        <f>I112-J112</f>
        <v>0</v>
      </c>
      <c r="L112" s="1699">
        <f t="shared" si="45"/>
        <v>0</v>
      </c>
      <c r="M112" s="1699">
        <f t="shared" si="46"/>
        <v>21</v>
      </c>
      <c r="N112" s="1698">
        <f t="shared" si="47"/>
        <v>0</v>
      </c>
    </row>
    <row r="113" spans="1:14" s="1321" customFormat="1" ht="30">
      <c r="A113" s="1685">
        <f t="shared" si="48"/>
        <v>0</v>
      </c>
      <c r="B113" s="1686"/>
      <c r="C113" s="1324">
        <v>4</v>
      </c>
      <c r="D113" s="1677" t="s">
        <v>1140</v>
      </c>
      <c r="E113" s="1693">
        <v>0</v>
      </c>
      <c r="F113" s="1687"/>
      <c r="G113" s="1697"/>
      <c r="H113" s="1689"/>
      <c r="I113" s="1703"/>
      <c r="J113" s="1703"/>
      <c r="K113" s="1703"/>
      <c r="L113" s="1699">
        <f t="shared" si="45"/>
        <v>0</v>
      </c>
      <c r="M113" s="1699">
        <f t="shared" si="46"/>
        <v>21</v>
      </c>
      <c r="N113" s="1698">
        <f t="shared" si="47"/>
        <v>0</v>
      </c>
    </row>
    <row r="114" spans="1:14" s="1321" customFormat="1" ht="105">
      <c r="A114" s="1685">
        <f t="shared" si="48"/>
        <v>0</v>
      </c>
      <c r="B114" s="1688">
        <f>'Slab Culvert 1V 6m x 2m spa'!I9*E113</f>
        <v>0</v>
      </c>
      <c r="C114" s="1708" t="s">
        <v>31</v>
      </c>
      <c r="D114" s="1704" t="s">
        <v>1141</v>
      </c>
      <c r="E114" s="1705" t="s">
        <v>1119</v>
      </c>
      <c r="F114" s="1706" t="s">
        <v>53</v>
      </c>
      <c r="G114" s="1707">
        <f>'Pipe data'!$G$20</f>
        <v>123.69927804166667</v>
      </c>
      <c r="H114" s="1689">
        <f t="shared" ref="H114:H133" si="50">ROUND(B114*G114,0)</f>
        <v>0</v>
      </c>
      <c r="I114" s="1702"/>
      <c r="J114" s="1703"/>
      <c r="K114" s="1703"/>
      <c r="L114" s="1699">
        <f t="shared" si="45"/>
        <v>0</v>
      </c>
      <c r="M114" s="1699">
        <f t="shared" si="46"/>
        <v>21</v>
      </c>
      <c r="N114" s="1698">
        <f t="shared" si="47"/>
        <v>0</v>
      </c>
    </row>
    <row r="115" spans="1:14" s="1321" customFormat="1" ht="45">
      <c r="A115" s="1685">
        <f t="shared" si="48"/>
        <v>0</v>
      </c>
      <c r="B115" s="1686">
        <v>0</v>
      </c>
      <c r="C115" s="1708" t="s">
        <v>31</v>
      </c>
      <c r="D115" s="1696" t="s">
        <v>1142</v>
      </c>
      <c r="E115" s="1705" t="s">
        <v>1119</v>
      </c>
      <c r="F115" s="1706" t="s">
        <v>53</v>
      </c>
      <c r="G115" s="1707">
        <v>1230.83</v>
      </c>
      <c r="H115" s="1689">
        <f t="shared" si="50"/>
        <v>0</v>
      </c>
      <c r="I115" s="1702"/>
      <c r="J115" s="1703"/>
      <c r="K115" s="1703"/>
      <c r="L115" s="1699">
        <f t="shared" si="45"/>
        <v>0</v>
      </c>
      <c r="M115" s="1699">
        <f t="shared" si="46"/>
        <v>21</v>
      </c>
      <c r="N115" s="1698">
        <f t="shared" si="47"/>
        <v>0</v>
      </c>
    </row>
    <row r="116" spans="1:14" s="1321" customFormat="1" ht="120">
      <c r="A116" s="1685">
        <f t="shared" si="48"/>
        <v>0</v>
      </c>
      <c r="B116" s="1686">
        <f>'Slab Culvert 1V 6m x 2m spa'!I18*E113</f>
        <v>0</v>
      </c>
      <c r="C116" s="1708" t="s">
        <v>31</v>
      </c>
      <c r="D116" s="1704" t="s">
        <v>1143</v>
      </c>
      <c r="E116" s="1705" t="s">
        <v>1120</v>
      </c>
      <c r="F116" s="1706" t="s">
        <v>53</v>
      </c>
      <c r="G116" s="1707">
        <f>'Slab-Culverts Data'!$J$31</f>
        <v>5706.01</v>
      </c>
      <c r="H116" s="1689">
        <f t="shared" si="50"/>
        <v>0</v>
      </c>
      <c r="I116" s="1702"/>
      <c r="J116" s="1703"/>
      <c r="K116" s="1703"/>
      <c r="L116" s="1699">
        <f t="shared" si="45"/>
        <v>0</v>
      </c>
      <c r="M116" s="1699">
        <f t="shared" si="46"/>
        <v>21</v>
      </c>
      <c r="N116" s="1698">
        <f t="shared" si="47"/>
        <v>0</v>
      </c>
    </row>
    <row r="117" spans="1:14" s="1321" customFormat="1" ht="120">
      <c r="A117" s="1685">
        <f t="shared" si="48"/>
        <v>0</v>
      </c>
      <c r="B117" s="1686">
        <f>'Slab Culvert 1V 6m x 2m spa'!I31*E113</f>
        <v>0</v>
      </c>
      <c r="C117" s="1708" t="s">
        <v>31</v>
      </c>
      <c r="D117" s="1696" t="s">
        <v>1124</v>
      </c>
      <c r="E117" s="1705" t="s">
        <v>1120</v>
      </c>
      <c r="F117" s="1706" t="s">
        <v>53</v>
      </c>
      <c r="G117" s="1707">
        <f>'Slab-Culverts Data'!$J$62</f>
        <v>6381.51</v>
      </c>
      <c r="H117" s="1689">
        <f t="shared" si="50"/>
        <v>0</v>
      </c>
      <c r="I117" s="1702"/>
      <c r="J117" s="1703"/>
      <c r="K117" s="1703"/>
      <c r="L117" s="1699">
        <f t="shared" si="45"/>
        <v>0</v>
      </c>
      <c r="M117" s="1699">
        <f t="shared" si="46"/>
        <v>21</v>
      </c>
      <c r="N117" s="1698">
        <f t="shared" si="47"/>
        <v>0</v>
      </c>
    </row>
    <row r="118" spans="1:14" s="1321" customFormat="1" ht="120">
      <c r="A118" s="1685">
        <f t="shared" si="48"/>
        <v>0</v>
      </c>
      <c r="B118" s="1686">
        <f>'Slab Culvert 1V 6m x 2m spa'!I37*E113</f>
        <v>0</v>
      </c>
      <c r="C118" s="1708" t="s">
        <v>31</v>
      </c>
      <c r="D118" s="1704" t="s">
        <v>1144</v>
      </c>
      <c r="E118" s="1705" t="s">
        <v>1120</v>
      </c>
      <c r="F118" s="1706" t="s">
        <v>53</v>
      </c>
      <c r="G118" s="1707">
        <f>'Slab-Culverts Data'!$J$206</f>
        <v>6749.67</v>
      </c>
      <c r="H118" s="1689">
        <f t="shared" si="50"/>
        <v>0</v>
      </c>
      <c r="I118" s="1702"/>
      <c r="J118" s="1703"/>
      <c r="K118" s="1703"/>
      <c r="L118" s="1699">
        <f t="shared" si="45"/>
        <v>0</v>
      </c>
      <c r="M118" s="1699">
        <f t="shared" si="46"/>
        <v>21</v>
      </c>
      <c r="N118" s="1698">
        <f t="shared" si="47"/>
        <v>0</v>
      </c>
    </row>
    <row r="119" spans="1:14" s="1321" customFormat="1" ht="135">
      <c r="A119" s="1685">
        <f t="shared" si="48"/>
        <v>0</v>
      </c>
      <c r="B119" s="1686">
        <f>'Slab Culvert 1V 6m x 2m spa'!I45*E113</f>
        <v>0</v>
      </c>
      <c r="C119" s="1708" t="s">
        <v>31</v>
      </c>
      <c r="D119" s="1704" t="s">
        <v>1145</v>
      </c>
      <c r="E119" s="1705" t="s">
        <v>1129</v>
      </c>
      <c r="F119" s="1706" t="s">
        <v>53</v>
      </c>
      <c r="G119" s="1707">
        <f>'Slab-Culverts Data'!$J$267</f>
        <v>7666.61</v>
      </c>
      <c r="H119" s="1689">
        <f t="shared" si="50"/>
        <v>0</v>
      </c>
      <c r="I119" s="1702"/>
      <c r="J119" s="1703"/>
      <c r="K119" s="1703">
        <f>18774/G119</f>
        <v>2.4488007085269761</v>
      </c>
      <c r="L119" s="1699">
        <f t="shared" si="45"/>
        <v>0</v>
      </c>
      <c r="M119" s="1699">
        <f t="shared" si="46"/>
        <v>21</v>
      </c>
      <c r="N119" s="1698">
        <f t="shared" si="47"/>
        <v>0</v>
      </c>
    </row>
    <row r="120" spans="1:14" s="1321" customFormat="1" ht="150">
      <c r="A120" s="1685">
        <f t="shared" si="48"/>
        <v>0</v>
      </c>
      <c r="B120" s="1686">
        <f>'Slab Culvert 1V 6m x 2m spa'!I50*E113</f>
        <v>0</v>
      </c>
      <c r="C120" s="1708" t="s">
        <v>31</v>
      </c>
      <c r="D120" s="1704" t="str">
        <f>'Slab-Culverts Data'!B338</f>
        <v xml:space="preserve">Vibrated reinforced cement concrete M 25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MoRT&amp;H specification  1500,1600,1700 &amp; 2200  (5th revision ) and  as directed by the Engineer-in-Charge </v>
      </c>
      <c r="E120" s="1705" t="s">
        <v>1125</v>
      </c>
      <c r="F120" s="1706" t="s">
        <v>53</v>
      </c>
      <c r="G120" s="1707">
        <f>'Slab-Culverts Data'!J366</f>
        <v>8336.31</v>
      </c>
      <c r="H120" s="1689">
        <f t="shared" si="50"/>
        <v>0</v>
      </c>
      <c r="I120" s="1702"/>
      <c r="J120" s="1703"/>
      <c r="K120" s="1709"/>
      <c r="L120" s="1699">
        <f t="shared" si="45"/>
        <v>0</v>
      </c>
      <c r="M120" s="1699">
        <f t="shared" si="46"/>
        <v>21</v>
      </c>
      <c r="N120" s="1698">
        <f t="shared" si="47"/>
        <v>0</v>
      </c>
    </row>
    <row r="121" spans="1:14" s="1321" customFormat="1" ht="150">
      <c r="A121" s="1685">
        <f t="shared" si="48"/>
        <v>0</v>
      </c>
      <c r="B121" s="1686">
        <f>'Slab Culvert 1V 6m x 2m spa'!I65*E113</f>
        <v>0</v>
      </c>
      <c r="C121" s="1708" t="s">
        <v>31</v>
      </c>
      <c r="D121" s="1704" t="s">
        <v>1147</v>
      </c>
      <c r="E121" s="1705" t="s">
        <v>1126</v>
      </c>
      <c r="F121" s="1706" t="s">
        <v>53</v>
      </c>
      <c r="G121" s="1707">
        <f>'Slab-Culverts Data'!$J$428</f>
        <v>7037.28</v>
      </c>
      <c r="H121" s="1689">
        <f t="shared" si="50"/>
        <v>0</v>
      </c>
      <c r="I121" s="1702"/>
      <c r="J121" s="1703"/>
      <c r="K121" s="1703">
        <f>61979/5270.45</f>
        <v>11.759716912218122</v>
      </c>
      <c r="L121" s="1699">
        <f t="shared" si="45"/>
        <v>0</v>
      </c>
      <c r="M121" s="1699">
        <f t="shared" si="46"/>
        <v>21</v>
      </c>
      <c r="N121" s="1698">
        <f t="shared" si="47"/>
        <v>0</v>
      </c>
    </row>
    <row r="122" spans="1:14" s="1321" customFormat="1" ht="60">
      <c r="A122" s="1685">
        <f t="shared" si="48"/>
        <v>0</v>
      </c>
      <c r="B122" s="1686">
        <f>'Slab Culvert 1V 6m x 2m spa'!I60*E113</f>
        <v>0</v>
      </c>
      <c r="C122" s="1708" t="s">
        <v>31</v>
      </c>
      <c r="D122" s="1696" t="s">
        <v>1148</v>
      </c>
      <c r="E122" s="1705" t="s">
        <v>1120</v>
      </c>
      <c r="F122" s="1706" t="s">
        <v>53</v>
      </c>
      <c r="G122" s="1707">
        <f>'Slab-Culverts Data'!$J$625</f>
        <v>691.79</v>
      </c>
      <c r="H122" s="1689">
        <f t="shared" si="50"/>
        <v>0</v>
      </c>
      <c r="I122" s="1702"/>
      <c r="J122" s="1703"/>
      <c r="K122" s="1703"/>
      <c r="L122" s="1699">
        <f t="shared" si="45"/>
        <v>0</v>
      </c>
      <c r="M122" s="1699">
        <f t="shared" si="46"/>
        <v>21</v>
      </c>
      <c r="N122" s="1698">
        <f t="shared" si="47"/>
        <v>0</v>
      </c>
    </row>
    <row r="123" spans="1:14" s="1321" customFormat="1" ht="165">
      <c r="A123" s="1685">
        <f t="shared" si="48"/>
        <v>0</v>
      </c>
      <c r="B123" s="1686">
        <f>'Slab Culvert 1V 6m x 2m spa'!I99*E113</f>
        <v>0</v>
      </c>
      <c r="C123" s="1708" t="s">
        <v>66</v>
      </c>
      <c r="D123" s="1704" t="s">
        <v>1149</v>
      </c>
      <c r="E123" s="1705" t="s">
        <v>1127</v>
      </c>
      <c r="F123" s="1706" t="s">
        <v>1128</v>
      </c>
      <c r="G123" s="1707">
        <f>'Slab-Culverts Data'!$J$175</f>
        <v>64656.02</v>
      </c>
      <c r="H123" s="1689">
        <f t="shared" si="50"/>
        <v>0</v>
      </c>
      <c r="I123" s="1702"/>
      <c r="J123" s="1703"/>
      <c r="K123" s="1703"/>
      <c r="L123" s="1699">
        <f t="shared" si="45"/>
        <v>0</v>
      </c>
      <c r="M123" s="1699">
        <f t="shared" si="46"/>
        <v>21</v>
      </c>
      <c r="N123" s="1698">
        <f t="shared" si="47"/>
        <v>0</v>
      </c>
    </row>
    <row r="124" spans="1:14" s="1321" customFormat="1" ht="105">
      <c r="A124" s="1685">
        <f t="shared" si="48"/>
        <v>0</v>
      </c>
      <c r="B124" s="1686">
        <f>'Slab Culvert 1V 6m x 2m spa'!I81*E113</f>
        <v>0</v>
      </c>
      <c r="C124" s="1708" t="s">
        <v>31</v>
      </c>
      <c r="D124" s="1704" t="s">
        <v>1150</v>
      </c>
      <c r="E124" s="1705" t="s">
        <v>1135</v>
      </c>
      <c r="F124" s="1706" t="s">
        <v>53</v>
      </c>
      <c r="G124" s="1707">
        <f>'Slab-Culverts Data'!$J$673</f>
        <v>613.8489567984376</v>
      </c>
      <c r="H124" s="1689">
        <f t="shared" si="50"/>
        <v>0</v>
      </c>
      <c r="I124" s="1702"/>
      <c r="J124" s="1703"/>
      <c r="K124" s="1703"/>
      <c r="L124" s="1699">
        <f t="shared" si="45"/>
        <v>0</v>
      </c>
      <c r="M124" s="1699">
        <f t="shared" si="46"/>
        <v>21</v>
      </c>
      <c r="N124" s="1698">
        <f t="shared" si="47"/>
        <v>0</v>
      </c>
    </row>
    <row r="125" spans="1:14" s="1321" customFormat="1" ht="60">
      <c r="A125" s="1685">
        <f t="shared" si="48"/>
        <v>0</v>
      </c>
      <c r="B125" s="1686">
        <v>0</v>
      </c>
      <c r="C125" s="1708" t="s">
        <v>31</v>
      </c>
      <c r="D125" s="1704" t="s">
        <v>1151</v>
      </c>
      <c r="E125" s="1705" t="s">
        <v>1122</v>
      </c>
      <c r="F125" s="1706" t="s">
        <v>53</v>
      </c>
      <c r="G125" s="1707">
        <v>1355.97</v>
      </c>
      <c r="H125" s="1689">
        <f t="shared" si="50"/>
        <v>0</v>
      </c>
      <c r="I125" s="1702"/>
      <c r="J125" s="1703"/>
      <c r="K125" s="1703"/>
      <c r="L125" s="1699">
        <f t="shared" si="45"/>
        <v>0</v>
      </c>
      <c r="M125" s="1699">
        <f t="shared" si="46"/>
        <v>21</v>
      </c>
      <c r="N125" s="1698">
        <f t="shared" si="47"/>
        <v>0</v>
      </c>
    </row>
    <row r="126" spans="1:14" s="1321" customFormat="1" ht="135">
      <c r="A126" s="1685">
        <f t="shared" si="48"/>
        <v>0</v>
      </c>
      <c r="B126" s="1686">
        <f>'Slab Culvert 1V 6m x 2m spa'!I73*E113</f>
        <v>0</v>
      </c>
      <c r="C126" s="1708" t="s">
        <v>31</v>
      </c>
      <c r="D126" s="1704" t="s">
        <v>1152</v>
      </c>
      <c r="E126" s="1705" t="s">
        <v>1120</v>
      </c>
      <c r="F126" s="1706" t="s">
        <v>53</v>
      </c>
      <c r="G126" s="1707">
        <f>'Slab-Culverts Data'!$J$535</f>
        <v>6139.47</v>
      </c>
      <c r="H126" s="1689">
        <f t="shared" si="50"/>
        <v>0</v>
      </c>
      <c r="I126" s="1702"/>
      <c r="J126" s="1703"/>
      <c r="K126" s="1703"/>
      <c r="L126" s="1699">
        <f t="shared" si="45"/>
        <v>0</v>
      </c>
      <c r="M126" s="1699">
        <f t="shared" si="46"/>
        <v>21</v>
      </c>
      <c r="N126" s="1698">
        <f t="shared" si="47"/>
        <v>0</v>
      </c>
    </row>
    <row r="127" spans="1:14" s="1321" customFormat="1" ht="150">
      <c r="A127" s="1685">
        <f t="shared" si="48"/>
        <v>0</v>
      </c>
      <c r="B127" s="1686">
        <f>'Slab Culvert 1V 6m x 2m spa'!I77*E113</f>
        <v>0</v>
      </c>
      <c r="C127" s="1708" t="s">
        <v>31</v>
      </c>
      <c r="D127" s="1704" t="s">
        <v>1153</v>
      </c>
      <c r="E127" s="1705" t="s">
        <v>1131</v>
      </c>
      <c r="F127" s="1706" t="s">
        <v>53</v>
      </c>
      <c r="G127" s="1707">
        <f>'Slab-Culverts Data'!$J$504</f>
        <v>7131.83</v>
      </c>
      <c r="H127" s="1689">
        <f t="shared" si="50"/>
        <v>0</v>
      </c>
      <c r="I127" s="1702"/>
      <c r="J127" s="1703"/>
      <c r="K127" s="1703"/>
      <c r="L127" s="1699">
        <f t="shared" si="45"/>
        <v>0</v>
      </c>
      <c r="M127" s="1699">
        <f t="shared" si="46"/>
        <v>21</v>
      </c>
      <c r="N127" s="1698">
        <f t="shared" si="47"/>
        <v>0</v>
      </c>
    </row>
    <row r="128" spans="1:14" s="1321" customFormat="1" ht="60">
      <c r="A128" s="1685">
        <f t="shared" si="48"/>
        <v>0</v>
      </c>
      <c r="B128" s="1686">
        <f>'Slab Culvert 1V 6m x 2m spa'!I95*E113</f>
        <v>0</v>
      </c>
      <c r="C128" s="1708" t="s">
        <v>31</v>
      </c>
      <c r="D128" s="1704" t="str">
        <f>'Slab Culvert 1V 6m x 2m spa'!B91</f>
        <v xml:space="preserve">Providing and laying boulders apron for bed protection against scour with stone boulders weighing not less than 40kg each complete as per drawing and specification. complete for finished item of work as per MoRT&amp;H specification 2504 ( 5th revision ) and as directed by the Engineer-in-Charge </v>
      </c>
      <c r="E128" s="1705" t="s">
        <v>1154</v>
      </c>
      <c r="F128" s="1706" t="s">
        <v>53</v>
      </c>
      <c r="G128" s="1707">
        <f>'Slab Culvert 1V 6m x 2m spa'!J95</f>
        <v>2028.19</v>
      </c>
      <c r="H128" s="1689">
        <f t="shared" si="50"/>
        <v>0</v>
      </c>
      <c r="I128" s="1702"/>
      <c r="J128" s="1703"/>
      <c r="K128" s="1703"/>
      <c r="L128" s="1699">
        <f t="shared" si="45"/>
        <v>0</v>
      </c>
      <c r="M128" s="1699">
        <f t="shared" si="46"/>
        <v>21</v>
      </c>
      <c r="N128" s="1698">
        <f t="shared" si="47"/>
        <v>0</v>
      </c>
    </row>
    <row r="129" spans="1:14" s="1321" customFormat="1" ht="135">
      <c r="A129" s="1685">
        <f t="shared" si="48"/>
        <v>0</v>
      </c>
      <c r="B129" s="1686">
        <f>'Slab Culvert 1V 6m x 2m spa'!I69*E113</f>
        <v>0</v>
      </c>
      <c r="C129" s="1708" t="s">
        <v>31</v>
      </c>
      <c r="D129" s="1704" t="s">
        <v>1155</v>
      </c>
      <c r="E129" s="1705" t="s">
        <v>1106</v>
      </c>
      <c r="F129" s="1706" t="s">
        <v>53</v>
      </c>
      <c r="G129" s="1707">
        <f>'Road data'!$G$188</f>
        <v>270.81</v>
      </c>
      <c r="H129" s="1689">
        <f t="shared" si="50"/>
        <v>0</v>
      </c>
      <c r="I129" s="1702"/>
      <c r="J129" s="1703"/>
      <c r="K129" s="1703"/>
      <c r="L129" s="1699">
        <f t="shared" si="45"/>
        <v>0</v>
      </c>
      <c r="M129" s="1699">
        <f t="shared" si="46"/>
        <v>21</v>
      </c>
      <c r="N129" s="1698">
        <f t="shared" si="47"/>
        <v>0</v>
      </c>
    </row>
    <row r="130" spans="1:14" s="1321" customFormat="1" ht="150">
      <c r="A130" s="1685">
        <f t="shared" si="48"/>
        <v>0</v>
      </c>
      <c r="B130" s="1686">
        <f>'Slab Culvert 1V 6m x 2m spa'!I89*E113</f>
        <v>0</v>
      </c>
      <c r="C130" s="1708" t="s">
        <v>31</v>
      </c>
      <c r="D130" s="1704" t="s">
        <v>1156</v>
      </c>
      <c r="E130" s="1705" t="s">
        <v>1122</v>
      </c>
      <c r="F130" s="1706" t="s">
        <v>53</v>
      </c>
      <c r="G130" s="1707">
        <f>'Slab-Culverts Data'!$J$335</f>
        <v>2392.09</v>
      </c>
      <c r="H130" s="1689">
        <f t="shared" si="50"/>
        <v>0</v>
      </c>
      <c r="I130" s="1702"/>
      <c r="J130" s="1703"/>
      <c r="K130" s="1703"/>
      <c r="L130" s="1699">
        <f t="shared" si="45"/>
        <v>0</v>
      </c>
      <c r="M130" s="1699">
        <f t="shared" si="46"/>
        <v>21</v>
      </c>
      <c r="N130" s="1698">
        <f t="shared" si="47"/>
        <v>0</v>
      </c>
    </row>
    <row r="131" spans="1:14" s="1321" customFormat="1" ht="165">
      <c r="A131" s="1685">
        <f t="shared" si="48"/>
        <v>0</v>
      </c>
      <c r="B131" s="1686">
        <f>'Slab Culvert 1V 6m x 2m spa'!I103*E113</f>
        <v>0</v>
      </c>
      <c r="C131" s="1708" t="s">
        <v>66</v>
      </c>
      <c r="D131" s="1704" t="s">
        <v>1157</v>
      </c>
      <c r="E131" s="1705" t="s">
        <v>1127</v>
      </c>
      <c r="F131" s="1706" t="s">
        <v>1128</v>
      </c>
      <c r="G131" s="1707">
        <f>'Slab-Culverts Data'!$J$290</f>
        <v>64943.47</v>
      </c>
      <c r="H131" s="1689">
        <f t="shared" si="50"/>
        <v>0</v>
      </c>
      <c r="I131" s="1702"/>
      <c r="J131" s="1703"/>
      <c r="K131" s="1703"/>
      <c r="L131" s="1699">
        <f t="shared" si="45"/>
        <v>0</v>
      </c>
      <c r="M131" s="1699">
        <f t="shared" si="46"/>
        <v>21</v>
      </c>
      <c r="N131" s="1698">
        <f t="shared" si="47"/>
        <v>0</v>
      </c>
    </row>
    <row r="132" spans="1:14" s="1321" customFormat="1" ht="165">
      <c r="A132" s="1685">
        <f t="shared" si="48"/>
        <v>0</v>
      </c>
      <c r="B132" s="1686">
        <f>'Slab Culvert 1V 6m x 2m spa'!I106*E113</f>
        <v>0</v>
      </c>
      <c r="C132" s="1708" t="s">
        <v>66</v>
      </c>
      <c r="D132" s="1704" t="s">
        <v>1158</v>
      </c>
      <c r="E132" s="1705" t="s">
        <v>1138</v>
      </c>
      <c r="F132" s="1687" t="s">
        <v>1128</v>
      </c>
      <c r="G132" s="1707">
        <f>'Slab-Culverts Data'!$J$451</f>
        <v>66904.47</v>
      </c>
      <c r="H132" s="1689">
        <f t="shared" si="50"/>
        <v>0</v>
      </c>
      <c r="I132" s="1702"/>
      <c r="J132" s="1703"/>
      <c r="K132" s="1703"/>
      <c r="L132" s="1699">
        <f t="shared" si="45"/>
        <v>0</v>
      </c>
      <c r="M132" s="1699">
        <f t="shared" si="46"/>
        <v>21</v>
      </c>
      <c r="N132" s="1698">
        <f t="shared" si="47"/>
        <v>0</v>
      </c>
    </row>
    <row r="133" spans="1:14" s="1321" customFormat="1" ht="120">
      <c r="A133" s="1685">
        <f t="shared" si="48"/>
        <v>0</v>
      </c>
      <c r="B133" s="1686">
        <f>'Slab Culvert 1V 6m x 2m spa'!I85*E113</f>
        <v>0</v>
      </c>
      <c r="C133" s="2937" t="s">
        <v>554</v>
      </c>
      <c r="D133" s="1704" t="s">
        <v>200</v>
      </c>
      <c r="E133" s="1705" t="s">
        <v>1134</v>
      </c>
      <c r="F133" s="2938" t="s">
        <v>733</v>
      </c>
      <c r="G133" s="1707">
        <f>'Slab-Culverts Data'!$J$312</f>
        <v>614.2736666666666</v>
      </c>
      <c r="H133" s="1689">
        <f t="shared" si="50"/>
        <v>0</v>
      </c>
      <c r="I133" s="1703">
        <f>SUM(H114:H133)</f>
        <v>0</v>
      </c>
      <c r="J133" s="1703">
        <f>'CD Abs'!E10</f>
        <v>0</v>
      </c>
      <c r="K133" s="1703">
        <f>I133-J133</f>
        <v>0</v>
      </c>
      <c r="L133" s="1699">
        <f t="shared" si="45"/>
        <v>0</v>
      </c>
      <c r="M133" s="1699">
        <f t="shared" si="46"/>
        <v>21</v>
      </c>
      <c r="N133" s="1698">
        <f t="shared" si="47"/>
        <v>0</v>
      </c>
    </row>
    <row r="134" spans="1:14" s="1321" customFormat="1" ht="30">
      <c r="A134" s="1685">
        <f t="shared" si="48"/>
        <v>0</v>
      </c>
      <c r="B134" s="1686"/>
      <c r="C134" s="1324">
        <v>5</v>
      </c>
      <c r="D134" s="1677" t="s">
        <v>1159</v>
      </c>
      <c r="E134" s="1693">
        <v>0</v>
      </c>
      <c r="F134" s="1687"/>
      <c r="G134" s="1697"/>
      <c r="H134" s="1689"/>
      <c r="I134" s="1703"/>
      <c r="J134" s="1703"/>
      <c r="K134" s="1703"/>
      <c r="L134" s="1699">
        <f t="shared" si="45"/>
        <v>0</v>
      </c>
      <c r="M134" s="1699">
        <f t="shared" si="46"/>
        <v>21</v>
      </c>
      <c r="N134" s="1698">
        <f t="shared" si="47"/>
        <v>0</v>
      </c>
    </row>
    <row r="135" spans="1:14" s="1321" customFormat="1" ht="105">
      <c r="A135" s="1685">
        <f t="shared" si="48"/>
        <v>0</v>
      </c>
      <c r="B135" s="1688">
        <f>'Slab Culvert 2V 6m x 2m spa'!I10*E134</f>
        <v>0</v>
      </c>
      <c r="C135" s="1708" t="s">
        <v>31</v>
      </c>
      <c r="D135" s="1704" t="s">
        <v>1141</v>
      </c>
      <c r="E135" s="1705" t="s">
        <v>1119</v>
      </c>
      <c r="F135" s="1706" t="s">
        <v>53</v>
      </c>
      <c r="G135" s="1707">
        <f>'Pipe data'!$G$20</f>
        <v>123.69927804166667</v>
      </c>
      <c r="H135" s="1689">
        <f t="shared" ref="H135:H153" si="51">ROUND(B135*G135,0)</f>
        <v>0</v>
      </c>
      <c r="I135" s="1702"/>
      <c r="J135" s="1703"/>
      <c r="K135" s="1703"/>
      <c r="L135" s="1699">
        <f t="shared" si="45"/>
        <v>0</v>
      </c>
      <c r="M135" s="1699">
        <f t="shared" si="46"/>
        <v>21</v>
      </c>
      <c r="N135" s="1698">
        <f t="shared" si="47"/>
        <v>0</v>
      </c>
    </row>
    <row r="136" spans="1:14" s="1321" customFormat="1" ht="45">
      <c r="A136" s="1685">
        <f t="shared" si="48"/>
        <v>0</v>
      </c>
      <c r="B136" s="1686">
        <v>0</v>
      </c>
      <c r="C136" s="1708" t="s">
        <v>31</v>
      </c>
      <c r="D136" s="1696" t="s">
        <v>1142</v>
      </c>
      <c r="E136" s="1705" t="s">
        <v>1119</v>
      </c>
      <c r="F136" s="1706" t="s">
        <v>53</v>
      </c>
      <c r="G136" s="1707">
        <v>1230.83</v>
      </c>
      <c r="H136" s="1689">
        <f t="shared" si="51"/>
        <v>0</v>
      </c>
      <c r="I136" s="1702"/>
      <c r="J136" s="1703"/>
      <c r="K136" s="1703"/>
      <c r="L136" s="1699">
        <f t="shared" si="45"/>
        <v>0</v>
      </c>
      <c r="M136" s="1699">
        <f t="shared" si="46"/>
        <v>21</v>
      </c>
      <c r="N136" s="1698">
        <f t="shared" si="47"/>
        <v>0</v>
      </c>
    </row>
    <row r="137" spans="1:14" s="1321" customFormat="1" ht="120">
      <c r="A137" s="1685">
        <f t="shared" si="48"/>
        <v>0</v>
      </c>
      <c r="B137" s="1686">
        <f>'Slab Culvert 2V 6m x 2m spa'!I20*E134</f>
        <v>0</v>
      </c>
      <c r="C137" s="1708" t="s">
        <v>31</v>
      </c>
      <c r="D137" s="1704" t="s">
        <v>1143</v>
      </c>
      <c r="E137" s="1705" t="s">
        <v>1120</v>
      </c>
      <c r="F137" s="1706" t="s">
        <v>53</v>
      </c>
      <c r="G137" s="1707">
        <f>'Slab-Culverts Data'!$J$31</f>
        <v>5706.01</v>
      </c>
      <c r="H137" s="1689">
        <f t="shared" si="51"/>
        <v>0</v>
      </c>
      <c r="I137" s="1702"/>
      <c r="J137" s="1703"/>
      <c r="K137" s="1703"/>
      <c r="L137" s="1699">
        <f t="shared" si="45"/>
        <v>0</v>
      </c>
      <c r="M137" s="1699">
        <f t="shared" si="46"/>
        <v>21</v>
      </c>
      <c r="N137" s="1698">
        <f t="shared" si="47"/>
        <v>0</v>
      </c>
    </row>
    <row r="138" spans="1:14" s="1321" customFormat="1" ht="120">
      <c r="A138" s="1685">
        <f t="shared" si="48"/>
        <v>0</v>
      </c>
      <c r="B138" s="1686">
        <f>'Slab Culvert 2V 6m x 2m spa'!I34*E134</f>
        <v>0</v>
      </c>
      <c r="C138" s="1708" t="s">
        <v>31</v>
      </c>
      <c r="D138" s="1696" t="s">
        <v>1124</v>
      </c>
      <c r="E138" s="1705" t="s">
        <v>1120</v>
      </c>
      <c r="F138" s="1706" t="s">
        <v>53</v>
      </c>
      <c r="G138" s="1707">
        <f>'Slab-Culverts Data'!$J$62</f>
        <v>6381.51</v>
      </c>
      <c r="H138" s="1689">
        <f t="shared" si="51"/>
        <v>0</v>
      </c>
      <c r="I138" s="1702"/>
      <c r="J138" s="1703"/>
      <c r="K138" s="1703"/>
      <c r="L138" s="1699">
        <f t="shared" si="45"/>
        <v>0</v>
      </c>
      <c r="M138" s="1699">
        <f t="shared" si="46"/>
        <v>21</v>
      </c>
      <c r="N138" s="1698">
        <f t="shared" si="47"/>
        <v>0</v>
      </c>
    </row>
    <row r="139" spans="1:14" s="1321" customFormat="1" ht="120">
      <c r="A139" s="1685">
        <f t="shared" si="48"/>
        <v>0</v>
      </c>
      <c r="B139" s="1686">
        <f>'Slab Culvert 2V 6m x 2m spa'!I42*E134</f>
        <v>0</v>
      </c>
      <c r="C139" s="1708" t="s">
        <v>31</v>
      </c>
      <c r="D139" s="1704" t="s">
        <v>1144</v>
      </c>
      <c r="E139" s="1705" t="s">
        <v>1120</v>
      </c>
      <c r="F139" s="1706" t="s">
        <v>53</v>
      </c>
      <c r="G139" s="1707">
        <f>'Slab-Culverts Data'!$J$206</f>
        <v>6749.67</v>
      </c>
      <c r="H139" s="1689">
        <f t="shared" si="51"/>
        <v>0</v>
      </c>
      <c r="I139" s="1702"/>
      <c r="J139" s="1703"/>
      <c r="K139" s="1703"/>
      <c r="L139" s="1699">
        <f t="shared" si="45"/>
        <v>0</v>
      </c>
      <c r="M139" s="1699">
        <f t="shared" si="46"/>
        <v>21</v>
      </c>
      <c r="N139" s="1698">
        <f t="shared" si="47"/>
        <v>0</v>
      </c>
    </row>
    <row r="140" spans="1:14" s="1321" customFormat="1" ht="135">
      <c r="A140" s="1685">
        <f t="shared" ref="A140:A170" si="52">L140</f>
        <v>0</v>
      </c>
      <c r="B140" s="1686">
        <f>'Slab Culvert 2V 6m x 2m spa'!I51*E134</f>
        <v>0</v>
      </c>
      <c r="C140" s="1708" t="s">
        <v>31</v>
      </c>
      <c r="D140" s="1704" t="s">
        <v>1145</v>
      </c>
      <c r="E140" s="1705" t="s">
        <v>1129</v>
      </c>
      <c r="F140" s="1706" t="s">
        <v>53</v>
      </c>
      <c r="G140" s="1707">
        <f>'Slab-Culverts Data'!$J$267</f>
        <v>7666.61</v>
      </c>
      <c r="H140" s="1689">
        <f t="shared" si="51"/>
        <v>0</v>
      </c>
      <c r="I140" s="1702"/>
      <c r="J140" s="1703"/>
      <c r="K140" s="1703">
        <f>18774/G140</f>
        <v>2.4488007085269761</v>
      </c>
      <c r="L140" s="1699">
        <f t="shared" si="45"/>
        <v>0</v>
      </c>
      <c r="M140" s="1699">
        <f t="shared" si="46"/>
        <v>21</v>
      </c>
      <c r="N140" s="1698">
        <f t="shared" si="47"/>
        <v>0</v>
      </c>
    </row>
    <row r="141" spans="1:14" s="1321" customFormat="1" ht="150">
      <c r="A141" s="1685">
        <f t="shared" si="52"/>
        <v>0</v>
      </c>
      <c r="B141" s="1686">
        <f>'Slab Culvert 2V 6m x 2m spa'!I57*E134</f>
        <v>0</v>
      </c>
      <c r="C141" s="1708" t="s">
        <v>31</v>
      </c>
      <c r="D141" s="1704" t="str">
        <f>'Slab-Culverts Data'!B338</f>
        <v xml:space="preserve">Vibrated reinforced cement concrete M 25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MoRT&amp;H specification  1500,1600,1700 &amp; 2200  (5th revision ) and  as directed by the Engineer-in-Charge </v>
      </c>
      <c r="E141" s="1705" t="s">
        <v>1125</v>
      </c>
      <c r="F141" s="1706" t="s">
        <v>53</v>
      </c>
      <c r="G141" s="1707">
        <f>'Slab-Culverts Data'!J366</f>
        <v>8336.31</v>
      </c>
      <c r="H141" s="1689">
        <f t="shared" si="51"/>
        <v>0</v>
      </c>
      <c r="I141" s="1702"/>
      <c r="J141" s="1703"/>
      <c r="K141" s="1709"/>
      <c r="L141" s="1699">
        <f t="shared" si="45"/>
        <v>0</v>
      </c>
      <c r="M141" s="1699">
        <f t="shared" si="46"/>
        <v>21</v>
      </c>
      <c r="N141" s="1698">
        <f t="shared" si="47"/>
        <v>0</v>
      </c>
    </row>
    <row r="142" spans="1:14" s="1321" customFormat="1" ht="150">
      <c r="A142" s="1685">
        <f t="shared" si="52"/>
        <v>0</v>
      </c>
      <c r="B142" s="1686">
        <f>'Slab Culvert 2V 6m x 2m spa'!I65*E134</f>
        <v>0</v>
      </c>
      <c r="C142" s="1708" t="s">
        <v>31</v>
      </c>
      <c r="D142" s="1704" t="s">
        <v>1147</v>
      </c>
      <c r="E142" s="1705" t="s">
        <v>1126</v>
      </c>
      <c r="F142" s="1706" t="s">
        <v>53</v>
      </c>
      <c r="G142" s="1707">
        <f>'Slab-Culverts Data'!$J$428</f>
        <v>7037.28</v>
      </c>
      <c r="H142" s="1689">
        <f t="shared" si="51"/>
        <v>0</v>
      </c>
      <c r="I142" s="1702"/>
      <c r="J142" s="1703"/>
      <c r="K142" s="1703">
        <f>61979/5270.45</f>
        <v>11.759716912218122</v>
      </c>
      <c r="L142" s="1699">
        <f t="shared" si="45"/>
        <v>0</v>
      </c>
      <c r="M142" s="1699">
        <f t="shared" si="46"/>
        <v>21</v>
      </c>
      <c r="N142" s="1698">
        <f t="shared" si="47"/>
        <v>0</v>
      </c>
    </row>
    <row r="143" spans="1:14" s="1321" customFormat="1" ht="60">
      <c r="A143" s="1685">
        <f t="shared" si="52"/>
        <v>0</v>
      </c>
      <c r="B143" s="1686">
        <f>'Slab Culvert 2V 6m x 2m spa'!I61*E134</f>
        <v>0</v>
      </c>
      <c r="C143" s="1708" t="s">
        <v>31</v>
      </c>
      <c r="D143" s="1696" t="s">
        <v>1148</v>
      </c>
      <c r="E143" s="1705" t="s">
        <v>1120</v>
      </c>
      <c r="F143" s="1706" t="s">
        <v>53</v>
      </c>
      <c r="G143" s="1707">
        <f>'Slab-Culverts Data'!$J$625</f>
        <v>691.79</v>
      </c>
      <c r="H143" s="1689">
        <f t="shared" si="51"/>
        <v>0</v>
      </c>
      <c r="I143" s="1702"/>
      <c r="J143" s="1703"/>
      <c r="K143" s="1703"/>
      <c r="L143" s="1699">
        <f t="shared" si="45"/>
        <v>0</v>
      </c>
      <c r="M143" s="1699">
        <f t="shared" si="46"/>
        <v>21</v>
      </c>
      <c r="N143" s="1698">
        <f t="shared" si="47"/>
        <v>0</v>
      </c>
    </row>
    <row r="144" spans="1:14" s="1321" customFormat="1" ht="165">
      <c r="A144" s="1685">
        <f t="shared" si="52"/>
        <v>0</v>
      </c>
      <c r="B144" s="1686">
        <f>'Slab Culvert 2V 6m x 2m spa'!I99*E134</f>
        <v>0</v>
      </c>
      <c r="C144" s="1708" t="s">
        <v>66</v>
      </c>
      <c r="D144" s="1704" t="s">
        <v>1149</v>
      </c>
      <c r="E144" s="1705" t="s">
        <v>1127</v>
      </c>
      <c r="F144" s="1706" t="s">
        <v>1128</v>
      </c>
      <c r="G144" s="1707">
        <f>'Slab-Culverts Data'!$J$175</f>
        <v>64656.02</v>
      </c>
      <c r="H144" s="1689">
        <f t="shared" si="51"/>
        <v>0</v>
      </c>
      <c r="I144" s="1702"/>
      <c r="J144" s="1703"/>
      <c r="K144" s="1703"/>
      <c r="L144" s="1699">
        <f t="shared" si="45"/>
        <v>0</v>
      </c>
      <c r="M144" s="1699">
        <f t="shared" si="46"/>
        <v>21</v>
      </c>
      <c r="N144" s="1698">
        <f t="shared" si="47"/>
        <v>0</v>
      </c>
    </row>
    <row r="145" spans="1:14" s="1321" customFormat="1" ht="105">
      <c r="A145" s="1685">
        <f t="shared" si="52"/>
        <v>0</v>
      </c>
      <c r="B145" s="1686">
        <f>'Slab Culvert 2V 6m x 2m spa'!I81*E134</f>
        <v>0</v>
      </c>
      <c r="C145" s="1708" t="s">
        <v>31</v>
      </c>
      <c r="D145" s="1704" t="s">
        <v>1150</v>
      </c>
      <c r="E145" s="1705" t="s">
        <v>1135</v>
      </c>
      <c r="F145" s="1706" t="s">
        <v>53</v>
      </c>
      <c r="G145" s="1707">
        <f>'Slab-Culverts Data'!$J$673</f>
        <v>613.8489567984376</v>
      </c>
      <c r="H145" s="1689">
        <f t="shared" si="51"/>
        <v>0</v>
      </c>
      <c r="I145" s="1702"/>
      <c r="J145" s="1703"/>
      <c r="K145" s="1703"/>
      <c r="L145" s="1699">
        <f t="shared" si="45"/>
        <v>0</v>
      </c>
      <c r="M145" s="1699">
        <f t="shared" si="46"/>
        <v>21</v>
      </c>
      <c r="N145" s="1698">
        <f t="shared" si="47"/>
        <v>0</v>
      </c>
    </row>
    <row r="146" spans="1:14" s="1321" customFormat="1" ht="135">
      <c r="A146" s="1685">
        <f t="shared" si="52"/>
        <v>0</v>
      </c>
      <c r="B146" s="1686">
        <f>'Slab Culvert 2V 6m x 2m spa'!I73*E134</f>
        <v>0</v>
      </c>
      <c r="C146" s="1708" t="s">
        <v>31</v>
      </c>
      <c r="D146" s="1704" t="s">
        <v>1152</v>
      </c>
      <c r="E146" s="1705" t="s">
        <v>1120</v>
      </c>
      <c r="F146" s="1706" t="s">
        <v>53</v>
      </c>
      <c r="G146" s="1707">
        <f>'Slab-Culverts Data'!$J$535</f>
        <v>6139.47</v>
      </c>
      <c r="H146" s="1689">
        <f t="shared" si="51"/>
        <v>0</v>
      </c>
      <c r="I146" s="1702"/>
      <c r="J146" s="1703"/>
      <c r="K146" s="1703"/>
      <c r="L146" s="1699">
        <f t="shared" si="45"/>
        <v>0</v>
      </c>
      <c r="M146" s="1699">
        <f t="shared" si="46"/>
        <v>21</v>
      </c>
      <c r="N146" s="1698">
        <f t="shared" si="47"/>
        <v>0</v>
      </c>
    </row>
    <row r="147" spans="1:14" s="1321" customFormat="1" ht="150">
      <c r="A147" s="1685">
        <f t="shared" si="52"/>
        <v>0</v>
      </c>
      <c r="B147" s="1686">
        <f>'Slab Culvert 2V 6m x 2m spa'!I77*E134</f>
        <v>0</v>
      </c>
      <c r="C147" s="1708" t="s">
        <v>31</v>
      </c>
      <c r="D147" s="1704" t="s">
        <v>1153</v>
      </c>
      <c r="E147" s="1705" t="s">
        <v>1131</v>
      </c>
      <c r="F147" s="1706" t="s">
        <v>53</v>
      </c>
      <c r="G147" s="1707">
        <f>'Slab-Culverts Data'!$J$504</f>
        <v>7131.83</v>
      </c>
      <c r="H147" s="1689">
        <f t="shared" si="51"/>
        <v>0</v>
      </c>
      <c r="I147" s="1702"/>
      <c r="J147" s="1703"/>
      <c r="K147" s="1703"/>
      <c r="L147" s="1699">
        <f t="shared" si="45"/>
        <v>0</v>
      </c>
      <c r="M147" s="1699">
        <f t="shared" si="46"/>
        <v>21</v>
      </c>
      <c r="N147" s="1698">
        <f t="shared" si="47"/>
        <v>0</v>
      </c>
    </row>
    <row r="148" spans="1:14" s="1321" customFormat="1" ht="60">
      <c r="A148" s="1685">
        <f t="shared" si="52"/>
        <v>0</v>
      </c>
      <c r="B148" s="1686">
        <f>'Slab Culvert 2V 6m x 2m spa'!I95*E134</f>
        <v>0</v>
      </c>
      <c r="C148" s="1708" t="s">
        <v>31</v>
      </c>
      <c r="D148" s="1704" t="str">
        <f>'Slab Culvert 2V 6m x 2m spa'!B91</f>
        <v xml:space="preserve">Providing and laying boulders apron for bed protection against scour with stone boulders weighing not less than 40kg each complete as per drawing and specification. complete for finished item of work as per MoRT&amp;H specification 2504 ( 5th revision ) and as directed by the Engineer-in-Charge </v>
      </c>
      <c r="E148" s="1705" t="s">
        <v>1154</v>
      </c>
      <c r="F148" s="1706" t="s">
        <v>53</v>
      </c>
      <c r="G148" s="1707">
        <f>'Slab-Culverts Data'!J559</f>
        <v>2028.19</v>
      </c>
      <c r="H148" s="1689">
        <f t="shared" si="51"/>
        <v>0</v>
      </c>
      <c r="I148" s="1702"/>
      <c r="J148" s="1703"/>
      <c r="K148" s="1703"/>
      <c r="L148" s="1699">
        <f t="shared" si="45"/>
        <v>0</v>
      </c>
      <c r="M148" s="1699">
        <f t="shared" si="46"/>
        <v>21</v>
      </c>
      <c r="N148" s="1698">
        <f t="shared" si="47"/>
        <v>0</v>
      </c>
    </row>
    <row r="149" spans="1:14" s="1321" customFormat="1" ht="135">
      <c r="A149" s="1685">
        <f t="shared" si="52"/>
        <v>0</v>
      </c>
      <c r="B149" s="1686">
        <f>'Slab Culvert 2V 6m x 2m spa'!I69*E134</f>
        <v>0</v>
      </c>
      <c r="C149" s="1708" t="s">
        <v>31</v>
      </c>
      <c r="D149" s="1704" t="s">
        <v>1155</v>
      </c>
      <c r="E149" s="1705" t="s">
        <v>1106</v>
      </c>
      <c r="F149" s="1706" t="s">
        <v>53</v>
      </c>
      <c r="G149" s="1707">
        <f>'Road data'!$G$188</f>
        <v>270.81</v>
      </c>
      <c r="H149" s="1689">
        <f>ROUND(B149*G149,0)</f>
        <v>0</v>
      </c>
      <c r="I149" s="1702"/>
      <c r="J149" s="1703"/>
      <c r="K149" s="1703"/>
      <c r="L149" s="1699">
        <f t="shared" si="45"/>
        <v>0</v>
      </c>
      <c r="M149" s="1699">
        <f t="shared" si="46"/>
        <v>21</v>
      </c>
      <c r="N149" s="1698">
        <f t="shared" si="47"/>
        <v>0</v>
      </c>
    </row>
    <row r="150" spans="1:14" s="1321" customFormat="1" ht="150">
      <c r="A150" s="1685">
        <f t="shared" si="52"/>
        <v>0</v>
      </c>
      <c r="B150" s="1686">
        <f>'Slab Culvert 2V 6m x 2m spa'!I89*E134</f>
        <v>0</v>
      </c>
      <c r="C150" s="1708" t="s">
        <v>31</v>
      </c>
      <c r="D150" s="1704" t="s">
        <v>1156</v>
      </c>
      <c r="E150" s="1705" t="s">
        <v>1122</v>
      </c>
      <c r="F150" s="1706" t="s">
        <v>53</v>
      </c>
      <c r="G150" s="1707">
        <f>'Slab-Culverts Data'!$J$335</f>
        <v>2392.09</v>
      </c>
      <c r="H150" s="1689">
        <f t="shared" si="51"/>
        <v>0</v>
      </c>
      <c r="I150" s="1702"/>
      <c r="J150" s="1703"/>
      <c r="K150" s="1703"/>
      <c r="L150" s="1699">
        <f t="shared" si="45"/>
        <v>0</v>
      </c>
      <c r="M150" s="1699">
        <f t="shared" si="46"/>
        <v>21</v>
      </c>
      <c r="N150" s="1698">
        <f t="shared" si="47"/>
        <v>0</v>
      </c>
    </row>
    <row r="151" spans="1:14" s="1321" customFormat="1" ht="165">
      <c r="A151" s="1685">
        <f t="shared" si="52"/>
        <v>0</v>
      </c>
      <c r="B151" s="1686">
        <f>'Slab Culvert 2V 6m x 2m spa'!I103*E134</f>
        <v>0</v>
      </c>
      <c r="C151" s="1708" t="s">
        <v>66</v>
      </c>
      <c r="D151" s="1704" t="s">
        <v>1157</v>
      </c>
      <c r="E151" s="1705" t="s">
        <v>1127</v>
      </c>
      <c r="F151" s="1706" t="s">
        <v>1128</v>
      </c>
      <c r="G151" s="1707">
        <f>'Slab-Culverts Data'!$J$290</f>
        <v>64943.47</v>
      </c>
      <c r="H151" s="1689">
        <f t="shared" si="51"/>
        <v>0</v>
      </c>
      <c r="I151" s="1702"/>
      <c r="J151" s="1703"/>
      <c r="K151" s="1703"/>
      <c r="L151" s="1699">
        <f t="shared" si="45"/>
        <v>0</v>
      </c>
      <c r="M151" s="1699">
        <f t="shared" si="46"/>
        <v>21</v>
      </c>
      <c r="N151" s="1698">
        <f t="shared" si="47"/>
        <v>0</v>
      </c>
    </row>
    <row r="152" spans="1:14" s="1321" customFormat="1" ht="165">
      <c r="A152" s="1685">
        <f t="shared" si="52"/>
        <v>0</v>
      </c>
      <c r="B152" s="1686">
        <f>'Slab Culvert 2V 6m x 2m spa'!I106*E134</f>
        <v>0</v>
      </c>
      <c r="C152" s="1708" t="s">
        <v>66</v>
      </c>
      <c r="D152" s="1704" t="s">
        <v>1158</v>
      </c>
      <c r="E152" s="1705" t="s">
        <v>1138</v>
      </c>
      <c r="F152" s="1687" t="s">
        <v>1128</v>
      </c>
      <c r="G152" s="1707">
        <f>'Slab-Culverts Data'!$J$451</f>
        <v>66904.47</v>
      </c>
      <c r="H152" s="1689">
        <f t="shared" si="51"/>
        <v>0</v>
      </c>
      <c r="I152" s="1702"/>
      <c r="J152" s="1703"/>
      <c r="K152" s="1703"/>
      <c r="L152" s="1699">
        <f t="shared" si="45"/>
        <v>0</v>
      </c>
      <c r="M152" s="1699">
        <f t="shared" si="46"/>
        <v>21</v>
      </c>
      <c r="N152" s="1698">
        <f t="shared" si="47"/>
        <v>0</v>
      </c>
    </row>
    <row r="153" spans="1:14" s="1321" customFormat="1" ht="120">
      <c r="A153" s="1685">
        <f t="shared" si="52"/>
        <v>0</v>
      </c>
      <c r="B153" s="1686">
        <f>'Slab Culvert 2V 6m x 2m spa'!I85*E134</f>
        <v>0</v>
      </c>
      <c r="C153" s="2937" t="s">
        <v>554</v>
      </c>
      <c r="D153" s="1704" t="s">
        <v>200</v>
      </c>
      <c r="E153" s="1705" t="s">
        <v>1134</v>
      </c>
      <c r="F153" s="2938" t="s">
        <v>733</v>
      </c>
      <c r="G153" s="1707">
        <f>'Slab-Culverts Data'!$J$312</f>
        <v>614.2736666666666</v>
      </c>
      <c r="H153" s="1689">
        <f t="shared" si="51"/>
        <v>0</v>
      </c>
      <c r="I153" s="1703">
        <f>SUM(H135:H153)</f>
        <v>0</v>
      </c>
      <c r="J153" s="1703">
        <f>'CD Abs'!E11</f>
        <v>0</v>
      </c>
      <c r="K153" s="1703">
        <f>I153-J153</f>
        <v>0</v>
      </c>
      <c r="L153" s="1699">
        <f t="shared" si="45"/>
        <v>0</v>
      </c>
      <c r="M153" s="1699">
        <f t="shared" si="46"/>
        <v>21</v>
      </c>
      <c r="N153" s="1698">
        <f t="shared" si="47"/>
        <v>0</v>
      </c>
    </row>
    <row r="154" spans="1:14" s="1667" customFormat="1">
      <c r="A154" s="1685">
        <f t="shared" si="52"/>
        <v>0</v>
      </c>
      <c r="B154" s="1710"/>
      <c r="C154" s="1324"/>
      <c r="D154" s="1677" t="str">
        <f>"Const. of 30 m Road  Dam with 4 vents of 1000mm Dia  "&amp;E154&amp;"  Nos at      Km"</f>
        <v>Const. of 30 m Road  Dam with 4 vents of 1000mm Dia  1  Nos at      Km</v>
      </c>
      <c r="E154" s="1693">
        <v>1</v>
      </c>
      <c r="F154" s="1694"/>
      <c r="G154" s="1711"/>
      <c r="H154" s="1689"/>
      <c r="L154" s="1699">
        <f t="shared" si="45"/>
        <v>0</v>
      </c>
      <c r="M154" s="1699">
        <f t="shared" si="46"/>
        <v>21</v>
      </c>
      <c r="N154" s="1698">
        <f t="shared" si="47"/>
        <v>0</v>
      </c>
    </row>
    <row r="155" spans="1:14" s="1321" customFormat="1" ht="105">
      <c r="A155" s="1685">
        <f t="shared" si="52"/>
        <v>0</v>
      </c>
      <c r="B155" s="1686">
        <f>$E$154*0</f>
        <v>0</v>
      </c>
      <c r="C155" s="1326" t="s">
        <v>31</v>
      </c>
      <c r="D155" s="1678" t="str">
        <f>'Road dam 30m'!$B$6</f>
        <v>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v>
      </c>
      <c r="E155" s="1337" t="s">
        <v>1119</v>
      </c>
      <c r="F155" s="1687" t="s">
        <v>53</v>
      </c>
      <c r="G155" s="1697">
        <f>'Road dam 30m'!$J$10</f>
        <v>123.69927804166667</v>
      </c>
      <c r="H155" s="1689">
        <f t="shared" si="14"/>
        <v>0</v>
      </c>
      <c r="L155" s="1699">
        <f t="shared" si="45"/>
        <v>0</v>
      </c>
      <c r="M155" s="1699">
        <f t="shared" si="46"/>
        <v>21</v>
      </c>
      <c r="N155" s="1698">
        <f t="shared" si="47"/>
        <v>0</v>
      </c>
    </row>
    <row r="156" spans="1:14" s="1321" customFormat="1" ht="45">
      <c r="A156" s="1685">
        <f t="shared" si="52"/>
        <v>0</v>
      </c>
      <c r="B156" s="1686">
        <f t="shared" ref="B156:B162" si="53">$E$154*0</f>
        <v>0</v>
      </c>
      <c r="C156" s="1326" t="s">
        <v>31</v>
      </c>
      <c r="D156" s="1695" t="str">
        <f>'Road dam 30m'!$B$13</f>
        <v>Sand  Filling  in foundation trenches as per drawing and technical specification Clause 304 of MORTH including overhead charges &amp; Contractors profit etc complete.</v>
      </c>
      <c r="E156" s="1337" t="s">
        <v>1119</v>
      </c>
      <c r="F156" s="1687" t="s">
        <v>53</v>
      </c>
      <c r="G156" s="1697">
        <f>'Road dam 30m'!$J$17</f>
        <v>1237.43</v>
      </c>
      <c r="H156" s="1689">
        <f t="shared" si="14"/>
        <v>0</v>
      </c>
      <c r="L156" s="1699">
        <f t="shared" si="45"/>
        <v>0</v>
      </c>
      <c r="M156" s="1699">
        <f t="shared" si="46"/>
        <v>21</v>
      </c>
      <c r="N156" s="1698">
        <f t="shared" si="47"/>
        <v>0</v>
      </c>
    </row>
    <row r="157" spans="1:14" s="1321" customFormat="1" ht="120">
      <c r="A157" s="1685">
        <f t="shared" si="52"/>
        <v>0</v>
      </c>
      <c r="B157" s="1686">
        <f t="shared" si="53"/>
        <v>0</v>
      </c>
      <c r="C157" s="1326" t="s">
        <v>31</v>
      </c>
      <c r="D157" s="1678" t="str">
        <f>'Road dam 30m'!$B$20</f>
        <v>Providing Plain Cement Concrete (1:3:6) mix using 40mm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E157" s="1337" t="s">
        <v>1120</v>
      </c>
      <c r="F157" s="1687" t="s">
        <v>53</v>
      </c>
      <c r="G157" s="1697">
        <f>'Road dam 30m'!$J$29</f>
        <v>5706.01</v>
      </c>
      <c r="H157" s="1689">
        <f t="shared" si="14"/>
        <v>0</v>
      </c>
      <c r="L157" s="1699">
        <f t="shared" si="45"/>
        <v>0</v>
      </c>
      <c r="M157" s="1699">
        <f t="shared" si="46"/>
        <v>21</v>
      </c>
      <c r="N157" s="1698">
        <f t="shared" si="47"/>
        <v>0</v>
      </c>
    </row>
    <row r="158" spans="1:14" s="1321" customFormat="1" ht="120">
      <c r="A158" s="1685">
        <f t="shared" si="52"/>
        <v>0</v>
      </c>
      <c r="B158" s="1686">
        <f t="shared" si="53"/>
        <v>0</v>
      </c>
      <c r="C158" s="1326" t="s">
        <v>31</v>
      </c>
      <c r="D158" s="1695" t="str">
        <f>'Road dam 30m'!$B$32</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E158" s="1337" t="s">
        <v>1120</v>
      </c>
      <c r="F158" s="1687" t="s">
        <v>53</v>
      </c>
      <c r="G158" s="1697">
        <f>'Road dam 30m'!$J$41</f>
        <v>6381.51</v>
      </c>
      <c r="H158" s="1689">
        <f t="shared" si="14"/>
        <v>0</v>
      </c>
      <c r="L158" s="1699">
        <f t="shared" si="45"/>
        <v>0</v>
      </c>
      <c r="M158" s="1699">
        <f t="shared" si="46"/>
        <v>21</v>
      </c>
      <c r="N158" s="1698">
        <f t="shared" si="47"/>
        <v>0</v>
      </c>
    </row>
    <row r="159" spans="1:14" s="1321" customFormat="1" ht="105">
      <c r="A159" s="1685">
        <f t="shared" si="52"/>
        <v>0</v>
      </c>
      <c r="B159" s="1686">
        <f t="shared" si="53"/>
        <v>0</v>
      </c>
      <c r="C159" s="1326" t="s">
        <v>107</v>
      </c>
      <c r="D159" s="1678" t="str">
        <f>'Road dam 30m'!$B$43</f>
        <v xml:space="preserve">Providing, laying Reinforced cement concrete Hume pipes of 1000 mm Dia., NP4 class for pipe culverts  including cost and conveyance of Pipes etc., complete and Labour charges for laying, jointing of 1000mm dia. R.C.C Hume pipes  in position including lifting, aligning, lowering and hoisting etc., as per drawing and as per MoRT&amp;H Specification  2900, 2905 and 2906 (5th Revision) and IRC Special Publication No: 13 and as directed by the Engineer-in-Charge for finished item of work. </v>
      </c>
      <c r="E159" s="1337" t="s">
        <v>1123</v>
      </c>
      <c r="F159" s="1687" t="s">
        <v>112</v>
      </c>
      <c r="G159" s="1697">
        <f>'Road dam 30m'!$J$45</f>
        <v>13850.07</v>
      </c>
      <c r="H159" s="1689">
        <f t="shared" si="14"/>
        <v>0</v>
      </c>
      <c r="L159" s="1699">
        <f t="shared" si="45"/>
        <v>0</v>
      </c>
      <c r="M159" s="1699">
        <f t="shared" si="46"/>
        <v>21</v>
      </c>
      <c r="N159" s="1698">
        <f t="shared" si="47"/>
        <v>0</v>
      </c>
    </row>
    <row r="160" spans="1:14" s="1321" customFormat="1" ht="75">
      <c r="A160" s="1685">
        <f t="shared" si="52"/>
        <v>0</v>
      </c>
      <c r="B160" s="1686">
        <f t="shared" si="53"/>
        <v>0</v>
      </c>
      <c r="C160" s="1326" t="s">
        <v>31</v>
      </c>
      <c r="D160" s="1678" t="str">
        <f>'Road dam 30m'!$B$47</f>
        <v xml:space="preserve">Providing and filling  bedding of Selected Earth material around the pipes of  Hume pipe culverts suitably compacted / rammed including cost, (excluding  seigniorage) and conveyance of materials to site etc.,  complete as per drawing and MoRT&amp;H Specification  2900 ( 5th Revision) and as directed by the Engineer-in-Charge. </v>
      </c>
      <c r="E160" s="1337" t="s">
        <v>1135</v>
      </c>
      <c r="F160" s="1687" t="s">
        <v>53</v>
      </c>
      <c r="G160" s="1697">
        <f>'Road dam 30m'!$J$51</f>
        <v>691.79</v>
      </c>
      <c r="H160" s="1689">
        <f t="shared" si="14"/>
        <v>0</v>
      </c>
      <c r="L160" s="1699">
        <f t="shared" si="45"/>
        <v>0</v>
      </c>
      <c r="M160" s="1699">
        <f t="shared" si="46"/>
        <v>21</v>
      </c>
      <c r="N160" s="1698">
        <f t="shared" si="47"/>
        <v>0</v>
      </c>
    </row>
    <row r="161" spans="1:14" s="1321" customFormat="1" ht="60">
      <c r="A161" s="1685">
        <f t="shared" si="52"/>
        <v>0</v>
      </c>
      <c r="B161" s="1686">
        <f t="shared" si="53"/>
        <v>0</v>
      </c>
      <c r="C161" s="1326" t="s">
        <v>31</v>
      </c>
      <c r="D161" s="1678" t="str">
        <f>'Road dam 30m'!$B$53</f>
        <v xml:space="preserve">Providing and laying boulders apron for bed protection against scour with stone boulders weighing not less than 40kg each complete as per drawing and specification. complete for finished item of work as per MoRT&amp;H specification 2504 ( 5th revision ) and as directed by the Engineer-in-Charge </v>
      </c>
      <c r="E161" s="1337" t="s">
        <v>1122</v>
      </c>
      <c r="F161" s="1687" t="s">
        <v>53</v>
      </c>
      <c r="G161" s="1697">
        <f>'Road dam 30m'!$J$57</f>
        <v>2028.19</v>
      </c>
      <c r="H161" s="1689">
        <f t="shared" si="14"/>
        <v>0</v>
      </c>
      <c r="L161" s="1699">
        <f t="shared" si="45"/>
        <v>0</v>
      </c>
      <c r="M161" s="1699">
        <f t="shared" si="46"/>
        <v>21</v>
      </c>
      <c r="N161" s="1698">
        <f t="shared" si="47"/>
        <v>0</v>
      </c>
    </row>
    <row r="162" spans="1:14" s="1321" customFormat="1" ht="150">
      <c r="A162" s="1685">
        <f t="shared" si="52"/>
        <v>0</v>
      </c>
      <c r="B162" s="1686">
        <f t="shared" si="53"/>
        <v>0</v>
      </c>
      <c r="C162" s="1326" t="s">
        <v>31</v>
      </c>
      <c r="D162" s="1678" t="str">
        <f>'Road dam 30m'!$B$59</f>
        <v>Vibrated cement concrete M 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1500, 1600, 1700 &amp; 2702 as directed by the Engineer-in-Charge for Wearing Coat.</v>
      </c>
      <c r="E162" s="1337" t="s">
        <v>1160</v>
      </c>
      <c r="F162" s="1687" t="s">
        <v>53</v>
      </c>
      <c r="G162" s="1697">
        <f>'Road dam 30m'!$J$62</f>
        <v>7037.28</v>
      </c>
      <c r="H162" s="1689">
        <f t="shared" si="14"/>
        <v>0</v>
      </c>
      <c r="L162" s="1699">
        <f t="shared" si="45"/>
        <v>0</v>
      </c>
      <c r="M162" s="1699">
        <f t="shared" si="46"/>
        <v>21</v>
      </c>
      <c r="N162" s="1698">
        <f t="shared" si="47"/>
        <v>0</v>
      </c>
    </row>
    <row r="163" spans="1:14" s="1321" customFormat="1">
      <c r="A163" s="1685">
        <f t="shared" si="52"/>
        <v>0</v>
      </c>
      <c r="B163" s="1686"/>
      <c r="C163" s="1326"/>
      <c r="D163" s="1678"/>
      <c r="E163" s="1337"/>
      <c r="F163" s="1687"/>
      <c r="G163" s="1697"/>
      <c r="H163" s="1689"/>
      <c r="I163" s="1703">
        <f>SUM(H155:H162)</f>
        <v>0</v>
      </c>
      <c r="J163" s="1703"/>
      <c r="K163" s="1703">
        <f>I163-J163</f>
        <v>0</v>
      </c>
      <c r="L163" s="1699">
        <f t="shared" si="45"/>
        <v>0</v>
      </c>
      <c r="M163" s="1699">
        <f t="shared" si="46"/>
        <v>21</v>
      </c>
      <c r="N163" s="1698">
        <f t="shared" si="47"/>
        <v>0</v>
      </c>
    </row>
    <row r="164" spans="1:14" s="1667" customFormat="1" ht="30">
      <c r="A164" s="1685">
        <f t="shared" si="52"/>
        <v>0</v>
      </c>
      <c r="B164" s="1710"/>
      <c r="C164" s="1324">
        <v>6</v>
      </c>
      <c r="D164" s="1677" t="s">
        <v>1161</v>
      </c>
      <c r="E164" s="1693">
        <v>0</v>
      </c>
      <c r="F164" s="1694"/>
      <c r="G164" s="1711"/>
      <c r="H164" s="1689"/>
      <c r="L164" s="1699">
        <f t="shared" si="45"/>
        <v>0</v>
      </c>
      <c r="M164" s="1699">
        <f t="shared" si="46"/>
        <v>21</v>
      </c>
      <c r="N164" s="1698">
        <f t="shared" si="47"/>
        <v>0</v>
      </c>
    </row>
    <row r="165" spans="1:14" s="1321" customFormat="1" ht="105">
      <c r="A165" s="1685">
        <f t="shared" si="52"/>
        <v>0</v>
      </c>
      <c r="B165" s="1686">
        <f>$E$164*'Ret wall'!I8</f>
        <v>0</v>
      </c>
      <c r="C165" s="1326" t="s">
        <v>31</v>
      </c>
      <c r="D165" s="1678" t="str">
        <f>'Ret wall'!$B$6</f>
        <v>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v>
      </c>
      <c r="E165" s="1337" t="s">
        <v>1119</v>
      </c>
      <c r="F165" s="1687" t="s">
        <v>53</v>
      </c>
      <c r="G165" s="1697">
        <f>'Ret wall'!$J$8</f>
        <v>123.69927804166667</v>
      </c>
      <c r="H165" s="1689">
        <f>ROUND(B165*G165,0)</f>
        <v>0</v>
      </c>
      <c r="L165" s="1699">
        <f t="shared" si="45"/>
        <v>0</v>
      </c>
      <c r="M165" s="1699">
        <f t="shared" si="46"/>
        <v>21</v>
      </c>
      <c r="N165" s="1698">
        <f t="shared" si="47"/>
        <v>0</v>
      </c>
    </row>
    <row r="166" spans="1:14" s="1321" customFormat="1" ht="45">
      <c r="A166" s="1685">
        <f t="shared" si="52"/>
        <v>0</v>
      </c>
      <c r="B166" s="1686">
        <f t="shared" ref="B166" si="54">$E$164*0</f>
        <v>0</v>
      </c>
      <c r="C166" s="1326" t="s">
        <v>31</v>
      </c>
      <c r="D166" s="1695" t="str">
        <f>'Ret wall'!$B$11</f>
        <v>Sand  Filling  in foundation trenches as per drawing and technical specification Clause 304 of MORTH including overhead charges &amp; Contractors profit etc complete.</v>
      </c>
      <c r="E166" s="1337" t="s">
        <v>1119</v>
      </c>
      <c r="F166" s="1687" t="s">
        <v>53</v>
      </c>
      <c r="G166" s="1697">
        <f>'Ret wall'!$J$13</f>
        <v>1237.43</v>
      </c>
      <c r="H166" s="1689">
        <f t="shared" si="14"/>
        <v>0</v>
      </c>
      <c r="L166" s="1699">
        <f t="shared" ref="L166:L186" si="55">IF(M166=M165,0,M166)</f>
        <v>0</v>
      </c>
      <c r="M166" s="1699">
        <f t="shared" ref="M166:M186" si="56">IF(N166&gt;0,(M165+1),M165)</f>
        <v>21</v>
      </c>
      <c r="N166" s="1698">
        <f t="shared" ref="N166:N186" si="57">H166</f>
        <v>0</v>
      </c>
    </row>
    <row r="167" spans="1:14" s="1321" customFormat="1" ht="120">
      <c r="A167" s="1685">
        <f t="shared" si="52"/>
        <v>0</v>
      </c>
      <c r="B167" s="1686">
        <f>$E$164*'Ret wall'!I18</f>
        <v>0</v>
      </c>
      <c r="C167" s="1326" t="s">
        <v>31</v>
      </c>
      <c r="D167" s="1695" t="str">
        <f>'Ret wall'!$B$16</f>
        <v>Providing Plain Cement Concrete (1:3:6) mix using 40mm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E167" s="1337" t="s">
        <v>1120</v>
      </c>
      <c r="F167" s="1687" t="s">
        <v>53</v>
      </c>
      <c r="G167" s="1697">
        <f>'Ret wall'!$J$18</f>
        <v>5706.01</v>
      </c>
      <c r="H167" s="1689">
        <f t="shared" si="14"/>
        <v>0</v>
      </c>
      <c r="L167" s="1699">
        <f t="shared" si="55"/>
        <v>0</v>
      </c>
      <c r="M167" s="1699">
        <f t="shared" si="56"/>
        <v>21</v>
      </c>
      <c r="N167" s="1698">
        <f t="shared" si="57"/>
        <v>0</v>
      </c>
    </row>
    <row r="168" spans="1:14" s="1321" customFormat="1" ht="120">
      <c r="A168" s="1685">
        <f t="shared" si="52"/>
        <v>0</v>
      </c>
      <c r="B168" s="1686">
        <f>$E$164*'Ret wall'!I23</f>
        <v>0</v>
      </c>
      <c r="C168" s="1326" t="s">
        <v>31</v>
      </c>
      <c r="D168" s="1695" t="str">
        <f>'Ret wall'!$B$21</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E168" s="1337" t="s">
        <v>1120</v>
      </c>
      <c r="F168" s="1687" t="s">
        <v>53</v>
      </c>
      <c r="G168" s="1697">
        <f>'Ret wall'!$J$23</f>
        <v>6381.51</v>
      </c>
      <c r="H168" s="1689">
        <f t="shared" ref="H168" si="58">ROUND(B168*G168,0)</f>
        <v>0</v>
      </c>
      <c r="L168" s="1699">
        <f t="shared" si="55"/>
        <v>0</v>
      </c>
      <c r="M168" s="1699">
        <f t="shared" si="56"/>
        <v>21</v>
      </c>
      <c r="N168" s="1698">
        <f t="shared" si="57"/>
        <v>0</v>
      </c>
    </row>
    <row r="169" spans="1:14" s="1321" customFormat="1" ht="120">
      <c r="A169" s="1685">
        <f t="shared" si="52"/>
        <v>0</v>
      </c>
      <c r="B169" s="1686">
        <f>$E$164*'Ret wall'!I27</f>
        <v>0</v>
      </c>
      <c r="C169" s="1326" t="s">
        <v>31</v>
      </c>
      <c r="D169" s="1695" t="str">
        <f>'Ret wall'!B25</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v>
      </c>
      <c r="E169" s="1337" t="s">
        <v>1120</v>
      </c>
      <c r="F169" s="1687" t="s">
        <v>53</v>
      </c>
      <c r="G169" s="1697">
        <f>'Ret wall'!$J$27</f>
        <v>6749.67</v>
      </c>
      <c r="H169" s="1689">
        <f t="shared" ref="H169" si="59">ROUND(B169*G169,0)</f>
        <v>0</v>
      </c>
      <c r="L169" s="1699">
        <f t="shared" si="55"/>
        <v>0</v>
      </c>
      <c r="M169" s="1699">
        <f t="shared" si="56"/>
        <v>21</v>
      </c>
      <c r="N169" s="1698">
        <f t="shared" si="57"/>
        <v>0</v>
      </c>
    </row>
    <row r="170" spans="1:14" s="1321" customFormat="1">
      <c r="A170" s="1685">
        <f t="shared" si="52"/>
        <v>0</v>
      </c>
      <c r="B170" s="1686"/>
      <c r="C170" s="1324">
        <v>7</v>
      </c>
      <c r="D170" s="1677" t="s">
        <v>1162</v>
      </c>
      <c r="E170" s="1693">
        <v>0</v>
      </c>
      <c r="F170" s="1687"/>
      <c r="G170" s="1697"/>
      <c r="H170" s="1689"/>
      <c r="I170" s="1703">
        <f>SUM(H165:H169)</f>
        <v>0</v>
      </c>
      <c r="J170" s="1703">
        <f>'CD Abs'!E15</f>
        <v>405824</v>
      </c>
      <c r="K170" s="1703">
        <f>I170-J170</f>
        <v>-405824</v>
      </c>
      <c r="L170" s="1699">
        <f t="shared" si="55"/>
        <v>0</v>
      </c>
      <c r="M170" s="1699">
        <f t="shared" si="56"/>
        <v>21</v>
      </c>
      <c r="N170" s="1698">
        <f t="shared" si="57"/>
        <v>0</v>
      </c>
    </row>
    <row r="171" spans="1:14" s="1321" customFormat="1" ht="105">
      <c r="A171" s="1685">
        <f t="shared" ref="A171:A186" si="60">L171</f>
        <v>0</v>
      </c>
      <c r="B171" s="1686">
        <f>$E$170*'Drain '!I10</f>
        <v>0</v>
      </c>
      <c r="C171" s="1326" t="s">
        <v>31</v>
      </c>
      <c r="D171" s="1695" t="str">
        <f>'Drain '!B6</f>
        <v>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v>
      </c>
      <c r="E171" s="1337" t="s">
        <v>1119</v>
      </c>
      <c r="F171" s="1687" t="s">
        <v>53</v>
      </c>
      <c r="G171" s="1697">
        <f>'Drain '!$J$10</f>
        <v>123.69927804166667</v>
      </c>
      <c r="H171" s="1689">
        <f t="shared" si="14"/>
        <v>0</v>
      </c>
      <c r="I171" s="1703"/>
      <c r="J171" s="1703"/>
      <c r="K171" s="1703"/>
      <c r="L171" s="1699">
        <f t="shared" si="55"/>
        <v>0</v>
      </c>
      <c r="M171" s="1699">
        <f t="shared" si="56"/>
        <v>21</v>
      </c>
      <c r="N171" s="1698">
        <f t="shared" si="57"/>
        <v>0</v>
      </c>
    </row>
    <row r="172" spans="1:14" s="1321" customFormat="1" ht="45">
      <c r="A172" s="1685">
        <f t="shared" si="60"/>
        <v>0</v>
      </c>
      <c r="B172" s="1686">
        <f>$E$170*'Drain '!I16</f>
        <v>0</v>
      </c>
      <c r="C172" s="1326" t="s">
        <v>31</v>
      </c>
      <c r="D172" s="1695" t="str">
        <f>'Drain '!B13</f>
        <v>Sand  Filling  in foundation trenches as per drawing and technical specification Clause 304 of MORTH including overhead charges &amp; Contractors profit etc complete.</v>
      </c>
      <c r="E172" s="1337" t="s">
        <v>1119</v>
      </c>
      <c r="F172" s="1687" t="s">
        <v>53</v>
      </c>
      <c r="G172" s="1697">
        <f>'Drain '!$J$16</f>
        <v>1237.43</v>
      </c>
      <c r="H172" s="1689">
        <f t="shared" si="14"/>
        <v>0</v>
      </c>
      <c r="I172" s="1703"/>
      <c r="J172" s="1703"/>
      <c r="K172" s="1703"/>
      <c r="L172" s="1699">
        <f t="shared" si="55"/>
        <v>0</v>
      </c>
      <c r="M172" s="1699">
        <f t="shared" si="56"/>
        <v>21</v>
      </c>
      <c r="N172" s="1698">
        <f t="shared" si="57"/>
        <v>0</v>
      </c>
    </row>
    <row r="173" spans="1:14" s="1321" customFormat="1" ht="120">
      <c r="A173" s="1685">
        <f t="shared" si="60"/>
        <v>0</v>
      </c>
      <c r="B173" s="1686">
        <f>$E$170*'Drain '!I24</f>
        <v>0</v>
      </c>
      <c r="C173" s="1326" t="s">
        <v>31</v>
      </c>
      <c r="D173" s="1695" t="str">
        <f>'Drain '!B19</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E173" s="1337" t="s">
        <v>1120</v>
      </c>
      <c r="F173" s="1687" t="s">
        <v>53</v>
      </c>
      <c r="G173" s="1697">
        <f>'Drain '!$J$24</f>
        <v>6381.51</v>
      </c>
      <c r="H173" s="1689">
        <f t="shared" si="14"/>
        <v>0</v>
      </c>
      <c r="I173" s="1703"/>
      <c r="J173" s="1703"/>
      <c r="K173" s="1703"/>
      <c r="L173" s="1699">
        <f t="shared" si="55"/>
        <v>0</v>
      </c>
      <c r="M173" s="1699">
        <f t="shared" si="56"/>
        <v>21</v>
      </c>
      <c r="N173" s="1698">
        <f t="shared" si="57"/>
        <v>0</v>
      </c>
    </row>
    <row r="174" spans="1:14" s="1321" customFormat="1" ht="150">
      <c r="A174" s="1685">
        <f t="shared" si="60"/>
        <v>0</v>
      </c>
      <c r="B174" s="1686">
        <f t="shared" ref="B174:B175" si="61">$E$170*0</f>
        <v>0</v>
      </c>
      <c r="C174" s="1326" t="s">
        <v>31</v>
      </c>
      <c r="D174" s="1695" t="str">
        <f>'Drain '!B26</f>
        <v>Vibrated reinforced cement concrete M 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MoRT&amp;H  specification 1500, 1600, 1700&amp; 2300 as directed by the Engineer-in-Charge for  superstructure (Deck Slab)</v>
      </c>
      <c r="E174" s="1337" t="s">
        <v>1163</v>
      </c>
      <c r="F174" s="1687" t="s">
        <v>53</v>
      </c>
      <c r="G174" s="1697">
        <f>'Drain '!$J$28</f>
        <v>8444.74</v>
      </c>
      <c r="H174" s="1689">
        <f t="shared" si="14"/>
        <v>0</v>
      </c>
      <c r="I174" s="1703"/>
      <c r="J174" s="1703"/>
      <c r="K174" s="1703"/>
      <c r="L174" s="1699">
        <f t="shared" si="55"/>
        <v>0</v>
      </c>
      <c r="M174" s="1699">
        <f t="shared" si="56"/>
        <v>21</v>
      </c>
      <c r="N174" s="1698">
        <f t="shared" si="57"/>
        <v>0</v>
      </c>
    </row>
    <row r="175" spans="1:14" s="1321" customFormat="1" ht="165">
      <c r="A175" s="1685">
        <f t="shared" si="60"/>
        <v>0</v>
      </c>
      <c r="B175" s="1686">
        <f t="shared" si="61"/>
        <v>0</v>
      </c>
      <c r="C175" s="1326" t="s">
        <v>66</v>
      </c>
      <c r="D175" s="1695" t="str">
        <f>'Drain '!B30</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 2200  (5th revision) in super structure.</v>
      </c>
      <c r="E175" s="1337" t="s">
        <v>1127</v>
      </c>
      <c r="F175" s="1687" t="s">
        <v>1128</v>
      </c>
      <c r="G175" s="1697">
        <f>'Drain '!$J$31</f>
        <v>66904.47</v>
      </c>
      <c r="H175" s="1689">
        <f t="shared" si="14"/>
        <v>0</v>
      </c>
      <c r="I175" s="1703"/>
      <c r="J175" s="1703"/>
      <c r="K175" s="1703"/>
      <c r="L175" s="1699">
        <f t="shared" si="55"/>
        <v>0</v>
      </c>
      <c r="M175" s="1699">
        <f t="shared" si="56"/>
        <v>21</v>
      </c>
      <c r="N175" s="1698">
        <f t="shared" si="57"/>
        <v>0</v>
      </c>
    </row>
    <row r="176" spans="1:14" s="1321" customFormat="1">
      <c r="A176" s="1685">
        <f t="shared" si="60"/>
        <v>0</v>
      </c>
      <c r="B176" s="1686"/>
      <c r="C176" s="1326"/>
      <c r="D176" s="1695"/>
      <c r="E176" s="1337"/>
      <c r="F176" s="1687"/>
      <c r="G176" s="1697"/>
      <c r="H176" s="1689"/>
      <c r="I176" s="1703">
        <f>SUM(H171:H175)</f>
        <v>0</v>
      </c>
      <c r="J176" s="1703">
        <f>'CD Abs'!E16</f>
        <v>0</v>
      </c>
      <c r="K176" s="1703">
        <f>I176-J176</f>
        <v>0</v>
      </c>
      <c r="L176" s="1699">
        <f t="shared" si="55"/>
        <v>0</v>
      </c>
      <c r="M176" s="1699">
        <f t="shared" si="56"/>
        <v>21</v>
      </c>
      <c r="N176" s="1698">
        <f t="shared" si="57"/>
        <v>0</v>
      </c>
    </row>
    <row r="177" spans="1:14" s="1321" customFormat="1">
      <c r="A177" s="1685">
        <f t="shared" si="60"/>
        <v>0</v>
      </c>
      <c r="B177" s="1686"/>
      <c r="C177" s="1324">
        <v>3</v>
      </c>
      <c r="D177" s="1677" t="s">
        <v>561</v>
      </c>
      <c r="E177" s="1337"/>
      <c r="F177" s="1692"/>
      <c r="G177" s="1712"/>
      <c r="H177" s="1689"/>
      <c r="I177" s="1700"/>
      <c r="J177" s="1701"/>
      <c r="K177" s="1703">
        <f>I177-J177</f>
        <v>0</v>
      </c>
      <c r="L177" s="1699">
        <f t="shared" si="55"/>
        <v>0</v>
      </c>
      <c r="M177" s="1699">
        <f t="shared" si="56"/>
        <v>21</v>
      </c>
      <c r="N177" s="1698">
        <f t="shared" si="57"/>
        <v>0</v>
      </c>
    </row>
    <row r="178" spans="1:14" s="1321" customFormat="1" ht="71.25" customHeight="1">
      <c r="A178" s="1685">
        <f t="shared" si="60"/>
        <v>22</v>
      </c>
      <c r="B178" s="1713">
        <f>'Road-furniture '!C5</f>
        <v>1</v>
      </c>
      <c r="C178" s="1688" t="s">
        <v>554</v>
      </c>
      <c r="D178" s="1678" t="s">
        <v>1164</v>
      </c>
      <c r="E178" s="1337" t="s">
        <v>1165</v>
      </c>
      <c r="F178" s="1692" t="s">
        <v>241</v>
      </c>
      <c r="G178" s="1697">
        <f>'Road-furniture '!$E$5</f>
        <v>2679.9506199999996</v>
      </c>
      <c r="H178" s="1689">
        <f t="shared" ref="H178:H179" si="62">ROUND(B178*G178,0)</f>
        <v>2680</v>
      </c>
      <c r="L178" s="1699">
        <f t="shared" si="55"/>
        <v>22</v>
      </c>
      <c r="M178" s="1699">
        <f t="shared" si="56"/>
        <v>22</v>
      </c>
      <c r="N178" s="1698">
        <f t="shared" si="57"/>
        <v>2680</v>
      </c>
    </row>
    <row r="179" spans="1:14" s="1321" customFormat="1" ht="79.150000000000006" customHeight="1">
      <c r="A179" s="1685">
        <f t="shared" si="60"/>
        <v>23</v>
      </c>
      <c r="B179" s="1713">
        <f>'Road-furniture '!C6</f>
        <v>5</v>
      </c>
      <c r="C179" s="1688" t="s">
        <v>554</v>
      </c>
      <c r="D179" s="1678" t="s">
        <v>1166</v>
      </c>
      <c r="E179" s="1337" t="s">
        <v>1165</v>
      </c>
      <c r="F179" s="1692" t="s">
        <v>241</v>
      </c>
      <c r="G179" s="1697">
        <f>'Road-furniture '!$E$6</f>
        <v>744.76732656060608</v>
      </c>
      <c r="H179" s="1689">
        <f t="shared" si="62"/>
        <v>3724</v>
      </c>
      <c r="L179" s="1699">
        <f t="shared" si="55"/>
        <v>23</v>
      </c>
      <c r="M179" s="1699">
        <f t="shared" si="56"/>
        <v>23</v>
      </c>
      <c r="N179" s="1698">
        <f t="shared" si="57"/>
        <v>3724</v>
      </c>
    </row>
    <row r="180" spans="1:14" s="1321" customFormat="1" ht="234.6" customHeight="1">
      <c r="A180" s="1685">
        <f t="shared" si="60"/>
        <v>24</v>
      </c>
      <c r="B180" s="1713">
        <f>'Road-furniture '!C8</f>
        <v>1</v>
      </c>
      <c r="C180" s="1688" t="s">
        <v>554</v>
      </c>
      <c r="D180" s="1678" t="str">
        <f>'Road-furniture '!B7</f>
        <v>Providing and fixing of typical  CRR informatory  and Name Board  with necessary Logo as per specifications and drawing. Three MS Plates of 1.6 mm thick, top and middle plate duly welded with MS flat iron 25mm x 5m size on back on edges.  The lower plate will be we welded with MS angle irone frame of 25 mm x 25 mm x 5 mm. The angle iron frame of the lower most plate and flat iron frame of middle plate will be welded to 2 nos. 75 mm x 75 mm of 12 SWG sheet tubes posts duly embedded in cement concrete M-15 grade blocks of 450 mm x 450 mm x 600 mm, 600 mm below ground level. The top most diamond plate will be welded to middle plate by 47 mm x 47mm of 12 SWG sheet tube. All M.s. will be stove enameled on both sides. Lettering and printing arrows, border etc., will be pointed with ready mixed synthetic enamel paint of superior quality in required shade and colour. All sections of framed posts and steel tube will be painted with primer and two coats of epoxy paint as per drawing clause 1701 MORD ,including overhead charges &amp; Contractors profit ,but excluding Seignarage charges.</v>
      </c>
      <c r="E180" s="1337" t="s">
        <v>1167</v>
      </c>
      <c r="F180" s="1692" t="s">
        <v>241</v>
      </c>
      <c r="G180" s="1697">
        <f>'Road-furniture '!$E$8</f>
        <v>15902.735746234997</v>
      </c>
      <c r="H180" s="1689">
        <f t="shared" si="14"/>
        <v>15903</v>
      </c>
      <c r="L180" s="1699">
        <f t="shared" si="55"/>
        <v>24</v>
      </c>
      <c r="M180" s="1699">
        <f t="shared" si="56"/>
        <v>24</v>
      </c>
      <c r="N180" s="1698">
        <f t="shared" si="57"/>
        <v>15903</v>
      </c>
    </row>
    <row r="181" spans="1:14" s="1321" customFormat="1" ht="190.9" customHeight="1">
      <c r="A181" s="1685">
        <f t="shared" si="60"/>
        <v>25</v>
      </c>
      <c r="B181" s="1713">
        <f>'Road-furniture '!C10</f>
        <v>2</v>
      </c>
      <c r="C181" s="1688" t="s">
        <v>554</v>
      </c>
      <c r="D181" s="1678" t="str">
        <f>'Road-furniture '!B9</f>
        <v>Providing and erecting direction and place identifications of semi reflective sign boards as per IRC:67 made of 2 mm thick M.S. Sheet duly stove enameled paint in white colour in front and grey colour on back with red reflective border of 70 mm width and required message, letters, figures with reflective engineering grade tape as per MORD specifications of required shade and colour. supported and welded on 47 mm x 47 mm of 12 SWG Square tube of 3050 mm height duly strengthened by 25 mm x 5 mm M/s flat iron on edges on back firmly fixed to the ground by means of properly designed foundation with M15 grade cement concrete 450 mm x 450 mm x 600 mm, 600 mm below ground level as per drawings and Technical Specification Clause 1701 MORD.,including overhead charges &amp; Contractors profit ,but excluding Seignarage charges.</v>
      </c>
      <c r="E181" s="1337" t="s">
        <v>1167</v>
      </c>
      <c r="F181" s="1692" t="s">
        <v>241</v>
      </c>
      <c r="G181" s="1697">
        <f>'Road-furniture '!$E$10</f>
        <v>2995.5934270850003</v>
      </c>
      <c r="H181" s="1689">
        <f t="shared" si="14"/>
        <v>5991</v>
      </c>
      <c r="L181" s="1699">
        <f t="shared" si="55"/>
        <v>25</v>
      </c>
      <c r="M181" s="1699">
        <f t="shared" si="56"/>
        <v>25</v>
      </c>
      <c r="N181" s="1698">
        <f t="shared" si="57"/>
        <v>5991</v>
      </c>
    </row>
    <row r="182" spans="1:14" s="1321" customFormat="1" ht="168.6" customHeight="1">
      <c r="A182" s="1685">
        <f t="shared" si="60"/>
        <v>26</v>
      </c>
      <c r="B182" s="1713">
        <f>'Road-furniture '!C12</f>
        <v>4</v>
      </c>
      <c r="C182" s="1688" t="s">
        <v>554</v>
      </c>
      <c r="D182" s="1678" t="str">
        <f>'Road-furniture '!B11</f>
        <v>Providing and fixing of semi reflective cautionary, mandatory and informatory sign board as per IRC:67 made of 1.5 mm thick MS Sheet duly stove white colour in front and gray colour on back with red reflective border of 65 mm width and required letters and figures with reflective tape engineering grade as per Clause 1701.3.9 of MORD for Rural Roads of required shade and colour supported and welded on 47 mm x 47 mm 12 SWG sheet tube firmly fixed to the ground by means of properly designed foundation with M15 grade cement concrete 450 mm x 450 mm x 600 mm, 600 mm below ground level as per drawings and Technical Specification Clause 1701 MORD ,including overhead charges &amp; Contractors profit ,but excluding Seignarage charges.</v>
      </c>
      <c r="E182" s="1337" t="s">
        <v>1167</v>
      </c>
      <c r="F182" s="1692" t="s">
        <v>241</v>
      </c>
      <c r="G182" s="1697">
        <f>'Road-furniture '!$E$12</f>
        <v>2290.6281445700001</v>
      </c>
      <c r="H182" s="1689">
        <f t="shared" si="14"/>
        <v>9163</v>
      </c>
      <c r="I182" s="1701">
        <f>SUM(H178:H182)</f>
        <v>37461</v>
      </c>
      <c r="L182" s="1699">
        <f t="shared" si="55"/>
        <v>26</v>
      </c>
      <c r="M182" s="1699">
        <f t="shared" si="56"/>
        <v>26</v>
      </c>
      <c r="N182" s="1698">
        <f t="shared" si="57"/>
        <v>9163</v>
      </c>
    </row>
    <row r="183" spans="1:14" s="1321" customFormat="1">
      <c r="A183" s="1685">
        <f t="shared" si="60"/>
        <v>0</v>
      </c>
      <c r="B183" s="1713"/>
      <c r="C183" s="1688"/>
      <c r="D183" s="1677" t="s">
        <v>938</v>
      </c>
      <c r="E183" s="1337"/>
      <c r="F183" s="1692"/>
      <c r="G183" s="1697"/>
      <c r="H183" s="1689"/>
      <c r="I183" s="1701"/>
      <c r="L183" s="1699">
        <f t="shared" si="55"/>
        <v>0</v>
      </c>
      <c r="M183" s="1699">
        <f t="shared" si="56"/>
        <v>26</v>
      </c>
      <c r="N183" s="1698">
        <f t="shared" si="57"/>
        <v>0</v>
      </c>
    </row>
    <row r="184" spans="1:14" s="1321" customFormat="1" ht="60.95" customHeight="1">
      <c r="A184" s="1685">
        <f t="shared" si="60"/>
        <v>27</v>
      </c>
      <c r="B184" s="1714">
        <f>'RSI-Estt'!I12</f>
        <v>12</v>
      </c>
      <c r="C184" s="1688" t="s">
        <v>554</v>
      </c>
      <c r="D184" s="1678" t="str">
        <f>'RSI-Estt'!B6</f>
        <v>Cost, supply and fixing on road of Reflective Studs - RMP (Twin Moulded Shanks) including cost and conveyance and all labour charges and including contractors profit &amp; Over head charges,  but excluding  GST etc,. Complete.</v>
      </c>
      <c r="E184" s="1337" t="s">
        <v>1168</v>
      </c>
      <c r="F184" s="1692" t="s">
        <v>1133</v>
      </c>
      <c r="G184" s="1697">
        <f>'RSI-Estt'!J12</f>
        <v>399</v>
      </c>
      <c r="H184" s="1689">
        <f>ROUND(B184*G184,0)</f>
        <v>4788</v>
      </c>
      <c r="I184" s="1701"/>
      <c r="L184" s="1699">
        <f t="shared" si="55"/>
        <v>27</v>
      </c>
      <c r="M184" s="1699">
        <f t="shared" si="56"/>
        <v>27</v>
      </c>
      <c r="N184" s="1698">
        <f t="shared" si="57"/>
        <v>4788</v>
      </c>
    </row>
    <row r="185" spans="1:14" s="1321" customFormat="1" ht="60.95" customHeight="1">
      <c r="A185" s="1685">
        <f t="shared" si="60"/>
        <v>28</v>
      </c>
      <c r="B185" s="1714">
        <f>'RSI-Estt'!I18</f>
        <v>0.2</v>
      </c>
      <c r="C185" s="1688" t="s">
        <v>353</v>
      </c>
      <c r="D185" s="1678" t="str">
        <f>'RSI-Estt'!B14</f>
        <v>Cost, supply and Painting on road of Thermoplastic Paint of 2.50 mm thick including cost and conveyance and all labour charges and including contractors profit &amp; Over head charges,  but excluding  GST etc,. Complete.</v>
      </c>
      <c r="E185" s="1337"/>
      <c r="F185" s="1692" t="s">
        <v>137</v>
      </c>
      <c r="G185" s="1697">
        <f>'RSI-Estt'!J18</f>
        <v>728</v>
      </c>
      <c r="H185" s="1689">
        <f>ROUND(B185*G185,0)</f>
        <v>146</v>
      </c>
      <c r="I185" s="1701"/>
      <c r="L185" s="1699">
        <f t="shared" si="55"/>
        <v>28</v>
      </c>
      <c r="M185" s="1699">
        <f t="shared" si="56"/>
        <v>28</v>
      </c>
      <c r="N185" s="1698">
        <f t="shared" si="57"/>
        <v>146</v>
      </c>
    </row>
    <row r="186" spans="1:14" s="1667" customFormat="1" ht="60.95" customHeight="1">
      <c r="A186" s="1685">
        <f t="shared" si="60"/>
        <v>29</v>
      </c>
      <c r="B186" s="2988">
        <f>'RSI-Estt'!I26</f>
        <v>4.5</v>
      </c>
      <c r="C186" s="1688" t="s">
        <v>353</v>
      </c>
      <c r="D186" s="1678" t="str">
        <f>'RSI-Estt'!B24</f>
        <v>Cost, supply and Painting on road for Rumble strips 7.5mm thick (in 3 layers each of 2.5mm thick)  including cost and conveyance and all labour charges and including contractors profit &amp; Over head charges,  but excluding  GST etc,. Complete.</v>
      </c>
      <c r="E186" s="1323"/>
      <c r="F186" s="1692" t="s">
        <v>137</v>
      </c>
      <c r="G186" s="2987">
        <f>'RSI-Estt'!J26</f>
        <v>2107</v>
      </c>
      <c r="H186" s="1689">
        <f>ROUND(B186*G186,0)</f>
        <v>9482</v>
      </c>
      <c r="I186" s="1700"/>
      <c r="L186" s="1699">
        <f t="shared" si="55"/>
        <v>29</v>
      </c>
      <c r="M186" s="1699">
        <f t="shared" si="56"/>
        <v>29</v>
      </c>
      <c r="N186" s="1698">
        <f t="shared" si="57"/>
        <v>9482</v>
      </c>
    </row>
    <row r="187" spans="1:14" s="1321" customFormat="1">
      <c r="A187" s="1685"/>
      <c r="B187" s="1686"/>
      <c r="C187" s="1688"/>
      <c r="D187" s="1678"/>
      <c r="E187" s="1337"/>
      <c r="F187" s="1692"/>
      <c r="G187" s="1697"/>
      <c r="H187" s="1689"/>
      <c r="I187" s="1701">
        <f>SUM(H178:H184)</f>
        <v>42249</v>
      </c>
      <c r="J187" s="1701">
        <f>'Road-furniture '!G18</f>
        <v>37461</v>
      </c>
      <c r="K187" s="1703">
        <f>I187-J187</f>
        <v>4788</v>
      </c>
      <c r="L187" s="1699">
        <f>IF(M187=M185,0,M187)</f>
        <v>0</v>
      </c>
      <c r="M187" s="1699">
        <f>IF(N187&gt;0,(M185+1),M185)</f>
        <v>28</v>
      </c>
      <c r="N187" s="1698">
        <f t="shared" ref="N187:N191" si="63">H187</f>
        <v>0</v>
      </c>
    </row>
    <row r="188" spans="1:14" s="1667" customFormat="1" ht="30" customHeight="1">
      <c r="A188" s="1685"/>
      <c r="B188" s="1710"/>
      <c r="C188" s="1716"/>
      <c r="D188" s="1677"/>
      <c r="E188" s="1711"/>
      <c r="F188" s="1694"/>
      <c r="G188" s="1715"/>
      <c r="H188" s="1717">
        <f>SUBTOTAL(9,H12:H186)</f>
        <v>8076412</v>
      </c>
      <c r="I188" s="1721">
        <f>I187+I47+I39+I31</f>
        <v>8066784</v>
      </c>
      <c r="J188" s="1722">
        <f>GA!E11</f>
        <v>8482237</v>
      </c>
      <c r="K188" s="1723">
        <f>I188-J188</f>
        <v>-415453</v>
      </c>
      <c r="L188" s="1699">
        <f>IF(M188=M187,0,M188)</f>
        <v>29</v>
      </c>
      <c r="M188" s="1699">
        <f>IF(N188&gt;0,(M187+1),M187)</f>
        <v>29</v>
      </c>
      <c r="N188" s="1698">
        <f t="shared" si="63"/>
        <v>8076412</v>
      </c>
    </row>
    <row r="189" spans="1:14" s="1667" customFormat="1">
      <c r="A189" s="1326"/>
      <c r="B189" s="1710"/>
      <c r="C189" s="1324"/>
      <c r="D189" s="2992" t="str">
        <f>"Total no. of items in the Schedule is "&amp;A186&amp;" only"</f>
        <v>Total no. of items in the Schedule is 29 only</v>
      </c>
      <c r="E189" s="1711"/>
      <c r="F189" s="1694"/>
      <c r="G189" s="1711"/>
      <c r="H189" s="1717">
        <f>H188</f>
        <v>8076412</v>
      </c>
      <c r="I189" s="1724" t="e">
        <f>+GA!E11+'Schedule-A'!#REF!</f>
        <v>#REF!</v>
      </c>
      <c r="J189" s="1725" t="e">
        <f>+H189-I189</f>
        <v>#REF!</v>
      </c>
      <c r="L189" s="1699" t="e">
        <f>IF(M189=#REF!,0,M189)</f>
        <v>#REF!</v>
      </c>
      <c r="M189" s="1699" t="e">
        <f>IF(N189&gt;0,(#REF!+1),#REF!)</f>
        <v>#REF!</v>
      </c>
      <c r="N189" s="1698">
        <f t="shared" si="63"/>
        <v>8076412</v>
      </c>
    </row>
    <row r="190" spans="1:14" ht="18.600000000000001" customHeight="1">
      <c r="D190" s="2993"/>
      <c r="E190" s="1718"/>
      <c r="F190" s="1719"/>
      <c r="G190" s="1720"/>
      <c r="L190" s="1699" t="e">
        <f>IF(M190=M189,0,M190)</f>
        <v>#REF!</v>
      </c>
      <c r="M190" s="1699" t="e">
        <f>IF(N190&gt;0,(M189+1),M189)</f>
        <v>#REF!</v>
      </c>
      <c r="N190" s="1698">
        <f t="shared" si="63"/>
        <v>0</v>
      </c>
    </row>
    <row r="191" spans="1:14">
      <c r="D191" s="1726"/>
      <c r="E191" s="3552" t="s">
        <v>1169</v>
      </c>
      <c r="F191" s="3552"/>
      <c r="G191" s="3552"/>
      <c r="L191" s="1699" t="e">
        <f>IF(M191=M190,0,M191)</f>
        <v>#REF!</v>
      </c>
      <c r="M191" s="1699" t="e">
        <f>IF(N191&gt;0,(M190+1),M190)</f>
        <v>#REF!</v>
      </c>
      <c r="N191" s="1698">
        <f t="shared" si="63"/>
        <v>0</v>
      </c>
    </row>
    <row r="192" spans="1:14">
      <c r="D192" s="1726"/>
      <c r="E192" s="1727"/>
      <c r="F192" s="1727"/>
      <c r="G192" s="1727"/>
    </row>
    <row r="193" spans="4:7">
      <c r="D193" s="1726"/>
      <c r="E193" s="3554"/>
      <c r="F193" s="3554"/>
      <c r="G193" s="3554"/>
    </row>
    <row r="194" spans="4:7">
      <c r="D194" s="1726"/>
      <c r="E194" s="3552" t="s">
        <v>1170</v>
      </c>
      <c r="F194" s="3552"/>
      <c r="G194" s="3552"/>
    </row>
    <row r="195" spans="4:7">
      <c r="D195" s="1726"/>
      <c r="E195" s="3552" t="s">
        <v>1171</v>
      </c>
      <c r="F195" s="3552"/>
      <c r="G195" s="3552"/>
    </row>
    <row r="196" spans="4:7">
      <c r="D196" s="1728"/>
    </row>
    <row r="197" spans="4:7">
      <c r="D197" s="1728"/>
    </row>
    <row r="198" spans="4:7">
      <c r="D198" s="1728"/>
    </row>
    <row r="199" spans="4:7">
      <c r="D199" s="1728"/>
    </row>
    <row r="200" spans="4:7">
      <c r="D200" s="1728"/>
    </row>
    <row r="201" spans="4:7">
      <c r="D201" s="1728"/>
    </row>
    <row r="202" spans="4:7">
      <c r="D202" s="1728"/>
    </row>
    <row r="203" spans="4:7">
      <c r="D203" s="1728"/>
    </row>
    <row r="204" spans="4:7">
      <c r="D204" s="1728"/>
    </row>
    <row r="205" spans="4:7">
      <c r="D205" s="1728"/>
    </row>
    <row r="206" spans="4:7">
      <c r="D206" s="1728"/>
    </row>
    <row r="207" spans="4:7">
      <c r="D207" s="1728"/>
    </row>
    <row r="208" spans="4:7">
      <c r="D208" s="1728"/>
    </row>
    <row r="209" spans="4:4">
      <c r="D209" s="1728"/>
    </row>
    <row r="210" spans="4:4">
      <c r="D210" s="1728"/>
    </row>
    <row r="211" spans="4:4">
      <c r="D211" s="1728"/>
    </row>
    <row r="212" spans="4:4">
      <c r="D212" s="1728"/>
    </row>
    <row r="213" spans="4:4">
      <c r="D213" s="1728"/>
    </row>
    <row r="214" spans="4:4">
      <c r="D214" s="1728"/>
    </row>
    <row r="215" spans="4:4">
      <c r="D215" s="1728"/>
    </row>
    <row r="216" spans="4:4">
      <c r="D216" s="1728"/>
    </row>
    <row r="217" spans="4:4">
      <c r="D217" s="1728"/>
    </row>
    <row r="218" spans="4:4">
      <c r="D218" s="1728"/>
    </row>
    <row r="219" spans="4:4">
      <c r="D219" s="1728"/>
    </row>
    <row r="220" spans="4:4">
      <c r="D220" s="1728"/>
    </row>
    <row r="221" spans="4:4">
      <c r="D221" s="1728"/>
    </row>
    <row r="222" spans="4:4">
      <c r="D222" s="1728"/>
    </row>
    <row r="223" spans="4:4">
      <c r="D223" s="1728"/>
    </row>
    <row r="224" spans="4:4">
      <c r="D224" s="1728"/>
    </row>
    <row r="225" spans="4:4">
      <c r="D225" s="1728"/>
    </row>
    <row r="226" spans="4:4">
      <c r="D226" s="1728"/>
    </row>
    <row r="227" spans="4:4">
      <c r="D227" s="1728"/>
    </row>
    <row r="228" spans="4:4">
      <c r="D228" s="1728"/>
    </row>
    <row r="229" spans="4:4">
      <c r="D229" s="1728"/>
    </row>
    <row r="230" spans="4:4">
      <c r="D230" s="1728"/>
    </row>
    <row r="231" spans="4:4">
      <c r="D231" s="1728"/>
    </row>
    <row r="232" spans="4:4">
      <c r="D232" s="1728"/>
    </row>
    <row r="233" spans="4:4">
      <c r="D233" s="1728"/>
    </row>
    <row r="234" spans="4:4">
      <c r="D234" s="1728"/>
    </row>
    <row r="235" spans="4:4">
      <c r="D235" s="1728"/>
    </row>
    <row r="236" spans="4:4">
      <c r="D236" s="1728"/>
    </row>
    <row r="237" spans="4:4">
      <c r="D237" s="1728"/>
    </row>
    <row r="238" spans="4:4">
      <c r="D238" s="1728"/>
    </row>
    <row r="239" spans="4:4">
      <c r="D239" s="1728"/>
    </row>
    <row r="240" spans="4:4">
      <c r="D240" s="1728"/>
    </row>
    <row r="241" spans="4:4">
      <c r="D241" s="1728"/>
    </row>
    <row r="242" spans="4:4">
      <c r="D242" s="1728"/>
    </row>
    <row r="243" spans="4:4">
      <c r="D243" s="1728"/>
    </row>
    <row r="244" spans="4:4">
      <c r="D244" s="1728"/>
    </row>
    <row r="245" spans="4:4">
      <c r="D245" s="1728"/>
    </row>
    <row r="246" spans="4:4">
      <c r="D246" s="1728"/>
    </row>
    <row r="247" spans="4:4">
      <c r="D247" s="1728"/>
    </row>
    <row r="248" spans="4:4">
      <c r="D248" s="1728"/>
    </row>
    <row r="249" spans="4:4">
      <c r="D249" s="1728"/>
    </row>
    <row r="250" spans="4:4">
      <c r="D250" s="1728"/>
    </row>
    <row r="251" spans="4:4">
      <c r="D251" s="1728"/>
    </row>
    <row r="252" spans="4:4">
      <c r="D252" s="1728"/>
    </row>
    <row r="253" spans="4:4">
      <c r="D253" s="1728"/>
    </row>
    <row r="254" spans="4:4">
      <c r="D254" s="1728"/>
    </row>
    <row r="255" spans="4:4">
      <c r="D255" s="1728"/>
    </row>
    <row r="256" spans="4:4">
      <c r="D256" s="1728"/>
    </row>
    <row r="257" spans="4:4">
      <c r="D257" s="1728"/>
    </row>
    <row r="258" spans="4:4">
      <c r="D258" s="1728"/>
    </row>
    <row r="259" spans="4:4">
      <c r="D259" s="1728"/>
    </row>
    <row r="260" spans="4:4">
      <c r="D260" s="1728"/>
    </row>
    <row r="261" spans="4:4">
      <c r="D261" s="1728"/>
    </row>
    <row r="262" spans="4:4">
      <c r="D262" s="1728"/>
    </row>
    <row r="263" spans="4:4">
      <c r="D263" s="1728"/>
    </row>
    <row r="264" spans="4:4">
      <c r="D264" s="1728"/>
    </row>
    <row r="265" spans="4:4">
      <c r="D265" s="1728"/>
    </row>
    <row r="266" spans="4:4">
      <c r="D266" s="1728"/>
    </row>
    <row r="267" spans="4:4">
      <c r="D267" s="1728"/>
    </row>
    <row r="268" spans="4:4">
      <c r="D268" s="1728"/>
    </row>
    <row r="269" spans="4:4">
      <c r="D269" s="1728"/>
    </row>
    <row r="270" spans="4:4">
      <c r="D270" s="1728"/>
    </row>
    <row r="271" spans="4:4">
      <c r="D271" s="1728"/>
    </row>
    <row r="272" spans="4:4">
      <c r="D272" s="1728"/>
    </row>
    <row r="273" spans="4:4">
      <c r="D273" s="1728"/>
    </row>
    <row r="274" spans="4:4">
      <c r="D274" s="1728"/>
    </row>
    <row r="275" spans="4:4">
      <c r="D275" s="1728"/>
    </row>
    <row r="276" spans="4:4">
      <c r="D276" s="1728"/>
    </row>
    <row r="277" spans="4:4">
      <c r="D277" s="1728"/>
    </row>
    <row r="278" spans="4:4">
      <c r="D278" s="1728"/>
    </row>
    <row r="279" spans="4:4">
      <c r="D279" s="1728"/>
    </row>
    <row r="280" spans="4:4">
      <c r="D280" s="1728"/>
    </row>
    <row r="281" spans="4:4">
      <c r="D281" s="1728"/>
    </row>
    <row r="282" spans="4:4">
      <c r="D282" s="1728"/>
    </row>
    <row r="283" spans="4:4">
      <c r="D283" s="1728"/>
    </row>
    <row r="284" spans="4:4">
      <c r="D284" s="1728"/>
    </row>
    <row r="285" spans="4:4">
      <c r="D285" s="1728"/>
    </row>
    <row r="286" spans="4:4">
      <c r="D286" s="1728"/>
    </row>
    <row r="287" spans="4:4">
      <c r="D287" s="1728"/>
    </row>
    <row r="288" spans="4:4">
      <c r="D288" s="1728"/>
    </row>
    <row r="289" spans="4:4">
      <c r="D289" s="1728"/>
    </row>
    <row r="290" spans="4:4">
      <c r="D290" s="1728"/>
    </row>
    <row r="291" spans="4:4">
      <c r="D291" s="1728"/>
    </row>
    <row r="292" spans="4:4">
      <c r="D292" s="1728"/>
    </row>
    <row r="293" spans="4:4">
      <c r="D293" s="1728"/>
    </row>
    <row r="294" spans="4:4">
      <c r="D294" s="1728"/>
    </row>
    <row r="295" spans="4:4">
      <c r="D295" s="1728"/>
    </row>
    <row r="296" spans="4:4">
      <c r="D296" s="1728"/>
    </row>
    <row r="297" spans="4:4">
      <c r="D297" s="1728"/>
    </row>
    <row r="298" spans="4:4">
      <c r="D298" s="1728"/>
    </row>
    <row r="299" spans="4:4">
      <c r="D299" s="1728"/>
    </row>
    <row r="300" spans="4:4">
      <c r="D300" s="1728"/>
    </row>
    <row r="301" spans="4:4">
      <c r="D301" s="1728"/>
    </row>
    <row r="302" spans="4:4">
      <c r="D302" s="1728"/>
    </row>
    <row r="303" spans="4:4">
      <c r="D303" s="1728"/>
    </row>
    <row r="304" spans="4:4">
      <c r="D304" s="1728"/>
    </row>
    <row r="305" spans="4:4">
      <c r="D305" s="1728"/>
    </row>
    <row r="306" spans="4:4">
      <c r="D306" s="1728"/>
    </row>
    <row r="307" spans="4:4">
      <c r="D307" s="1728"/>
    </row>
    <row r="308" spans="4:4">
      <c r="D308" s="1728"/>
    </row>
    <row r="309" spans="4:4">
      <c r="D309" s="1728"/>
    </row>
    <row r="310" spans="4:4">
      <c r="D310" s="1728"/>
    </row>
    <row r="311" spans="4:4">
      <c r="D311" s="1728"/>
    </row>
    <row r="312" spans="4:4">
      <c r="D312" s="1728"/>
    </row>
    <row r="313" spans="4:4">
      <c r="D313" s="1728"/>
    </row>
    <row r="314" spans="4:4">
      <c r="D314" s="1728"/>
    </row>
    <row r="315" spans="4:4">
      <c r="D315" s="1728"/>
    </row>
    <row r="316" spans="4:4">
      <c r="D316" s="1728"/>
    </row>
    <row r="317" spans="4:4">
      <c r="D317" s="1728"/>
    </row>
    <row r="318" spans="4:4">
      <c r="D318" s="1728"/>
    </row>
    <row r="319" spans="4:4">
      <c r="D319" s="1728"/>
    </row>
    <row r="320" spans="4:4">
      <c r="D320" s="1728"/>
    </row>
    <row r="321" spans="4:4">
      <c r="D321" s="1728"/>
    </row>
    <row r="322" spans="4:4">
      <c r="D322" s="1728"/>
    </row>
    <row r="323" spans="4:4">
      <c r="D323" s="1728"/>
    </row>
    <row r="324" spans="4:4">
      <c r="D324" s="1728"/>
    </row>
    <row r="325" spans="4:4">
      <c r="D325" s="1728"/>
    </row>
    <row r="326" spans="4:4">
      <c r="D326" s="1728"/>
    </row>
    <row r="327" spans="4:4">
      <c r="D327" s="1728"/>
    </row>
    <row r="328" spans="4:4">
      <c r="D328" s="1728"/>
    </row>
    <row r="329" spans="4:4">
      <c r="D329" s="1728"/>
    </row>
    <row r="330" spans="4:4">
      <c r="D330" s="1728"/>
    </row>
    <row r="331" spans="4:4">
      <c r="D331" s="1728"/>
    </row>
    <row r="332" spans="4:4">
      <c r="D332" s="1728"/>
    </row>
    <row r="333" spans="4:4">
      <c r="D333" s="1728"/>
    </row>
    <row r="334" spans="4:4">
      <c r="D334" s="1728"/>
    </row>
    <row r="335" spans="4:4">
      <c r="D335" s="1728"/>
    </row>
    <row r="336" spans="4:4">
      <c r="D336" s="1728"/>
    </row>
    <row r="337" spans="4:4">
      <c r="D337" s="1728"/>
    </row>
    <row r="338" spans="4:4">
      <c r="D338" s="1728"/>
    </row>
    <row r="339" spans="4:4">
      <c r="D339" s="1728"/>
    </row>
    <row r="340" spans="4:4">
      <c r="D340" s="1728"/>
    </row>
    <row r="341" spans="4:4">
      <c r="D341" s="1728"/>
    </row>
    <row r="342" spans="4:4">
      <c r="D342" s="1728"/>
    </row>
    <row r="343" spans="4:4">
      <c r="D343" s="1728"/>
    </row>
    <row r="344" spans="4:4">
      <c r="D344" s="1728"/>
    </row>
    <row r="345" spans="4:4">
      <c r="D345" s="1728"/>
    </row>
    <row r="346" spans="4:4">
      <c r="D346" s="1728"/>
    </row>
    <row r="347" spans="4:4">
      <c r="D347" s="1728"/>
    </row>
    <row r="348" spans="4:4">
      <c r="D348" s="1728"/>
    </row>
    <row r="349" spans="4:4">
      <c r="D349" s="1728"/>
    </row>
    <row r="350" spans="4:4">
      <c r="D350" s="1728"/>
    </row>
    <row r="351" spans="4:4">
      <c r="D351" s="1728"/>
    </row>
    <row r="352" spans="4:4">
      <c r="D352" s="1728"/>
    </row>
    <row r="353" spans="4:4">
      <c r="D353" s="1728"/>
    </row>
    <row r="354" spans="4:4">
      <c r="D354" s="1728"/>
    </row>
    <row r="355" spans="4:4">
      <c r="D355" s="1728"/>
    </row>
    <row r="356" spans="4:4">
      <c r="D356" s="1728"/>
    </row>
    <row r="357" spans="4:4">
      <c r="D357" s="1728"/>
    </row>
    <row r="358" spans="4:4">
      <c r="D358" s="1728"/>
    </row>
    <row r="359" spans="4:4">
      <c r="D359" s="1728"/>
    </row>
    <row r="360" spans="4:4">
      <c r="D360" s="1728"/>
    </row>
    <row r="361" spans="4:4">
      <c r="D361" s="1728"/>
    </row>
    <row r="362" spans="4:4">
      <c r="D362" s="1728"/>
    </row>
    <row r="363" spans="4:4">
      <c r="D363" s="1728"/>
    </row>
    <row r="364" spans="4:4">
      <c r="D364" s="1728"/>
    </row>
    <row r="365" spans="4:4">
      <c r="D365" s="1728"/>
    </row>
    <row r="366" spans="4:4">
      <c r="D366" s="1728"/>
    </row>
    <row r="367" spans="4:4">
      <c r="D367" s="1728"/>
    </row>
    <row r="368" spans="4:4">
      <c r="D368" s="1728"/>
    </row>
    <row r="369" spans="4:4">
      <c r="D369" s="1728"/>
    </row>
    <row r="370" spans="4:4">
      <c r="D370" s="1728"/>
    </row>
    <row r="371" spans="4:4">
      <c r="D371" s="1728"/>
    </row>
    <row r="372" spans="4:4">
      <c r="D372" s="1728"/>
    </row>
    <row r="373" spans="4:4">
      <c r="D373" s="1728"/>
    </row>
    <row r="374" spans="4:4">
      <c r="D374" s="1728"/>
    </row>
    <row r="375" spans="4:4">
      <c r="D375" s="1728"/>
    </row>
    <row r="376" spans="4:4">
      <c r="D376" s="1728"/>
    </row>
    <row r="377" spans="4:4">
      <c r="D377" s="1728"/>
    </row>
    <row r="378" spans="4:4">
      <c r="D378" s="1728"/>
    </row>
    <row r="379" spans="4:4">
      <c r="D379" s="1728"/>
    </row>
    <row r="380" spans="4:4">
      <c r="D380" s="1728"/>
    </row>
    <row r="381" spans="4:4">
      <c r="D381" s="1728"/>
    </row>
    <row r="382" spans="4:4">
      <c r="D382" s="1728"/>
    </row>
    <row r="383" spans="4:4">
      <c r="D383" s="1728"/>
    </row>
    <row r="384" spans="4:4">
      <c r="D384" s="1728"/>
    </row>
    <row r="385" spans="4:4">
      <c r="D385" s="1728"/>
    </row>
    <row r="386" spans="4:4">
      <c r="D386" s="1728"/>
    </row>
    <row r="387" spans="4:4">
      <c r="D387" s="1728"/>
    </row>
    <row r="388" spans="4:4">
      <c r="D388" s="1728"/>
    </row>
    <row r="389" spans="4:4">
      <c r="D389" s="1728"/>
    </row>
    <row r="390" spans="4:4">
      <c r="D390" s="1728"/>
    </row>
    <row r="391" spans="4:4">
      <c r="D391" s="1728"/>
    </row>
    <row r="392" spans="4:4">
      <c r="D392" s="1728"/>
    </row>
    <row r="393" spans="4:4">
      <c r="D393" s="1728"/>
    </row>
    <row r="394" spans="4:4">
      <c r="D394" s="1728"/>
    </row>
    <row r="395" spans="4:4">
      <c r="D395" s="1728"/>
    </row>
    <row r="396" spans="4:4">
      <c r="D396" s="1728"/>
    </row>
    <row r="397" spans="4:4">
      <c r="D397" s="1728"/>
    </row>
    <row r="398" spans="4:4">
      <c r="D398" s="1728"/>
    </row>
    <row r="399" spans="4:4">
      <c r="D399" s="1728"/>
    </row>
    <row r="400" spans="4:4">
      <c r="D400" s="1728"/>
    </row>
    <row r="401" spans="4:4">
      <c r="D401" s="1728"/>
    </row>
    <row r="402" spans="4:4">
      <c r="D402" s="1728"/>
    </row>
    <row r="403" spans="4:4">
      <c r="D403" s="1728"/>
    </row>
    <row r="404" spans="4:4">
      <c r="D404" s="1728"/>
    </row>
    <row r="405" spans="4:4">
      <c r="D405" s="1728"/>
    </row>
    <row r="406" spans="4:4">
      <c r="D406" s="1728"/>
    </row>
    <row r="407" spans="4:4">
      <c r="D407" s="1728"/>
    </row>
    <row r="408" spans="4:4">
      <c r="D408" s="1728"/>
    </row>
    <row r="409" spans="4:4">
      <c r="D409" s="1728"/>
    </row>
    <row r="410" spans="4:4">
      <c r="D410" s="1728"/>
    </row>
    <row r="411" spans="4:4">
      <c r="D411" s="1728"/>
    </row>
    <row r="412" spans="4:4">
      <c r="D412" s="1728"/>
    </row>
    <row r="413" spans="4:4">
      <c r="D413" s="1728"/>
    </row>
    <row r="414" spans="4:4">
      <c r="D414" s="1728"/>
    </row>
    <row r="415" spans="4:4">
      <c r="D415" s="1728"/>
    </row>
    <row r="416" spans="4:4">
      <c r="D416" s="1728"/>
    </row>
    <row r="417" spans="4:4">
      <c r="D417" s="1728"/>
    </row>
    <row r="418" spans="4:4">
      <c r="D418" s="1728"/>
    </row>
    <row r="419" spans="4:4">
      <c r="D419" s="1728"/>
    </row>
    <row r="420" spans="4:4">
      <c r="D420" s="1728"/>
    </row>
    <row r="421" spans="4:4">
      <c r="D421" s="1728"/>
    </row>
    <row r="422" spans="4:4">
      <c r="D422" s="1728"/>
    </row>
    <row r="423" spans="4:4">
      <c r="D423" s="1728"/>
    </row>
    <row r="424" spans="4:4">
      <c r="D424" s="1728"/>
    </row>
    <row r="425" spans="4:4">
      <c r="D425" s="1728"/>
    </row>
    <row r="426" spans="4:4">
      <c r="D426" s="1728"/>
    </row>
    <row r="427" spans="4:4">
      <c r="D427" s="1728"/>
    </row>
    <row r="428" spans="4:4">
      <c r="D428" s="1728"/>
    </row>
    <row r="429" spans="4:4">
      <c r="D429" s="1728"/>
    </row>
    <row r="430" spans="4:4">
      <c r="D430" s="1728"/>
    </row>
    <row r="431" spans="4:4">
      <c r="D431" s="1728"/>
    </row>
    <row r="432" spans="4:4">
      <c r="D432" s="1728"/>
    </row>
    <row r="433" spans="4:4">
      <c r="D433" s="1728"/>
    </row>
    <row r="434" spans="4:4">
      <c r="D434" s="1728"/>
    </row>
    <row r="435" spans="4:4">
      <c r="D435" s="1728"/>
    </row>
    <row r="436" spans="4:4">
      <c r="D436" s="1728"/>
    </row>
    <row r="437" spans="4:4">
      <c r="D437" s="1728"/>
    </row>
    <row r="438" spans="4:4">
      <c r="D438" s="1728"/>
    </row>
    <row r="439" spans="4:4">
      <c r="D439" s="1728"/>
    </row>
    <row r="440" spans="4:4">
      <c r="D440" s="1728"/>
    </row>
    <row r="441" spans="4:4">
      <c r="D441" s="1728"/>
    </row>
    <row r="442" spans="4:4">
      <c r="D442" s="1728"/>
    </row>
    <row r="443" spans="4:4">
      <c r="D443" s="1728"/>
    </row>
    <row r="444" spans="4:4">
      <c r="D444" s="1728"/>
    </row>
    <row r="445" spans="4:4">
      <c r="D445" s="1728"/>
    </row>
    <row r="446" spans="4:4">
      <c r="D446" s="1728"/>
    </row>
    <row r="447" spans="4:4">
      <c r="D447" s="1728"/>
    </row>
    <row r="448" spans="4:4">
      <c r="D448" s="1728"/>
    </row>
    <row r="449" spans="4:4">
      <c r="D449" s="1728"/>
    </row>
    <row r="450" spans="4:4">
      <c r="D450" s="1728"/>
    </row>
    <row r="451" spans="4:4">
      <c r="D451" s="1728"/>
    </row>
    <row r="452" spans="4:4">
      <c r="D452" s="1728"/>
    </row>
    <row r="453" spans="4:4">
      <c r="D453" s="1728"/>
    </row>
    <row r="454" spans="4:4">
      <c r="D454" s="1728"/>
    </row>
    <row r="455" spans="4:4">
      <c r="D455" s="1728"/>
    </row>
    <row r="456" spans="4:4">
      <c r="D456" s="1728"/>
    </row>
    <row r="457" spans="4:4">
      <c r="D457" s="1728"/>
    </row>
    <row r="458" spans="4:4">
      <c r="D458" s="1728"/>
    </row>
    <row r="459" spans="4:4">
      <c r="D459" s="1728"/>
    </row>
    <row r="460" spans="4:4">
      <c r="D460" s="1728"/>
    </row>
    <row r="461" spans="4:4">
      <c r="D461" s="1728"/>
    </row>
    <row r="462" spans="4:4">
      <c r="D462" s="1728"/>
    </row>
    <row r="463" spans="4:4">
      <c r="D463" s="1728"/>
    </row>
    <row r="464" spans="4:4">
      <c r="D464" s="1728"/>
    </row>
    <row r="465" spans="4:4">
      <c r="D465" s="1728"/>
    </row>
    <row r="466" spans="4:4">
      <c r="D466" s="1728"/>
    </row>
    <row r="467" spans="4:4">
      <c r="D467" s="1728"/>
    </row>
    <row r="468" spans="4:4">
      <c r="D468" s="1728"/>
    </row>
    <row r="469" spans="4:4">
      <c r="D469" s="1728"/>
    </row>
    <row r="470" spans="4:4">
      <c r="D470" s="1728"/>
    </row>
    <row r="471" spans="4:4">
      <c r="D471" s="1728"/>
    </row>
    <row r="472" spans="4:4">
      <c r="D472" s="1728"/>
    </row>
    <row r="473" spans="4:4">
      <c r="D473" s="1728"/>
    </row>
    <row r="474" spans="4:4">
      <c r="D474" s="1728"/>
    </row>
    <row r="475" spans="4:4">
      <c r="D475" s="1728"/>
    </row>
    <row r="476" spans="4:4">
      <c r="D476" s="1728"/>
    </row>
    <row r="477" spans="4:4">
      <c r="D477" s="1728"/>
    </row>
    <row r="478" spans="4:4">
      <c r="D478" s="1728"/>
    </row>
    <row r="479" spans="4:4">
      <c r="D479" s="1728"/>
    </row>
    <row r="480" spans="4:4">
      <c r="D480" s="1728"/>
    </row>
    <row r="481" spans="4:4">
      <c r="D481" s="1728"/>
    </row>
    <row r="482" spans="4:4">
      <c r="D482" s="1728"/>
    </row>
    <row r="483" spans="4:4">
      <c r="D483" s="1728"/>
    </row>
    <row r="484" spans="4:4">
      <c r="D484" s="1728"/>
    </row>
    <row r="485" spans="4:4">
      <c r="D485" s="1728"/>
    </row>
    <row r="486" spans="4:4">
      <c r="D486" s="1728"/>
    </row>
    <row r="487" spans="4:4">
      <c r="D487" s="1728"/>
    </row>
    <row r="488" spans="4:4">
      <c r="D488" s="1728"/>
    </row>
    <row r="489" spans="4:4">
      <c r="D489" s="1728"/>
    </row>
    <row r="490" spans="4:4">
      <c r="D490" s="1728"/>
    </row>
    <row r="491" spans="4:4">
      <c r="D491" s="1728"/>
    </row>
    <row r="492" spans="4:4">
      <c r="D492" s="1728"/>
    </row>
    <row r="493" spans="4:4">
      <c r="D493" s="1728"/>
    </row>
    <row r="494" spans="4:4">
      <c r="D494" s="1728"/>
    </row>
    <row r="495" spans="4:4">
      <c r="D495" s="1728"/>
    </row>
    <row r="496" spans="4:4">
      <c r="D496" s="1728"/>
    </row>
    <row r="497" spans="4:4">
      <c r="D497" s="1728"/>
    </row>
    <row r="498" spans="4:4">
      <c r="D498" s="1728"/>
    </row>
    <row r="499" spans="4:4">
      <c r="D499" s="1728"/>
    </row>
    <row r="500" spans="4:4">
      <c r="D500" s="1728"/>
    </row>
    <row r="501" spans="4:4">
      <c r="D501" s="1728"/>
    </row>
    <row r="502" spans="4:4">
      <c r="D502" s="1728"/>
    </row>
    <row r="503" spans="4:4">
      <c r="D503" s="1728"/>
    </row>
    <row r="504" spans="4:4">
      <c r="D504" s="1728"/>
    </row>
    <row r="505" spans="4:4">
      <c r="D505" s="1728"/>
    </row>
    <row r="506" spans="4:4">
      <c r="D506" s="1728"/>
    </row>
    <row r="507" spans="4:4">
      <c r="D507" s="1728"/>
    </row>
    <row r="508" spans="4:4">
      <c r="D508" s="1728"/>
    </row>
    <row r="509" spans="4:4">
      <c r="D509" s="1728"/>
    </row>
    <row r="510" spans="4:4">
      <c r="D510" s="1728"/>
    </row>
    <row r="511" spans="4:4">
      <c r="D511" s="1728"/>
    </row>
    <row r="512" spans="4:4">
      <c r="D512" s="1728"/>
    </row>
    <row r="513" spans="4:4">
      <c r="D513" s="1728"/>
    </row>
    <row r="514" spans="4:4">
      <c r="D514" s="1728"/>
    </row>
    <row r="515" spans="4:4">
      <c r="D515" s="1728"/>
    </row>
    <row r="516" spans="4:4">
      <c r="D516" s="1728"/>
    </row>
    <row r="517" spans="4:4">
      <c r="D517" s="1728"/>
    </row>
    <row r="518" spans="4:4">
      <c r="D518" s="1728"/>
    </row>
    <row r="519" spans="4:4">
      <c r="D519" s="1728"/>
    </row>
    <row r="520" spans="4:4">
      <c r="D520" s="1728"/>
    </row>
    <row r="521" spans="4:4">
      <c r="D521" s="1728"/>
    </row>
    <row r="522" spans="4:4">
      <c r="D522" s="1728"/>
    </row>
    <row r="523" spans="4:4">
      <c r="D523" s="1728"/>
    </row>
    <row r="524" spans="4:4">
      <c r="D524" s="1728"/>
    </row>
    <row r="525" spans="4:4">
      <c r="D525" s="1728"/>
    </row>
    <row r="526" spans="4:4">
      <c r="D526" s="1728"/>
    </row>
    <row r="527" spans="4:4">
      <c r="D527" s="1728"/>
    </row>
    <row r="528" spans="4:4">
      <c r="D528" s="1728"/>
    </row>
    <row r="529" spans="4:4">
      <c r="D529" s="1728"/>
    </row>
    <row r="530" spans="4:4">
      <c r="D530" s="1728"/>
    </row>
    <row r="531" spans="4:4">
      <c r="D531" s="1728"/>
    </row>
    <row r="532" spans="4:4">
      <c r="D532" s="1728"/>
    </row>
    <row r="533" spans="4:4">
      <c r="D533" s="1728"/>
    </row>
    <row r="534" spans="4:4">
      <c r="D534" s="1728"/>
    </row>
    <row r="535" spans="4:4">
      <c r="D535" s="1728"/>
    </row>
    <row r="536" spans="4:4">
      <c r="D536" s="1728"/>
    </row>
    <row r="537" spans="4:4">
      <c r="D537" s="1728"/>
    </row>
    <row r="538" spans="4:4">
      <c r="D538" s="1728"/>
    </row>
    <row r="539" spans="4:4">
      <c r="D539" s="1728"/>
    </row>
    <row r="540" spans="4:4">
      <c r="D540" s="1728"/>
    </row>
    <row r="541" spans="4:4">
      <c r="D541" s="1728"/>
    </row>
    <row r="542" spans="4:4">
      <c r="D542" s="1728"/>
    </row>
    <row r="543" spans="4:4">
      <c r="D543" s="1728"/>
    </row>
    <row r="544" spans="4:4">
      <c r="D544" s="1728"/>
    </row>
    <row r="545" spans="4:4">
      <c r="D545" s="1728"/>
    </row>
    <row r="546" spans="4:4">
      <c r="D546" s="1728"/>
    </row>
    <row r="547" spans="4:4">
      <c r="D547" s="1728"/>
    </row>
    <row r="548" spans="4:4">
      <c r="D548" s="1728"/>
    </row>
    <row r="549" spans="4:4">
      <c r="D549" s="1728"/>
    </row>
    <row r="550" spans="4:4">
      <c r="D550" s="1728"/>
    </row>
    <row r="551" spans="4:4">
      <c r="D551" s="1728"/>
    </row>
    <row r="552" spans="4:4">
      <c r="D552" s="1728"/>
    </row>
    <row r="553" spans="4:4">
      <c r="D553" s="1728"/>
    </row>
    <row r="554" spans="4:4">
      <c r="D554" s="1728"/>
    </row>
    <row r="555" spans="4:4">
      <c r="D555" s="1728"/>
    </row>
    <row r="556" spans="4:4">
      <c r="D556" s="1728"/>
    </row>
    <row r="557" spans="4:4">
      <c r="D557" s="1728"/>
    </row>
    <row r="558" spans="4:4">
      <c r="D558" s="1728"/>
    </row>
    <row r="559" spans="4:4">
      <c r="D559" s="1728"/>
    </row>
    <row r="560" spans="4:4">
      <c r="D560" s="1728"/>
    </row>
    <row r="561" spans="4:4">
      <c r="D561" s="1728"/>
    </row>
    <row r="562" spans="4:4">
      <c r="D562" s="1728"/>
    </row>
    <row r="563" spans="4:4">
      <c r="D563" s="1728"/>
    </row>
    <row r="564" spans="4:4">
      <c r="D564" s="1728"/>
    </row>
    <row r="565" spans="4:4">
      <c r="D565" s="1728"/>
    </row>
    <row r="566" spans="4:4">
      <c r="D566" s="1728"/>
    </row>
    <row r="567" spans="4:4">
      <c r="D567" s="1728"/>
    </row>
    <row r="568" spans="4:4">
      <c r="D568" s="1728"/>
    </row>
    <row r="569" spans="4:4">
      <c r="D569" s="1728"/>
    </row>
    <row r="570" spans="4:4">
      <c r="D570" s="1728"/>
    </row>
    <row r="571" spans="4:4">
      <c r="D571" s="1728"/>
    </row>
    <row r="572" spans="4:4">
      <c r="D572" s="1728"/>
    </row>
    <row r="573" spans="4:4">
      <c r="D573" s="1728"/>
    </row>
    <row r="574" spans="4:4">
      <c r="D574" s="1728"/>
    </row>
    <row r="575" spans="4:4">
      <c r="D575" s="1728"/>
    </row>
    <row r="576" spans="4:4">
      <c r="D576" s="1728"/>
    </row>
    <row r="577" spans="4:4">
      <c r="D577" s="1728"/>
    </row>
    <row r="578" spans="4:4">
      <c r="D578" s="1728"/>
    </row>
    <row r="579" spans="4:4">
      <c r="D579" s="1728"/>
    </row>
    <row r="580" spans="4:4">
      <c r="D580" s="1728"/>
    </row>
    <row r="581" spans="4:4">
      <c r="D581" s="1728"/>
    </row>
    <row r="582" spans="4:4">
      <c r="D582" s="1728"/>
    </row>
    <row r="583" spans="4:4">
      <c r="D583" s="1728"/>
    </row>
    <row r="584" spans="4:4">
      <c r="D584" s="1728"/>
    </row>
    <row r="585" spans="4:4">
      <c r="D585" s="1728"/>
    </row>
    <row r="586" spans="4:4">
      <c r="D586" s="1728"/>
    </row>
    <row r="587" spans="4:4">
      <c r="D587" s="1728"/>
    </row>
    <row r="588" spans="4:4">
      <c r="D588" s="1728"/>
    </row>
    <row r="589" spans="4:4">
      <c r="D589" s="1728"/>
    </row>
    <row r="590" spans="4:4">
      <c r="D590" s="1728"/>
    </row>
    <row r="591" spans="4:4">
      <c r="D591" s="1728"/>
    </row>
    <row r="592" spans="4:4">
      <c r="D592" s="1728"/>
    </row>
    <row r="593" spans="4:4">
      <c r="D593" s="1728"/>
    </row>
    <row r="594" spans="4:4">
      <c r="D594" s="1728"/>
    </row>
    <row r="595" spans="4:4">
      <c r="D595" s="1728"/>
    </row>
    <row r="596" spans="4:4">
      <c r="D596" s="1728"/>
    </row>
    <row r="597" spans="4:4">
      <c r="D597" s="1728"/>
    </row>
    <row r="598" spans="4:4">
      <c r="D598" s="1728"/>
    </row>
    <row r="599" spans="4:4">
      <c r="D599" s="1728"/>
    </row>
    <row r="600" spans="4:4">
      <c r="D600" s="1728"/>
    </row>
    <row r="601" spans="4:4">
      <c r="D601" s="1728"/>
    </row>
    <row r="602" spans="4:4">
      <c r="D602" s="1728"/>
    </row>
    <row r="603" spans="4:4">
      <c r="D603" s="1728"/>
    </row>
    <row r="604" spans="4:4">
      <c r="D604" s="1728"/>
    </row>
    <row r="605" spans="4:4">
      <c r="D605" s="1728"/>
    </row>
    <row r="606" spans="4:4">
      <c r="D606" s="1728"/>
    </row>
    <row r="607" spans="4:4">
      <c r="D607" s="1728"/>
    </row>
    <row r="608" spans="4:4">
      <c r="D608" s="1728"/>
    </row>
    <row r="609" spans="4:4">
      <c r="D609" s="1728"/>
    </row>
    <row r="610" spans="4:4">
      <c r="D610" s="1728"/>
    </row>
  </sheetData>
  <autoFilter ref="A10:P191"/>
  <mergeCells count="12">
    <mergeCell ref="E194:G194"/>
    <mergeCell ref="E195:G195"/>
    <mergeCell ref="B6:H6"/>
    <mergeCell ref="B7:H7"/>
    <mergeCell ref="B8:H8"/>
    <mergeCell ref="E191:G191"/>
    <mergeCell ref="E193:G193"/>
    <mergeCell ref="A1:H1"/>
    <mergeCell ref="A2:H2"/>
    <mergeCell ref="D3:H3"/>
    <mergeCell ref="F4:G4"/>
    <mergeCell ref="B5:H5"/>
  </mergeCells>
  <conditionalFormatting sqref="A12:A188 L12:L191">
    <cfRule type="cellIs" dxfId="26" priority="3" stopIfTrue="1" operator="lessThan">
      <formula>1</formula>
    </cfRule>
  </conditionalFormatting>
  <conditionalFormatting sqref="H12:H189">
    <cfRule type="cellIs" dxfId="25" priority="4" operator="lessThanOrEqual">
      <formula>0</formula>
    </cfRule>
  </conditionalFormatting>
  <pageMargins left="0.70866141732283505" right="0.70866141732283505" top="0.643700787" bottom="0.55118110236220497" header="0.31496062992126" footer="0.31496062992126"/>
  <pageSetup paperSize="9" scale="94" orientation="landscape" r:id="rId1"/>
  <headerFooter>
    <oddHeader>&amp;CPage &amp;P of &amp;N</oddHeader>
  </headerFooter>
</worksheet>
</file>

<file path=xl/worksheets/sheet20.xml><?xml version="1.0" encoding="utf-8"?>
<worksheet xmlns="http://schemas.openxmlformats.org/spreadsheetml/2006/main" xmlns:r="http://schemas.openxmlformats.org/officeDocument/2006/relationships">
  <sheetPr codeName="Sheet23">
    <tabColor theme="9" tint="-0.249977111117893"/>
  </sheetPr>
  <dimension ref="A1:K29"/>
  <sheetViews>
    <sheetView view="pageBreakPreview" zoomScale="115" workbookViewId="0">
      <selection activeCell="E6" sqref="E6"/>
    </sheetView>
  </sheetViews>
  <sheetFormatPr defaultColWidth="9.140625" defaultRowHeight="12.75"/>
  <cols>
    <col min="1" max="1" width="5.42578125" style="1637" customWidth="1"/>
    <col min="2" max="2" width="39.42578125" style="1637" customWidth="1"/>
    <col min="3" max="3" width="20.7109375" style="1637" customWidth="1"/>
    <col min="4" max="5" width="16" style="1637" customWidth="1"/>
    <col min="6" max="6" width="9.42578125" style="1637" customWidth="1"/>
    <col min="7" max="16384" width="9.140625" style="1637"/>
  </cols>
  <sheetData>
    <row r="1" spans="1:11" ht="15" customHeight="1">
      <c r="A1" s="3555" t="s">
        <v>1172</v>
      </c>
      <c r="B1" s="3555"/>
      <c r="C1" s="3555"/>
      <c r="D1" s="3555"/>
      <c r="E1" s="3555"/>
      <c r="F1" s="3555"/>
      <c r="G1" s="3555"/>
      <c r="H1" s="1639"/>
      <c r="I1" s="1639"/>
      <c r="J1" s="1660"/>
    </row>
    <row r="2" spans="1:11" s="1634" customFormat="1" ht="15" customHeight="1">
      <c r="A2" s="3556" t="s">
        <v>1173</v>
      </c>
      <c r="B2" s="3556"/>
      <c r="C2" s="3556"/>
      <c r="D2" s="3556"/>
      <c r="E2" s="3556"/>
      <c r="F2" s="3556"/>
      <c r="G2" s="3556"/>
      <c r="H2" s="1641"/>
      <c r="I2" s="1641"/>
      <c r="J2" s="1661"/>
    </row>
    <row r="3" spans="1:11" s="1634" customFormat="1" ht="15" customHeight="1">
      <c r="A3" s="1640"/>
      <c r="B3" s="1640"/>
      <c r="C3" s="1640"/>
      <c r="D3" s="1640"/>
      <c r="E3" s="1640"/>
      <c r="F3" s="1640"/>
      <c r="G3" s="1640"/>
      <c r="H3" s="1640"/>
      <c r="I3" s="1640"/>
      <c r="J3" s="1661"/>
    </row>
    <row r="4" spans="1:11" s="1634" customFormat="1" ht="30" customHeight="1">
      <c r="A4" s="3556" t="str">
        <f>'Schedule-A'!D3</f>
        <v>R/F A to B in Wanaparthy Mandal of Wanaparthy District</v>
      </c>
      <c r="B4" s="3556"/>
      <c r="C4" s="3556"/>
      <c r="D4" s="3556"/>
      <c r="E4" s="3556"/>
      <c r="F4" s="3556"/>
      <c r="G4" s="3556"/>
      <c r="H4" s="1641"/>
      <c r="I4" s="1641"/>
      <c r="J4" s="1662"/>
    </row>
    <row r="5" spans="1:11" s="1635" customFormat="1" ht="18.75" customHeight="1">
      <c r="A5" s="1642">
        <v>1</v>
      </c>
      <c r="B5" s="3557" t="s">
        <v>628</v>
      </c>
      <c r="C5" s="3557"/>
      <c r="D5" s="1643"/>
      <c r="E5" s="1644">
        <f>GA!E13</f>
        <v>8482</v>
      </c>
      <c r="F5" s="1645"/>
      <c r="G5" s="1645"/>
      <c r="H5" s="1645"/>
      <c r="I5" s="1645"/>
    </row>
    <row r="6" spans="1:11" s="1635" customFormat="1" ht="18.75" customHeight="1">
      <c r="A6" s="1642">
        <v>2</v>
      </c>
      <c r="B6" s="3557" t="s">
        <v>1174</v>
      </c>
      <c r="C6" s="3557"/>
      <c r="D6" s="1646"/>
      <c r="E6" s="1644">
        <f>GA!E14</f>
        <v>297019</v>
      </c>
      <c r="F6" s="1645"/>
      <c r="G6" s="1645"/>
      <c r="H6" s="1645"/>
      <c r="I6" s="1645"/>
    </row>
    <row r="7" spans="1:11" s="1635" customFormat="1" ht="18.75" customHeight="1">
      <c r="A7" s="1642">
        <v>3</v>
      </c>
      <c r="B7" s="3557" t="s">
        <v>1175</v>
      </c>
      <c r="C7" s="3557"/>
      <c r="D7" s="1646"/>
      <c r="E7" s="1644">
        <f>GA!E15</f>
        <v>89106</v>
      </c>
      <c r="F7" s="1645"/>
      <c r="G7" s="1645"/>
      <c r="H7" s="1645"/>
      <c r="I7" s="1645"/>
    </row>
    <row r="8" spans="1:11" s="1635" customFormat="1" ht="18.75" customHeight="1">
      <c r="A8" s="1642">
        <v>4</v>
      </c>
      <c r="B8" s="3557" t="s">
        <v>1176</v>
      </c>
      <c r="C8" s="3557"/>
      <c r="D8" s="1646"/>
      <c r="E8" s="1644">
        <f>GA!E16</f>
        <v>5940</v>
      </c>
      <c r="F8" s="1645"/>
      <c r="G8" s="1645"/>
      <c r="H8" s="1645"/>
      <c r="I8" s="1645"/>
    </row>
    <row r="9" spans="1:11" s="1635" customFormat="1" ht="18.75" customHeight="1">
      <c r="A9" s="1642">
        <v>5</v>
      </c>
      <c r="B9" s="3557" t="s">
        <v>1177</v>
      </c>
      <c r="C9" s="3557"/>
      <c r="D9" s="1646"/>
      <c r="E9" s="1644">
        <f>GA!E19</f>
        <v>1649306</v>
      </c>
      <c r="F9" s="1645"/>
      <c r="G9" s="1645"/>
      <c r="H9" s="1645"/>
      <c r="I9" s="1645"/>
    </row>
    <row r="10" spans="1:11" s="1635" customFormat="1" ht="15">
      <c r="A10" s="1642">
        <v>6</v>
      </c>
      <c r="B10" s="1647" t="str">
        <f>GA!B17</f>
        <v>Add 0.8 times permit fee on Seign Charges</v>
      </c>
      <c r="C10" s="1648"/>
      <c r="D10" s="1646"/>
      <c r="E10" s="1644">
        <f>GA!E17</f>
        <v>237615</v>
      </c>
      <c r="F10" s="1645"/>
      <c r="G10" s="1645"/>
      <c r="H10" s="1645"/>
      <c r="I10" s="1645"/>
    </row>
    <row r="11" spans="1:11" s="1636" customFormat="1" ht="18.75" customHeight="1">
      <c r="A11" s="1649"/>
      <c r="B11" s="3558" t="s">
        <v>60</v>
      </c>
      <c r="C11" s="3559"/>
      <c r="D11" s="1650" t="s">
        <v>430</v>
      </c>
      <c r="E11" s="1651">
        <f>SUM(E5:E10)</f>
        <v>2287468</v>
      </c>
      <c r="F11" s="1652"/>
      <c r="G11" s="1652"/>
      <c r="H11" s="1652"/>
      <c r="I11" s="1652"/>
    </row>
    <row r="12" spans="1:11" ht="15.75">
      <c r="A12" s="1638"/>
      <c r="B12" s="1653"/>
      <c r="C12" s="1654"/>
      <c r="D12" s="1655"/>
      <c r="E12" s="1655"/>
      <c r="F12" s="1655"/>
      <c r="G12" s="1656"/>
      <c r="H12" s="1656"/>
      <c r="I12" s="1656"/>
      <c r="J12" s="1660"/>
    </row>
    <row r="13" spans="1:11" ht="82.15" customHeight="1">
      <c r="A13" s="1657"/>
      <c r="B13" s="3560" t="s">
        <v>1178</v>
      </c>
      <c r="C13" s="3560"/>
      <c r="D13" s="3560"/>
      <c r="E13" s="3560"/>
      <c r="F13" s="1659"/>
      <c r="G13" s="1659"/>
      <c r="H13" s="1659"/>
      <c r="I13" s="1659"/>
      <c r="J13" s="1661"/>
    </row>
    <row r="14" spans="1:11" ht="15.75">
      <c r="A14" s="1657"/>
      <c r="B14" s="1658"/>
      <c r="C14" s="1658"/>
      <c r="D14" s="3552" t="s">
        <v>1169</v>
      </c>
      <c r="E14" s="3552"/>
      <c r="F14" s="3552"/>
      <c r="G14" s="1659"/>
      <c r="H14" s="1659"/>
      <c r="I14" s="1659"/>
      <c r="J14" s="1661"/>
    </row>
    <row r="15" spans="1:11" ht="15">
      <c r="A15" s="1657"/>
      <c r="B15" s="1657"/>
      <c r="C15" s="1657"/>
      <c r="D15" s="1657"/>
      <c r="E15" s="1657"/>
      <c r="F15" s="1657"/>
      <c r="G15" s="1657"/>
      <c r="H15" s="1657"/>
      <c r="I15" s="1657"/>
      <c r="J15" s="1663"/>
    </row>
    <row r="16" spans="1:11" ht="15">
      <c r="A16" s="1657"/>
      <c r="B16" s="1657"/>
      <c r="C16" s="1657"/>
      <c r="D16" s="3567"/>
      <c r="E16" s="3567"/>
      <c r="F16" s="3567"/>
      <c r="G16" s="1657"/>
      <c r="H16" s="1657"/>
      <c r="I16" s="1657"/>
      <c r="J16" s="1664"/>
      <c r="K16" s="1665"/>
    </row>
    <row r="17" spans="1:11" ht="15" customHeight="1">
      <c r="A17" s="1657"/>
      <c r="B17" s="1657"/>
      <c r="C17" s="1657"/>
      <c r="D17" s="3552" t="s">
        <v>1170</v>
      </c>
      <c r="E17" s="3552"/>
      <c r="F17" s="3552"/>
      <c r="G17" s="1657"/>
      <c r="H17" s="1657"/>
      <c r="I17" s="1657"/>
      <c r="J17" s="1664"/>
      <c r="K17" s="1665"/>
    </row>
    <row r="18" spans="1:11" ht="15" customHeight="1">
      <c r="A18" s="1657"/>
      <c r="B18" s="1657"/>
      <c r="C18" s="1657"/>
      <c r="D18" s="3552" t="s">
        <v>1171</v>
      </c>
      <c r="E18" s="3552"/>
      <c r="F18" s="3552"/>
      <c r="G18" s="1657"/>
      <c r="H18" s="1657"/>
      <c r="I18" s="1657"/>
      <c r="J18" s="1664"/>
      <c r="K18" s="1665"/>
    </row>
    <row r="25" spans="1:11" ht="15">
      <c r="B25" s="3560"/>
      <c r="C25" s="3560"/>
      <c r="D25" s="3560"/>
      <c r="E25" s="3560"/>
    </row>
    <row r="28" spans="1:11" ht="37.9" customHeight="1">
      <c r="B28" s="3561" t="s">
        <v>1179</v>
      </c>
      <c r="C28" s="3562"/>
      <c r="D28" s="3562"/>
      <c r="E28" s="3563"/>
    </row>
    <row r="29" spans="1:11" ht="198" customHeight="1">
      <c r="B29" s="3564" t="s">
        <v>1180</v>
      </c>
      <c r="C29" s="3565"/>
      <c r="D29" s="3565"/>
      <c r="E29" s="3566"/>
    </row>
  </sheetData>
  <mergeCells count="17">
    <mergeCell ref="B28:E28"/>
    <mergeCell ref="B29:E29"/>
    <mergeCell ref="D14:F14"/>
    <mergeCell ref="D16:F16"/>
    <mergeCell ref="D17:F17"/>
    <mergeCell ref="D18:F18"/>
    <mergeCell ref="B25:E25"/>
    <mergeCell ref="B7:C7"/>
    <mergeCell ref="B8:C8"/>
    <mergeCell ref="B9:C9"/>
    <mergeCell ref="B11:C11"/>
    <mergeCell ref="B13:E13"/>
    <mergeCell ref="A1:G1"/>
    <mergeCell ref="A2:G2"/>
    <mergeCell ref="A4:G4"/>
    <mergeCell ref="B5:C5"/>
    <mergeCell ref="B6:C6"/>
  </mergeCells>
  <printOptions horizontalCentered="1"/>
  <pageMargins left="0.77" right="0.49" top="0.8" bottom="0.98425196850393704" header="0.511811023622047" footer="0.511811023622047"/>
  <pageSetup paperSize="9" orientation="landscape" verticalDpi="180" r:id="rId1"/>
  <headerFooter alignWithMargins="0"/>
</worksheet>
</file>

<file path=xl/worksheets/sheet21.xml><?xml version="1.0" encoding="utf-8"?>
<worksheet xmlns="http://schemas.openxmlformats.org/spreadsheetml/2006/main" xmlns:r="http://schemas.openxmlformats.org/officeDocument/2006/relationships">
  <sheetPr codeName="Sheet16">
    <tabColor theme="9" tint="-0.249977111117893"/>
  </sheetPr>
  <dimension ref="A1:Y104"/>
  <sheetViews>
    <sheetView view="pageBreakPreview" topLeftCell="A84" workbookViewId="0">
      <selection activeCell="J91" sqref="J91"/>
    </sheetView>
  </sheetViews>
  <sheetFormatPr defaultColWidth="8.85546875" defaultRowHeight="15"/>
  <cols>
    <col min="1" max="1" width="6.42578125" style="582" customWidth="1"/>
    <col min="2" max="2" width="21.85546875" style="584" customWidth="1"/>
    <col min="3" max="5" width="3.28515625" style="584" customWidth="1"/>
    <col min="6" max="6" width="8" style="586" customWidth="1"/>
    <col min="7" max="7" width="7.140625" style="586" customWidth="1"/>
    <col min="8" max="8" width="6.85546875" style="586" customWidth="1"/>
    <col min="9" max="9" width="9.5703125" style="586" customWidth="1"/>
    <col min="10" max="10" width="9" style="585" customWidth="1"/>
    <col min="11" max="11" width="6.140625" style="586" customWidth="1"/>
    <col min="12" max="12" width="12" style="585" customWidth="1"/>
    <col min="13" max="16" width="9.140625" style="584" hidden="1" customWidth="1"/>
    <col min="17" max="18" width="9.140625" style="584"/>
    <col min="19" max="19" width="9.28515625" style="584" customWidth="1"/>
    <col min="20" max="16384" width="8.85546875" style="584"/>
  </cols>
  <sheetData>
    <row r="1" spans="1:12" ht="21" customHeight="1">
      <c r="A1" s="3569" t="s">
        <v>2760</v>
      </c>
      <c r="B1" s="3570"/>
      <c r="C1" s="3570"/>
      <c r="D1" s="3570"/>
      <c r="E1" s="3570"/>
      <c r="F1" s="3570"/>
      <c r="G1" s="3570"/>
      <c r="H1" s="3570"/>
      <c r="I1" s="3570"/>
      <c r="J1" s="3570"/>
      <c r="K1" s="3570"/>
      <c r="L1" s="3570"/>
    </row>
    <row r="2" spans="1:12" ht="29.1" customHeight="1">
      <c r="A2" s="3571" t="s">
        <v>677</v>
      </c>
      <c r="B2" s="3571"/>
      <c r="C2" s="3572" t="str">
        <f>'Input Data'!E1</f>
        <v>R/F A to B in Wanaparthy Mandal of Wanaparthy District</v>
      </c>
      <c r="D2" s="3572"/>
      <c r="E2" s="3572"/>
      <c r="F2" s="3572"/>
      <c r="G2" s="3572"/>
      <c r="H2" s="3572"/>
      <c r="I2" s="3572"/>
      <c r="J2" s="3572"/>
      <c r="K2" s="3572"/>
      <c r="L2" s="3572"/>
    </row>
    <row r="3" spans="1:12" s="586" customFormat="1" ht="30">
      <c r="A3" s="1893" t="s">
        <v>952</v>
      </c>
      <c r="B3" s="589" t="s">
        <v>953</v>
      </c>
      <c r="C3" s="3573" t="s">
        <v>954</v>
      </c>
      <c r="D3" s="3574"/>
      <c r="E3" s="3575"/>
      <c r="F3" s="589" t="s">
        <v>180</v>
      </c>
      <c r="G3" s="589" t="s">
        <v>781</v>
      </c>
      <c r="H3" s="589" t="s">
        <v>955</v>
      </c>
      <c r="I3" s="600" t="s">
        <v>3</v>
      </c>
      <c r="J3" s="588" t="s">
        <v>5</v>
      </c>
      <c r="K3" s="588" t="s">
        <v>580</v>
      </c>
      <c r="L3" s="589" t="s">
        <v>7</v>
      </c>
    </row>
    <row r="4" spans="1:12" s="586" customFormat="1">
      <c r="A4" s="588">
        <v>1</v>
      </c>
      <c r="B4" s="588">
        <v>2</v>
      </c>
      <c r="C4" s="3576">
        <v>3</v>
      </c>
      <c r="D4" s="3576"/>
      <c r="E4" s="3576"/>
      <c r="F4" s="588">
        <v>4</v>
      </c>
      <c r="G4" s="588">
        <v>5</v>
      </c>
      <c r="H4" s="588">
        <v>6</v>
      </c>
      <c r="I4" s="588">
        <v>7</v>
      </c>
      <c r="J4" s="588">
        <v>8</v>
      </c>
      <c r="K4" s="588">
        <v>9</v>
      </c>
      <c r="L4" s="588">
        <v>10</v>
      </c>
    </row>
    <row r="5" spans="1:12" ht="113.25" customHeight="1">
      <c r="A5" s="1894">
        <v>1</v>
      </c>
      <c r="B5" s="3577" t="str">
        <f>'Road data'!B5:G5</f>
        <v>Clearing and grubbing road land including uprooting rank vegetation, grass, bushes, shrubs, saplings and trees girth up to 300 mm, removal of stumps of trees cut earlier and disposal of unserviceable materials and stacking of serviceable material to be used or auctioned, up to a lead of 1000 metres including removal and disposal of top organic soil not exceeding 150 mm in thickness by Mechanical means as per the Techinical Specification Clause 201 MoRTH 5th Revision</v>
      </c>
      <c r="C5" s="3577"/>
      <c r="D5" s="3577"/>
      <c r="E5" s="3577"/>
      <c r="F5" s="3577"/>
      <c r="G5" s="3577"/>
      <c r="H5" s="3577"/>
      <c r="I5" s="3577"/>
      <c r="J5" s="3577"/>
      <c r="K5" s="3577"/>
      <c r="L5" s="1925"/>
    </row>
    <row r="6" spans="1:12" ht="20.100000000000001" customHeight="1">
      <c r="A6" s="1896"/>
      <c r="B6" s="1897" t="s">
        <v>2783</v>
      </c>
      <c r="C6" s="1898">
        <v>1</v>
      </c>
      <c r="D6" s="1898" t="s">
        <v>956</v>
      </c>
      <c r="E6" s="1898">
        <v>2</v>
      </c>
      <c r="F6" s="1899">
        <v>1000</v>
      </c>
      <c r="G6" s="1900">
        <v>2.5</v>
      </c>
      <c r="H6" s="1900"/>
      <c r="I6" s="1926">
        <f>C6*E6*F6*G6</f>
        <v>5000</v>
      </c>
      <c r="J6" s="1917"/>
      <c r="K6" s="1897"/>
      <c r="L6" s="1927"/>
    </row>
    <row r="7" spans="1:12" ht="20.100000000000001" customHeight="1">
      <c r="A7" s="1896"/>
      <c r="B7" s="1901" t="s">
        <v>957</v>
      </c>
      <c r="C7" s="1898"/>
      <c r="D7" s="1898"/>
      <c r="E7" s="1898"/>
      <c r="F7" s="1902"/>
      <c r="G7" s="1900"/>
      <c r="H7" s="1900"/>
      <c r="I7" s="1926">
        <f>-(I6)*40%</f>
        <v>-2000</v>
      </c>
      <c r="J7" s="1917"/>
      <c r="K7" s="1897"/>
      <c r="L7" s="1927"/>
    </row>
    <row r="8" spans="1:12" ht="20.100000000000001" customHeight="1">
      <c r="A8" s="1896"/>
      <c r="B8" s="1897"/>
      <c r="C8" s="1897"/>
      <c r="D8" s="1897"/>
      <c r="E8" s="1897"/>
      <c r="F8" s="1896"/>
      <c r="G8" s="1896"/>
      <c r="H8" s="1896"/>
      <c r="I8" s="1928">
        <f>SUM(I6:I7)</f>
        <v>3000</v>
      </c>
      <c r="J8" s="1929">
        <f>'Road data'!G22</f>
        <v>3.93</v>
      </c>
      <c r="K8" s="1897">
        <v>1</v>
      </c>
      <c r="L8" s="1927">
        <f>ROUND(I8*J8,0)</f>
        <v>11790</v>
      </c>
    </row>
    <row r="9" spans="1:12" ht="20.100000000000001" customHeight="1">
      <c r="A9" s="1903"/>
      <c r="B9" s="1897"/>
      <c r="C9" s="1897"/>
      <c r="D9" s="1897"/>
      <c r="E9" s="1897"/>
      <c r="F9" s="1896"/>
      <c r="G9" s="1896"/>
      <c r="H9" s="1896"/>
      <c r="I9" s="1928" t="s">
        <v>353</v>
      </c>
      <c r="J9" s="1929"/>
      <c r="K9" s="1897" t="s">
        <v>353</v>
      </c>
      <c r="L9" s="1927"/>
    </row>
    <row r="10" spans="1:12" ht="76.5" customHeight="1">
      <c r="A10" s="1904">
        <v>2</v>
      </c>
      <c r="B10" s="3577" t="str">
        <f>'Road data'!B255:G255</f>
        <v xml:space="preserve">Scarifying the granular surface  to a depth of 50 mm by Mechanical means and re-using the scarified material with all leads and lifts  as per MoRT&amp;H (5th Revision) Specn. No.305.4.3    </v>
      </c>
      <c r="C10" s="3577"/>
      <c r="D10" s="3577"/>
      <c r="E10" s="3577"/>
      <c r="F10" s="3577"/>
      <c r="G10" s="3577"/>
      <c r="H10" s="3577"/>
      <c r="I10" s="3577"/>
      <c r="J10" s="3577"/>
      <c r="K10" s="3577"/>
      <c r="L10" s="1927"/>
    </row>
    <row r="11" spans="1:12" ht="27" customHeight="1">
      <c r="A11" s="1904"/>
      <c r="B11" s="1897" t="str">
        <f>B6</f>
        <v>0/000 to 1/00 km</v>
      </c>
      <c r="C11" s="1905">
        <v>0</v>
      </c>
      <c r="D11" s="1905" t="s">
        <v>956</v>
      </c>
      <c r="E11" s="1906">
        <v>1</v>
      </c>
      <c r="F11" s="1907">
        <v>1000</v>
      </c>
      <c r="G11" s="1907">
        <v>3.75</v>
      </c>
      <c r="H11" s="1908"/>
      <c r="I11" s="1926">
        <f>C11*E11*F11*G11</f>
        <v>0</v>
      </c>
      <c r="J11" s="1895"/>
      <c r="K11" s="1910"/>
      <c r="L11" s="1925"/>
    </row>
    <row r="12" spans="1:12" ht="19.899999999999999" customHeight="1">
      <c r="A12" s="1904"/>
      <c r="B12" s="1909"/>
      <c r="C12" s="1910"/>
      <c r="D12" s="1910"/>
      <c r="E12" s="1910"/>
      <c r="F12" s="1896"/>
      <c r="G12" s="1896"/>
      <c r="H12" s="1896"/>
      <c r="I12" s="1928">
        <f>SUM(I11)</f>
        <v>0</v>
      </c>
      <c r="J12" s="1929">
        <f>'Road data'!G270</f>
        <v>43.84</v>
      </c>
      <c r="K12" s="1897">
        <v>1</v>
      </c>
      <c r="L12" s="1927">
        <f>ROUND(I12*J12,0)</f>
        <v>0</v>
      </c>
    </row>
    <row r="13" spans="1:12" ht="14.25" customHeight="1">
      <c r="A13" s="1904"/>
      <c r="B13" s="1910"/>
      <c r="C13" s="1910"/>
      <c r="D13" s="1910"/>
      <c r="E13" s="1910"/>
      <c r="F13" s="1896"/>
      <c r="G13" s="1896"/>
      <c r="H13" s="1896"/>
      <c r="I13" s="1929" t="s">
        <v>353</v>
      </c>
      <c r="J13" s="1929"/>
      <c r="K13" s="1897" t="s">
        <v>353</v>
      </c>
      <c r="L13" s="1927"/>
    </row>
    <row r="14" spans="1:12" ht="95.25" customHeight="1">
      <c r="A14" s="1904">
        <v>2</v>
      </c>
      <c r="B14" s="3577" t="str">
        <f>'Road data'!B117:G117</f>
        <v>Excavation for roadwork in soil by mechanical means including cutting and pushing the earth to the site of Embankment  upto a lead of 100m,including trimming bottom and side slopes, in accordance with requirements of lines, grades and cross sections as per Technical sanction Clause 302.3MORD/301 MORTH including overhead charges&amp; Contractor's profit but excluding seignioarge charges for finished item of work .</v>
      </c>
      <c r="C14" s="3577"/>
      <c r="D14" s="3577"/>
      <c r="E14" s="3577"/>
      <c r="F14" s="3577"/>
      <c r="G14" s="3577"/>
      <c r="H14" s="3577"/>
      <c r="I14" s="3577"/>
      <c r="J14" s="3577"/>
      <c r="K14" s="3577"/>
      <c r="L14" s="1925"/>
    </row>
    <row r="15" spans="1:12" ht="14.25" customHeight="1">
      <c r="A15" s="1904"/>
      <c r="B15" s="1895" t="str">
        <f>B11</f>
        <v>0/000 to 1/00 km</v>
      </c>
      <c r="C15" s="1905">
        <v>0</v>
      </c>
      <c r="D15" s="1905" t="s">
        <v>956</v>
      </c>
      <c r="E15" s="1906">
        <v>2</v>
      </c>
      <c r="F15" s="1911">
        <v>2100</v>
      </c>
      <c r="G15" s="1912">
        <v>1.03</v>
      </c>
      <c r="H15" s="1912">
        <v>0.2</v>
      </c>
      <c r="I15" s="1926">
        <f>C15*E15*F15*G15</f>
        <v>0</v>
      </c>
      <c r="J15" s="1895"/>
      <c r="K15" s="1910"/>
      <c r="L15" s="1925"/>
    </row>
    <row r="16" spans="1:12" s="583" customFormat="1" ht="14.25" customHeight="1">
      <c r="A16" s="1913"/>
      <c r="B16" s="1914"/>
      <c r="C16" s="1915"/>
      <c r="D16" s="1915"/>
      <c r="E16" s="1915"/>
      <c r="F16" s="1916"/>
      <c r="G16" s="1916"/>
      <c r="H16" s="1916"/>
      <c r="I16" s="1931">
        <f>SUM(I15)</f>
        <v>0</v>
      </c>
      <c r="J16" s="1932">
        <f>'Road data'!G134</f>
        <v>127.41</v>
      </c>
      <c r="K16" s="1915">
        <v>1</v>
      </c>
      <c r="L16" s="1933">
        <f>ROUND(I16*J16,0)</f>
        <v>0</v>
      </c>
    </row>
    <row r="17" spans="1:19" ht="14.25" customHeight="1">
      <c r="A17" s="1904"/>
      <c r="B17" s="1910"/>
      <c r="C17" s="1910"/>
      <c r="D17" s="1910"/>
      <c r="E17" s="1910"/>
      <c r="F17" s="1896"/>
      <c r="G17" s="1896"/>
      <c r="H17" s="1896"/>
      <c r="I17" s="1928" t="s">
        <v>73</v>
      </c>
      <c r="J17" s="1929"/>
      <c r="K17" s="1897" t="s">
        <v>31</v>
      </c>
      <c r="L17" s="1927"/>
      <c r="S17" s="623"/>
    </row>
    <row r="18" spans="1:19" ht="133.5" customHeight="1">
      <c r="A18" s="1904">
        <v>2</v>
      </c>
      <c r="B18" s="3577" t="str">
        <f>'Road data'!B161:G161</f>
        <v>Forming Embankment with material obtained from borrowed useful earth from outside road boundary by mechanical means upto SDR with all leads and lifts including pre-watering of soil at borrow area, removal of top soil, excavation of soils at borrowed area, conveyance of soil, depositing the soil on the embankment, spreading soil, breaking clods, sectioning, grading and consolidation with 8 to 10 Tonnes Vibratory Road Roller @ OMC to meet requirement of table 300-2 of MoRT&amp;H, including  all hire and operational charges of T&amp;P, complete for finished item of work as per MoRT&amp;H specification 305 (5th revision). (The soil CBR&gt;10%, PI&lt;18% &amp; MDD&gt;1.8 g/cc)</v>
      </c>
      <c r="C18" s="3577"/>
      <c r="D18" s="3577"/>
      <c r="E18" s="3577"/>
      <c r="F18" s="3577"/>
      <c r="G18" s="3577"/>
      <c r="H18" s="3577"/>
      <c r="I18" s="3577"/>
      <c r="J18" s="3577"/>
      <c r="K18" s="3577"/>
      <c r="L18" s="1925"/>
    </row>
    <row r="19" spans="1:19" ht="14.25" customHeight="1">
      <c r="A19" s="1903"/>
      <c r="B19" s="1917"/>
      <c r="C19" s="1898"/>
      <c r="D19" s="1898"/>
      <c r="E19" s="1918"/>
      <c r="F19" s="1907"/>
      <c r="G19" s="1908"/>
      <c r="H19" s="1908"/>
      <c r="I19" s="1926">
        <f>2.5*F6</f>
        <v>2500</v>
      </c>
      <c r="J19" s="1917"/>
      <c r="K19" s="1897"/>
      <c r="L19" s="1927"/>
    </row>
    <row r="20" spans="1:19" ht="14.25" customHeight="1">
      <c r="A20" s="1896"/>
      <c r="B20" s="1897" t="s">
        <v>958</v>
      </c>
      <c r="C20" s="1897"/>
      <c r="D20" s="1897"/>
      <c r="E20" s="1897"/>
      <c r="F20" s="1896"/>
      <c r="G20" s="1896"/>
      <c r="H20" s="1896"/>
      <c r="I20" s="1928">
        <f>SUM(I19)</f>
        <v>2500</v>
      </c>
      <c r="J20" s="1929">
        <f>'Road data'!G188</f>
        <v>270.81</v>
      </c>
      <c r="K20" s="1897">
        <v>1</v>
      </c>
      <c r="L20" s="1927">
        <f>ROUND(I20*J20,0)</f>
        <v>677025</v>
      </c>
    </row>
    <row r="21" spans="1:19" ht="14.25" customHeight="1">
      <c r="A21" s="1896"/>
      <c r="B21" s="1897" t="s">
        <v>959</v>
      </c>
      <c r="C21" s="1897"/>
      <c r="D21" s="1897"/>
      <c r="E21" s="1897"/>
      <c r="F21" s="1896"/>
      <c r="G21" s="1896"/>
      <c r="H21" s="1896"/>
      <c r="I21" s="1928" t="s">
        <v>73</v>
      </c>
      <c r="J21" s="1929"/>
      <c r="K21" s="1897" t="s">
        <v>31</v>
      </c>
      <c r="L21" s="1927"/>
    </row>
    <row r="22" spans="1:19" ht="93.75" customHeight="1">
      <c r="A22" s="1894"/>
      <c r="B22" s="3577" t="str">
        <f>'Road data'!B272:G272</f>
        <v xml:space="preserve">Scarifying the existing bitumen surface  to a depth of 50 mm by Mechanical means and disposal of scarified material with all leads and lifts upto 1000 Mtrs as per MoRT&amp;H (5th Revision) Specn. No.305.4.3    </v>
      </c>
      <c r="C22" s="3577"/>
      <c r="D22" s="3577"/>
      <c r="E22" s="3577"/>
      <c r="F22" s="3577"/>
      <c r="G22" s="3577"/>
      <c r="H22" s="3577"/>
      <c r="I22" s="3577"/>
      <c r="J22" s="3577"/>
      <c r="K22" s="3577"/>
      <c r="L22" s="1925"/>
    </row>
    <row r="23" spans="1:19" ht="14.25" customHeight="1">
      <c r="A23" s="1894"/>
      <c r="B23" s="1897" t="s">
        <v>960</v>
      </c>
      <c r="C23" s="1905">
        <v>1</v>
      </c>
      <c r="D23" s="1905" t="s">
        <v>956</v>
      </c>
      <c r="E23" s="1906">
        <v>1</v>
      </c>
      <c r="F23" s="1907">
        <v>0</v>
      </c>
      <c r="G23" s="1907">
        <v>3.75</v>
      </c>
      <c r="H23" s="1908"/>
      <c r="I23" s="1926">
        <f>C23*E23*F23*G23</f>
        <v>0</v>
      </c>
      <c r="J23" s="1895"/>
      <c r="K23" s="1910"/>
      <c r="L23" s="1925"/>
    </row>
    <row r="24" spans="1:19" ht="14.25" customHeight="1">
      <c r="A24" s="1894"/>
      <c r="B24" s="1909"/>
      <c r="C24" s="1910"/>
      <c r="D24" s="1910"/>
      <c r="E24" s="1910"/>
      <c r="F24" s="1896"/>
      <c r="G24" s="1896"/>
      <c r="H24" s="1896"/>
      <c r="I24" s="1928">
        <f>SUM(I23)</f>
        <v>0</v>
      </c>
      <c r="J24" s="1929">
        <f>'Road data'!G290</f>
        <v>10.220000000000001</v>
      </c>
      <c r="K24" s="1897">
        <v>1</v>
      </c>
      <c r="L24" s="1927">
        <f>ROUND(I24*J24,0)</f>
        <v>0</v>
      </c>
    </row>
    <row r="25" spans="1:19" ht="14.25" customHeight="1">
      <c r="A25" s="1894"/>
      <c r="B25" s="1910"/>
      <c r="C25" s="1910"/>
      <c r="D25" s="1910"/>
      <c r="E25" s="1910"/>
      <c r="F25" s="1896"/>
      <c r="G25" s="1896"/>
      <c r="H25" s="1896"/>
      <c r="I25" s="1929" t="s">
        <v>353</v>
      </c>
      <c r="J25" s="1929"/>
      <c r="K25" s="1897" t="s">
        <v>353</v>
      </c>
      <c r="L25" s="1927"/>
    </row>
    <row r="26" spans="1:19" ht="87" customHeight="1">
      <c r="A26" s="1894">
        <v>3</v>
      </c>
      <c r="B26" s="3577" t="str">
        <f>'Road data'!B228:G228</f>
        <v>Construction of earthen shoulders with selective soils obtained from borrow pits with MDD of 18 KN/Cum , CBR ≥ 12%, PI &lt; 12% from approved sources, grading and consoilidation with 8 to 10 Tonnes Vibratory Road Roller @ OMC to meet requirement of MoRT&amp;H, including all hire and operational charges of T&amp;P complete for finished item of work as per MoRT&amp;H specification 305 (5th  revision)</v>
      </c>
      <c r="C26" s="3577"/>
      <c r="D26" s="3577"/>
      <c r="E26" s="3577"/>
      <c r="F26" s="3577"/>
      <c r="G26" s="3577"/>
      <c r="H26" s="3577"/>
      <c r="I26" s="3577"/>
      <c r="J26" s="3577"/>
      <c r="K26" s="3577"/>
      <c r="L26" s="1925"/>
    </row>
    <row r="27" spans="1:19" s="1891" customFormat="1" ht="14.25" customHeight="1">
      <c r="A27" s="1919"/>
      <c r="B27" s="1897" t="s">
        <v>2784</v>
      </c>
      <c r="C27" s="1898">
        <v>1</v>
      </c>
      <c r="D27" s="1898" t="s">
        <v>956</v>
      </c>
      <c r="E27" s="1918">
        <v>2</v>
      </c>
      <c r="F27" s="1907">
        <v>800</v>
      </c>
      <c r="G27" s="1908">
        <v>1.875</v>
      </c>
      <c r="H27" s="1908">
        <v>0.15</v>
      </c>
      <c r="I27" s="1926">
        <f t="shared" ref="I27:I28" si="0">ROUND(C27*E27*F27*G27*H27,2)</f>
        <v>450</v>
      </c>
      <c r="J27" s="1934"/>
      <c r="K27" s="1934" t="s">
        <v>475</v>
      </c>
      <c r="L27" s="1935"/>
    </row>
    <row r="28" spans="1:19" s="1891" customFormat="1" ht="14.25" customHeight="1">
      <c r="A28" s="1919"/>
      <c r="B28" s="1897" t="s">
        <v>2785</v>
      </c>
      <c r="C28" s="1898">
        <v>1</v>
      </c>
      <c r="D28" s="1898" t="s">
        <v>956</v>
      </c>
      <c r="E28" s="1918">
        <v>2</v>
      </c>
      <c r="F28" s="1907">
        <v>200</v>
      </c>
      <c r="G28" s="1908">
        <v>1.875</v>
      </c>
      <c r="H28" s="1908">
        <v>0.2</v>
      </c>
      <c r="I28" s="1926">
        <f t="shared" si="0"/>
        <v>150</v>
      </c>
      <c r="J28" s="1934"/>
      <c r="K28" s="1934" t="s">
        <v>476</v>
      </c>
      <c r="L28" s="1935"/>
    </row>
    <row r="29" spans="1:19" s="1891" customFormat="1" ht="14.25" customHeight="1">
      <c r="A29" s="1919"/>
      <c r="B29" s="1897"/>
      <c r="C29" s="1898"/>
      <c r="D29" s="1898"/>
      <c r="E29" s="1918"/>
      <c r="F29" s="1907"/>
      <c r="G29" s="1908"/>
      <c r="H29" s="1908"/>
      <c r="I29" s="1926"/>
      <c r="J29" s="1934"/>
      <c r="K29" s="1934"/>
      <c r="L29" s="1935"/>
    </row>
    <row r="30" spans="1:19" ht="14.25" customHeight="1">
      <c r="A30" s="1896"/>
      <c r="B30" s="1897"/>
      <c r="C30" s="1897"/>
      <c r="D30" s="1897"/>
      <c r="E30" s="1897"/>
      <c r="F30" s="1896"/>
      <c r="G30" s="1896"/>
      <c r="H30" s="1896"/>
      <c r="I30" s="1928">
        <f>SUM(I27:I29)</f>
        <v>600</v>
      </c>
      <c r="J30" s="1929">
        <f>'Road data'!G253</f>
        <v>288.3</v>
      </c>
      <c r="K30" s="1897">
        <v>1</v>
      </c>
      <c r="L30" s="1927">
        <f>ROUND(I30*J30,0)</f>
        <v>172980</v>
      </c>
    </row>
    <row r="31" spans="1:19" ht="14.25" customHeight="1">
      <c r="A31" s="1896"/>
      <c r="B31" s="1897"/>
      <c r="C31" s="1897"/>
      <c r="D31" s="1897"/>
      <c r="E31" s="1897"/>
      <c r="F31" s="1896"/>
      <c r="G31" s="1896"/>
      <c r="H31" s="1896"/>
      <c r="I31" s="1928" t="s">
        <v>73</v>
      </c>
      <c r="J31" s="1929"/>
      <c r="K31" s="1897" t="s">
        <v>31</v>
      </c>
      <c r="L31" s="1927"/>
    </row>
    <row r="32" spans="1:19" ht="124.5" customHeight="1">
      <c r="A32" s="1894">
        <v>4</v>
      </c>
      <c r="B32" s="3577" t="str">
        <f>'Road data'!B295:G295</f>
        <v>Construction of Granular sub-base by providing   HBG material confirming to Grading - VI of MoRT&amp;H (Table 400-1 &amp; 400-2) including cost, and conveyance of all materials to work site and spreading in uniform layers with motor grader or by approved means,  on prepared surface mixing by mix-in-place method with rotavator / approved means at OMC and compacting with vibratory roller to achieve CBR value minimum of 30% at 98% of dry density and PI value maximum 6, complete for finished item of work as per MoRT&amp;H Specification   401  (5th revision) including contractors profit &amp; Over head charges excluding Seignarage charges etc</v>
      </c>
      <c r="C32" s="3577"/>
      <c r="D32" s="3577"/>
      <c r="E32" s="3577"/>
      <c r="F32" s="3577"/>
      <c r="G32" s="3577"/>
      <c r="H32" s="3577"/>
      <c r="I32" s="3577"/>
      <c r="J32" s="3577"/>
      <c r="K32" s="3577"/>
      <c r="L32" s="1925"/>
    </row>
    <row r="33" spans="1:12" ht="14.25" customHeight="1">
      <c r="A33" s="1896"/>
      <c r="B33" s="1897" t="str">
        <f>B27</f>
        <v>From Km 0/0 to 0/8</v>
      </c>
      <c r="C33" s="1898">
        <v>1</v>
      </c>
      <c r="D33" s="1898" t="s">
        <v>956</v>
      </c>
      <c r="E33" s="1918">
        <v>1</v>
      </c>
      <c r="F33" s="1907">
        <v>800</v>
      </c>
      <c r="G33" s="1908">
        <v>4</v>
      </c>
      <c r="H33" s="1908">
        <v>0.17499999999999999</v>
      </c>
      <c r="I33" s="1926">
        <f t="shared" ref="I33:I35" si="1">ROUND(C33*E33*F33*G33*H33,2)</f>
        <v>560</v>
      </c>
      <c r="J33" s="1936"/>
      <c r="K33" s="2958" t="s">
        <v>475</v>
      </c>
      <c r="L33" s="1927"/>
    </row>
    <row r="34" spans="1:12" ht="14.25" customHeight="1">
      <c r="A34" s="1896"/>
      <c r="B34" s="1897" t="str">
        <f>B28</f>
        <v>From Km 0/800 to 1/000</v>
      </c>
      <c r="C34" s="1898">
        <v>1</v>
      </c>
      <c r="D34" s="1898" t="s">
        <v>956</v>
      </c>
      <c r="E34" s="1918">
        <v>1</v>
      </c>
      <c r="F34" s="1907">
        <f>F28</f>
        <v>200</v>
      </c>
      <c r="G34" s="1908">
        <v>4</v>
      </c>
      <c r="H34" s="1908">
        <v>0.1</v>
      </c>
      <c r="I34" s="1926">
        <f t="shared" si="1"/>
        <v>80</v>
      </c>
      <c r="J34" s="1934"/>
      <c r="K34" s="2958" t="s">
        <v>476</v>
      </c>
      <c r="L34" s="1927"/>
    </row>
    <row r="35" spans="1:12" ht="14.25" customHeight="1">
      <c r="A35" s="1896"/>
      <c r="B35" s="1897">
        <f>B29</f>
        <v>0</v>
      </c>
      <c r="C35" s="1898">
        <v>1</v>
      </c>
      <c r="D35" s="1898" t="s">
        <v>956</v>
      </c>
      <c r="E35" s="1918">
        <v>1</v>
      </c>
      <c r="F35" s="1907">
        <f>F29</f>
        <v>0</v>
      </c>
      <c r="G35" s="1908">
        <v>4</v>
      </c>
      <c r="H35" s="1908">
        <v>0.17499999999999999</v>
      </c>
      <c r="I35" s="1926">
        <f t="shared" si="1"/>
        <v>0</v>
      </c>
      <c r="J35" s="1934"/>
      <c r="L35" s="1927"/>
    </row>
    <row r="36" spans="1:12" ht="14.25" customHeight="1">
      <c r="A36" s="1896"/>
      <c r="B36" s="1897"/>
      <c r="C36" s="1897"/>
      <c r="D36" s="1897"/>
      <c r="E36" s="1897"/>
      <c r="F36" s="1896"/>
      <c r="G36" s="1896"/>
      <c r="H36" s="1896"/>
      <c r="I36" s="1928">
        <f>SUM(I33:I35)</f>
        <v>640</v>
      </c>
      <c r="J36" s="1929">
        <f>'Road data'!G324</f>
        <v>2686.07</v>
      </c>
      <c r="K36" s="1897">
        <v>1</v>
      </c>
      <c r="L36" s="1927">
        <f>ROUND(I36*J36,0)</f>
        <v>1719085</v>
      </c>
    </row>
    <row r="37" spans="1:12" ht="14.25" customHeight="1">
      <c r="A37" s="1896"/>
      <c r="B37" s="1897"/>
      <c r="C37" s="1897"/>
      <c r="D37" s="1897"/>
      <c r="E37" s="1897"/>
      <c r="F37" s="1896"/>
      <c r="G37" s="1896"/>
      <c r="H37" s="1896"/>
      <c r="I37" s="1928" t="s">
        <v>73</v>
      </c>
      <c r="J37" s="1929"/>
      <c r="K37" s="1897" t="s">
        <v>31</v>
      </c>
      <c r="L37" s="1927"/>
    </row>
    <row r="38" spans="1:12" ht="154.5" hidden="1" customHeight="1">
      <c r="A38" s="1894">
        <v>7</v>
      </c>
      <c r="B38" s="3577" t="str">
        <f>'Road data'!B327:G327</f>
        <v>Providing, laying, spreading and compacting stone aggregates of specific sizes  for Grading 2 material to water bound macadam specification including spreading in uniform thickness, hand packing, rolling with Vibratory  roller 80-100 kN in stages to proper grade and camber, applying and brooming, stone screening/binding materials to fill-up the interstices of coarse aggregate, watering and compacting to the required density grading 2, as directed by the Engineer-in-Charge and as per Technical Specification Clause 404 MoRT&amp;H ( 5th revision ) . For compacted thickness of 75 mm.  including all  over heads , and Contractors profit etc,But excluding VAT &amp; Seignarage charges., Complete, for WBM Grading II ( Hand Broken) HBG metal</v>
      </c>
      <c r="C38" s="3577"/>
      <c r="D38" s="3577"/>
      <c r="E38" s="3577"/>
      <c r="F38" s="3577"/>
      <c r="G38" s="3577"/>
      <c r="H38" s="3577"/>
      <c r="I38" s="3577"/>
      <c r="J38" s="3577"/>
      <c r="K38" s="3577"/>
      <c r="L38" s="1925"/>
    </row>
    <row r="39" spans="1:12" ht="14.25" hidden="1" customHeight="1">
      <c r="A39" s="1920"/>
      <c r="B39" s="1915" t="s">
        <v>961</v>
      </c>
      <c r="C39" s="1905">
        <v>1</v>
      </c>
      <c r="D39" s="1905" t="s">
        <v>956</v>
      </c>
      <c r="E39" s="1905">
        <v>1</v>
      </c>
      <c r="F39" s="1921"/>
      <c r="G39" s="1911">
        <v>3.75</v>
      </c>
      <c r="H39" s="1912">
        <v>0.1</v>
      </c>
      <c r="I39" s="1930">
        <f t="shared" ref="I39" si="2">ROUND(C39*E39*F39*G39*H39,2)</f>
        <v>0</v>
      </c>
      <c r="J39" s="1937"/>
      <c r="K39" s="1938"/>
      <c r="L39" s="1939"/>
    </row>
    <row r="40" spans="1:12" ht="14.25" hidden="1" customHeight="1">
      <c r="A40" s="1920"/>
      <c r="B40" s="1915" t="s">
        <v>961</v>
      </c>
      <c r="C40" s="1905">
        <v>1</v>
      </c>
      <c r="D40" s="1905" t="s">
        <v>956</v>
      </c>
      <c r="E40" s="1905">
        <v>1</v>
      </c>
      <c r="F40" s="1921"/>
      <c r="G40" s="1911">
        <v>3.75</v>
      </c>
      <c r="H40" s="1912">
        <v>0.15</v>
      </c>
      <c r="I40" s="1930">
        <f t="shared" ref="I40" si="3">ROUND(C40*E40*F40*G40*H40,2)</f>
        <v>0</v>
      </c>
      <c r="J40" s="1937"/>
      <c r="K40" s="1938"/>
      <c r="L40" s="1939"/>
    </row>
    <row r="41" spans="1:12" ht="14.25" hidden="1" customHeight="1">
      <c r="A41" s="1916"/>
      <c r="B41" s="1915"/>
      <c r="C41" s="1915"/>
      <c r="D41" s="1915"/>
      <c r="E41" s="1915"/>
      <c r="F41" s="1916"/>
      <c r="G41" s="1916"/>
      <c r="H41" s="1916"/>
      <c r="I41" s="1940">
        <f>SUM(I39:I40)</f>
        <v>0</v>
      </c>
      <c r="J41" s="1932">
        <f>'Road data'!G362</f>
        <v>2889.56</v>
      </c>
      <c r="K41" s="1915">
        <v>1</v>
      </c>
      <c r="L41" s="1933">
        <f>ROUND(I41*J41,0)</f>
        <v>0</v>
      </c>
    </row>
    <row r="42" spans="1:12" ht="14.25" hidden="1" customHeight="1">
      <c r="A42" s="1894"/>
      <c r="B42" s="1910"/>
      <c r="C42" s="1910"/>
      <c r="D42" s="1910"/>
      <c r="E42" s="1910"/>
      <c r="F42" s="1896"/>
      <c r="G42" s="1896"/>
      <c r="H42" s="1896"/>
      <c r="I42" s="1928" t="s">
        <v>73</v>
      </c>
      <c r="J42" s="1929"/>
      <c r="K42" s="1897" t="s">
        <v>31</v>
      </c>
      <c r="L42" s="1927"/>
    </row>
    <row r="43" spans="1:12" ht="142.5" hidden="1" customHeight="1">
      <c r="A43" s="1894">
        <v>8</v>
      </c>
      <c r="B43" s="3577" t="str">
        <f>'Road data'!B366:G366</f>
        <v>Providing, laying, spreading and compacting stone aggregates of specific sizes  for Grading 3 material to  to water bound macadam specification including spreading in uniform thickness, hand packing, rolling with Vibratory  roller 80-100 kN in stages to proper grade and camber, applying and brooming, stone screening to fill-up the interstices of coarse aggregate, watering and compacting to the required density Grading 3,  as directed by the Engineer-in-Charge and as per Technical Specification Clause 404 MoRT&amp;H ( 5th revision ) .. For compacted thickness of 75 mm.  including all  over heads , and Contractors profit  etc excluding Seignarage charges complete  for WBM Grading III ( Machine Crushed) HBG metal</v>
      </c>
      <c r="C43" s="3577"/>
      <c r="D43" s="3577"/>
      <c r="E43" s="3577"/>
      <c r="F43" s="3577"/>
      <c r="G43" s="3577"/>
      <c r="H43" s="3577"/>
      <c r="I43" s="3577"/>
      <c r="J43" s="3577"/>
      <c r="K43" s="3577"/>
      <c r="L43" s="1925"/>
    </row>
    <row r="44" spans="1:12" ht="14.25" hidden="1" customHeight="1">
      <c r="A44" s="1920"/>
      <c r="B44" s="1915" t="s">
        <v>961</v>
      </c>
      <c r="C44" s="1905">
        <v>1</v>
      </c>
      <c r="D44" s="1905" t="s">
        <v>956</v>
      </c>
      <c r="E44" s="1905">
        <v>1</v>
      </c>
      <c r="F44" s="1911">
        <v>0</v>
      </c>
      <c r="G44" s="1911">
        <v>3.75</v>
      </c>
      <c r="H44" s="1912">
        <v>0.22500000000000001</v>
      </c>
      <c r="I44" s="1930">
        <f t="shared" ref="I44" si="4">ROUND(C44*E44*F44*G44*H44,2)</f>
        <v>0</v>
      </c>
      <c r="J44" s="1937"/>
      <c r="K44" s="1938"/>
      <c r="L44" s="1939"/>
    </row>
    <row r="45" spans="1:12" ht="14.25" hidden="1" customHeight="1">
      <c r="A45" s="1920"/>
      <c r="B45" s="1909"/>
      <c r="C45" s="1905"/>
      <c r="D45" s="1905"/>
      <c r="E45" s="1905"/>
      <c r="F45" s="1922"/>
      <c r="G45" s="1923"/>
      <c r="H45" s="1923"/>
      <c r="I45" s="1930"/>
      <c r="J45" s="1937"/>
      <c r="K45" s="1938"/>
      <c r="L45" s="1939"/>
    </row>
    <row r="46" spans="1:12" ht="14.25" hidden="1" customHeight="1">
      <c r="A46" s="1916"/>
      <c r="B46" s="1915"/>
      <c r="C46" s="1915"/>
      <c r="D46" s="1915"/>
      <c r="E46" s="1915"/>
      <c r="F46" s="1916"/>
      <c r="G46" s="1916"/>
      <c r="H46" s="1916"/>
      <c r="I46" s="1940">
        <f>SUM(I44:I45)</f>
        <v>0</v>
      </c>
      <c r="J46" s="1932">
        <f>'Road data'!G398</f>
        <v>3079</v>
      </c>
      <c r="K46" s="1915">
        <v>1</v>
      </c>
      <c r="L46" s="1933">
        <f>ROUND(I46*J46,0)</f>
        <v>0</v>
      </c>
    </row>
    <row r="47" spans="1:12" ht="14.25" hidden="1" customHeight="1">
      <c r="A47" s="1894"/>
      <c r="B47" s="1910"/>
      <c r="C47" s="1910"/>
      <c r="D47" s="1910"/>
      <c r="E47" s="1910"/>
      <c r="F47" s="1896"/>
      <c r="G47" s="1896"/>
      <c r="H47" s="1896"/>
      <c r="I47" s="1928" t="s">
        <v>73</v>
      </c>
      <c r="J47" s="1929"/>
      <c r="K47" s="1897" t="s">
        <v>31</v>
      </c>
      <c r="L47" s="1927"/>
    </row>
    <row r="48" spans="1:12" ht="128.25" customHeight="1">
      <c r="A48" s="1894">
        <v>5</v>
      </c>
      <c r="B48" s="3577" t="str">
        <f>'Road data'!B400:G400</f>
        <v>Providing, laying, spreading and compacting graded stone aggregate to Wet mix macadam specification including premixing the  material with water at OMC in mechanical mixer (Pug Mill), carriage of mixed material by tipper to site, laying  in uniform layers in sub-base/base course on a well prepared sub-base and compacting with Vibratory  roller of 80 to 100kN  to achieve the desired density including lighting, barricading and maintenance of diversion, etc as directed by the Engineer-in-Charge and as per Technical Specification Clause 406 MoRT&amp;H ( 5th revision ), including overhead charges &amp; Contractor profit excluding Seignarage charges etc complete.</v>
      </c>
      <c r="C48" s="3577"/>
      <c r="D48" s="3577"/>
      <c r="E48" s="3577"/>
      <c r="F48" s="3577"/>
      <c r="G48" s="3577"/>
      <c r="H48" s="3577"/>
      <c r="I48" s="3577"/>
      <c r="J48" s="3577"/>
      <c r="K48" s="3577"/>
      <c r="L48" s="1925"/>
    </row>
    <row r="49" spans="1:12" s="1892" customFormat="1" ht="14.25" customHeight="1">
      <c r="A49" s="1919"/>
      <c r="B49" s="1897" t="str">
        <f>B33</f>
        <v>From Km 0/0 to 0/8</v>
      </c>
      <c r="C49" s="1898">
        <v>1</v>
      </c>
      <c r="D49" s="1898" t="s">
        <v>956</v>
      </c>
      <c r="E49" s="1918">
        <v>1</v>
      </c>
      <c r="F49" s="1907">
        <f>F33</f>
        <v>800</v>
      </c>
      <c r="G49" s="1908">
        <v>3.75</v>
      </c>
      <c r="H49" s="1908">
        <v>0.15</v>
      </c>
      <c r="I49" s="1926">
        <f t="shared" ref="I49:I50" si="5">ROUND(C49*E49*F49*G49*H49,2)</f>
        <v>450</v>
      </c>
      <c r="J49" s="1934"/>
      <c r="K49" s="2958" t="s">
        <v>475</v>
      </c>
      <c r="L49" s="1935"/>
    </row>
    <row r="50" spans="1:12" s="1892" customFormat="1" ht="14.25" customHeight="1">
      <c r="A50" s="1919"/>
      <c r="B50" s="1897" t="str">
        <f>B34</f>
        <v>From Km 0/800 to 1/000</v>
      </c>
      <c r="C50" s="1898">
        <v>1</v>
      </c>
      <c r="D50" s="1898" t="s">
        <v>956</v>
      </c>
      <c r="E50" s="1918">
        <v>1</v>
      </c>
      <c r="F50" s="1907">
        <f>F34</f>
        <v>200</v>
      </c>
      <c r="G50" s="1908">
        <v>3.75</v>
      </c>
      <c r="H50" s="1908">
        <v>7.4999999999999997E-2</v>
      </c>
      <c r="I50" s="1926">
        <f t="shared" si="5"/>
        <v>56.25</v>
      </c>
      <c r="J50" s="1934"/>
      <c r="K50" s="2958" t="s">
        <v>476</v>
      </c>
      <c r="L50" s="1935"/>
    </row>
    <row r="51" spans="1:12" s="1892" customFormat="1" ht="14.25" customHeight="1">
      <c r="A51" s="1919"/>
      <c r="B51" s="1897"/>
      <c r="C51" s="1898"/>
      <c r="D51" s="1898"/>
      <c r="E51" s="1918"/>
      <c r="F51" s="1907"/>
      <c r="G51" s="1908"/>
      <c r="H51" s="1908"/>
      <c r="I51" s="1926"/>
      <c r="J51" s="1934"/>
      <c r="K51" s="1934"/>
      <c r="L51" s="1935"/>
    </row>
    <row r="52" spans="1:12" ht="14.25" customHeight="1">
      <c r="A52" s="1896"/>
      <c r="B52" s="1897"/>
      <c r="C52" s="1897"/>
      <c r="D52" s="1897"/>
      <c r="E52" s="1897"/>
      <c r="F52" s="1896"/>
      <c r="G52" s="1896"/>
      <c r="H52" s="1896"/>
      <c r="I52" s="1928">
        <f>SUM(I49:I51)</f>
        <v>506.25</v>
      </c>
      <c r="J52" s="1929">
        <f>'Road data'!G431</f>
        <v>3062.5</v>
      </c>
      <c r="K52" s="1897">
        <v>1</v>
      </c>
      <c r="L52" s="1927">
        <f>ROUND(I52*J52,0)</f>
        <v>1550391</v>
      </c>
    </row>
    <row r="53" spans="1:12" ht="14.25" customHeight="1">
      <c r="A53" s="1896"/>
      <c r="B53" s="1897"/>
      <c r="C53" s="1897"/>
      <c r="D53" s="1897"/>
      <c r="E53" s="1897"/>
      <c r="F53" s="1896"/>
      <c r="G53" s="1896"/>
      <c r="H53" s="1896"/>
      <c r="I53" s="1928" t="s">
        <v>73</v>
      </c>
      <c r="J53" s="1929"/>
      <c r="K53" s="1897" t="s">
        <v>31</v>
      </c>
      <c r="L53" s="1927"/>
    </row>
    <row r="54" spans="1:12" ht="95.25" customHeight="1">
      <c r="A54" s="1894">
        <v>6</v>
      </c>
      <c r="B54" s="3577" t="str">
        <f>'Road data'!B481:G481</f>
        <v>Providing and applying primer coat with bitumen emulsion (SS-1) on prepared surface of granular base including cleaning of road surface and spraying primer at the rate of 0.60 kg/sqm using mechanical means, as directed by the Engineer-in-Charge and as per Technical Specification Clause 502 MoRT&amp;H (5th Revision)  (for use on Wet mix macadam &amp; WBM) ,including overhead charges &amp; Contractors profit excluding Seignarage charges etc complete.</v>
      </c>
      <c r="C54" s="3577"/>
      <c r="D54" s="3577"/>
      <c r="E54" s="3577"/>
      <c r="F54" s="3577"/>
      <c r="G54" s="3577"/>
      <c r="H54" s="3577"/>
      <c r="I54" s="3577"/>
      <c r="J54" s="3577"/>
      <c r="K54" s="3577"/>
      <c r="L54" s="1925"/>
    </row>
    <row r="55" spans="1:12" ht="14.25" customHeight="1">
      <c r="A55" s="1896"/>
      <c r="B55" s="1897" t="str">
        <f>B49</f>
        <v>From Km 0/0 to 0/8</v>
      </c>
      <c r="C55" s="1898">
        <f>C50</f>
        <v>1</v>
      </c>
      <c r="D55" s="1898" t="s">
        <v>956</v>
      </c>
      <c r="E55" s="1918">
        <v>1</v>
      </c>
      <c r="F55" s="1907">
        <f>F49</f>
        <v>800</v>
      </c>
      <c r="G55" s="1907">
        <f>G49</f>
        <v>3.75</v>
      </c>
      <c r="H55" s="1900"/>
      <c r="I55" s="1926">
        <f>F55*G55</f>
        <v>3000</v>
      </c>
      <c r="J55" s="1917"/>
      <c r="K55" s="1917"/>
      <c r="L55" s="1927"/>
    </row>
    <row r="56" spans="1:12" ht="14.25" customHeight="1">
      <c r="A56" s="1896"/>
      <c r="B56" s="1897">
        <f>B51</f>
        <v>0</v>
      </c>
      <c r="C56" s="1898">
        <f>C51</f>
        <v>0</v>
      </c>
      <c r="D56" s="1898" t="s">
        <v>956</v>
      </c>
      <c r="E56" s="1918">
        <v>1</v>
      </c>
      <c r="F56" s="1907">
        <f>F51</f>
        <v>0</v>
      </c>
      <c r="G56" s="1907">
        <f>G50</f>
        <v>3.75</v>
      </c>
      <c r="H56" s="1900"/>
      <c r="I56" s="1926">
        <f>F56*G56</f>
        <v>0</v>
      </c>
      <c r="J56" s="1917"/>
      <c r="K56" s="1917"/>
      <c r="L56" s="1927"/>
    </row>
    <row r="57" spans="1:12" ht="14.25" customHeight="1">
      <c r="A57" s="1896"/>
      <c r="B57" s="1897"/>
      <c r="C57" s="1897"/>
      <c r="D57" s="1897"/>
      <c r="E57" s="1897"/>
      <c r="F57" s="1896"/>
      <c r="G57" s="1896"/>
      <c r="H57" s="1896"/>
      <c r="I57" s="1928">
        <f>SUM(I55:I56)</f>
        <v>3000</v>
      </c>
      <c r="J57" s="1929">
        <f>'Road data'!G505</f>
        <v>55.37</v>
      </c>
      <c r="K57" s="1897">
        <v>1</v>
      </c>
      <c r="L57" s="1927">
        <f>ROUND(I57*J57,0)</f>
        <v>166110</v>
      </c>
    </row>
    <row r="58" spans="1:12" ht="14.25" customHeight="1">
      <c r="A58" s="1896"/>
      <c r="B58" s="1897"/>
      <c r="C58" s="1897"/>
      <c r="D58" s="1897"/>
      <c r="E58" s="1897"/>
      <c r="F58" s="1896"/>
      <c r="G58" s="1896"/>
      <c r="H58" s="1896"/>
      <c r="I58" s="1928" t="s">
        <v>353</v>
      </c>
      <c r="J58" s="1929"/>
      <c r="K58" s="1897" t="s">
        <v>353</v>
      </c>
      <c r="L58" s="1927"/>
    </row>
    <row r="59" spans="1:12" ht="87.75" customHeight="1">
      <c r="A59" s="1894">
        <v>7</v>
      </c>
      <c r="B59" s="3577" t="str">
        <f>'Road data'!B433:G433</f>
        <v>Providing and applying tack coat with Bitumen emulsion (RS-1)  using emulsion  distributor at the rate of 0.275 kg per sqm on the prepared granular surfaces treated with primer &amp; cleaned with Hydraulic broom,as directed by the Engineer-in-Charge and as per Technical Specification Clause 503 MoRT&amp;H (5th Revision), including overhead charges &amp; Contractors profit excluding Seignarage charges etc complete.</v>
      </c>
      <c r="C59" s="3577"/>
      <c r="D59" s="3577"/>
      <c r="E59" s="3577"/>
      <c r="F59" s="3577"/>
      <c r="G59" s="3577"/>
      <c r="H59" s="3577"/>
      <c r="I59" s="3577"/>
      <c r="J59" s="3577"/>
      <c r="K59" s="3577"/>
      <c r="L59" s="1925"/>
    </row>
    <row r="60" spans="1:12" ht="14.25" customHeight="1">
      <c r="A60" s="1896"/>
      <c r="B60" s="1897" t="str">
        <f>B55</f>
        <v>From Km 0/0 to 0/8</v>
      </c>
      <c r="C60" s="1898">
        <f>C55</f>
        <v>1</v>
      </c>
      <c r="D60" s="1898" t="s">
        <v>956</v>
      </c>
      <c r="E60" s="1918">
        <v>1</v>
      </c>
      <c r="F60" s="1907">
        <f>F55</f>
        <v>800</v>
      </c>
      <c r="G60" s="1907">
        <f>G55</f>
        <v>3.75</v>
      </c>
      <c r="H60" s="1900"/>
      <c r="I60" s="1926">
        <f>F60*G60</f>
        <v>3000</v>
      </c>
      <c r="J60" s="1917"/>
      <c r="K60" s="1917"/>
      <c r="L60" s="1927"/>
    </row>
    <row r="61" spans="1:12" ht="14.25" customHeight="1">
      <c r="A61" s="1896"/>
      <c r="B61" s="1897">
        <f>B56</f>
        <v>0</v>
      </c>
      <c r="C61" s="1898">
        <f>C56</f>
        <v>0</v>
      </c>
      <c r="D61" s="1898" t="s">
        <v>956</v>
      </c>
      <c r="E61" s="1918">
        <v>1</v>
      </c>
      <c r="F61" s="1907">
        <f>F56</f>
        <v>0</v>
      </c>
      <c r="G61" s="1907">
        <f>G55</f>
        <v>3.75</v>
      </c>
      <c r="H61" s="1900"/>
      <c r="I61" s="1926">
        <f>F61*G61</f>
        <v>0</v>
      </c>
      <c r="J61" s="1917"/>
      <c r="K61" s="1917"/>
      <c r="L61" s="1927"/>
    </row>
    <row r="62" spans="1:12" ht="14.25" customHeight="1">
      <c r="A62" s="1896"/>
      <c r="B62" s="1924" t="s">
        <v>962</v>
      </c>
      <c r="C62" s="1897"/>
      <c r="D62" s="1897"/>
      <c r="E62" s="1897"/>
      <c r="F62" s="1896"/>
      <c r="G62" s="1896"/>
      <c r="H62" s="1896"/>
      <c r="I62" s="1928">
        <f>SUM(I60:I61)</f>
        <v>3000</v>
      </c>
      <c r="J62" s="1929">
        <f>'Road data'!G455</f>
        <v>15.66</v>
      </c>
      <c r="K62" s="1897">
        <v>1</v>
      </c>
      <c r="L62" s="1927">
        <f>ROUND(I62*J62,0)</f>
        <v>46980</v>
      </c>
    </row>
    <row r="63" spans="1:12" ht="20.100000000000001" customHeight="1">
      <c r="A63" s="1896"/>
      <c r="B63" s="1897"/>
      <c r="C63" s="1897"/>
      <c r="D63" s="1897"/>
      <c r="E63" s="1897"/>
      <c r="F63" s="1896"/>
      <c r="G63" s="1896"/>
      <c r="H63" s="1896"/>
      <c r="I63" s="1928" t="s">
        <v>353</v>
      </c>
      <c r="J63" s="1929"/>
      <c r="K63" s="1897" t="s">
        <v>963</v>
      </c>
      <c r="L63" s="1927"/>
    </row>
    <row r="64" spans="1:12" ht="195" hidden="1" customHeight="1">
      <c r="A64" s="1894">
        <v>8</v>
      </c>
      <c r="B64" s="3577" t="str">
        <f>'Road data'!B508:G508</f>
        <v>Providing, laying and rolling of open-graded premix carpet of 20 mm thickness composed of 13.2 mm to 5.6 mm aggregates either using penetration grade bitumen 60/70 grade at the rate of 14.6 kg/10 sqm to required line, grade and level to serve as wearing course on a previously prepared base, including mixing in a Hot Mix plant of 60TPH, laying and rolling with a three wheel 80-100 kN static roller capacity, finished to required level and grades to be followed by seal coat of Type B including cost and conveyance of all materials from approved sources, , labour charges and hire and operational charges of power road roller and all other machinery, tools and plants, providing barricading for diversion of traffic, erecting red flags other incidental and operational charges etc., complete for finished item of work, as directed by the Engineer-in-Charge and as per clause 511 MoRT&amp;H (5th Revision), including overhead charges &amp; Contractors profit excluding Seignarage charges etc complete.</v>
      </c>
      <c r="C64" s="3577"/>
      <c r="D64" s="3577"/>
      <c r="E64" s="3577"/>
      <c r="F64" s="3577"/>
      <c r="G64" s="3577"/>
      <c r="H64" s="3577"/>
      <c r="I64" s="3577"/>
      <c r="J64" s="3577"/>
      <c r="K64" s="3577"/>
      <c r="L64" s="1925"/>
    </row>
    <row r="65" spans="1:12" ht="28.15" hidden="1" customHeight="1">
      <c r="A65" s="1916"/>
      <c r="B65" s="1915" t="e">
        <f>#REF!</f>
        <v>#REF!</v>
      </c>
      <c r="C65" s="1905">
        <v>1</v>
      </c>
      <c r="D65" s="1905" t="s">
        <v>956</v>
      </c>
      <c r="E65" s="1906">
        <v>1</v>
      </c>
      <c r="F65" s="1911" t="e">
        <f>#REF!</f>
        <v>#REF!</v>
      </c>
      <c r="G65" s="1923" t="e">
        <f>#REF!</f>
        <v>#REF!</v>
      </c>
      <c r="H65" s="1923"/>
      <c r="I65" s="1947"/>
      <c r="J65" s="1948"/>
      <c r="K65" s="1915"/>
      <c r="L65" s="1933"/>
    </row>
    <row r="66" spans="1:12" ht="20.45" hidden="1" customHeight="1">
      <c r="A66" s="1916"/>
      <c r="B66" s="1915"/>
      <c r="C66" s="1915"/>
      <c r="D66" s="1915"/>
      <c r="E66" s="1915"/>
      <c r="F66" s="1916"/>
      <c r="G66" s="1916"/>
      <c r="H66" s="1916"/>
      <c r="I66" s="1940">
        <f>SUM(I65:I65)</f>
        <v>0</v>
      </c>
      <c r="J66" s="1932">
        <f>'Road data'!G536</f>
        <v>147.13999999999999</v>
      </c>
      <c r="K66" s="1915">
        <v>1</v>
      </c>
      <c r="L66" s="1933">
        <f>ROUND(I66*J66,0)</f>
        <v>0</v>
      </c>
    </row>
    <row r="67" spans="1:12" ht="28.15" hidden="1" customHeight="1">
      <c r="A67" s="1894"/>
      <c r="B67" s="1910"/>
      <c r="C67" s="1910"/>
      <c r="D67" s="1910"/>
      <c r="E67" s="1910"/>
      <c r="F67" s="1896"/>
      <c r="G67" s="1896"/>
      <c r="H67" s="1896"/>
      <c r="I67" s="1928" t="s">
        <v>353</v>
      </c>
      <c r="J67" s="1929"/>
      <c r="K67" s="1897" t="s">
        <v>963</v>
      </c>
      <c r="L67" s="1927"/>
    </row>
    <row r="68" spans="1:12" ht="183.6" hidden="1" customHeight="1">
      <c r="A68" s="1894">
        <v>9</v>
      </c>
      <c r="B68" s="3577" t="str">
        <f>'Road data'!B567:G567</f>
        <v>Providing and laying bituminous premixed Seal coat (Type B) with HMP of appropriate capacity not less than 60TPH comprising of a thin application of fine aggregate premixed by mechanical means with bituminous binder of grading as defined in table 500.16 of MOST Crushed sand defined as passing through 2.36 mm sieve and retained on 180 micron seive applied @ 0.06 cum per 10 sqm.to be laid simultaneously along with the bitumunous course using 6.80 kgs of bitumen 60/70 grade for 10 sqm and rolling with power roller including of required line, level, grade to serve as wearing course on previously prepared surface and finishing to rquired level and grades including cost and conveyance of all materials from approved sources and stacking at site to departmental gauge for  premeasurements, seigniorage, labour charges and hire and operational charges of power road roller 8 to 10 tonnes capacity and all other machinery, tools and plants, providing barricading for diversion of traffic, erecting red flags other incidental and operational charges etc., complete for finished item of work as directed by the Engineer-in-Charge and as per technical specification clause 513 of MoRT&amp;H (5th Revision) Using Hot mix plant including contractors profit &amp; Over head charges excluding Seignarage charges etc complete using Mechanical means</v>
      </c>
      <c r="C68" s="3577"/>
      <c r="D68" s="3577"/>
      <c r="E68" s="3577"/>
      <c r="F68" s="3577"/>
      <c r="G68" s="3577"/>
      <c r="H68" s="3577"/>
      <c r="I68" s="3577"/>
      <c r="J68" s="3577"/>
      <c r="K68" s="3577"/>
      <c r="L68" s="1925"/>
    </row>
    <row r="69" spans="1:12" ht="20.45" hidden="1" customHeight="1">
      <c r="A69" s="1916"/>
      <c r="B69" s="1915" t="e">
        <f>B65</f>
        <v>#REF!</v>
      </c>
      <c r="C69" s="1905">
        <v>1</v>
      </c>
      <c r="D69" s="1905" t="s">
        <v>956</v>
      </c>
      <c r="E69" s="1906">
        <v>1</v>
      </c>
      <c r="F69" s="1911" t="e">
        <f>F65</f>
        <v>#REF!</v>
      </c>
      <c r="G69" s="1923" t="e">
        <f>G65</f>
        <v>#REF!</v>
      </c>
      <c r="H69" s="1923"/>
      <c r="I69" s="1947"/>
      <c r="J69" s="1948"/>
      <c r="K69" s="1915"/>
      <c r="L69" s="1933"/>
    </row>
    <row r="70" spans="1:12" ht="20.45" hidden="1" customHeight="1">
      <c r="A70" s="1916"/>
      <c r="B70" s="1915"/>
      <c r="C70" s="1915"/>
      <c r="D70" s="1915"/>
      <c r="E70" s="1915"/>
      <c r="F70" s="1916"/>
      <c r="G70" s="1916"/>
      <c r="H70" s="1916"/>
      <c r="I70" s="1940">
        <f>SUM(I69:I69)</f>
        <v>0</v>
      </c>
      <c r="J70" s="1932">
        <f>'Road data'!G593</f>
        <v>58.07</v>
      </c>
      <c r="K70" s="1915">
        <v>1</v>
      </c>
      <c r="L70" s="1933">
        <f>ROUND(I70*J70,0)</f>
        <v>0</v>
      </c>
    </row>
    <row r="71" spans="1:12" ht="20.45" hidden="1" customHeight="1">
      <c r="A71" s="1894"/>
      <c r="B71" s="1910"/>
      <c r="C71" s="1910"/>
      <c r="D71" s="1910"/>
      <c r="E71" s="1910"/>
      <c r="F71" s="1896"/>
      <c r="G71" s="1896"/>
      <c r="H71" s="1896"/>
      <c r="I71" s="1928" t="s">
        <v>353</v>
      </c>
      <c r="J71" s="1929"/>
      <c r="K71" s="1897" t="s">
        <v>963</v>
      </c>
      <c r="L71" s="1927"/>
    </row>
    <row r="72" spans="1:12" ht="157.5" customHeight="1">
      <c r="A72" s="1894">
        <v>8</v>
      </c>
      <c r="B72" s="3577" t="str">
        <f>'Road data'!B682:G682</f>
        <v xml:space="preserve">Providing  and laying 50 mm thick of Dense Graded Bituminous Macadam with  100-120 TPH batch type  hot mix plant  using HBG crushed aggregates of Grading - II as per table 500-10 of MoRT&amp;H Specification 505 (5th revision) premixed with bitumen VG-30 grade (60/70)@ 4 to 4.50% of weight of total mixture, transported to site, laid over a previously prepared surface with Mechanical Paver finisher to the required grade, level and alignment and rolled as per Clauses 501.6 and 501.7 to achieve the desired compaction for finished item of work as directed by the Engineer-in-Charge including hire and operational charges all T&amp;P and all other contingent charges necessary including  charges of all materials etc., complete and  as per MoRTH specification No. 505(5th Revision) </v>
      </c>
      <c r="C72" s="3577"/>
      <c r="D72" s="3577"/>
      <c r="E72" s="3577"/>
      <c r="F72" s="3577"/>
      <c r="G72" s="3577"/>
      <c r="H72" s="3577"/>
      <c r="I72" s="3577"/>
      <c r="J72" s="3577"/>
      <c r="K72" s="3577"/>
      <c r="L72" s="1925"/>
    </row>
    <row r="73" spans="1:12" s="583" customFormat="1" ht="24.6" customHeight="1">
      <c r="A73" s="1916"/>
      <c r="B73" s="1909" t="e">
        <f>#REF!</f>
        <v>#REF!</v>
      </c>
      <c r="C73" s="1905">
        <v>1</v>
      </c>
      <c r="D73" s="1905" t="s">
        <v>956</v>
      </c>
      <c r="E73" s="1905">
        <v>1</v>
      </c>
      <c r="F73" s="1941">
        <v>0</v>
      </c>
      <c r="G73" s="1923">
        <v>0</v>
      </c>
      <c r="H73" s="1923">
        <v>0.05</v>
      </c>
      <c r="I73" s="1930">
        <f t="shared" ref="I73" si="6">ROUND(C73*E73*F73*G73*H73,2)</f>
        <v>0</v>
      </c>
      <c r="J73" s="1948"/>
      <c r="K73" s="1915"/>
      <c r="L73" s="1933"/>
    </row>
    <row r="74" spans="1:12" s="583" customFormat="1" ht="21" customHeight="1">
      <c r="A74" s="1916"/>
      <c r="B74" s="1915"/>
      <c r="C74" s="1915"/>
      <c r="D74" s="1915"/>
      <c r="E74" s="1915"/>
      <c r="F74" s="1916"/>
      <c r="G74" s="1916"/>
      <c r="H74" s="1916"/>
      <c r="I74" s="1940">
        <f>SUM(I73:I73)</f>
        <v>0</v>
      </c>
      <c r="J74" s="1932">
        <f>'Road data'!G721</f>
        <v>9744.4699999999993</v>
      </c>
      <c r="K74" s="1915">
        <v>1</v>
      </c>
      <c r="L74" s="1933">
        <f>ROUND(I74*J74,0)</f>
        <v>0</v>
      </c>
    </row>
    <row r="75" spans="1:12" ht="25.9" customHeight="1">
      <c r="A75" s="1894"/>
      <c r="B75" s="1910"/>
      <c r="C75" s="1910"/>
      <c r="D75" s="1910"/>
      <c r="E75" s="1910"/>
      <c r="F75" s="1896"/>
      <c r="G75" s="1896"/>
      <c r="H75" s="1896"/>
      <c r="I75" s="1928" t="s">
        <v>73</v>
      </c>
      <c r="J75" s="1929"/>
      <c r="K75" s="1897" t="s">
        <v>31</v>
      </c>
      <c r="L75" s="1927"/>
    </row>
    <row r="76" spans="1:12" ht="78.75" customHeight="1">
      <c r="A76" s="1894">
        <v>9</v>
      </c>
      <c r="B76" s="3578" t="str">
        <f>'Road data'!B457:G457</f>
        <v>Providing and applying tack coat with Bitumen emulsion (RS-1)  using emulsion  distributor at the rate of 0.20 kg per sqm on the prepared Bitumenus surfaces &amp; cleaned with Hydraulic broom,as directed by the Engineer-in-Charge and as per Technical Specification Clause 503 MoRT&amp;H (5th Revision), including overhead charges &amp; Contractors profit excluding Seignarage charges etc complete.</v>
      </c>
      <c r="C76" s="3578"/>
      <c r="D76" s="3578"/>
      <c r="E76" s="3578"/>
      <c r="F76" s="3578"/>
      <c r="G76" s="3578"/>
      <c r="H76" s="3578"/>
      <c r="I76" s="3578"/>
      <c r="J76" s="3578"/>
      <c r="K76" s="3578"/>
      <c r="L76" s="1925"/>
    </row>
    <row r="77" spans="1:12" ht="22.9" customHeight="1">
      <c r="A77" s="1916"/>
      <c r="B77" s="1909" t="e">
        <f>B73</f>
        <v>#REF!</v>
      </c>
      <c r="C77" s="1905">
        <v>1</v>
      </c>
      <c r="D77" s="1905" t="s">
        <v>956</v>
      </c>
      <c r="E77" s="1905">
        <v>1</v>
      </c>
      <c r="F77" s="1942">
        <f>$F$73</f>
        <v>0</v>
      </c>
      <c r="G77" s="1923">
        <f>G73</f>
        <v>0</v>
      </c>
      <c r="H77" s="1923"/>
      <c r="I77" s="1930">
        <f>ROUND(C77*E77*F77*G77,2)</f>
        <v>0</v>
      </c>
      <c r="J77" s="1948"/>
      <c r="K77" s="1915"/>
      <c r="L77" s="1933"/>
    </row>
    <row r="78" spans="1:12" ht="19.899999999999999" customHeight="1">
      <c r="A78" s="1916"/>
      <c r="B78" s="1943" t="s">
        <v>964</v>
      </c>
      <c r="C78" s="1915"/>
      <c r="D78" s="1915"/>
      <c r="E78" s="1915"/>
      <c r="F78" s="1916"/>
      <c r="G78" s="1916"/>
      <c r="H78" s="1916"/>
      <c r="I78" s="1940">
        <f>SUM(I77:I77)</f>
        <v>0</v>
      </c>
      <c r="J78" s="1932">
        <f>'Road data'!G479</f>
        <v>11.97</v>
      </c>
      <c r="K78" s="1915">
        <v>1</v>
      </c>
      <c r="L78" s="1933">
        <f>ROUND(I78*J78,0)</f>
        <v>0</v>
      </c>
    </row>
    <row r="79" spans="1:12" ht="26.45" customHeight="1">
      <c r="A79" s="1894"/>
      <c r="B79" s="1910"/>
      <c r="C79" s="1910"/>
      <c r="D79" s="1910"/>
      <c r="E79" s="1910"/>
      <c r="F79" s="1896"/>
      <c r="G79" s="1896"/>
      <c r="H79" s="1896"/>
      <c r="I79" s="1928" t="s">
        <v>353</v>
      </c>
      <c r="J79" s="1929"/>
      <c r="K79" s="1897" t="s">
        <v>963</v>
      </c>
      <c r="L79" s="1927"/>
    </row>
    <row r="80" spans="1:12" ht="108" customHeight="1">
      <c r="A80" s="1894">
        <v>16</v>
      </c>
      <c r="B80" s="3577" t="str">
        <f>'Road data'!B808:G808</f>
        <v>Providing and laying semi dense bituminous concrete with 100-120 TPH batch type HMP producing an average output of 75 tonnes per hour using crushed aggregates of grading-II, premixed with bituminous binder 60/70 @ 4.5 to 5  per cent  of mix and filler, transporting the hot mix to work site, laying with a hydrostatic paver finisher with sensor control to the required grade, level and alignment, rolling with smooth wheeled, vibratory and tandem rollers to achieve the desired compaction as per MoRTH specification clause No. 508 (5th Revision) complete in all respects</v>
      </c>
      <c r="C80" s="3577"/>
      <c r="D80" s="3577"/>
      <c r="E80" s="3577"/>
      <c r="F80" s="3577"/>
      <c r="G80" s="3577"/>
      <c r="H80" s="3577"/>
      <c r="I80" s="3577"/>
      <c r="J80" s="3577"/>
      <c r="K80" s="3577"/>
      <c r="L80" s="1925"/>
    </row>
    <row r="81" spans="1:25" s="583" customFormat="1" ht="21" customHeight="1">
      <c r="A81" s="1916"/>
      <c r="B81" s="1909" t="e">
        <f>B73</f>
        <v>#REF!</v>
      </c>
      <c r="C81" s="1905">
        <v>1</v>
      </c>
      <c r="D81" s="1905" t="s">
        <v>956</v>
      </c>
      <c r="E81" s="1905">
        <v>1</v>
      </c>
      <c r="F81" s="1941">
        <v>0</v>
      </c>
      <c r="G81" s="1923">
        <v>3.75</v>
      </c>
      <c r="H81" s="1923">
        <v>2.5000000000000001E-2</v>
      </c>
      <c r="I81" s="1930">
        <f t="shared" ref="I81" si="7">ROUND(C81*E81*F81*G81*H81,2)</f>
        <v>0</v>
      </c>
      <c r="J81" s="1948"/>
      <c r="K81" s="1915"/>
      <c r="L81" s="1933"/>
    </row>
    <row r="82" spans="1:25" s="583" customFormat="1" ht="24" customHeight="1">
      <c r="A82" s="1916"/>
      <c r="B82" s="1915"/>
      <c r="C82" s="1915"/>
      <c r="D82" s="1915"/>
      <c r="E82" s="1915"/>
      <c r="F82" s="1916"/>
      <c r="G82" s="1916"/>
      <c r="H82" s="1916"/>
      <c r="I82" s="1940">
        <f>SUM(I81:I81)</f>
        <v>0</v>
      </c>
      <c r="J82" s="1932">
        <f>'Road data'!G845</f>
        <v>10227.82</v>
      </c>
      <c r="K82" s="1915">
        <v>1</v>
      </c>
      <c r="L82" s="1933">
        <f>ROUND(I82*J82,0)</f>
        <v>0</v>
      </c>
    </row>
    <row r="83" spans="1:25" ht="21.6" customHeight="1">
      <c r="A83" s="1894"/>
      <c r="B83" s="1910"/>
      <c r="C83" s="1910"/>
      <c r="D83" s="1910"/>
      <c r="E83" s="1910"/>
      <c r="F83" s="1896"/>
      <c r="G83" s="1896"/>
      <c r="H83" s="1896"/>
      <c r="I83" s="1928" t="s">
        <v>73</v>
      </c>
      <c r="J83" s="1929"/>
      <c r="K83" s="1897" t="s">
        <v>31</v>
      </c>
      <c r="L83" s="1927"/>
    </row>
    <row r="84" spans="1:25" ht="113.25" customHeight="1">
      <c r="A84" s="1894">
        <v>8</v>
      </c>
      <c r="B84" s="3577" t="str">
        <f>'Road data'!B766:G766</f>
        <v>Providing and laying bituminous concrete with 100-120 TPH batch type hot mix plant producing an average output of 75 tonnes per hour using crushed aggregates of grading-II premixed with bituminous binder 60/70 @ 5.4 to 5.6 percent of mix and filler with stone dust, transporting the hot mix to work site, laying with a Mechanical paver finisher to the required grade, level and alignment, rolling with smooth wheeled, vibratory and tandem rollers to achieve the desired compaction as per MORTH specification clause No. 507 complete in all respects</v>
      </c>
      <c r="C84" s="3577"/>
      <c r="D84" s="3577"/>
      <c r="E84" s="3577"/>
      <c r="F84" s="3577"/>
      <c r="G84" s="3577"/>
      <c r="H84" s="3577"/>
      <c r="I84" s="3577"/>
      <c r="J84" s="3577"/>
      <c r="K84" s="3577"/>
      <c r="L84" s="1925"/>
    </row>
    <row r="85" spans="1:25" ht="43.5" customHeight="1">
      <c r="A85" s="1896"/>
      <c r="B85" s="1897" t="str">
        <f>B60</f>
        <v>From Km 0/0 to 0/8</v>
      </c>
      <c r="C85" s="1898">
        <f>C60</f>
        <v>1</v>
      </c>
      <c r="D85" s="1898" t="s">
        <v>956</v>
      </c>
      <c r="E85" s="1898">
        <v>1</v>
      </c>
      <c r="F85" s="1899">
        <f>F60</f>
        <v>800</v>
      </c>
      <c r="G85" s="1900">
        <f>G60</f>
        <v>3.75</v>
      </c>
      <c r="H85" s="1900">
        <v>0.03</v>
      </c>
      <c r="I85" s="1926">
        <f t="shared" ref="I85:I86" si="8">ROUND(C85*E85*F85*G85*H85,2)</f>
        <v>90</v>
      </c>
      <c r="J85" s="1917"/>
      <c r="K85" s="1917"/>
      <c r="L85" s="1927"/>
    </row>
    <row r="86" spans="1:25" ht="20.100000000000001" customHeight="1">
      <c r="A86" s="1896"/>
      <c r="B86" s="1897">
        <f>B61</f>
        <v>0</v>
      </c>
      <c r="C86" s="1898">
        <f>C61</f>
        <v>0</v>
      </c>
      <c r="D86" s="1898" t="s">
        <v>956</v>
      </c>
      <c r="E86" s="1898">
        <v>1</v>
      </c>
      <c r="F86" s="1899">
        <f>F61</f>
        <v>0</v>
      </c>
      <c r="G86" s="1900">
        <f>G61</f>
        <v>3.75</v>
      </c>
      <c r="H86" s="1900">
        <v>0.03</v>
      </c>
      <c r="I86" s="1926">
        <f t="shared" si="8"/>
        <v>0</v>
      </c>
      <c r="J86" s="1917"/>
      <c r="K86" s="1917"/>
      <c r="L86" s="1927"/>
    </row>
    <row r="87" spans="1:25" ht="20.100000000000001" customHeight="1">
      <c r="A87" s="1896"/>
      <c r="B87" s="1897"/>
      <c r="C87" s="1897"/>
      <c r="D87" s="1897"/>
      <c r="E87" s="1897"/>
      <c r="F87" s="1896"/>
      <c r="G87" s="1896"/>
      <c r="H87" s="1896"/>
      <c r="I87" s="1928">
        <f>SUM(I85:I86)</f>
        <v>90</v>
      </c>
      <c r="J87" s="1929">
        <f>'Road data'!G806</f>
        <v>10932.2</v>
      </c>
      <c r="K87" s="1897">
        <v>1</v>
      </c>
      <c r="L87" s="1927">
        <f>ROUND(I87*J87,0)</f>
        <v>983898</v>
      </c>
    </row>
    <row r="88" spans="1:25" ht="20.100000000000001" customHeight="1">
      <c r="A88" s="1896"/>
      <c r="B88" s="1897"/>
      <c r="C88" s="1897"/>
      <c r="D88" s="1897"/>
      <c r="E88" s="1897"/>
      <c r="F88" s="1896"/>
      <c r="G88" s="1896"/>
      <c r="H88" s="1896"/>
      <c r="I88" s="1928" t="s">
        <v>73</v>
      </c>
      <c r="J88" s="1929"/>
      <c r="K88" s="1897" t="s">
        <v>31</v>
      </c>
      <c r="L88" s="1927"/>
    </row>
    <row r="89" spans="1:25" ht="217.5" customHeight="1">
      <c r="A89" s="1894">
        <v>9</v>
      </c>
      <c r="B89" s="3577" t="str">
        <f>'Road data'!B595:G595</f>
        <v>Construction of  dowel jointed un-reinforced, expansion and construction joint plain cement concrete pavement, thickness as per design, over a prepared sub base, with 43 grade cement or any other type as per Clause 1501.2.2 M30 (Grade), coarse and fine aggregates (Natural sand 50%+Manufactured sand(Rock Sand)50% ) conforming to IS : 383, mixed in a concrete mixer of not less than 0.2 cum capacity and appropriate weigh batcher using approved mix design, laid in approved fixed side formwork (steel channel, laying and fixing of 125 micron thick polythene film, wedges, steel plates including levelling the formwork as per drawing), spreading the concrete with sholvels, rakes, compacted using needle, screed and plate vibrators and finished in continuous operation including provision of contraction and expansion and  construction joints, applying primer, sealant, admixtures as approved, curing of concrete slabs for 14- days, curing compound (where specified) and water finishing to lines and grade as per drawing  and Technical Specification Clause 1501 MORD including overhead charges &amp; Contractors profit excluding Seignarage charges etc complete.</v>
      </c>
      <c r="C89" s="3577"/>
      <c r="D89" s="3577"/>
      <c r="E89" s="3577"/>
      <c r="F89" s="3577"/>
      <c r="G89" s="3577"/>
      <c r="H89" s="3577"/>
      <c r="I89" s="3577"/>
      <c r="J89" s="3577"/>
      <c r="K89" s="3577"/>
      <c r="L89" s="1927"/>
      <c r="R89" s="3568" t="str">
        <f>'[3]Datas P7'!$C$315</f>
        <v>Construction of  un-reinforced, dowel jointed at expansion and construction joint only, plain cement concrete pavement, thickness as per design, over a prepared sub base, with 43 grade cement or any other type as per Clause 1501.2.2 M20 (Grade), coarse and fine aggregates conforming to IS : 383, maximum in a concrete mixer of not less than 0.2 cum capacity and appropeiate weigh batcher using approved mix design, laid in approved fixed side formwork (steel channel, laying and fixing of 125 mictron thick polythene film, wedges, steel plates including levelling the formwork as per drawing), spreading the concrete with sholvels, rakes, compacted using needle, scareed and plate vibrators and finished in continuous operation including provision of contraction and expansion, construction joints, applying debonding strips, primer, sealant, dowel bars, near approaches to bridge / culvert and construction joints, admixtures as approved, curing of concrete slabs for 14- days, curing compound (where specified) and water finishing to lines and grade as per drawing  and Technical Specification Clause 1501 MORD.</v>
      </c>
      <c r="S89" s="3568"/>
      <c r="T89" s="3568"/>
      <c r="U89" s="3568"/>
      <c r="V89" s="3568"/>
      <c r="W89" s="3568"/>
      <c r="X89" s="3568"/>
      <c r="Y89" s="3568"/>
    </row>
    <row r="90" spans="1:25" s="1892" customFormat="1" ht="20.100000000000001" customHeight="1">
      <c r="A90" s="1919"/>
      <c r="B90" s="1897" t="str">
        <f>B50</f>
        <v>From Km 0/800 to 1/000</v>
      </c>
      <c r="C90" s="1898">
        <v>1</v>
      </c>
      <c r="D90" s="1898" t="s">
        <v>956</v>
      </c>
      <c r="E90" s="1898">
        <v>1</v>
      </c>
      <c r="F90" s="1944">
        <f>F50</f>
        <v>200</v>
      </c>
      <c r="G90" s="1945">
        <v>3.75</v>
      </c>
      <c r="H90" s="1900">
        <v>0.2</v>
      </c>
      <c r="I90" s="1926">
        <f t="shared" ref="I90" si="9">ROUND(C90*E90*F90*G90*H90,2)</f>
        <v>150</v>
      </c>
      <c r="J90" s="1949"/>
      <c r="K90" s="1898"/>
      <c r="L90" s="1950"/>
    </row>
    <row r="91" spans="1:25" ht="20.100000000000001" customHeight="1">
      <c r="A91" s="1896"/>
      <c r="B91" s="1897"/>
      <c r="C91" s="1897"/>
      <c r="D91" s="1897"/>
      <c r="E91" s="1897"/>
      <c r="F91" s="1896"/>
      <c r="G91" s="1896"/>
      <c r="H91" s="1896"/>
      <c r="I91" s="1928">
        <f>SUM(I90:I90)</f>
        <v>150</v>
      </c>
      <c r="J91" s="1928">
        <f>'Road data'!G646</f>
        <v>7502.51</v>
      </c>
      <c r="K91" s="1897">
        <v>1</v>
      </c>
      <c r="L91" s="1928">
        <f>ROUND(I91*J91,0)</f>
        <v>1125377</v>
      </c>
    </row>
    <row r="92" spans="1:25" ht="20.100000000000001" customHeight="1">
      <c r="A92" s="588"/>
      <c r="B92" s="589"/>
      <c r="C92" s="589"/>
      <c r="D92" s="589"/>
      <c r="E92" s="589"/>
      <c r="F92" s="588"/>
      <c r="G92" s="588"/>
      <c r="H92" s="588"/>
      <c r="I92" s="1951" t="s">
        <v>73</v>
      </c>
      <c r="J92" s="1952"/>
      <c r="K92" s="589" t="s">
        <v>73</v>
      </c>
      <c r="L92" s="604"/>
    </row>
    <row r="93" spans="1:25" ht="27" customHeight="1">
      <c r="A93" s="588"/>
      <c r="B93" s="589"/>
      <c r="C93" s="589"/>
      <c r="D93" s="589"/>
      <c r="E93" s="589"/>
      <c r="F93" s="588"/>
      <c r="G93" s="588"/>
      <c r="H93" s="588"/>
      <c r="I93" s="1952"/>
      <c r="J93" s="1952" t="s">
        <v>60</v>
      </c>
      <c r="K93" s="589"/>
      <c r="L93" s="604">
        <f>SUM(L5:L92)</f>
        <v>6453636</v>
      </c>
    </row>
    <row r="97" spans="5:11">
      <c r="E97" s="3579" t="str">
        <f>GA!B34</f>
        <v>Assistant Engineer,</v>
      </c>
      <c r="F97" s="3579"/>
      <c r="G97" s="3579"/>
      <c r="I97" s="3579" t="s">
        <v>791</v>
      </c>
      <c r="J97" s="3579"/>
      <c r="K97" s="3579"/>
    </row>
    <row r="98" spans="5:11">
      <c r="E98" s="3580" t="str">
        <f>+GA!$B$35</f>
        <v>PRSD, Wanaparthy</v>
      </c>
      <c r="F98" s="3580"/>
      <c r="G98" s="3580"/>
      <c r="I98" s="3580" t="str">
        <f>+GA!$C$35</f>
        <v>PRSD, Wanaparthy</v>
      </c>
      <c r="J98" s="3580"/>
      <c r="K98" s="3580"/>
    </row>
    <row r="99" spans="5:11" ht="18" customHeight="1">
      <c r="F99" s="1866"/>
      <c r="I99" s="1866"/>
      <c r="J99" s="1860"/>
    </row>
    <row r="100" spans="5:11" ht="18" customHeight="1">
      <c r="F100" s="1866"/>
      <c r="I100" s="1866"/>
      <c r="J100" s="1860"/>
    </row>
    <row r="101" spans="5:11" ht="13.5" customHeight="1">
      <c r="F101" s="1946" t="s">
        <v>906</v>
      </c>
      <c r="I101" s="3580" t="s">
        <v>685</v>
      </c>
      <c r="J101" s="3580"/>
      <c r="K101" s="3580"/>
    </row>
    <row r="102" spans="5:11">
      <c r="E102" s="3580" t="str">
        <f>+GA!$B$38</f>
        <v>PIU, Wanaparthy</v>
      </c>
      <c r="F102" s="3580"/>
      <c r="G102" s="3580"/>
      <c r="I102" s="3581" t="str">
        <f>+GA!$C$38</f>
        <v>PR, Circle, Warangal</v>
      </c>
      <c r="J102" s="3581"/>
      <c r="K102" s="3581"/>
    </row>
    <row r="103" spans="5:11">
      <c r="I103" s="3580"/>
      <c r="J103" s="3580"/>
    </row>
    <row r="104" spans="5:11">
      <c r="I104" s="3581"/>
      <c r="J104" s="3581"/>
    </row>
  </sheetData>
  <protectedRanges>
    <protectedRange sqref="E97 F99:F101" name="Range4"/>
    <protectedRange sqref="J104 I103:J103 I97:J97 I99:J101" name="Range4_1"/>
    <protectedRange sqref="E98" name="Range4_2"/>
    <protectedRange sqref="I98:J98" name="Range4_3"/>
    <protectedRange sqref="E102" name="Range4_4"/>
    <protectedRange sqref="J102" name="Range4_5"/>
  </protectedRanges>
  <mergeCells count="34">
    <mergeCell ref="I103:J103"/>
    <mergeCell ref="I104:J104"/>
    <mergeCell ref="E98:G98"/>
    <mergeCell ref="I98:K98"/>
    <mergeCell ref="I101:K101"/>
    <mergeCell ref="E102:G102"/>
    <mergeCell ref="I102:K102"/>
    <mergeCell ref="B76:K76"/>
    <mergeCell ref="B80:K80"/>
    <mergeCell ref="B84:K84"/>
    <mergeCell ref="B89:K89"/>
    <mergeCell ref="E97:G97"/>
    <mergeCell ref="I97:K97"/>
    <mergeCell ref="B54:K54"/>
    <mergeCell ref="B59:K59"/>
    <mergeCell ref="B64:K64"/>
    <mergeCell ref="B68:K68"/>
    <mergeCell ref="B72:K72"/>
    <mergeCell ref="R89:Y89"/>
    <mergeCell ref="A1:L1"/>
    <mergeCell ref="A2:B2"/>
    <mergeCell ref="C2:L2"/>
    <mergeCell ref="C3:E3"/>
    <mergeCell ref="C4:E4"/>
    <mergeCell ref="B5:K5"/>
    <mergeCell ref="B10:K10"/>
    <mergeCell ref="B14:K14"/>
    <mergeCell ref="B18:K18"/>
    <mergeCell ref="B22:K22"/>
    <mergeCell ref="B26:K26"/>
    <mergeCell ref="B32:K32"/>
    <mergeCell ref="B38:K38"/>
    <mergeCell ref="B43:K43"/>
    <mergeCell ref="B48:K48"/>
  </mergeCells>
  <printOptions horizontalCentered="1"/>
  <pageMargins left="0.59055118110236204" right="0.196850393700787" top="0.59055118110236204" bottom="0.39370078740157499" header="0.31496062992126" footer="0.23622047244094499"/>
  <pageSetup paperSize="9" orientation="portrait" r:id="rId1"/>
</worksheet>
</file>

<file path=xl/worksheets/sheet22.xml><?xml version="1.0" encoding="utf-8"?>
<worksheet xmlns="http://schemas.openxmlformats.org/spreadsheetml/2006/main" xmlns:r="http://schemas.openxmlformats.org/officeDocument/2006/relationships">
  <sheetPr codeName="Sheet36">
    <tabColor rgb="FF008000"/>
  </sheetPr>
  <dimension ref="A1:K32"/>
  <sheetViews>
    <sheetView view="pageBreakPreview" topLeftCell="A10" zoomScale="130" workbookViewId="0">
      <selection activeCell="D16" sqref="D16"/>
    </sheetView>
  </sheetViews>
  <sheetFormatPr defaultColWidth="8" defaultRowHeight="15"/>
  <cols>
    <col min="1" max="1" width="6.5703125" style="1860" customWidth="1"/>
    <col min="2" max="2" width="46.28515625" style="1866" customWidth="1"/>
    <col min="3" max="3" width="8.42578125" style="1866" customWidth="1"/>
    <col min="4" max="4" width="15" style="1866" customWidth="1"/>
    <col min="5" max="5" width="17.28515625" style="1860" customWidth="1"/>
    <col min="6" max="6" width="16.28515625" style="1866" customWidth="1"/>
    <col min="7" max="7" width="14.85546875" style="1860" customWidth="1"/>
    <col min="8" max="256" width="8" style="1866"/>
    <col min="257" max="257" width="6.5703125" style="1866" customWidth="1"/>
    <col min="258" max="258" width="46.28515625" style="1866" customWidth="1"/>
    <col min="259" max="259" width="8.42578125" style="1866" customWidth="1"/>
    <col min="260" max="260" width="15" style="1866" customWidth="1"/>
    <col min="261" max="261" width="17.28515625" style="1866" customWidth="1"/>
    <col min="262" max="262" width="16.28515625" style="1866" customWidth="1"/>
    <col min="263" max="263" width="14.85546875" style="1866" customWidth="1"/>
    <col min="264" max="512" width="8" style="1866"/>
    <col min="513" max="513" width="6.5703125" style="1866" customWidth="1"/>
    <col min="514" max="514" width="46.28515625" style="1866" customWidth="1"/>
    <col min="515" max="515" width="8.42578125" style="1866" customWidth="1"/>
    <col min="516" max="516" width="15" style="1866" customWidth="1"/>
    <col min="517" max="517" width="17.28515625" style="1866" customWidth="1"/>
    <col min="518" max="518" width="16.28515625" style="1866" customWidth="1"/>
    <col min="519" max="519" width="14.85546875" style="1866" customWidth="1"/>
    <col min="520" max="768" width="8" style="1866"/>
    <col min="769" max="769" width="6.5703125" style="1866" customWidth="1"/>
    <col min="770" max="770" width="46.28515625" style="1866" customWidth="1"/>
    <col min="771" max="771" width="8.42578125" style="1866" customWidth="1"/>
    <col min="772" max="772" width="15" style="1866" customWidth="1"/>
    <col min="773" max="773" width="17.28515625" style="1866" customWidth="1"/>
    <col min="774" max="774" width="16.28515625" style="1866" customWidth="1"/>
    <col min="775" max="775" width="14.85546875" style="1866" customWidth="1"/>
    <col min="776" max="1024" width="8" style="1866"/>
    <col min="1025" max="1025" width="6.5703125" style="1866" customWidth="1"/>
    <col min="1026" max="1026" width="46.28515625" style="1866" customWidth="1"/>
    <col min="1027" max="1027" width="8.42578125" style="1866" customWidth="1"/>
    <col min="1028" max="1028" width="15" style="1866" customWidth="1"/>
    <col min="1029" max="1029" width="17.28515625" style="1866" customWidth="1"/>
    <col min="1030" max="1030" width="16.28515625" style="1866" customWidth="1"/>
    <col min="1031" max="1031" width="14.85546875" style="1866" customWidth="1"/>
    <col min="1032" max="1280" width="8" style="1866"/>
    <col min="1281" max="1281" width="6.5703125" style="1866" customWidth="1"/>
    <col min="1282" max="1282" width="46.28515625" style="1866" customWidth="1"/>
    <col min="1283" max="1283" width="8.42578125" style="1866" customWidth="1"/>
    <col min="1284" max="1284" width="15" style="1866" customWidth="1"/>
    <col min="1285" max="1285" width="17.28515625" style="1866" customWidth="1"/>
    <col min="1286" max="1286" width="16.28515625" style="1866" customWidth="1"/>
    <col min="1287" max="1287" width="14.85546875" style="1866" customWidth="1"/>
    <col min="1288" max="1536" width="8" style="1866"/>
    <col min="1537" max="1537" width="6.5703125" style="1866" customWidth="1"/>
    <col min="1538" max="1538" width="46.28515625" style="1866" customWidth="1"/>
    <col min="1539" max="1539" width="8.42578125" style="1866" customWidth="1"/>
    <col min="1540" max="1540" width="15" style="1866" customWidth="1"/>
    <col min="1541" max="1541" width="17.28515625" style="1866" customWidth="1"/>
    <col min="1542" max="1542" width="16.28515625" style="1866" customWidth="1"/>
    <col min="1543" max="1543" width="14.85546875" style="1866" customWidth="1"/>
    <col min="1544" max="1792" width="8" style="1866"/>
    <col min="1793" max="1793" width="6.5703125" style="1866" customWidth="1"/>
    <col min="1794" max="1794" width="46.28515625" style="1866" customWidth="1"/>
    <col min="1795" max="1795" width="8.42578125" style="1866" customWidth="1"/>
    <col min="1796" max="1796" width="15" style="1866" customWidth="1"/>
    <col min="1797" max="1797" width="17.28515625" style="1866" customWidth="1"/>
    <col min="1798" max="1798" width="16.28515625" style="1866" customWidth="1"/>
    <col min="1799" max="1799" width="14.85546875" style="1866" customWidth="1"/>
    <col min="1800" max="2048" width="8" style="1866"/>
    <col min="2049" max="2049" width="6.5703125" style="1866" customWidth="1"/>
    <col min="2050" max="2050" width="46.28515625" style="1866" customWidth="1"/>
    <col min="2051" max="2051" width="8.42578125" style="1866" customWidth="1"/>
    <col min="2052" max="2052" width="15" style="1866" customWidth="1"/>
    <col min="2053" max="2053" width="17.28515625" style="1866" customWidth="1"/>
    <col min="2054" max="2054" width="16.28515625" style="1866" customWidth="1"/>
    <col min="2055" max="2055" width="14.85546875" style="1866" customWidth="1"/>
    <col min="2056" max="2304" width="8" style="1866"/>
    <col min="2305" max="2305" width="6.5703125" style="1866" customWidth="1"/>
    <col min="2306" max="2306" width="46.28515625" style="1866" customWidth="1"/>
    <col min="2307" max="2307" width="8.42578125" style="1866" customWidth="1"/>
    <col min="2308" max="2308" width="15" style="1866" customWidth="1"/>
    <col min="2309" max="2309" width="17.28515625" style="1866" customWidth="1"/>
    <col min="2310" max="2310" width="16.28515625" style="1866" customWidth="1"/>
    <col min="2311" max="2311" width="14.85546875" style="1866" customWidth="1"/>
    <col min="2312" max="2560" width="8" style="1866"/>
    <col min="2561" max="2561" width="6.5703125" style="1866" customWidth="1"/>
    <col min="2562" max="2562" width="46.28515625" style="1866" customWidth="1"/>
    <col min="2563" max="2563" width="8.42578125" style="1866" customWidth="1"/>
    <col min="2564" max="2564" width="15" style="1866" customWidth="1"/>
    <col min="2565" max="2565" width="17.28515625" style="1866" customWidth="1"/>
    <col min="2566" max="2566" width="16.28515625" style="1866" customWidth="1"/>
    <col min="2567" max="2567" width="14.85546875" style="1866" customWidth="1"/>
    <col min="2568" max="2816" width="8" style="1866"/>
    <col min="2817" max="2817" width="6.5703125" style="1866" customWidth="1"/>
    <col min="2818" max="2818" width="46.28515625" style="1866" customWidth="1"/>
    <col min="2819" max="2819" width="8.42578125" style="1866" customWidth="1"/>
    <col min="2820" max="2820" width="15" style="1866" customWidth="1"/>
    <col min="2821" max="2821" width="17.28515625" style="1866" customWidth="1"/>
    <col min="2822" max="2822" width="16.28515625" style="1866" customWidth="1"/>
    <col min="2823" max="2823" width="14.85546875" style="1866" customWidth="1"/>
    <col min="2824" max="3072" width="8" style="1866"/>
    <col min="3073" max="3073" width="6.5703125" style="1866" customWidth="1"/>
    <col min="3074" max="3074" width="46.28515625" style="1866" customWidth="1"/>
    <col min="3075" max="3075" width="8.42578125" style="1866" customWidth="1"/>
    <col min="3076" max="3076" width="15" style="1866" customWidth="1"/>
    <col min="3077" max="3077" width="17.28515625" style="1866" customWidth="1"/>
    <col min="3078" max="3078" width="16.28515625" style="1866" customWidth="1"/>
    <col min="3079" max="3079" width="14.85546875" style="1866" customWidth="1"/>
    <col min="3080" max="3328" width="8" style="1866"/>
    <col min="3329" max="3329" width="6.5703125" style="1866" customWidth="1"/>
    <col min="3330" max="3330" width="46.28515625" style="1866" customWidth="1"/>
    <col min="3331" max="3331" width="8.42578125" style="1866" customWidth="1"/>
    <col min="3332" max="3332" width="15" style="1866" customWidth="1"/>
    <col min="3333" max="3333" width="17.28515625" style="1866" customWidth="1"/>
    <col min="3334" max="3334" width="16.28515625" style="1866" customWidth="1"/>
    <col min="3335" max="3335" width="14.85546875" style="1866" customWidth="1"/>
    <col min="3336" max="3584" width="8" style="1866"/>
    <col min="3585" max="3585" width="6.5703125" style="1866" customWidth="1"/>
    <col min="3586" max="3586" width="46.28515625" style="1866" customWidth="1"/>
    <col min="3587" max="3587" width="8.42578125" style="1866" customWidth="1"/>
    <col min="3588" max="3588" width="15" style="1866" customWidth="1"/>
    <col min="3589" max="3589" width="17.28515625" style="1866" customWidth="1"/>
    <col min="3590" max="3590" width="16.28515625" style="1866" customWidth="1"/>
    <col min="3591" max="3591" width="14.85546875" style="1866" customWidth="1"/>
    <col min="3592" max="3840" width="8" style="1866"/>
    <col min="3841" max="3841" width="6.5703125" style="1866" customWidth="1"/>
    <col min="3842" max="3842" width="46.28515625" style="1866" customWidth="1"/>
    <col min="3843" max="3843" width="8.42578125" style="1866" customWidth="1"/>
    <col min="3844" max="3844" width="15" style="1866" customWidth="1"/>
    <col min="3845" max="3845" width="17.28515625" style="1866" customWidth="1"/>
    <col min="3846" max="3846" width="16.28515625" style="1866" customWidth="1"/>
    <col min="3847" max="3847" width="14.85546875" style="1866" customWidth="1"/>
    <col min="3848" max="4096" width="8" style="1866"/>
    <col min="4097" max="4097" width="6.5703125" style="1866" customWidth="1"/>
    <col min="4098" max="4098" width="46.28515625" style="1866" customWidth="1"/>
    <col min="4099" max="4099" width="8.42578125" style="1866" customWidth="1"/>
    <col min="4100" max="4100" width="15" style="1866" customWidth="1"/>
    <col min="4101" max="4101" width="17.28515625" style="1866" customWidth="1"/>
    <col min="4102" max="4102" width="16.28515625" style="1866" customWidth="1"/>
    <col min="4103" max="4103" width="14.85546875" style="1866" customWidth="1"/>
    <col min="4104" max="4352" width="8" style="1866"/>
    <col min="4353" max="4353" width="6.5703125" style="1866" customWidth="1"/>
    <col min="4354" max="4354" width="46.28515625" style="1866" customWidth="1"/>
    <col min="4355" max="4355" width="8.42578125" style="1866" customWidth="1"/>
    <col min="4356" max="4356" width="15" style="1866" customWidth="1"/>
    <col min="4357" max="4357" width="17.28515625" style="1866" customWidth="1"/>
    <col min="4358" max="4358" width="16.28515625" style="1866" customWidth="1"/>
    <col min="4359" max="4359" width="14.85546875" style="1866" customWidth="1"/>
    <col min="4360" max="4608" width="8" style="1866"/>
    <col min="4609" max="4609" width="6.5703125" style="1866" customWidth="1"/>
    <col min="4610" max="4610" width="46.28515625" style="1866" customWidth="1"/>
    <col min="4611" max="4611" width="8.42578125" style="1866" customWidth="1"/>
    <col min="4612" max="4612" width="15" style="1866" customWidth="1"/>
    <col min="4613" max="4613" width="17.28515625" style="1866" customWidth="1"/>
    <col min="4614" max="4614" width="16.28515625" style="1866" customWidth="1"/>
    <col min="4615" max="4615" width="14.85546875" style="1866" customWidth="1"/>
    <col min="4616" max="4864" width="8" style="1866"/>
    <col min="4865" max="4865" width="6.5703125" style="1866" customWidth="1"/>
    <col min="4866" max="4866" width="46.28515625" style="1866" customWidth="1"/>
    <col min="4867" max="4867" width="8.42578125" style="1866" customWidth="1"/>
    <col min="4868" max="4868" width="15" style="1866" customWidth="1"/>
    <col min="4869" max="4869" width="17.28515625" style="1866" customWidth="1"/>
    <col min="4870" max="4870" width="16.28515625" style="1866" customWidth="1"/>
    <col min="4871" max="4871" width="14.85546875" style="1866" customWidth="1"/>
    <col min="4872" max="5120" width="8" style="1866"/>
    <col min="5121" max="5121" width="6.5703125" style="1866" customWidth="1"/>
    <col min="5122" max="5122" width="46.28515625" style="1866" customWidth="1"/>
    <col min="5123" max="5123" width="8.42578125" style="1866" customWidth="1"/>
    <col min="5124" max="5124" width="15" style="1866" customWidth="1"/>
    <col min="5125" max="5125" width="17.28515625" style="1866" customWidth="1"/>
    <col min="5126" max="5126" width="16.28515625" style="1866" customWidth="1"/>
    <col min="5127" max="5127" width="14.85546875" style="1866" customWidth="1"/>
    <col min="5128" max="5376" width="8" style="1866"/>
    <col min="5377" max="5377" width="6.5703125" style="1866" customWidth="1"/>
    <col min="5378" max="5378" width="46.28515625" style="1866" customWidth="1"/>
    <col min="5379" max="5379" width="8.42578125" style="1866" customWidth="1"/>
    <col min="5380" max="5380" width="15" style="1866" customWidth="1"/>
    <col min="5381" max="5381" width="17.28515625" style="1866" customWidth="1"/>
    <col min="5382" max="5382" width="16.28515625" style="1866" customWidth="1"/>
    <col min="5383" max="5383" width="14.85546875" style="1866" customWidth="1"/>
    <col min="5384" max="5632" width="8" style="1866"/>
    <col min="5633" max="5633" width="6.5703125" style="1866" customWidth="1"/>
    <col min="5634" max="5634" width="46.28515625" style="1866" customWidth="1"/>
    <col min="5635" max="5635" width="8.42578125" style="1866" customWidth="1"/>
    <col min="5636" max="5636" width="15" style="1866" customWidth="1"/>
    <col min="5637" max="5637" width="17.28515625" style="1866" customWidth="1"/>
    <col min="5638" max="5638" width="16.28515625" style="1866" customWidth="1"/>
    <col min="5639" max="5639" width="14.85546875" style="1866" customWidth="1"/>
    <col min="5640" max="5888" width="8" style="1866"/>
    <col min="5889" max="5889" width="6.5703125" style="1866" customWidth="1"/>
    <col min="5890" max="5890" width="46.28515625" style="1866" customWidth="1"/>
    <col min="5891" max="5891" width="8.42578125" style="1866" customWidth="1"/>
    <col min="5892" max="5892" width="15" style="1866" customWidth="1"/>
    <col min="5893" max="5893" width="17.28515625" style="1866" customWidth="1"/>
    <col min="5894" max="5894" width="16.28515625" style="1866" customWidth="1"/>
    <col min="5895" max="5895" width="14.85546875" style="1866" customWidth="1"/>
    <col min="5896" max="6144" width="8" style="1866"/>
    <col min="6145" max="6145" width="6.5703125" style="1866" customWidth="1"/>
    <col min="6146" max="6146" width="46.28515625" style="1866" customWidth="1"/>
    <col min="6147" max="6147" width="8.42578125" style="1866" customWidth="1"/>
    <col min="6148" max="6148" width="15" style="1866" customWidth="1"/>
    <col min="6149" max="6149" width="17.28515625" style="1866" customWidth="1"/>
    <col min="6150" max="6150" width="16.28515625" style="1866" customWidth="1"/>
    <col min="6151" max="6151" width="14.85546875" style="1866" customWidth="1"/>
    <col min="6152" max="6400" width="8" style="1866"/>
    <col min="6401" max="6401" width="6.5703125" style="1866" customWidth="1"/>
    <col min="6402" max="6402" width="46.28515625" style="1866" customWidth="1"/>
    <col min="6403" max="6403" width="8.42578125" style="1866" customWidth="1"/>
    <col min="6404" max="6404" width="15" style="1866" customWidth="1"/>
    <col min="6405" max="6405" width="17.28515625" style="1866" customWidth="1"/>
    <col min="6406" max="6406" width="16.28515625" style="1866" customWidth="1"/>
    <col min="6407" max="6407" width="14.85546875" style="1866" customWidth="1"/>
    <col min="6408" max="6656" width="8" style="1866"/>
    <col min="6657" max="6657" width="6.5703125" style="1866" customWidth="1"/>
    <col min="6658" max="6658" width="46.28515625" style="1866" customWidth="1"/>
    <col min="6659" max="6659" width="8.42578125" style="1866" customWidth="1"/>
    <col min="6660" max="6660" width="15" style="1866" customWidth="1"/>
    <col min="6661" max="6661" width="17.28515625" style="1866" customWidth="1"/>
    <col min="6662" max="6662" width="16.28515625" style="1866" customWidth="1"/>
    <col min="6663" max="6663" width="14.85546875" style="1866" customWidth="1"/>
    <col min="6664" max="6912" width="8" style="1866"/>
    <col min="6913" max="6913" width="6.5703125" style="1866" customWidth="1"/>
    <col min="6914" max="6914" width="46.28515625" style="1866" customWidth="1"/>
    <col min="6915" max="6915" width="8.42578125" style="1866" customWidth="1"/>
    <col min="6916" max="6916" width="15" style="1866" customWidth="1"/>
    <col min="6917" max="6917" width="17.28515625" style="1866" customWidth="1"/>
    <col min="6918" max="6918" width="16.28515625" style="1866" customWidth="1"/>
    <col min="6919" max="6919" width="14.85546875" style="1866" customWidth="1"/>
    <col min="6920" max="7168" width="8" style="1866"/>
    <col min="7169" max="7169" width="6.5703125" style="1866" customWidth="1"/>
    <col min="7170" max="7170" width="46.28515625" style="1866" customWidth="1"/>
    <col min="7171" max="7171" width="8.42578125" style="1866" customWidth="1"/>
    <col min="7172" max="7172" width="15" style="1866" customWidth="1"/>
    <col min="7173" max="7173" width="17.28515625" style="1866" customWidth="1"/>
    <col min="7174" max="7174" width="16.28515625" style="1866" customWidth="1"/>
    <col min="7175" max="7175" width="14.85546875" style="1866" customWidth="1"/>
    <col min="7176" max="7424" width="8" style="1866"/>
    <col min="7425" max="7425" width="6.5703125" style="1866" customWidth="1"/>
    <col min="7426" max="7426" width="46.28515625" style="1866" customWidth="1"/>
    <col min="7427" max="7427" width="8.42578125" style="1866" customWidth="1"/>
    <col min="7428" max="7428" width="15" style="1866" customWidth="1"/>
    <col min="7429" max="7429" width="17.28515625" style="1866" customWidth="1"/>
    <col min="7430" max="7430" width="16.28515625" style="1866" customWidth="1"/>
    <col min="7431" max="7431" width="14.85546875" style="1866" customWidth="1"/>
    <col min="7432" max="7680" width="8" style="1866"/>
    <col min="7681" max="7681" width="6.5703125" style="1866" customWidth="1"/>
    <col min="7682" max="7682" width="46.28515625" style="1866" customWidth="1"/>
    <col min="7683" max="7683" width="8.42578125" style="1866" customWidth="1"/>
    <col min="7684" max="7684" width="15" style="1866" customWidth="1"/>
    <col min="7685" max="7685" width="17.28515625" style="1866" customWidth="1"/>
    <col min="7686" max="7686" width="16.28515625" style="1866" customWidth="1"/>
    <col min="7687" max="7687" width="14.85546875" style="1866" customWidth="1"/>
    <col min="7688" max="7936" width="8" style="1866"/>
    <col min="7937" max="7937" width="6.5703125" style="1866" customWidth="1"/>
    <col min="7938" max="7938" width="46.28515625" style="1866" customWidth="1"/>
    <col min="7939" max="7939" width="8.42578125" style="1866" customWidth="1"/>
    <col min="7940" max="7940" width="15" style="1866" customWidth="1"/>
    <col min="7941" max="7941" width="17.28515625" style="1866" customWidth="1"/>
    <col min="7942" max="7942" width="16.28515625" style="1866" customWidth="1"/>
    <col min="7943" max="7943" width="14.85546875" style="1866" customWidth="1"/>
    <col min="7944" max="8192" width="8" style="1866"/>
    <col min="8193" max="8193" width="6.5703125" style="1866" customWidth="1"/>
    <col min="8194" max="8194" width="46.28515625" style="1866" customWidth="1"/>
    <col min="8195" max="8195" width="8.42578125" style="1866" customWidth="1"/>
    <col min="8196" max="8196" width="15" style="1866" customWidth="1"/>
    <col min="8197" max="8197" width="17.28515625" style="1866" customWidth="1"/>
    <col min="8198" max="8198" width="16.28515625" style="1866" customWidth="1"/>
    <col min="8199" max="8199" width="14.85546875" style="1866" customWidth="1"/>
    <col min="8200" max="8448" width="8" style="1866"/>
    <col min="8449" max="8449" width="6.5703125" style="1866" customWidth="1"/>
    <col min="8450" max="8450" width="46.28515625" style="1866" customWidth="1"/>
    <col min="8451" max="8451" width="8.42578125" style="1866" customWidth="1"/>
    <col min="8452" max="8452" width="15" style="1866" customWidth="1"/>
    <col min="8453" max="8453" width="17.28515625" style="1866" customWidth="1"/>
    <col min="8454" max="8454" width="16.28515625" style="1866" customWidth="1"/>
    <col min="8455" max="8455" width="14.85546875" style="1866" customWidth="1"/>
    <col min="8456" max="8704" width="8" style="1866"/>
    <col min="8705" max="8705" width="6.5703125" style="1866" customWidth="1"/>
    <col min="8706" max="8706" width="46.28515625" style="1866" customWidth="1"/>
    <col min="8707" max="8707" width="8.42578125" style="1866" customWidth="1"/>
    <col min="8708" max="8708" width="15" style="1866" customWidth="1"/>
    <col min="8709" max="8709" width="17.28515625" style="1866" customWidth="1"/>
    <col min="8710" max="8710" width="16.28515625" style="1866" customWidth="1"/>
    <col min="8711" max="8711" width="14.85546875" style="1866" customWidth="1"/>
    <col min="8712" max="8960" width="8" style="1866"/>
    <col min="8961" max="8961" width="6.5703125" style="1866" customWidth="1"/>
    <col min="8962" max="8962" width="46.28515625" style="1866" customWidth="1"/>
    <col min="8963" max="8963" width="8.42578125" style="1866" customWidth="1"/>
    <col min="8964" max="8964" width="15" style="1866" customWidth="1"/>
    <col min="8965" max="8965" width="17.28515625" style="1866" customWidth="1"/>
    <col min="8966" max="8966" width="16.28515625" style="1866" customWidth="1"/>
    <col min="8967" max="8967" width="14.85546875" style="1866" customWidth="1"/>
    <col min="8968" max="9216" width="8" style="1866"/>
    <col min="9217" max="9217" width="6.5703125" style="1866" customWidth="1"/>
    <col min="9218" max="9218" width="46.28515625" style="1866" customWidth="1"/>
    <col min="9219" max="9219" width="8.42578125" style="1866" customWidth="1"/>
    <col min="9220" max="9220" width="15" style="1866" customWidth="1"/>
    <col min="9221" max="9221" width="17.28515625" style="1866" customWidth="1"/>
    <col min="9222" max="9222" width="16.28515625" style="1866" customWidth="1"/>
    <col min="9223" max="9223" width="14.85546875" style="1866" customWidth="1"/>
    <col min="9224" max="9472" width="8" style="1866"/>
    <col min="9473" max="9473" width="6.5703125" style="1866" customWidth="1"/>
    <col min="9474" max="9474" width="46.28515625" style="1866" customWidth="1"/>
    <col min="9475" max="9475" width="8.42578125" style="1866" customWidth="1"/>
    <col min="9476" max="9476" width="15" style="1866" customWidth="1"/>
    <col min="9477" max="9477" width="17.28515625" style="1866" customWidth="1"/>
    <col min="9478" max="9478" width="16.28515625" style="1866" customWidth="1"/>
    <col min="9479" max="9479" width="14.85546875" style="1866" customWidth="1"/>
    <col min="9480" max="9728" width="8" style="1866"/>
    <col min="9729" max="9729" width="6.5703125" style="1866" customWidth="1"/>
    <col min="9730" max="9730" width="46.28515625" style="1866" customWidth="1"/>
    <col min="9731" max="9731" width="8.42578125" style="1866" customWidth="1"/>
    <col min="9732" max="9732" width="15" style="1866" customWidth="1"/>
    <col min="9733" max="9733" width="17.28515625" style="1866" customWidth="1"/>
    <col min="9734" max="9734" width="16.28515625" style="1866" customWidth="1"/>
    <col min="9735" max="9735" width="14.85546875" style="1866" customWidth="1"/>
    <col min="9736" max="9984" width="8" style="1866"/>
    <col min="9985" max="9985" width="6.5703125" style="1866" customWidth="1"/>
    <col min="9986" max="9986" width="46.28515625" style="1866" customWidth="1"/>
    <col min="9987" max="9987" width="8.42578125" style="1866" customWidth="1"/>
    <col min="9988" max="9988" width="15" style="1866" customWidth="1"/>
    <col min="9989" max="9989" width="17.28515625" style="1866" customWidth="1"/>
    <col min="9990" max="9990" width="16.28515625" style="1866" customWidth="1"/>
    <col min="9991" max="9991" width="14.85546875" style="1866" customWidth="1"/>
    <col min="9992" max="10240" width="8" style="1866"/>
    <col min="10241" max="10241" width="6.5703125" style="1866" customWidth="1"/>
    <col min="10242" max="10242" width="46.28515625" style="1866" customWidth="1"/>
    <col min="10243" max="10243" width="8.42578125" style="1866" customWidth="1"/>
    <col min="10244" max="10244" width="15" style="1866" customWidth="1"/>
    <col min="10245" max="10245" width="17.28515625" style="1866" customWidth="1"/>
    <col min="10246" max="10246" width="16.28515625" style="1866" customWidth="1"/>
    <col min="10247" max="10247" width="14.85546875" style="1866" customWidth="1"/>
    <col min="10248" max="10496" width="8" style="1866"/>
    <col min="10497" max="10497" width="6.5703125" style="1866" customWidth="1"/>
    <col min="10498" max="10498" width="46.28515625" style="1866" customWidth="1"/>
    <col min="10499" max="10499" width="8.42578125" style="1866" customWidth="1"/>
    <col min="10500" max="10500" width="15" style="1866" customWidth="1"/>
    <col min="10501" max="10501" width="17.28515625" style="1866" customWidth="1"/>
    <col min="10502" max="10502" width="16.28515625" style="1866" customWidth="1"/>
    <col min="10503" max="10503" width="14.85546875" style="1866" customWidth="1"/>
    <col min="10504" max="10752" width="8" style="1866"/>
    <col min="10753" max="10753" width="6.5703125" style="1866" customWidth="1"/>
    <col min="10754" max="10754" width="46.28515625" style="1866" customWidth="1"/>
    <col min="10755" max="10755" width="8.42578125" style="1866" customWidth="1"/>
    <col min="10756" max="10756" width="15" style="1866" customWidth="1"/>
    <col min="10757" max="10757" width="17.28515625" style="1866" customWidth="1"/>
    <col min="10758" max="10758" width="16.28515625" style="1866" customWidth="1"/>
    <col min="10759" max="10759" width="14.85546875" style="1866" customWidth="1"/>
    <col min="10760" max="11008" width="8" style="1866"/>
    <col min="11009" max="11009" width="6.5703125" style="1866" customWidth="1"/>
    <col min="11010" max="11010" width="46.28515625" style="1866" customWidth="1"/>
    <col min="11011" max="11011" width="8.42578125" style="1866" customWidth="1"/>
    <col min="11012" max="11012" width="15" style="1866" customWidth="1"/>
    <col min="11013" max="11013" width="17.28515625" style="1866" customWidth="1"/>
    <col min="11014" max="11014" width="16.28515625" style="1866" customWidth="1"/>
    <col min="11015" max="11015" width="14.85546875" style="1866" customWidth="1"/>
    <col min="11016" max="11264" width="8" style="1866"/>
    <col min="11265" max="11265" width="6.5703125" style="1866" customWidth="1"/>
    <col min="11266" max="11266" width="46.28515625" style="1866" customWidth="1"/>
    <col min="11267" max="11267" width="8.42578125" style="1866" customWidth="1"/>
    <col min="11268" max="11268" width="15" style="1866" customWidth="1"/>
    <col min="11269" max="11269" width="17.28515625" style="1866" customWidth="1"/>
    <col min="11270" max="11270" width="16.28515625" style="1866" customWidth="1"/>
    <col min="11271" max="11271" width="14.85546875" style="1866" customWidth="1"/>
    <col min="11272" max="11520" width="8" style="1866"/>
    <col min="11521" max="11521" width="6.5703125" style="1866" customWidth="1"/>
    <col min="11522" max="11522" width="46.28515625" style="1866" customWidth="1"/>
    <col min="11523" max="11523" width="8.42578125" style="1866" customWidth="1"/>
    <col min="11524" max="11524" width="15" style="1866" customWidth="1"/>
    <col min="11525" max="11525" width="17.28515625" style="1866" customWidth="1"/>
    <col min="11526" max="11526" width="16.28515625" style="1866" customWidth="1"/>
    <col min="11527" max="11527" width="14.85546875" style="1866" customWidth="1"/>
    <col min="11528" max="11776" width="8" style="1866"/>
    <col min="11777" max="11777" width="6.5703125" style="1866" customWidth="1"/>
    <col min="11778" max="11778" width="46.28515625" style="1866" customWidth="1"/>
    <col min="11779" max="11779" width="8.42578125" style="1866" customWidth="1"/>
    <col min="11780" max="11780" width="15" style="1866" customWidth="1"/>
    <col min="11781" max="11781" width="17.28515625" style="1866" customWidth="1"/>
    <col min="11782" max="11782" width="16.28515625" style="1866" customWidth="1"/>
    <col min="11783" max="11783" width="14.85546875" style="1866" customWidth="1"/>
    <col min="11784" max="12032" width="8" style="1866"/>
    <col min="12033" max="12033" width="6.5703125" style="1866" customWidth="1"/>
    <col min="12034" max="12034" width="46.28515625" style="1866" customWidth="1"/>
    <col min="12035" max="12035" width="8.42578125" style="1866" customWidth="1"/>
    <col min="12036" max="12036" width="15" style="1866" customWidth="1"/>
    <col min="12037" max="12037" width="17.28515625" style="1866" customWidth="1"/>
    <col min="12038" max="12038" width="16.28515625" style="1866" customWidth="1"/>
    <col min="12039" max="12039" width="14.85546875" style="1866" customWidth="1"/>
    <col min="12040" max="12288" width="8" style="1866"/>
    <col min="12289" max="12289" width="6.5703125" style="1866" customWidth="1"/>
    <col min="12290" max="12290" width="46.28515625" style="1866" customWidth="1"/>
    <col min="12291" max="12291" width="8.42578125" style="1866" customWidth="1"/>
    <col min="12292" max="12292" width="15" style="1866" customWidth="1"/>
    <col min="12293" max="12293" width="17.28515625" style="1866" customWidth="1"/>
    <col min="12294" max="12294" width="16.28515625" style="1866" customWidth="1"/>
    <col min="12295" max="12295" width="14.85546875" style="1866" customWidth="1"/>
    <col min="12296" max="12544" width="8" style="1866"/>
    <col min="12545" max="12545" width="6.5703125" style="1866" customWidth="1"/>
    <col min="12546" max="12546" width="46.28515625" style="1866" customWidth="1"/>
    <col min="12547" max="12547" width="8.42578125" style="1866" customWidth="1"/>
    <col min="12548" max="12548" width="15" style="1866" customWidth="1"/>
    <col min="12549" max="12549" width="17.28515625" style="1866" customWidth="1"/>
    <col min="12550" max="12550" width="16.28515625" style="1866" customWidth="1"/>
    <col min="12551" max="12551" width="14.85546875" style="1866" customWidth="1"/>
    <col min="12552" max="12800" width="8" style="1866"/>
    <col min="12801" max="12801" width="6.5703125" style="1866" customWidth="1"/>
    <col min="12802" max="12802" width="46.28515625" style="1866" customWidth="1"/>
    <col min="12803" max="12803" width="8.42578125" style="1866" customWidth="1"/>
    <col min="12804" max="12804" width="15" style="1866" customWidth="1"/>
    <col min="12805" max="12805" width="17.28515625" style="1866" customWidth="1"/>
    <col min="12806" max="12806" width="16.28515625" style="1866" customWidth="1"/>
    <col min="12807" max="12807" width="14.85546875" style="1866" customWidth="1"/>
    <col min="12808" max="13056" width="8" style="1866"/>
    <col min="13057" max="13057" width="6.5703125" style="1866" customWidth="1"/>
    <col min="13058" max="13058" width="46.28515625" style="1866" customWidth="1"/>
    <col min="13059" max="13059" width="8.42578125" style="1866" customWidth="1"/>
    <col min="13060" max="13060" width="15" style="1866" customWidth="1"/>
    <col min="13061" max="13061" width="17.28515625" style="1866" customWidth="1"/>
    <col min="13062" max="13062" width="16.28515625" style="1866" customWidth="1"/>
    <col min="13063" max="13063" width="14.85546875" style="1866" customWidth="1"/>
    <col min="13064" max="13312" width="8" style="1866"/>
    <col min="13313" max="13313" width="6.5703125" style="1866" customWidth="1"/>
    <col min="13314" max="13314" width="46.28515625" style="1866" customWidth="1"/>
    <col min="13315" max="13315" width="8.42578125" style="1866" customWidth="1"/>
    <col min="13316" max="13316" width="15" style="1866" customWidth="1"/>
    <col min="13317" max="13317" width="17.28515625" style="1866" customWidth="1"/>
    <col min="13318" max="13318" width="16.28515625" style="1866" customWidth="1"/>
    <col min="13319" max="13319" width="14.85546875" style="1866" customWidth="1"/>
    <col min="13320" max="13568" width="8" style="1866"/>
    <col min="13569" max="13569" width="6.5703125" style="1866" customWidth="1"/>
    <col min="13570" max="13570" width="46.28515625" style="1866" customWidth="1"/>
    <col min="13571" max="13571" width="8.42578125" style="1866" customWidth="1"/>
    <col min="13572" max="13572" width="15" style="1866" customWidth="1"/>
    <col min="13573" max="13573" width="17.28515625" style="1866" customWidth="1"/>
    <col min="13574" max="13574" width="16.28515625" style="1866" customWidth="1"/>
    <col min="13575" max="13575" width="14.85546875" style="1866" customWidth="1"/>
    <col min="13576" max="13824" width="8" style="1866"/>
    <col min="13825" max="13825" width="6.5703125" style="1866" customWidth="1"/>
    <col min="13826" max="13826" width="46.28515625" style="1866" customWidth="1"/>
    <col min="13827" max="13827" width="8.42578125" style="1866" customWidth="1"/>
    <col min="13828" max="13828" width="15" style="1866" customWidth="1"/>
    <col min="13829" max="13829" width="17.28515625" style="1866" customWidth="1"/>
    <col min="13830" max="13830" width="16.28515625" style="1866" customWidth="1"/>
    <col min="13831" max="13831" width="14.85546875" style="1866" customWidth="1"/>
    <col min="13832" max="14080" width="8" style="1866"/>
    <col min="14081" max="14081" width="6.5703125" style="1866" customWidth="1"/>
    <col min="14082" max="14082" width="46.28515625" style="1866" customWidth="1"/>
    <col min="14083" max="14083" width="8.42578125" style="1866" customWidth="1"/>
    <col min="14084" max="14084" width="15" style="1866" customWidth="1"/>
    <col min="14085" max="14085" width="17.28515625" style="1866" customWidth="1"/>
    <col min="14086" max="14086" width="16.28515625" style="1866" customWidth="1"/>
    <col min="14087" max="14087" width="14.85546875" style="1866" customWidth="1"/>
    <col min="14088" max="14336" width="8" style="1866"/>
    <col min="14337" max="14337" width="6.5703125" style="1866" customWidth="1"/>
    <col min="14338" max="14338" width="46.28515625" style="1866" customWidth="1"/>
    <col min="14339" max="14339" width="8.42578125" style="1866" customWidth="1"/>
    <col min="14340" max="14340" width="15" style="1866" customWidth="1"/>
    <col min="14341" max="14341" width="17.28515625" style="1866" customWidth="1"/>
    <col min="14342" max="14342" width="16.28515625" style="1866" customWidth="1"/>
    <col min="14343" max="14343" width="14.85546875" style="1866" customWidth="1"/>
    <col min="14344" max="14592" width="8" style="1866"/>
    <col min="14593" max="14593" width="6.5703125" style="1866" customWidth="1"/>
    <col min="14594" max="14594" width="46.28515625" style="1866" customWidth="1"/>
    <col min="14595" max="14595" width="8.42578125" style="1866" customWidth="1"/>
    <col min="14596" max="14596" width="15" style="1866" customWidth="1"/>
    <col min="14597" max="14597" width="17.28515625" style="1866" customWidth="1"/>
    <col min="14598" max="14598" width="16.28515625" style="1866" customWidth="1"/>
    <col min="14599" max="14599" width="14.85546875" style="1866" customWidth="1"/>
    <col min="14600" max="14848" width="8" style="1866"/>
    <col min="14849" max="14849" width="6.5703125" style="1866" customWidth="1"/>
    <col min="14850" max="14850" width="46.28515625" style="1866" customWidth="1"/>
    <col min="14851" max="14851" width="8.42578125" style="1866" customWidth="1"/>
    <col min="14852" max="14852" width="15" style="1866" customWidth="1"/>
    <col min="14853" max="14853" width="17.28515625" style="1866" customWidth="1"/>
    <col min="14854" max="14854" width="16.28515625" style="1866" customWidth="1"/>
    <col min="14855" max="14855" width="14.85546875" style="1866" customWidth="1"/>
    <col min="14856" max="15104" width="8" style="1866"/>
    <col min="15105" max="15105" width="6.5703125" style="1866" customWidth="1"/>
    <col min="15106" max="15106" width="46.28515625" style="1866" customWidth="1"/>
    <col min="15107" max="15107" width="8.42578125" style="1866" customWidth="1"/>
    <col min="15108" max="15108" width="15" style="1866" customWidth="1"/>
    <col min="15109" max="15109" width="17.28515625" style="1866" customWidth="1"/>
    <col min="15110" max="15110" width="16.28515625" style="1866" customWidth="1"/>
    <col min="15111" max="15111" width="14.85546875" style="1866" customWidth="1"/>
    <col min="15112" max="15360" width="8" style="1866"/>
    <col min="15361" max="15361" width="6.5703125" style="1866" customWidth="1"/>
    <col min="15362" max="15362" width="46.28515625" style="1866" customWidth="1"/>
    <col min="15363" max="15363" width="8.42578125" style="1866" customWidth="1"/>
    <col min="15364" max="15364" width="15" style="1866" customWidth="1"/>
    <col min="15365" max="15365" width="17.28515625" style="1866" customWidth="1"/>
    <col min="15366" max="15366" width="16.28515625" style="1866" customWidth="1"/>
    <col min="15367" max="15367" width="14.85546875" style="1866" customWidth="1"/>
    <col min="15368" max="15616" width="8" style="1866"/>
    <col min="15617" max="15617" width="6.5703125" style="1866" customWidth="1"/>
    <col min="15618" max="15618" width="46.28515625" style="1866" customWidth="1"/>
    <col min="15619" max="15619" width="8.42578125" style="1866" customWidth="1"/>
    <col min="15620" max="15620" width="15" style="1866" customWidth="1"/>
    <col min="15621" max="15621" width="17.28515625" style="1866" customWidth="1"/>
    <col min="15622" max="15622" width="16.28515625" style="1866" customWidth="1"/>
    <col min="15623" max="15623" width="14.85546875" style="1866" customWidth="1"/>
    <col min="15624" max="15872" width="8" style="1866"/>
    <col min="15873" max="15873" width="6.5703125" style="1866" customWidth="1"/>
    <col min="15874" max="15874" width="46.28515625" style="1866" customWidth="1"/>
    <col min="15875" max="15875" width="8.42578125" style="1866" customWidth="1"/>
    <col min="15876" max="15876" width="15" style="1866" customWidth="1"/>
    <col min="15877" max="15877" width="17.28515625" style="1866" customWidth="1"/>
    <col min="15878" max="15878" width="16.28515625" style="1866" customWidth="1"/>
    <col min="15879" max="15879" width="14.85546875" style="1866" customWidth="1"/>
    <col min="15880" max="16128" width="8" style="1866"/>
    <col min="16129" max="16129" width="6.5703125" style="1866" customWidth="1"/>
    <col min="16130" max="16130" width="46.28515625" style="1866" customWidth="1"/>
    <col min="16131" max="16131" width="8.42578125" style="1866" customWidth="1"/>
    <col min="16132" max="16132" width="15" style="1866" customWidth="1"/>
    <col min="16133" max="16133" width="17.28515625" style="1866" customWidth="1"/>
    <col min="16134" max="16134" width="16.28515625" style="1866" customWidth="1"/>
    <col min="16135" max="16135" width="14.85546875" style="1866" customWidth="1"/>
    <col min="16136" max="16384" width="8" style="1866"/>
  </cols>
  <sheetData>
    <row r="1" spans="1:7" ht="27" customHeight="1">
      <c r="A1" s="3582" t="s">
        <v>2762</v>
      </c>
      <c r="B1" s="3583"/>
      <c r="C1" s="3583"/>
      <c r="D1" s="3583"/>
      <c r="E1" s="3583"/>
    </row>
    <row r="2" spans="1:7" ht="42" customHeight="1">
      <c r="A2" s="3584" t="str">
        <f>'Input Data'!E1</f>
        <v>R/F A to B in Wanaparthy Mandal of Wanaparthy District</v>
      </c>
      <c r="B2" s="3583"/>
      <c r="C2" s="3583"/>
      <c r="D2" s="3583"/>
      <c r="E2" s="3583"/>
    </row>
    <row r="3" spans="1:7" s="1860" customFormat="1" ht="36" customHeight="1">
      <c r="A3" s="1867" t="s">
        <v>2</v>
      </c>
      <c r="B3" s="1867" t="s">
        <v>965</v>
      </c>
      <c r="C3" s="1867" t="s">
        <v>555</v>
      </c>
      <c r="D3" s="1867" t="s">
        <v>966</v>
      </c>
      <c r="E3" s="1867" t="s">
        <v>532</v>
      </c>
    </row>
    <row r="4" spans="1:7" s="1861" customFormat="1" ht="20.100000000000001" customHeight="1">
      <c r="A4" s="1868">
        <v>1</v>
      </c>
      <c r="B4" s="1868">
        <v>2</v>
      </c>
      <c r="C4" s="1868">
        <v>3</v>
      </c>
      <c r="D4" s="1868">
        <v>4</v>
      </c>
      <c r="E4" s="1868">
        <v>5</v>
      </c>
    </row>
    <row r="5" spans="1:7" s="1862" customFormat="1" ht="30">
      <c r="A5" s="1868">
        <v>1</v>
      </c>
      <c r="B5" s="1869" t="str">
        <f>'1V 1m dia Pipe Culverts'!A3</f>
        <v xml:space="preserve">Construction of HP Culvert 1V of 1000mm Dia.NP4 Pipes at Km </v>
      </c>
      <c r="C5" s="1870">
        <v>3</v>
      </c>
      <c r="D5" s="1871">
        <f>'1V 1m dia Pipe Culverts'!L35</f>
        <v>346940</v>
      </c>
      <c r="E5" s="1871">
        <f>+C5*D5</f>
        <v>1040820</v>
      </c>
      <c r="G5" s="1872"/>
    </row>
    <row r="6" spans="1:7" s="1863" customFormat="1" ht="30" customHeight="1">
      <c r="A6" s="1867">
        <v>1</v>
      </c>
      <c r="B6" s="1869" t="str">
        <f>'2V 1m dia Pipe Culverts'!A3</f>
        <v>Construction of HP Culvert 2V of 1000mm Dia.NP4 Pipes at Km</v>
      </c>
      <c r="C6" s="1873">
        <v>1</v>
      </c>
      <c r="D6" s="1874">
        <f>'2V 1m dia Pipe Culverts'!L35</f>
        <v>530080</v>
      </c>
      <c r="E6" s="1874">
        <f>+C6*D6</f>
        <v>530080</v>
      </c>
      <c r="G6" s="1875"/>
    </row>
    <row r="7" spans="1:7" s="1863" customFormat="1" ht="30">
      <c r="A7" s="1867">
        <v>2</v>
      </c>
      <c r="B7" s="1869" t="s">
        <v>967</v>
      </c>
      <c r="C7" s="1876">
        <v>0</v>
      </c>
      <c r="D7" s="1874">
        <v>692428</v>
      </c>
      <c r="E7" s="1874">
        <f t="shared" ref="E7:E16" si="0">+C7*D7</f>
        <v>0</v>
      </c>
      <c r="G7" s="1875"/>
    </row>
    <row r="8" spans="1:7" s="1863" customFormat="1">
      <c r="A8" s="1867">
        <f>A5+1</f>
        <v>2</v>
      </c>
      <c r="B8" s="1869" t="s">
        <v>968</v>
      </c>
      <c r="C8" s="1876">
        <v>0</v>
      </c>
      <c r="D8" s="1874">
        <v>1505515</v>
      </c>
      <c r="E8" s="1874">
        <f t="shared" si="0"/>
        <v>0</v>
      </c>
      <c r="G8" s="1875"/>
    </row>
    <row r="9" spans="1:7" s="1863" customFormat="1">
      <c r="A9" s="1867">
        <f>A5+1</f>
        <v>2</v>
      </c>
      <c r="B9" s="1869" t="s">
        <v>2809</v>
      </c>
      <c r="C9" s="1876">
        <v>0</v>
      </c>
      <c r="D9" s="1874">
        <f>'Slab Culvert 1V 5m x 2m span'!L100</f>
        <v>1916133</v>
      </c>
      <c r="E9" s="1874">
        <f t="shared" si="0"/>
        <v>0</v>
      </c>
      <c r="G9" s="1875"/>
    </row>
    <row r="10" spans="1:7" s="1863" customFormat="1" ht="30" customHeight="1">
      <c r="A10" s="1867">
        <v>2</v>
      </c>
      <c r="B10" s="1869" t="s">
        <v>969</v>
      </c>
      <c r="C10" s="1876">
        <v>0</v>
      </c>
      <c r="D10" s="1874">
        <f>'Slab Culvert 1V 6m x 2m spa'!L108</f>
        <v>2521025</v>
      </c>
      <c r="E10" s="1874">
        <f t="shared" si="0"/>
        <v>0</v>
      </c>
      <c r="G10" s="1875"/>
    </row>
    <row r="11" spans="1:7" s="1862" customFormat="1">
      <c r="A11" s="1868">
        <f>A10+1</f>
        <v>3</v>
      </c>
      <c r="B11" s="1877" t="s">
        <v>745</v>
      </c>
      <c r="C11" s="1878">
        <v>0</v>
      </c>
      <c r="D11" s="1871">
        <f>'Slab Culvert 2V 6m x 2m spa'!L108</f>
        <v>3506510</v>
      </c>
      <c r="E11" s="1871">
        <f t="shared" si="0"/>
        <v>0</v>
      </c>
      <c r="G11" s="1872"/>
    </row>
    <row r="12" spans="1:7" s="1862" customFormat="1">
      <c r="A12" s="1868">
        <f>A8+1</f>
        <v>3</v>
      </c>
      <c r="B12" s="1877" t="s">
        <v>970</v>
      </c>
      <c r="C12" s="1878">
        <v>0</v>
      </c>
      <c r="D12" s="1871">
        <v>4523766</v>
      </c>
      <c r="E12" s="1871">
        <f t="shared" si="0"/>
        <v>0</v>
      </c>
      <c r="G12" s="1872"/>
    </row>
    <row r="13" spans="1:7" s="1862" customFormat="1">
      <c r="A13" s="1868">
        <f>A12+1</f>
        <v>4</v>
      </c>
      <c r="B13" s="1877" t="s">
        <v>971</v>
      </c>
      <c r="C13" s="1878">
        <v>0</v>
      </c>
      <c r="D13" s="1871">
        <v>4499646</v>
      </c>
      <c r="E13" s="1871">
        <f t="shared" si="0"/>
        <v>0</v>
      </c>
      <c r="G13" s="1879"/>
    </row>
    <row r="14" spans="1:7" s="1862" customFormat="1">
      <c r="A14" s="1868">
        <f>A13+1</f>
        <v>5</v>
      </c>
      <c r="B14" s="1877" t="s">
        <v>972</v>
      </c>
      <c r="C14" s="1878">
        <v>0</v>
      </c>
      <c r="D14" s="1871">
        <f>'Road dam 30m'!L64</f>
        <v>0</v>
      </c>
      <c r="E14" s="1871">
        <f t="shared" ref="E14" si="1">+C14*D14</f>
        <v>0</v>
      </c>
      <c r="G14" s="1879"/>
    </row>
    <row r="15" spans="1:7" s="1862" customFormat="1">
      <c r="A15" s="1868">
        <f>A11+1</f>
        <v>4</v>
      </c>
      <c r="B15" s="1877" t="s">
        <v>747</v>
      </c>
      <c r="C15" s="1878">
        <v>2</v>
      </c>
      <c r="D15" s="1871">
        <f>'Ret wall'!L29</f>
        <v>202912</v>
      </c>
      <c r="E15" s="1871">
        <f t="shared" si="0"/>
        <v>405824</v>
      </c>
      <c r="G15" s="1879"/>
    </row>
    <row r="16" spans="1:7" s="1862" customFormat="1">
      <c r="A16" s="1868">
        <v>2</v>
      </c>
      <c r="B16" s="1877" t="s">
        <v>749</v>
      </c>
      <c r="C16" s="1878">
        <v>0</v>
      </c>
      <c r="D16" s="1871">
        <f>'Drain '!L33</f>
        <v>2342807</v>
      </c>
      <c r="E16" s="1871">
        <f t="shared" si="0"/>
        <v>0</v>
      </c>
      <c r="G16" s="1879"/>
    </row>
    <row r="17" spans="1:11" s="1864" customFormat="1" ht="30" customHeight="1">
      <c r="A17" s="1880"/>
      <c r="B17" s="1881" t="s">
        <v>973</v>
      </c>
      <c r="C17" s="1882">
        <f>SUM(C5:C16)</f>
        <v>6</v>
      </c>
      <c r="D17" s="1883"/>
      <c r="E17" s="1884">
        <f>SUM(E5:E16)</f>
        <v>1976724</v>
      </c>
      <c r="F17" s="1885"/>
      <c r="G17" s="1875"/>
    </row>
    <row r="18" spans="1:11" ht="15.75" customHeight="1"/>
    <row r="19" spans="1:11" ht="15.75" customHeight="1"/>
    <row r="20" spans="1:11" ht="15.75" hidden="1" customHeight="1"/>
    <row r="21" spans="1:11" ht="15.75" hidden="1" customHeight="1"/>
    <row r="22" spans="1:11" s="1865" customFormat="1" hidden="1">
      <c r="A22" s="1886"/>
      <c r="B22" s="1887"/>
      <c r="D22" s="1888"/>
      <c r="E22" s="1888"/>
      <c r="G22" s="1888"/>
      <c r="I22" s="1889"/>
      <c r="J22" s="1890"/>
      <c r="K22" s="1890"/>
    </row>
    <row r="23" spans="1:11" s="1865" customFormat="1" hidden="1">
      <c r="A23" s="1886"/>
      <c r="B23" s="1888"/>
      <c r="D23" s="1888"/>
      <c r="E23" s="1888"/>
      <c r="G23" s="1888"/>
      <c r="I23" s="1889"/>
      <c r="J23" s="1890"/>
      <c r="K23" s="1890"/>
    </row>
    <row r="24" spans="1:11" hidden="1"/>
    <row r="26" spans="1:11">
      <c r="B26" s="1860" t="str">
        <f>GA!B34</f>
        <v>Assistant Engineer,</v>
      </c>
      <c r="C26" s="3580" t="str">
        <f>'Road Estimate'!I97</f>
        <v>Dy. Exe. Engineer</v>
      </c>
      <c r="D26" s="3580"/>
      <c r="E26" s="3580"/>
    </row>
    <row r="27" spans="1:11">
      <c r="B27" s="1860" t="str">
        <f>GA!B35</f>
        <v>PRSD, Wanaparthy</v>
      </c>
      <c r="C27" s="3580" t="str">
        <f>'Road Estimate'!I98</f>
        <v>PRSD, Wanaparthy</v>
      </c>
      <c r="D27" s="3580"/>
      <c r="E27" s="3580"/>
    </row>
    <row r="31" spans="1:11">
      <c r="B31" s="1860" t="str">
        <f>'Road Estimate'!F101</f>
        <v>District Panchayat Raj Engineer,</v>
      </c>
      <c r="C31" s="3580" t="str">
        <f>'Road Estimate'!I101</f>
        <v>Superintending Engineer</v>
      </c>
      <c r="D31" s="3580"/>
      <c r="E31" s="3580"/>
    </row>
    <row r="32" spans="1:11">
      <c r="B32" s="1860" t="str">
        <f>'Road Estimate'!E102</f>
        <v>PIU, Wanaparthy</v>
      </c>
      <c r="C32" s="3580" t="str">
        <f>'Road Estimate'!I102</f>
        <v>PR, Circle, Warangal</v>
      </c>
      <c r="D32" s="3580"/>
      <c r="E32" s="3580"/>
    </row>
  </sheetData>
  <sheetProtection formatRows="0" insertRows="0"/>
  <protectedRanges>
    <protectedRange sqref="A5" name="Range3"/>
    <protectedRange sqref="C5 C13:C16" name="Range1"/>
    <protectedRange sqref="A18:E21 A24:E32" name="Range4"/>
    <protectedRange sqref="B23" name="Range4_2"/>
    <protectedRange sqref="D22:E23" name="Range4_1_1"/>
    <protectedRange sqref="G22:G23" name="Range4_2_1"/>
    <protectedRange sqref="A7:A16" name="Range3_1"/>
    <protectedRange sqref="C7:C12" name="Range1_1"/>
  </protectedRanges>
  <mergeCells count="6">
    <mergeCell ref="C32:E32"/>
    <mergeCell ref="A1:E1"/>
    <mergeCell ref="A2:E2"/>
    <mergeCell ref="C26:E26"/>
    <mergeCell ref="C27:E27"/>
    <mergeCell ref="C31:E31"/>
  </mergeCells>
  <printOptions horizontalCentered="1"/>
  <pageMargins left="0.40138888888888902" right="0.25138888888888899" top="0.80277777777777803" bottom="0.5" header="0.29861111111111099" footer="0.25138888888888899"/>
  <pageSetup paperSize="9" orientation="portrait" r:id="rId1"/>
  <headerFooter alignWithMargins="0"/>
</worksheet>
</file>

<file path=xl/worksheets/sheet23.xml><?xml version="1.0" encoding="utf-8"?>
<worksheet xmlns="http://schemas.openxmlformats.org/spreadsheetml/2006/main" xmlns:r="http://schemas.openxmlformats.org/officeDocument/2006/relationships">
  <sheetPr codeName="Sheet17"/>
  <dimension ref="A1:J28"/>
  <sheetViews>
    <sheetView topLeftCell="A3" workbookViewId="0">
      <selection activeCell="I7" sqref="I7"/>
    </sheetView>
  </sheetViews>
  <sheetFormatPr defaultColWidth="9.28515625" defaultRowHeight="12.75"/>
  <cols>
    <col min="1" max="1" width="3.7109375" style="1830" customWidth="1"/>
    <col min="2" max="2" width="3.140625" style="1830" hidden="1" customWidth="1"/>
    <col min="3" max="3" width="26.7109375" style="1830" customWidth="1"/>
    <col min="4" max="4" width="25" style="1830" customWidth="1"/>
    <col min="5" max="5" width="18.28515625" style="1830" customWidth="1"/>
    <col min="6" max="6" width="15" style="1830" customWidth="1"/>
    <col min="7" max="7" width="14.7109375" style="1830" customWidth="1"/>
    <col min="8" max="8" width="13.42578125" style="1830" customWidth="1"/>
    <col min="9" max="9" width="21.7109375" style="1830" customWidth="1"/>
    <col min="10" max="10" width="9.7109375" style="1830" customWidth="1"/>
    <col min="11" max="16384" width="9.28515625" style="1830"/>
  </cols>
  <sheetData>
    <row r="1" spans="1:10" ht="21" customHeight="1">
      <c r="A1" s="3585" t="s">
        <v>974</v>
      </c>
      <c r="B1" s="3585"/>
      <c r="C1" s="3585"/>
      <c r="D1" s="3585"/>
      <c r="E1" s="3585"/>
      <c r="F1" s="3585"/>
    </row>
    <row r="2" spans="1:10" ht="57" customHeight="1">
      <c r="A2" s="3586" t="str">
        <f>'Input Data'!E1</f>
        <v>R/F A to B in Wanaparthy Mandal of Wanaparthy District</v>
      </c>
      <c r="B2" s="3587"/>
      <c r="C2" s="3587"/>
      <c r="D2" s="3587"/>
      <c r="E2" s="3587"/>
      <c r="F2" s="3587"/>
    </row>
    <row r="3" spans="1:10">
      <c r="A3" s="3590"/>
      <c r="B3" s="3591"/>
      <c r="C3" s="3591"/>
      <c r="D3" s="1832" t="s">
        <v>975</v>
      </c>
      <c r="E3" s="1833">
        <f>'MTS Esti'!C6/1000</f>
        <v>2.5</v>
      </c>
      <c r="F3" s="3590"/>
    </row>
    <row r="4" spans="1:10">
      <c r="A4" s="3590"/>
      <c r="B4" s="3591"/>
      <c r="C4" s="3591"/>
      <c r="D4" s="1832" t="s">
        <v>976</v>
      </c>
      <c r="E4" s="1834">
        <f>E3*3</f>
        <v>7.5</v>
      </c>
      <c r="F4" s="3590"/>
    </row>
    <row r="5" spans="1:10">
      <c r="A5" s="3590"/>
      <c r="B5" s="3591"/>
      <c r="C5" s="3591"/>
      <c r="D5" s="1832" t="s">
        <v>977</v>
      </c>
      <c r="E5" s="1835">
        <f>E4/E3</f>
        <v>3</v>
      </c>
      <c r="F5" s="3590"/>
    </row>
    <row r="6" spans="1:10" ht="63" customHeight="1">
      <c r="A6" s="1836"/>
      <c r="B6" s="1836"/>
      <c r="C6" s="3588" t="s">
        <v>978</v>
      </c>
      <c r="D6" s="3588"/>
      <c r="E6" s="3588"/>
      <c r="F6" s="1837"/>
    </row>
    <row r="7" spans="1:10" s="1829" customFormat="1" ht="29.25" customHeight="1">
      <c r="A7" s="1838"/>
      <c r="B7" s="1838"/>
      <c r="C7" s="3589" t="s">
        <v>979</v>
      </c>
      <c r="D7" s="3589"/>
      <c r="E7" s="1839">
        <f>D15</f>
        <v>650192</v>
      </c>
      <c r="F7" s="1840">
        <f>(E7/100000)/E3</f>
        <v>2.600768</v>
      </c>
    </row>
    <row r="8" spans="1:10">
      <c r="A8" s="1837"/>
      <c r="B8" s="1837"/>
      <c r="C8" s="1837"/>
      <c r="D8" s="1837"/>
      <c r="E8" s="1837"/>
      <c r="F8" s="1837"/>
    </row>
    <row r="9" spans="1:10" ht="33" customHeight="1">
      <c r="A9" s="1837"/>
      <c r="B9" s="1837"/>
      <c r="C9" s="1832" t="s">
        <v>980</v>
      </c>
      <c r="D9" s="1841" t="s">
        <v>981</v>
      </c>
      <c r="E9" s="1842" t="s">
        <v>982</v>
      </c>
      <c r="F9" s="1842" t="s">
        <v>983</v>
      </c>
      <c r="G9" s="1843" t="s">
        <v>984</v>
      </c>
      <c r="I9" s="1829"/>
    </row>
    <row r="10" spans="1:10" ht="33" customHeight="1">
      <c r="A10" s="1837"/>
      <c r="B10" s="1831"/>
      <c r="C10" s="1832">
        <v>1</v>
      </c>
      <c r="D10" s="1844">
        <f>ROUND(G10,0)</f>
        <v>84290</v>
      </c>
      <c r="E10" s="1845">
        <f>ROUND(D10/$E$7,2)</f>
        <v>0.13</v>
      </c>
      <c r="F10" s="1846">
        <f>D10/$E$3</f>
        <v>33716</v>
      </c>
      <c r="G10" s="1847">
        <f>'MTS Esti'!N80</f>
        <v>84289.798361387482</v>
      </c>
      <c r="H10" s="1848"/>
      <c r="I10" s="1858"/>
      <c r="J10" s="1859"/>
    </row>
    <row r="11" spans="1:10" ht="33" customHeight="1">
      <c r="A11" s="1837"/>
      <c r="B11" s="1831"/>
      <c r="C11" s="1832">
        <v>2</v>
      </c>
      <c r="D11" s="1844">
        <f>ROUND(G11,0)</f>
        <v>105527</v>
      </c>
      <c r="E11" s="1845">
        <f>ROUND(D11/$E$7,2)</f>
        <v>0.16</v>
      </c>
      <c r="F11" s="1846">
        <f>D11/$E$3</f>
        <v>42210.8</v>
      </c>
      <c r="G11" s="1847">
        <f>'MTS Esti'!O80</f>
        <v>105526.7357537709</v>
      </c>
      <c r="H11" s="1848"/>
      <c r="I11" s="1858"/>
      <c r="J11" s="1859"/>
    </row>
    <row r="12" spans="1:10" ht="33" customHeight="1">
      <c r="A12" s="1837"/>
      <c r="B12" s="1831"/>
      <c r="C12" s="1832">
        <v>3</v>
      </c>
      <c r="D12" s="1844">
        <f>ROUND(G12,0)</f>
        <v>130857</v>
      </c>
      <c r="E12" s="1845">
        <f>ROUND(D12/$E$7,2)</f>
        <v>0.2</v>
      </c>
      <c r="F12" s="1846">
        <f>D12/$E$3</f>
        <v>52342.8</v>
      </c>
      <c r="G12" s="1847">
        <f>'MTS Esti'!P80</f>
        <v>130856.64319214653</v>
      </c>
      <c r="H12" s="1848"/>
      <c r="I12" s="1858"/>
      <c r="J12" s="1859"/>
    </row>
    <row r="13" spans="1:10" ht="33" customHeight="1">
      <c r="A13" s="1837"/>
      <c r="B13" s="1831"/>
      <c r="C13" s="1832">
        <v>4</v>
      </c>
      <c r="D13" s="1844">
        <f>ROUND(G13,0)</f>
        <v>154125</v>
      </c>
      <c r="E13" s="1845">
        <f>ROUND(D13/$E$7,2)</f>
        <v>0.24</v>
      </c>
      <c r="F13" s="1846">
        <f>D13/$E$3</f>
        <v>61650</v>
      </c>
      <c r="G13" s="1847">
        <f>'MTS Esti'!Q80</f>
        <v>154124.57369315872</v>
      </c>
      <c r="H13" s="1848"/>
      <c r="I13" s="1858"/>
      <c r="J13" s="1859"/>
    </row>
    <row r="14" spans="1:10" ht="33" customHeight="1">
      <c r="A14" s="1837"/>
      <c r="B14" s="1831"/>
      <c r="C14" s="1832">
        <v>5</v>
      </c>
      <c r="D14" s="1844">
        <f>ROUND(G14,0)</f>
        <v>175393</v>
      </c>
      <c r="E14" s="1845">
        <f>ROUND(D14/$E$7,2)</f>
        <v>0.27</v>
      </c>
      <c r="F14" s="1846">
        <f>D14/$E$3</f>
        <v>70157.2</v>
      </c>
      <c r="G14" s="1847">
        <f>'MTS Esti'!R80</f>
        <v>175392.50419417088</v>
      </c>
      <c r="H14" s="1848"/>
      <c r="I14" s="1858"/>
      <c r="J14" s="1859"/>
    </row>
    <row r="15" spans="1:10" ht="30" customHeight="1">
      <c r="A15" s="1837"/>
      <c r="B15" s="1831"/>
      <c r="C15" s="1849" t="s">
        <v>985</v>
      </c>
      <c r="D15" s="1850">
        <f>SUM(D10:D14)</f>
        <v>650192</v>
      </c>
      <c r="E15" s="1851">
        <f>ROUND(SUM(E10:E14),0)</f>
        <v>1</v>
      </c>
      <c r="F15" s="1845"/>
      <c r="G15" s="1847">
        <f>SUM(G10:G14)</f>
        <v>650190.25519463443</v>
      </c>
      <c r="H15" s="1848"/>
      <c r="I15" s="1858"/>
      <c r="J15" s="1859"/>
    </row>
    <row r="16" spans="1:10" ht="30" customHeight="1">
      <c r="A16" s="1837"/>
      <c r="B16" s="1831"/>
      <c r="C16" s="1849" t="s">
        <v>986</v>
      </c>
      <c r="D16" s="1850">
        <f>ROUND(D15*0.12,0)</f>
        <v>78023</v>
      </c>
      <c r="E16" s="1851"/>
      <c r="F16" s="1845"/>
      <c r="G16" s="1847"/>
      <c r="H16" s="1848"/>
      <c r="I16" s="1858"/>
      <c r="J16" s="1859"/>
    </row>
    <row r="17" spans="1:7" ht="40.5" customHeight="1">
      <c r="A17" s="1837"/>
      <c r="B17" s="1831"/>
      <c r="C17" s="1849" t="s">
        <v>987</v>
      </c>
      <c r="D17" s="1852">
        <f>D18-D15-D16</f>
        <v>21785</v>
      </c>
      <c r="E17" s="1853"/>
      <c r="F17" s="1845"/>
      <c r="G17" s="1854"/>
    </row>
    <row r="18" spans="1:7" s="1829" customFormat="1" ht="27.75" customHeight="1">
      <c r="A18" s="1855"/>
      <c r="B18" s="1832"/>
      <c r="C18" s="1849" t="s">
        <v>988</v>
      </c>
      <c r="D18" s="1850">
        <f>E4*100000</f>
        <v>750000</v>
      </c>
      <c r="E18" s="1850"/>
      <c r="F18" s="1845"/>
      <c r="G18" s="1854"/>
    </row>
    <row r="19" spans="1:7">
      <c r="A19" s="1837"/>
      <c r="B19" s="1837"/>
      <c r="C19" s="1837"/>
      <c r="D19" s="1837"/>
      <c r="E19" s="1837"/>
      <c r="F19" s="1837"/>
    </row>
    <row r="20" spans="1:7">
      <c r="A20" s="1837"/>
      <c r="B20" s="1837"/>
      <c r="C20" s="1837"/>
      <c r="D20" s="1837"/>
      <c r="E20" s="1837"/>
      <c r="F20" s="1837"/>
    </row>
    <row r="21" spans="1:7">
      <c r="A21" s="1837"/>
      <c r="B21" s="1837"/>
      <c r="C21" s="1837"/>
      <c r="D21" s="1837"/>
      <c r="E21" s="1837"/>
      <c r="F21" s="1837"/>
    </row>
    <row r="22" spans="1:7" ht="15.75">
      <c r="A22" s="1837"/>
      <c r="B22" s="1837"/>
      <c r="C22" s="1856" t="str">
        <f>"The maintanance Abstract sub estiamte is approved for Rs. "&amp;D18&amp;" Only"</f>
        <v>The maintanance Abstract sub estiamte is approved for Rs. 750000 Only</v>
      </c>
      <c r="D22" s="1856"/>
      <c r="E22" s="1856"/>
      <c r="F22" s="1856"/>
    </row>
    <row r="23" spans="1:7">
      <c r="A23" s="1837"/>
      <c r="B23" s="1837"/>
      <c r="C23" s="1831"/>
      <c r="D23" s="1831"/>
      <c r="E23" s="1831"/>
      <c r="F23" s="1837"/>
    </row>
    <row r="24" spans="1:7">
      <c r="A24" s="1837"/>
      <c r="B24" s="1837"/>
      <c r="C24" s="1837"/>
      <c r="D24" s="1857"/>
      <c r="E24" s="1857"/>
      <c r="F24" s="1857"/>
    </row>
    <row r="25" spans="1:7">
      <c r="A25" s="1837"/>
      <c r="B25" s="1837"/>
      <c r="C25" s="1837"/>
      <c r="D25" s="1857"/>
      <c r="E25" s="1857"/>
      <c r="F25" s="1857"/>
    </row>
    <row r="26" spans="1:7">
      <c r="A26" s="1837"/>
      <c r="B26" s="1837"/>
      <c r="C26" s="1837"/>
      <c r="D26" s="1857"/>
      <c r="E26" s="1857"/>
      <c r="F26" s="1857"/>
    </row>
    <row r="27" spans="1:7">
      <c r="A27" s="1837"/>
      <c r="B27" s="1837"/>
      <c r="C27" s="1837"/>
      <c r="D27" s="1857"/>
      <c r="E27" s="1857"/>
      <c r="F27" s="1857"/>
    </row>
    <row r="28" spans="1:7">
      <c r="A28" s="1837"/>
      <c r="B28" s="1837"/>
      <c r="C28" s="1837"/>
      <c r="D28" s="1837"/>
      <c r="E28" s="1837"/>
      <c r="F28" s="1837"/>
    </row>
  </sheetData>
  <mergeCells count="8">
    <mergeCell ref="A1:F1"/>
    <mergeCell ref="A2:F2"/>
    <mergeCell ref="C6:E6"/>
    <mergeCell ref="C7:D7"/>
    <mergeCell ref="A3:A5"/>
    <mergeCell ref="B3:B5"/>
    <mergeCell ref="C3:C5"/>
    <mergeCell ref="F3:F5"/>
  </mergeCells>
  <pageMargins left="0.70069444444444495" right="0.70069444444444495" top="0.75138888888888899" bottom="0.75138888888888899" header="0.29861111111111099" footer="0.29861111111111099"/>
  <pageSetup paperSize="9" orientation="portrait"/>
</worksheet>
</file>

<file path=xl/worksheets/sheet24.xml><?xml version="1.0" encoding="utf-8"?>
<worksheet xmlns="http://schemas.openxmlformats.org/spreadsheetml/2006/main" xmlns:r="http://schemas.openxmlformats.org/officeDocument/2006/relationships">
  <sheetPr codeName="Sheet18"/>
  <dimension ref="A1:V81"/>
  <sheetViews>
    <sheetView workbookViewId="0">
      <selection activeCell="C61" sqref="C61:E61"/>
    </sheetView>
  </sheetViews>
  <sheetFormatPr defaultColWidth="9.28515625" defaultRowHeight="15"/>
  <cols>
    <col min="1" max="1" width="5.42578125" style="1732" customWidth="1"/>
    <col min="2" max="2" width="31" style="1733" customWidth="1"/>
    <col min="3" max="3" width="8.7109375" style="1733" customWidth="1"/>
    <col min="4" max="4" width="7.7109375" style="1733" customWidth="1"/>
    <col min="5" max="5" width="8.140625" style="1733" customWidth="1"/>
    <col min="6" max="6" width="6.7109375" style="1733" customWidth="1"/>
    <col min="7" max="7" width="11" style="1734" customWidth="1"/>
    <col min="8" max="8" width="9.42578125" style="1734" customWidth="1"/>
    <col min="9" max="9" width="11.7109375" style="1729" customWidth="1"/>
    <col min="10" max="10" width="8.28515625" style="1729" customWidth="1"/>
    <col min="11" max="11" width="10.7109375" style="1735" customWidth="1"/>
    <col min="12" max="12" width="14.5703125" style="1736" customWidth="1"/>
    <col min="13" max="13" width="4.7109375" style="1733" customWidth="1"/>
    <col min="14" max="16" width="11" style="1732" customWidth="1"/>
    <col min="17" max="19" width="12.140625" style="1732" customWidth="1"/>
    <col min="20" max="20" width="14.42578125" style="1733" customWidth="1"/>
    <col min="21" max="21" width="9.28515625" style="1733"/>
    <col min="22" max="22" width="10.7109375" style="1733" customWidth="1"/>
    <col min="23" max="16384" width="9.28515625" style="1733"/>
  </cols>
  <sheetData>
    <row r="1" spans="1:19" ht="18.75">
      <c r="A1" s="3592" t="s">
        <v>989</v>
      </c>
      <c r="B1" s="3592"/>
      <c r="C1" s="3592"/>
      <c r="D1" s="3592"/>
      <c r="E1" s="3592"/>
      <c r="F1" s="3592"/>
      <c r="G1" s="3592"/>
      <c r="H1" s="3592"/>
      <c r="I1" s="3592"/>
      <c r="J1" s="3592"/>
      <c r="K1" s="3592"/>
      <c r="L1" s="3592"/>
      <c r="P1" s="1780"/>
      <c r="Q1" s="1780"/>
    </row>
    <row r="2" spans="1:19">
      <c r="A2" s="3593" t="str">
        <f>'Input Data'!E1</f>
        <v>R/F A to B in Wanaparthy Mandal of Wanaparthy District</v>
      </c>
      <c r="B2" s="3593"/>
      <c r="C2" s="3593"/>
      <c r="D2" s="3593"/>
      <c r="E2" s="3593"/>
      <c r="F2" s="3593"/>
      <c r="G2" s="3593"/>
      <c r="H2" s="3593"/>
      <c r="I2" s="3593"/>
      <c r="J2" s="3593"/>
      <c r="K2" s="3593"/>
      <c r="L2" s="3593"/>
      <c r="O2" s="1761">
        <f>$C$6/1000</f>
        <v>2.5</v>
      </c>
      <c r="P2" s="1780"/>
      <c r="Q2" s="1780"/>
      <c r="R2" s="3626" t="s">
        <v>990</v>
      </c>
    </row>
    <row r="3" spans="1:19" ht="15.75">
      <c r="A3" s="1737"/>
      <c r="B3" s="1737" t="s">
        <v>991</v>
      </c>
      <c r="C3" s="1738">
        <v>3.75</v>
      </c>
      <c r="D3" s="1739" t="s">
        <v>992</v>
      </c>
      <c r="E3" s="1740"/>
      <c r="F3" s="1737"/>
      <c r="G3" s="1737" t="s">
        <v>993</v>
      </c>
      <c r="H3" s="1737" t="s">
        <v>994</v>
      </c>
      <c r="I3" s="1781" t="s">
        <v>995</v>
      </c>
      <c r="J3" s="1782" t="s">
        <v>996</v>
      </c>
      <c r="K3" s="1783">
        <v>2</v>
      </c>
      <c r="L3" s="1784"/>
      <c r="P3" s="1785"/>
      <c r="Q3" s="1785"/>
      <c r="R3" s="3626"/>
    </row>
    <row r="4" spans="1:19">
      <c r="A4" s="1737"/>
      <c r="B4" s="1737" t="s">
        <v>997</v>
      </c>
      <c r="C4" s="1741">
        <v>10</v>
      </c>
      <c r="D4" s="1739" t="s">
        <v>992</v>
      </c>
      <c r="E4" s="1740"/>
      <c r="F4" s="1737"/>
      <c r="G4" s="1742" t="s">
        <v>998</v>
      </c>
      <c r="H4" s="3594" t="s">
        <v>999</v>
      </c>
      <c r="I4" s="3594"/>
      <c r="J4" s="3594"/>
      <c r="K4" s="1786">
        <v>78</v>
      </c>
      <c r="L4" s="1787">
        <f>'Mtc-Abs'!D17</f>
        <v>21785</v>
      </c>
      <c r="N4" s="1788" t="s">
        <v>1000</v>
      </c>
      <c r="O4" s="1747"/>
      <c r="P4" s="1747"/>
      <c r="Q4" s="1796">
        <v>0</v>
      </c>
      <c r="R4" s="1817">
        <v>0.6</v>
      </c>
      <c r="S4" s="1732">
        <f>Q4*R4</f>
        <v>0</v>
      </c>
    </row>
    <row r="5" spans="1:19">
      <c r="A5" s="1743"/>
      <c r="B5" s="1737" t="s">
        <v>1001</v>
      </c>
      <c r="C5" s="1741">
        <v>0.95</v>
      </c>
      <c r="D5" s="1740" t="s">
        <v>992</v>
      </c>
      <c r="E5" s="1740"/>
      <c r="F5" s="1740"/>
      <c r="G5" s="3595"/>
      <c r="H5" s="3595"/>
      <c r="I5" s="1789"/>
      <c r="J5" s="1790"/>
      <c r="K5" s="1791" t="s">
        <v>60</v>
      </c>
      <c r="L5" s="1792">
        <f>L80/100000</f>
        <v>6.5019</v>
      </c>
      <c r="N5" s="1788" t="s">
        <v>1000</v>
      </c>
      <c r="O5" s="1747"/>
      <c r="P5" s="1747"/>
      <c r="Q5" s="1796">
        <v>0</v>
      </c>
      <c r="R5" s="1817">
        <v>0.9</v>
      </c>
      <c r="S5" s="1732">
        <f>Q5*R5</f>
        <v>0</v>
      </c>
    </row>
    <row r="6" spans="1:19" ht="12.75">
      <c r="A6" s="1743"/>
      <c r="B6" s="1743" t="s">
        <v>1002</v>
      </c>
      <c r="C6" s="1744">
        <v>2500</v>
      </c>
      <c r="D6" s="1745" t="s">
        <v>992</v>
      </c>
      <c r="E6" s="1740"/>
      <c r="F6" s="3596" t="s">
        <v>1003</v>
      </c>
      <c r="G6" s="3597"/>
      <c r="H6" s="3598"/>
      <c r="I6" s="1793">
        <v>0</v>
      </c>
      <c r="J6" s="1745" t="s">
        <v>992</v>
      </c>
      <c r="K6" s="1791" t="s">
        <v>1004</v>
      </c>
      <c r="L6" s="1792">
        <f>L5*1000/C6</f>
        <v>2.6007599999999997</v>
      </c>
      <c r="N6" s="1788" t="s">
        <v>1000</v>
      </c>
      <c r="O6" s="1747"/>
      <c r="P6" s="1747"/>
      <c r="Q6" s="1796">
        <v>0</v>
      </c>
      <c r="R6" s="1817">
        <v>1</v>
      </c>
      <c r="S6" s="1732">
        <f>Q6*R6</f>
        <v>0</v>
      </c>
    </row>
    <row r="7" spans="1:19" ht="12.75">
      <c r="A7" s="1743"/>
      <c r="B7" s="1743" t="s">
        <v>1005</v>
      </c>
      <c r="C7" s="1746">
        <v>2200</v>
      </c>
      <c r="D7" s="1745" t="s">
        <v>992</v>
      </c>
      <c r="E7" s="1740"/>
      <c r="F7" s="3599" t="s">
        <v>1006</v>
      </c>
      <c r="G7" s="3599"/>
      <c r="H7" s="3599"/>
      <c r="I7" s="1794">
        <f>S7</f>
        <v>0</v>
      </c>
      <c r="J7" s="1745" t="s">
        <v>1007</v>
      </c>
      <c r="K7" s="1795"/>
      <c r="L7" s="1795"/>
      <c r="Q7" s="1818" t="s">
        <v>1008</v>
      </c>
      <c r="S7" s="1819">
        <f>SUM(S4:S6)</f>
        <v>0</v>
      </c>
    </row>
    <row r="8" spans="1:19" ht="18">
      <c r="A8" s="1743"/>
      <c r="B8" s="1743" t="s">
        <v>1009</v>
      </c>
      <c r="C8" s="1748">
        <f>C6-C7</f>
        <v>300</v>
      </c>
      <c r="D8" s="1745" t="s">
        <v>992</v>
      </c>
      <c r="E8" s="1740"/>
      <c r="F8" s="3599" t="s">
        <v>1010</v>
      </c>
      <c r="G8" s="3599"/>
      <c r="H8" s="3599"/>
      <c r="I8" s="1794">
        <f>S13</f>
        <v>0</v>
      </c>
      <c r="J8" s="1745" t="s">
        <v>1011</v>
      </c>
      <c r="K8" s="1795"/>
      <c r="L8" s="1795"/>
      <c r="R8" s="1816" t="s">
        <v>1012</v>
      </c>
    </row>
    <row r="9" spans="1:19" ht="12.75">
      <c r="A9" s="1743"/>
      <c r="B9" s="1743" t="s">
        <v>1013</v>
      </c>
      <c r="C9" s="1748">
        <v>0</v>
      </c>
      <c r="D9" s="1745" t="s">
        <v>992</v>
      </c>
      <c r="E9" s="1740"/>
      <c r="F9" s="3599" t="s">
        <v>1014</v>
      </c>
      <c r="G9" s="3599"/>
      <c r="H9" s="3599"/>
      <c r="I9" s="1796">
        <v>0</v>
      </c>
      <c r="J9" s="1745" t="s">
        <v>733</v>
      </c>
      <c r="K9" s="1795"/>
      <c r="L9" s="1795"/>
      <c r="N9" s="3600" t="s">
        <v>1015</v>
      </c>
      <c r="O9" s="3600"/>
      <c r="P9" s="3600"/>
      <c r="Q9" s="1796">
        <v>0</v>
      </c>
      <c r="R9" s="1820">
        <v>2</v>
      </c>
      <c r="S9" s="1732">
        <f>Q9*R9</f>
        <v>0</v>
      </c>
    </row>
    <row r="10" spans="1:19" ht="12.75">
      <c r="A10" s="1749"/>
      <c r="B10" s="3601"/>
      <c r="C10" s="3602"/>
      <c r="D10" s="3602"/>
      <c r="E10" s="3602"/>
      <c r="F10" s="3602"/>
      <c r="G10" s="3602"/>
      <c r="H10" s="3602"/>
      <c r="I10" s="3602"/>
      <c r="J10" s="3602"/>
      <c r="K10" s="3602"/>
      <c r="L10" s="3603"/>
      <c r="N10" s="3600" t="s">
        <v>1016</v>
      </c>
      <c r="O10" s="3600"/>
      <c r="P10" s="3600"/>
      <c r="Q10" s="1796">
        <v>0</v>
      </c>
      <c r="R10" s="1820">
        <v>3</v>
      </c>
      <c r="S10" s="1732">
        <f>Q10*R10</f>
        <v>0</v>
      </c>
    </row>
    <row r="11" spans="1:19">
      <c r="A11" s="3610" t="s">
        <v>460</v>
      </c>
      <c r="B11" s="3610" t="s">
        <v>1017</v>
      </c>
      <c r="C11" s="3610" t="s">
        <v>1018</v>
      </c>
      <c r="D11" s="3610" t="s">
        <v>1019</v>
      </c>
      <c r="E11" s="3610" t="s">
        <v>1020</v>
      </c>
      <c r="F11" s="3610" t="s">
        <v>733</v>
      </c>
      <c r="G11" s="3609" t="s">
        <v>1021</v>
      </c>
      <c r="H11" s="3609" t="s">
        <v>1022</v>
      </c>
      <c r="I11" s="3610" t="s">
        <v>1023</v>
      </c>
      <c r="J11" s="3610" t="s">
        <v>1024</v>
      </c>
      <c r="K11" s="3610" t="s">
        <v>1025</v>
      </c>
      <c r="L11" s="3610"/>
      <c r="N11" s="3600" t="s">
        <v>1026</v>
      </c>
      <c r="O11" s="3600"/>
      <c r="P11" s="3600"/>
      <c r="Q11" s="1796">
        <v>0</v>
      </c>
      <c r="R11" s="1820">
        <v>5</v>
      </c>
      <c r="S11" s="1732">
        <f>Q11*R11</f>
        <v>0</v>
      </c>
    </row>
    <row r="12" spans="1:19" s="1729" customFormat="1">
      <c r="A12" s="3610"/>
      <c r="B12" s="3610"/>
      <c r="C12" s="3610"/>
      <c r="D12" s="3610"/>
      <c r="E12" s="3610"/>
      <c r="F12" s="3610"/>
      <c r="G12" s="3609"/>
      <c r="H12" s="3609"/>
      <c r="I12" s="3610"/>
      <c r="J12" s="3610"/>
      <c r="K12" s="1797" t="s">
        <v>1027</v>
      </c>
      <c r="L12" s="1798" t="s">
        <v>532</v>
      </c>
      <c r="N12" s="1732"/>
      <c r="O12" s="1732"/>
      <c r="P12" s="1732"/>
      <c r="Q12" s="1818" t="s">
        <v>1028</v>
      </c>
      <c r="R12" s="1732"/>
      <c r="S12" s="1732">
        <f>SUM(S9:S11)</f>
        <v>0</v>
      </c>
    </row>
    <row r="13" spans="1:19" s="1729" customFormat="1" ht="12.75">
      <c r="A13" s="1750">
        <v>1</v>
      </c>
      <c r="B13" s="1751">
        <v>2</v>
      </c>
      <c r="C13" s="1751">
        <v>3</v>
      </c>
      <c r="D13" s="1751">
        <v>4</v>
      </c>
      <c r="E13" s="1751">
        <v>5</v>
      </c>
      <c r="F13" s="1751">
        <v>6</v>
      </c>
      <c r="G13" s="1752">
        <v>7</v>
      </c>
      <c r="H13" s="1752">
        <v>8</v>
      </c>
      <c r="I13" s="1751">
        <v>9</v>
      </c>
      <c r="J13" s="1751">
        <v>10</v>
      </c>
      <c r="K13" s="1751">
        <v>11</v>
      </c>
      <c r="L13" s="1799">
        <v>12</v>
      </c>
      <c r="N13" s="1732"/>
      <c r="O13" s="1732"/>
      <c r="P13" s="1732"/>
      <c r="Q13" s="1818" t="s">
        <v>1029</v>
      </c>
      <c r="R13" s="1732"/>
      <c r="S13" s="1821">
        <f>S12/2</f>
        <v>0</v>
      </c>
    </row>
    <row r="14" spans="1:19" ht="15.75">
      <c r="A14" s="3629">
        <v>1</v>
      </c>
      <c r="B14" s="1754" t="s">
        <v>1030</v>
      </c>
      <c r="C14" s="3594"/>
      <c r="D14" s="3604"/>
      <c r="E14" s="3604"/>
      <c r="F14" s="1737"/>
      <c r="G14" s="1755"/>
      <c r="H14" s="1755"/>
      <c r="I14" s="1757"/>
      <c r="J14" s="1757"/>
      <c r="K14" s="1800"/>
      <c r="L14" s="1801"/>
      <c r="N14" s="3605" t="s">
        <v>1031</v>
      </c>
      <c r="O14" s="3606"/>
      <c r="P14" s="3606"/>
      <c r="Q14" s="3606"/>
      <c r="R14" s="3606"/>
      <c r="S14" s="3607"/>
    </row>
    <row r="15" spans="1:19">
      <c r="A15" s="3629"/>
      <c r="B15" s="1756" t="s">
        <v>1032</v>
      </c>
      <c r="C15" s="1757"/>
      <c r="D15" s="1757"/>
      <c r="E15" s="1757"/>
      <c r="F15" s="1757"/>
      <c r="G15" s="1755"/>
      <c r="H15" s="1755"/>
      <c r="I15" s="1757"/>
      <c r="J15" s="1757"/>
      <c r="K15" s="1800"/>
      <c r="L15" s="1801"/>
      <c r="M15" s="1802" t="s">
        <v>1033</v>
      </c>
      <c r="N15" s="1803" t="s">
        <v>1034</v>
      </c>
      <c r="O15" s="1803" t="s">
        <v>1035</v>
      </c>
      <c r="P15" s="1803" t="s">
        <v>1036</v>
      </c>
      <c r="Q15" s="1803" t="s">
        <v>1037</v>
      </c>
      <c r="R15" s="1803" t="s">
        <v>1038</v>
      </c>
      <c r="S15" s="1753" t="s">
        <v>18</v>
      </c>
    </row>
    <row r="16" spans="1:19">
      <c r="A16" s="3629"/>
      <c r="B16" s="1739" t="s">
        <v>1039</v>
      </c>
      <c r="C16" s="1758">
        <f>$C$7</f>
        <v>2200</v>
      </c>
      <c r="D16" s="1755">
        <f>$C$3</f>
        <v>3.75</v>
      </c>
      <c r="E16" s="1757"/>
      <c r="F16" s="1757">
        <v>1</v>
      </c>
      <c r="G16" s="1759">
        <v>0.5</v>
      </c>
      <c r="H16" s="1755">
        <v>1.5</v>
      </c>
      <c r="I16" s="1755">
        <f>C16*D16*F16*(G16/100)*H16</f>
        <v>61.875</v>
      </c>
      <c r="J16" s="1757" t="s">
        <v>963</v>
      </c>
      <c r="K16" s="1804">
        <f>'Mtc-data'!G77</f>
        <v>177.04218763721951</v>
      </c>
      <c r="L16" s="1801">
        <f>ROUND(I16*K16,2)</f>
        <v>10954.49</v>
      </c>
      <c r="N16" s="1805">
        <f>L16</f>
        <v>10954.49</v>
      </c>
      <c r="O16" s="1806"/>
      <c r="P16" s="1806"/>
      <c r="Q16" s="1806"/>
      <c r="R16" s="1806"/>
      <c r="S16" s="1806"/>
    </row>
    <row r="17" spans="1:19">
      <c r="A17" s="3629"/>
      <c r="B17" s="1739" t="s">
        <v>1040</v>
      </c>
      <c r="C17" s="1758">
        <f t="shared" ref="C17:C20" si="0">$C$7</f>
        <v>2200</v>
      </c>
      <c r="D17" s="1755">
        <f>$D$16</f>
        <v>3.75</v>
      </c>
      <c r="E17" s="1757"/>
      <c r="F17" s="1757">
        <v>1</v>
      </c>
      <c r="G17" s="1759">
        <v>1</v>
      </c>
      <c r="H17" s="1755">
        <v>1.5</v>
      </c>
      <c r="I17" s="1755">
        <f>C17*D17*F17*(G17/100)*H17</f>
        <v>123.75</v>
      </c>
      <c r="J17" s="1757" t="s">
        <v>963</v>
      </c>
      <c r="K17" s="1807">
        <f>$K$16</f>
        <v>177.04218763721951</v>
      </c>
      <c r="L17" s="1801">
        <f>I17*K17</f>
        <v>21908.970720105914</v>
      </c>
      <c r="N17" s="1806"/>
      <c r="O17" s="1805">
        <f>L17</f>
        <v>21908.970720105914</v>
      </c>
      <c r="P17" s="1806"/>
      <c r="Q17" s="1806"/>
      <c r="R17" s="1806"/>
      <c r="S17" s="1806"/>
    </row>
    <row r="18" spans="1:19">
      <c r="A18" s="3629"/>
      <c r="B18" s="1739" t="s">
        <v>1041</v>
      </c>
      <c r="C18" s="1758">
        <f t="shared" si="0"/>
        <v>2200</v>
      </c>
      <c r="D18" s="1755">
        <f>$D$16</f>
        <v>3.75</v>
      </c>
      <c r="E18" s="1757"/>
      <c r="F18" s="1757">
        <v>1</v>
      </c>
      <c r="G18" s="1759">
        <v>1.5</v>
      </c>
      <c r="H18" s="1755">
        <v>1.5</v>
      </c>
      <c r="I18" s="1755">
        <f>C18*D18*F18*(G18/100)*H18</f>
        <v>185.625</v>
      </c>
      <c r="J18" s="1757" t="s">
        <v>963</v>
      </c>
      <c r="K18" s="1807">
        <f>$K$16</f>
        <v>177.04218763721951</v>
      </c>
      <c r="L18" s="1801">
        <f>I18*K18</f>
        <v>32863.456080158874</v>
      </c>
      <c r="N18" s="1806"/>
      <c r="O18" s="1806"/>
      <c r="P18" s="1805">
        <f>L18</f>
        <v>32863.456080158874</v>
      </c>
      <c r="Q18" s="1806"/>
      <c r="R18" s="1806"/>
      <c r="S18" s="1806"/>
    </row>
    <row r="19" spans="1:19">
      <c r="A19" s="3629"/>
      <c r="B19" s="1739" t="s">
        <v>1042</v>
      </c>
      <c r="C19" s="1758">
        <f t="shared" si="0"/>
        <v>2200</v>
      </c>
      <c r="D19" s="1755">
        <f>$D$16</f>
        <v>3.75</v>
      </c>
      <c r="E19" s="1757"/>
      <c r="F19" s="1757">
        <v>1</v>
      </c>
      <c r="G19" s="1759">
        <v>2</v>
      </c>
      <c r="H19" s="1755">
        <v>1.5</v>
      </c>
      <c r="I19" s="1755">
        <f>C19*D19*F19*(G19/100)*H19</f>
        <v>247.5</v>
      </c>
      <c r="J19" s="1757" t="s">
        <v>963</v>
      </c>
      <c r="K19" s="1807">
        <f>$K$16</f>
        <v>177.04218763721951</v>
      </c>
      <c r="L19" s="1801">
        <f>I19*K19</f>
        <v>43817.941440211827</v>
      </c>
      <c r="N19" s="1806"/>
      <c r="O19" s="1806"/>
      <c r="P19" s="1806"/>
      <c r="Q19" s="1805">
        <f>L19</f>
        <v>43817.941440211827</v>
      </c>
      <c r="R19" s="1806"/>
      <c r="S19" s="1806"/>
    </row>
    <row r="20" spans="1:19">
      <c r="A20" s="3629"/>
      <c r="B20" s="1739" t="s">
        <v>1043</v>
      </c>
      <c r="C20" s="1758">
        <f t="shared" si="0"/>
        <v>2200</v>
      </c>
      <c r="D20" s="1755">
        <f>$D$16</f>
        <v>3.75</v>
      </c>
      <c r="E20" s="1737"/>
      <c r="F20" s="1760">
        <v>1</v>
      </c>
      <c r="G20" s="1759">
        <v>2.5</v>
      </c>
      <c r="H20" s="1755">
        <v>1.5</v>
      </c>
      <c r="I20" s="1755">
        <f>C20*D20*F20*(G20/100)*H20</f>
        <v>309.375</v>
      </c>
      <c r="J20" s="1757" t="s">
        <v>963</v>
      </c>
      <c r="K20" s="1807">
        <f>$K$16</f>
        <v>177.04218763721951</v>
      </c>
      <c r="L20" s="1801">
        <f>I20*K20</f>
        <v>54772.426800264788</v>
      </c>
      <c r="N20" s="1806"/>
      <c r="O20" s="1806"/>
      <c r="P20" s="1806"/>
      <c r="Q20" s="1806"/>
      <c r="R20" s="1805">
        <f>L20</f>
        <v>54772.426800264788</v>
      </c>
      <c r="S20" s="1806"/>
    </row>
    <row r="21" spans="1:19" ht="30">
      <c r="A21" s="3629"/>
      <c r="B21" s="1756" t="s">
        <v>1044</v>
      </c>
      <c r="C21" s="3608"/>
      <c r="D21" s="3608"/>
      <c r="E21" s="3608"/>
      <c r="F21" s="1757"/>
      <c r="G21" s="1759"/>
      <c r="H21" s="1755"/>
      <c r="I21" s="1757"/>
      <c r="J21" s="1757"/>
      <c r="K21" s="1800"/>
      <c r="L21" s="1801"/>
      <c r="N21" s="1806"/>
      <c r="O21" s="1806"/>
      <c r="P21" s="1806"/>
      <c r="Q21" s="1806"/>
      <c r="R21" s="1806"/>
      <c r="S21" s="1806"/>
    </row>
    <row r="22" spans="1:19">
      <c r="A22" s="3629"/>
      <c r="B22" s="1739" t="s">
        <v>1041</v>
      </c>
      <c r="C22" s="1758">
        <f t="shared" ref="C22:C24" si="1">$C$7</f>
        <v>2200</v>
      </c>
      <c r="D22" s="1755">
        <f>$D$16</f>
        <v>3.75</v>
      </c>
      <c r="E22" s="1761">
        <v>7.4999999999999997E-2</v>
      </c>
      <c r="F22" s="1757">
        <v>1</v>
      </c>
      <c r="G22" s="1759">
        <v>1.5</v>
      </c>
      <c r="H22" s="1755">
        <v>1.5</v>
      </c>
      <c r="I22" s="1808">
        <f>C22*D22*E22*F22*(G22/100)*H22</f>
        <v>13.921875</v>
      </c>
      <c r="J22" s="1809" t="s">
        <v>31</v>
      </c>
      <c r="K22" s="1800">
        <f>'Mtc-data'!G112</f>
        <v>437.65408079336731</v>
      </c>
      <c r="L22" s="1810">
        <f>I22*K22</f>
        <v>6092.9654060451603</v>
      </c>
      <c r="N22" s="1806"/>
      <c r="O22" s="1806"/>
      <c r="P22" s="1805">
        <f>L22</f>
        <v>6092.9654060451603</v>
      </c>
      <c r="Q22" s="1806"/>
      <c r="R22" s="1806"/>
      <c r="S22" s="1806"/>
    </row>
    <row r="23" spans="1:19">
      <c r="A23" s="3629"/>
      <c r="B23" s="1739" t="s">
        <v>1042</v>
      </c>
      <c r="C23" s="1758">
        <f t="shared" si="1"/>
        <v>2200</v>
      </c>
      <c r="D23" s="1755">
        <f>$D$16</f>
        <v>3.75</v>
      </c>
      <c r="E23" s="1761">
        <v>7.4999999999999997E-2</v>
      </c>
      <c r="F23" s="1757">
        <v>1</v>
      </c>
      <c r="G23" s="1759">
        <v>2</v>
      </c>
      <c r="H23" s="1755">
        <v>1.5</v>
      </c>
      <c r="I23" s="1808">
        <f>C23*D23*E23*F23*(G23/100)*H23</f>
        <v>18.5625</v>
      </c>
      <c r="J23" s="1757" t="s">
        <v>31</v>
      </c>
      <c r="K23" s="1811">
        <f>K22</f>
        <v>437.65408079336731</v>
      </c>
      <c r="L23" s="1810">
        <f>I23*K23</f>
        <v>8123.9538747268807</v>
      </c>
      <c r="N23" s="1806"/>
      <c r="O23" s="1806"/>
      <c r="P23" s="1806"/>
      <c r="Q23" s="1805">
        <f>L23</f>
        <v>8123.9538747268807</v>
      </c>
      <c r="R23" s="1806"/>
      <c r="S23" s="1806"/>
    </row>
    <row r="24" spans="1:19">
      <c r="A24" s="3629"/>
      <c r="B24" s="1739" t="s">
        <v>1043</v>
      </c>
      <c r="C24" s="1758">
        <f t="shared" si="1"/>
        <v>2200</v>
      </c>
      <c r="D24" s="1755">
        <f>$D$16</f>
        <v>3.75</v>
      </c>
      <c r="E24" s="1761">
        <v>7.4999999999999997E-2</v>
      </c>
      <c r="F24" s="1757">
        <v>1</v>
      </c>
      <c r="G24" s="1759">
        <v>2.5</v>
      </c>
      <c r="H24" s="1755">
        <v>1.5</v>
      </c>
      <c r="I24" s="1808">
        <f>C24*D24*E24*F24*(G24/100)*H24</f>
        <v>23.203125</v>
      </c>
      <c r="J24" s="1757" t="s">
        <v>31</v>
      </c>
      <c r="K24" s="1811">
        <f>K23</f>
        <v>437.65408079336731</v>
      </c>
      <c r="L24" s="1810">
        <f>I24*K24</f>
        <v>10154.9423434086</v>
      </c>
      <c r="N24" s="1806"/>
      <c r="O24" s="1806"/>
      <c r="P24" s="1806"/>
      <c r="Q24" s="1806"/>
      <c r="R24" s="1805">
        <f>L24</f>
        <v>10154.9423434086</v>
      </c>
      <c r="S24" s="1806"/>
    </row>
    <row r="25" spans="1:19">
      <c r="A25" s="3594" t="s">
        <v>1045</v>
      </c>
      <c r="B25" s="3594"/>
      <c r="C25" s="3608"/>
      <c r="D25" s="3608"/>
      <c r="E25" s="3608"/>
      <c r="F25" s="3608"/>
      <c r="G25" s="3608"/>
      <c r="H25" s="3608"/>
      <c r="I25" s="3608"/>
      <c r="J25" s="3608"/>
      <c r="K25" s="3608"/>
      <c r="L25" s="1812">
        <f>SUM(L16:L20,L22,L23,L24)</f>
        <v>188689.14666492204</v>
      </c>
      <c r="N25" s="1806"/>
      <c r="O25" s="1806"/>
      <c r="P25" s="1806"/>
      <c r="Q25" s="1806"/>
      <c r="R25" s="1806"/>
      <c r="S25" s="1805">
        <f>SUM(N16:R24)</f>
        <v>188689.14666492204</v>
      </c>
    </row>
    <row r="26" spans="1:19" ht="33.75">
      <c r="A26" s="3629">
        <v>2</v>
      </c>
      <c r="B26" s="1762" t="s">
        <v>1046</v>
      </c>
      <c r="C26" s="3608"/>
      <c r="D26" s="3608"/>
      <c r="E26" s="3608"/>
      <c r="F26" s="3608"/>
      <c r="G26" s="3608"/>
      <c r="H26" s="3608"/>
      <c r="I26" s="3608"/>
      <c r="J26" s="3608"/>
      <c r="K26" s="3608"/>
      <c r="L26" s="3608"/>
      <c r="N26" s="1806"/>
      <c r="O26" s="1806"/>
      <c r="P26" s="1806"/>
      <c r="Q26" s="1806"/>
      <c r="R26" s="1806"/>
      <c r="S26" s="1806"/>
    </row>
    <row r="27" spans="1:19">
      <c r="A27" s="3629"/>
      <c r="B27" s="1739" t="s">
        <v>1039</v>
      </c>
      <c r="C27" s="1757">
        <f>$C$6</f>
        <v>2500</v>
      </c>
      <c r="D27" s="1761">
        <f>$C$5</f>
        <v>0.95</v>
      </c>
      <c r="E27" s="1757"/>
      <c r="F27" s="1757">
        <v>2</v>
      </c>
      <c r="G27" s="1759">
        <v>10</v>
      </c>
      <c r="H27" s="1755">
        <v>1.5</v>
      </c>
      <c r="I27" s="1755">
        <f>C27*D27*F27*(G27/100)*H27</f>
        <v>712.5</v>
      </c>
      <c r="J27" s="1757" t="s">
        <v>963</v>
      </c>
      <c r="K27" s="1800">
        <f>'Mtc-data'!G49</f>
        <v>48.042443594999995</v>
      </c>
      <c r="L27" s="1801">
        <f>I27*K27</f>
        <v>34230.241061437497</v>
      </c>
      <c r="N27" s="1805">
        <f>L27</f>
        <v>34230.241061437497</v>
      </c>
      <c r="O27" s="1806"/>
      <c r="P27" s="1806"/>
      <c r="Q27" s="1806"/>
      <c r="R27" s="1806"/>
      <c r="S27" s="1806"/>
    </row>
    <row r="28" spans="1:19">
      <c r="A28" s="3629"/>
      <c r="B28" s="1739" t="s">
        <v>1040</v>
      </c>
      <c r="C28" s="1757">
        <f t="shared" ref="C28:C31" si="2">$C$6</f>
        <v>2500</v>
      </c>
      <c r="D28" s="1761">
        <f>$D$27</f>
        <v>0.95</v>
      </c>
      <c r="E28" s="1757"/>
      <c r="F28" s="1757">
        <v>2</v>
      </c>
      <c r="G28" s="1759">
        <v>12</v>
      </c>
      <c r="H28" s="1755">
        <v>1.5</v>
      </c>
      <c r="I28" s="1755">
        <f>C28*D28*F28*(G28/100)*H28</f>
        <v>855</v>
      </c>
      <c r="J28" s="1757" t="s">
        <v>963</v>
      </c>
      <c r="K28" s="1811">
        <f>$K$27</f>
        <v>48.042443594999995</v>
      </c>
      <c r="L28" s="1801">
        <f>I28*K28</f>
        <v>41076.289273724993</v>
      </c>
      <c r="N28" s="1806"/>
      <c r="O28" s="1805">
        <f>L28</f>
        <v>41076.289273724993</v>
      </c>
      <c r="P28" s="1806"/>
      <c r="Q28" s="1806"/>
      <c r="R28" s="1806"/>
      <c r="S28" s="1806"/>
    </row>
    <row r="29" spans="1:19">
      <c r="A29" s="3629"/>
      <c r="B29" s="1739" t="s">
        <v>1041</v>
      </c>
      <c r="C29" s="1757">
        <f t="shared" si="2"/>
        <v>2500</v>
      </c>
      <c r="D29" s="1761">
        <f>$D$27</f>
        <v>0.95</v>
      </c>
      <c r="E29" s="1757"/>
      <c r="F29" s="1757">
        <v>2</v>
      </c>
      <c r="G29" s="1759">
        <v>14</v>
      </c>
      <c r="H29" s="1755">
        <v>1.5</v>
      </c>
      <c r="I29" s="1755">
        <f>C29*D29*F29*(G29/100)*H29</f>
        <v>997.50000000000023</v>
      </c>
      <c r="J29" s="1757" t="s">
        <v>963</v>
      </c>
      <c r="K29" s="1811">
        <f>$K$27</f>
        <v>48.042443594999995</v>
      </c>
      <c r="L29" s="1801">
        <f>I29*K29</f>
        <v>47922.337486012504</v>
      </c>
      <c r="N29" s="1806"/>
      <c r="O29" s="1806"/>
      <c r="P29" s="1805">
        <f>L29</f>
        <v>47922.337486012504</v>
      </c>
      <c r="Q29" s="1806"/>
      <c r="R29" s="1806"/>
      <c r="S29" s="1806"/>
    </row>
    <row r="30" spans="1:19">
      <c r="A30" s="3629"/>
      <c r="B30" s="1739" t="s">
        <v>1042</v>
      </c>
      <c r="C30" s="1757">
        <f t="shared" si="2"/>
        <v>2500</v>
      </c>
      <c r="D30" s="1761">
        <f>$D$27</f>
        <v>0.95</v>
      </c>
      <c r="E30" s="1757"/>
      <c r="F30" s="1757">
        <v>2</v>
      </c>
      <c r="G30" s="1759">
        <v>16</v>
      </c>
      <c r="H30" s="1755">
        <v>1.5</v>
      </c>
      <c r="I30" s="1755">
        <f>C30*D30*F30*(G30/100)*H30</f>
        <v>1140</v>
      </c>
      <c r="J30" s="1757" t="s">
        <v>963</v>
      </c>
      <c r="K30" s="1811">
        <f>$K$27</f>
        <v>48.042443594999995</v>
      </c>
      <c r="L30" s="1801">
        <f>I30*K30</f>
        <v>54768.385698299993</v>
      </c>
      <c r="N30" s="1806"/>
      <c r="O30" s="1806"/>
      <c r="P30" s="1806"/>
      <c r="Q30" s="1805">
        <f>L30</f>
        <v>54768.385698299993</v>
      </c>
      <c r="R30" s="1806"/>
      <c r="S30" s="1806"/>
    </row>
    <row r="31" spans="1:19">
      <c r="A31" s="3629"/>
      <c r="B31" s="1739" t="s">
        <v>1043</v>
      </c>
      <c r="C31" s="1757">
        <f t="shared" si="2"/>
        <v>2500</v>
      </c>
      <c r="D31" s="1761">
        <f>$D$27</f>
        <v>0.95</v>
      </c>
      <c r="E31" s="1757"/>
      <c r="F31" s="1757">
        <v>2</v>
      </c>
      <c r="G31" s="1759">
        <v>18</v>
      </c>
      <c r="H31" s="1755">
        <v>1.5</v>
      </c>
      <c r="I31" s="1755">
        <f>C31*D31*F31*(G31/100)*H31</f>
        <v>1282.5</v>
      </c>
      <c r="J31" s="1757" t="s">
        <v>963</v>
      </c>
      <c r="K31" s="1811">
        <f>$K$27</f>
        <v>48.042443594999995</v>
      </c>
      <c r="L31" s="1801">
        <f>I31*K31</f>
        <v>61614.43391058749</v>
      </c>
      <c r="N31" s="1806"/>
      <c r="O31" s="1806"/>
      <c r="P31" s="1806"/>
      <c r="Q31" s="1806"/>
      <c r="R31" s="1805">
        <f>L31</f>
        <v>61614.43391058749</v>
      </c>
      <c r="S31" s="1806"/>
    </row>
    <row r="32" spans="1:19">
      <c r="A32" s="3594" t="s">
        <v>1045</v>
      </c>
      <c r="B32" s="3594"/>
      <c r="C32" s="3594"/>
      <c r="D32" s="3594"/>
      <c r="E32" s="3594"/>
      <c r="F32" s="3594"/>
      <c r="G32" s="3594"/>
      <c r="H32" s="3594"/>
      <c r="I32" s="3594"/>
      <c r="J32" s="3594"/>
      <c r="K32" s="3594"/>
      <c r="L32" s="1812">
        <f>SUM(L27:L31)</f>
        <v>239611.68743006248</v>
      </c>
      <c r="N32" s="1806"/>
      <c r="O32" s="1806"/>
      <c r="P32" s="1806"/>
      <c r="Q32" s="1806"/>
      <c r="R32" s="1806"/>
      <c r="S32" s="1805">
        <f>SUM(N27:R31)</f>
        <v>239611.68743006248</v>
      </c>
    </row>
    <row r="33" spans="1:19" ht="24.75" customHeight="1">
      <c r="A33" s="3629">
        <v>3</v>
      </c>
      <c r="B33" s="1763" t="s">
        <v>1047</v>
      </c>
      <c r="C33" s="3608"/>
      <c r="D33" s="3608"/>
      <c r="E33" s="3608"/>
      <c r="F33" s="3608"/>
      <c r="G33" s="3608"/>
      <c r="H33" s="3608"/>
      <c r="I33" s="3608"/>
      <c r="J33" s="3608"/>
      <c r="K33" s="3608"/>
      <c r="L33" s="3608"/>
      <c r="N33" s="1806"/>
      <c r="O33" s="1806"/>
      <c r="P33" s="1806"/>
      <c r="Q33" s="1806"/>
      <c r="R33" s="1806"/>
      <c r="S33" s="1806"/>
    </row>
    <row r="34" spans="1:19" ht="13.5" customHeight="1">
      <c r="A34" s="3629"/>
      <c r="B34" s="1764" t="s">
        <v>1048</v>
      </c>
      <c r="C34" s="3608"/>
      <c r="D34" s="3608"/>
      <c r="E34" s="3608"/>
      <c r="F34" s="3608"/>
      <c r="G34" s="3608"/>
      <c r="H34" s="3608"/>
      <c r="I34" s="3608"/>
      <c r="J34" s="3608"/>
      <c r="K34" s="3608"/>
      <c r="L34" s="3608"/>
      <c r="N34" s="1806"/>
      <c r="O34" s="1806"/>
      <c r="P34" s="1806"/>
      <c r="Q34" s="1806"/>
      <c r="R34" s="1806"/>
      <c r="S34" s="1806"/>
    </row>
    <row r="35" spans="1:19" ht="13.5" customHeight="1">
      <c r="A35" s="3629"/>
      <c r="B35" s="1739" t="s">
        <v>1039</v>
      </c>
      <c r="C35" s="1757">
        <f t="shared" ref="C35:C39" si="3">$C$6</f>
        <v>2500</v>
      </c>
      <c r="D35" s="1757">
        <f>$C$5/2</f>
        <v>0.47499999999999998</v>
      </c>
      <c r="E35" s="1757">
        <v>0.3</v>
      </c>
      <c r="F35" s="1757">
        <v>1</v>
      </c>
      <c r="G35" s="1759">
        <v>6</v>
      </c>
      <c r="H35" s="1755">
        <v>1.5</v>
      </c>
      <c r="I35" s="1755">
        <f>C35*D35*E35*F35*(G35/100)*H35</f>
        <v>32.0625</v>
      </c>
      <c r="J35" s="1757" t="s">
        <v>31</v>
      </c>
      <c r="K35" s="1800">
        <f>'Mtc-data'!G25</f>
        <v>189.97336919999998</v>
      </c>
      <c r="L35" s="1813">
        <f>I35*K35</f>
        <v>6091.0211499749994</v>
      </c>
      <c r="N35" s="1805">
        <f>L35</f>
        <v>6091.0211499749994</v>
      </c>
      <c r="O35" s="1806"/>
      <c r="P35" s="1806"/>
      <c r="Q35" s="1806"/>
      <c r="R35" s="1806"/>
      <c r="S35" s="1806"/>
    </row>
    <row r="36" spans="1:19" ht="13.5" customHeight="1">
      <c r="A36" s="3629"/>
      <c r="B36" s="1739" t="s">
        <v>1040</v>
      </c>
      <c r="C36" s="1757">
        <f t="shared" si="3"/>
        <v>2500</v>
      </c>
      <c r="D36" s="1757">
        <f>D35</f>
        <v>0.47499999999999998</v>
      </c>
      <c r="E36" s="1757">
        <v>0.3</v>
      </c>
      <c r="F36" s="1757">
        <v>1</v>
      </c>
      <c r="G36" s="1759">
        <v>7.2</v>
      </c>
      <c r="H36" s="1755">
        <v>1.5</v>
      </c>
      <c r="I36" s="1755">
        <f>C36*D36*E36*F36*(G36/100)*H36</f>
        <v>38.475000000000001</v>
      </c>
      <c r="J36" s="1757" t="s">
        <v>31</v>
      </c>
      <c r="K36" s="1811">
        <f>$K$35</f>
        <v>189.97336919999998</v>
      </c>
      <c r="L36" s="1813">
        <f>I36*K36</f>
        <v>7309.2253799699993</v>
      </c>
      <c r="N36" s="1806"/>
      <c r="O36" s="1805">
        <f>L36</f>
        <v>7309.2253799699993</v>
      </c>
      <c r="P36" s="1806"/>
      <c r="Q36" s="1806"/>
      <c r="R36" s="1806"/>
      <c r="S36" s="1806"/>
    </row>
    <row r="37" spans="1:19" ht="13.5" customHeight="1">
      <c r="A37" s="3629"/>
      <c r="B37" s="1739" t="s">
        <v>1041</v>
      </c>
      <c r="C37" s="1757">
        <f t="shared" si="3"/>
        <v>2500</v>
      </c>
      <c r="D37" s="1757">
        <f>D36</f>
        <v>0.47499999999999998</v>
      </c>
      <c r="E37" s="1757">
        <v>0.3</v>
      </c>
      <c r="F37" s="1757">
        <v>1</v>
      </c>
      <c r="G37" s="1759">
        <v>8.4</v>
      </c>
      <c r="H37" s="1755">
        <v>1.5</v>
      </c>
      <c r="I37" s="1755">
        <f>C37*D37*E37*F37*(G37/100)*H37</f>
        <v>44.887500000000003</v>
      </c>
      <c r="J37" s="1757" t="s">
        <v>31</v>
      </c>
      <c r="K37" s="1811">
        <f>$K$35</f>
        <v>189.97336919999998</v>
      </c>
      <c r="L37" s="1813">
        <f>I37*K37</f>
        <v>8527.4296099650001</v>
      </c>
      <c r="N37" s="1806"/>
      <c r="O37" s="1806"/>
      <c r="P37" s="1805">
        <f>L37</f>
        <v>8527.4296099650001</v>
      </c>
      <c r="Q37" s="1806"/>
      <c r="R37" s="1806"/>
      <c r="S37" s="1806"/>
    </row>
    <row r="38" spans="1:19" ht="13.5" customHeight="1">
      <c r="A38" s="3629"/>
      <c r="B38" s="1739" t="s">
        <v>1042</v>
      </c>
      <c r="C38" s="1757">
        <f t="shared" si="3"/>
        <v>2500</v>
      </c>
      <c r="D38" s="1757">
        <f>D37</f>
        <v>0.47499999999999998</v>
      </c>
      <c r="E38" s="1757">
        <v>0.3</v>
      </c>
      <c r="F38" s="1757">
        <v>1</v>
      </c>
      <c r="G38" s="1759">
        <v>9.6</v>
      </c>
      <c r="H38" s="1755">
        <v>1.5</v>
      </c>
      <c r="I38" s="1755">
        <f>C38*D38*E38*F38*(G38/100)*H38</f>
        <v>51.300000000000004</v>
      </c>
      <c r="J38" s="1757" t="s">
        <v>31</v>
      </c>
      <c r="K38" s="1811">
        <f>$K$35</f>
        <v>189.97336919999998</v>
      </c>
      <c r="L38" s="1813">
        <f>I38*K38</f>
        <v>9745.633839959999</v>
      </c>
      <c r="N38" s="1806"/>
      <c r="O38" s="1806"/>
      <c r="P38" s="1806"/>
      <c r="Q38" s="1805">
        <f>L38</f>
        <v>9745.633839959999</v>
      </c>
      <c r="R38" s="1806"/>
      <c r="S38" s="1806"/>
    </row>
    <row r="39" spans="1:19" ht="13.5" customHeight="1">
      <c r="A39" s="3629"/>
      <c r="B39" s="1739" t="s">
        <v>1043</v>
      </c>
      <c r="C39" s="1757">
        <f t="shared" si="3"/>
        <v>2500</v>
      </c>
      <c r="D39" s="1757">
        <f>D38</f>
        <v>0.47499999999999998</v>
      </c>
      <c r="E39" s="1757">
        <v>0.3</v>
      </c>
      <c r="F39" s="1757">
        <v>1</v>
      </c>
      <c r="G39" s="1759">
        <v>10.8</v>
      </c>
      <c r="H39" s="1755">
        <v>1.5</v>
      </c>
      <c r="I39" s="1755">
        <f>C39*D39*E39*F39*(G39/100)*H39</f>
        <v>57.712500000000006</v>
      </c>
      <c r="J39" s="1757" t="s">
        <v>31</v>
      </c>
      <c r="K39" s="1811">
        <f>$K$35</f>
        <v>189.97336919999998</v>
      </c>
      <c r="L39" s="1813">
        <f>I39*K39</f>
        <v>10963.838069955</v>
      </c>
      <c r="N39" s="1806"/>
      <c r="O39" s="1806"/>
      <c r="P39" s="1806"/>
      <c r="Q39" s="1806"/>
      <c r="R39" s="1805">
        <f>L39</f>
        <v>10963.838069955</v>
      </c>
      <c r="S39" s="1806"/>
    </row>
    <row r="40" spans="1:19" ht="13.5" customHeight="1">
      <c r="A40" s="3629"/>
      <c r="B40" s="1756" t="s">
        <v>1049</v>
      </c>
      <c r="C40" s="3608"/>
      <c r="D40" s="3608"/>
      <c r="E40" s="3608"/>
      <c r="F40" s="3608"/>
      <c r="G40" s="3608"/>
      <c r="H40" s="3608"/>
      <c r="I40" s="3608"/>
      <c r="J40" s="3608"/>
      <c r="K40" s="3608"/>
      <c r="L40" s="1812">
        <f>SUM(L35:L39)</f>
        <v>42637.148049825002</v>
      </c>
      <c r="N40" s="1806"/>
      <c r="O40" s="1806"/>
      <c r="P40" s="1806"/>
      <c r="Q40" s="1806"/>
      <c r="R40" s="1806"/>
      <c r="S40" s="1805">
        <f>SUM(N35:R39)</f>
        <v>42637.148049825002</v>
      </c>
    </row>
    <row r="41" spans="1:19" ht="13.5" customHeight="1">
      <c r="A41" s="3629"/>
      <c r="B41" s="1764" t="s">
        <v>1050</v>
      </c>
      <c r="C41" s="3608"/>
      <c r="D41" s="3608"/>
      <c r="E41" s="3608"/>
      <c r="F41" s="3608"/>
      <c r="G41" s="3608"/>
      <c r="H41" s="3608"/>
      <c r="I41" s="3608"/>
      <c r="J41" s="3608"/>
      <c r="K41" s="3608"/>
      <c r="L41" s="3608"/>
      <c r="N41" s="1806"/>
      <c r="O41" s="1806"/>
      <c r="P41" s="1806"/>
      <c r="Q41" s="1806"/>
      <c r="R41" s="1806"/>
      <c r="S41" s="1806"/>
    </row>
    <row r="42" spans="1:19" ht="13.5" customHeight="1">
      <c r="A42" s="3629"/>
      <c r="B42" s="1739" t="s">
        <v>1039</v>
      </c>
      <c r="C42" s="1757">
        <f t="shared" ref="C42:C46" si="4">$C$6</f>
        <v>2500</v>
      </c>
      <c r="D42" s="1757">
        <f>D39</f>
        <v>0.47499999999999998</v>
      </c>
      <c r="E42" s="1757">
        <v>0.3</v>
      </c>
      <c r="F42" s="1757">
        <v>1</v>
      </c>
      <c r="G42" s="1759">
        <v>6</v>
      </c>
      <c r="H42" s="1755">
        <v>1.5</v>
      </c>
      <c r="I42" s="1755">
        <f>C42*D42*E42*F42*(G42/100)*H42</f>
        <v>32.0625</v>
      </c>
      <c r="J42" s="1757" t="s">
        <v>31</v>
      </c>
      <c r="K42" s="1800">
        <f>$K$35</f>
        <v>189.97336919999998</v>
      </c>
      <c r="L42" s="1801">
        <f>I42*K42</f>
        <v>6091.0211499749994</v>
      </c>
      <c r="N42" s="1805">
        <f>L42</f>
        <v>6091.0211499749994</v>
      </c>
      <c r="O42" s="1806"/>
      <c r="P42" s="1806"/>
      <c r="Q42" s="1806"/>
      <c r="R42" s="1806"/>
      <c r="S42" s="1806"/>
    </row>
    <row r="43" spans="1:19" ht="13.5" customHeight="1">
      <c r="A43" s="3629"/>
      <c r="B43" s="1739" t="s">
        <v>1040</v>
      </c>
      <c r="C43" s="1757">
        <f t="shared" si="4"/>
        <v>2500</v>
      </c>
      <c r="D43" s="1757">
        <f>D42</f>
        <v>0.47499999999999998</v>
      </c>
      <c r="E43" s="1757">
        <v>0.3</v>
      </c>
      <c r="F43" s="1757">
        <v>1</v>
      </c>
      <c r="G43" s="1759">
        <v>7.2</v>
      </c>
      <c r="H43" s="1755">
        <v>1.5</v>
      </c>
      <c r="I43" s="1755">
        <f>C43*D43*E43*F43*(G43/100)*H43</f>
        <v>38.475000000000001</v>
      </c>
      <c r="J43" s="1757" t="s">
        <v>31</v>
      </c>
      <c r="K43" s="1811">
        <f>$K$35</f>
        <v>189.97336919999998</v>
      </c>
      <c r="L43" s="1801">
        <f>I43*K43</f>
        <v>7309.2253799699993</v>
      </c>
      <c r="N43" s="1806"/>
      <c r="O43" s="1805">
        <f>L43</f>
        <v>7309.2253799699993</v>
      </c>
      <c r="P43" s="1806"/>
      <c r="Q43" s="1806"/>
      <c r="R43" s="1806"/>
      <c r="S43" s="1806"/>
    </row>
    <row r="44" spans="1:19" ht="13.5" customHeight="1">
      <c r="A44" s="3629"/>
      <c r="B44" s="1739" t="s">
        <v>1041</v>
      </c>
      <c r="C44" s="1757">
        <f t="shared" si="4"/>
        <v>2500</v>
      </c>
      <c r="D44" s="1757">
        <f>D43</f>
        <v>0.47499999999999998</v>
      </c>
      <c r="E44" s="1757">
        <v>0.3</v>
      </c>
      <c r="F44" s="1757">
        <v>1</v>
      </c>
      <c r="G44" s="1759">
        <v>8.4</v>
      </c>
      <c r="H44" s="1755">
        <v>1.5</v>
      </c>
      <c r="I44" s="1755">
        <f>C44*D44*E44*F44*(G44/100)*H44</f>
        <v>44.887500000000003</v>
      </c>
      <c r="J44" s="1757" t="s">
        <v>31</v>
      </c>
      <c r="K44" s="1811">
        <f>$K$35</f>
        <v>189.97336919999998</v>
      </c>
      <c r="L44" s="1801">
        <f>I44*K44</f>
        <v>8527.4296099650001</v>
      </c>
      <c r="N44" s="1806"/>
      <c r="O44" s="1806"/>
      <c r="P44" s="1805">
        <f>L44</f>
        <v>8527.4296099650001</v>
      </c>
      <c r="Q44" s="1806"/>
      <c r="R44" s="1806"/>
      <c r="S44" s="1806"/>
    </row>
    <row r="45" spans="1:19" ht="13.5" customHeight="1">
      <c r="A45" s="3629"/>
      <c r="B45" s="1739" t="s">
        <v>1042</v>
      </c>
      <c r="C45" s="1757">
        <f t="shared" si="4"/>
        <v>2500</v>
      </c>
      <c r="D45" s="1757">
        <f>D44</f>
        <v>0.47499999999999998</v>
      </c>
      <c r="E45" s="1757">
        <v>0.3</v>
      </c>
      <c r="F45" s="1757">
        <v>1</v>
      </c>
      <c r="G45" s="1759">
        <v>9.6</v>
      </c>
      <c r="H45" s="1755">
        <v>1.5</v>
      </c>
      <c r="I45" s="1755">
        <f>C45*D45*E45*F45*(G45/100)*H45</f>
        <v>51.300000000000004</v>
      </c>
      <c r="J45" s="1757" t="s">
        <v>31</v>
      </c>
      <c r="K45" s="1811">
        <f>$K$35</f>
        <v>189.97336919999998</v>
      </c>
      <c r="L45" s="1801">
        <f>I45*K45</f>
        <v>9745.633839959999</v>
      </c>
      <c r="N45" s="1806"/>
      <c r="O45" s="1806"/>
      <c r="P45" s="1806"/>
      <c r="Q45" s="1805">
        <f>L45</f>
        <v>9745.633839959999</v>
      </c>
      <c r="R45" s="1806"/>
      <c r="S45" s="1806"/>
    </row>
    <row r="46" spans="1:19" ht="13.5" customHeight="1">
      <c r="A46" s="3629"/>
      <c r="B46" s="1739" t="s">
        <v>1043</v>
      </c>
      <c r="C46" s="1757">
        <f t="shared" si="4"/>
        <v>2500</v>
      </c>
      <c r="D46" s="1757">
        <f>D45</f>
        <v>0.47499999999999998</v>
      </c>
      <c r="E46" s="1757">
        <v>0.3</v>
      </c>
      <c r="F46" s="1757">
        <v>1</v>
      </c>
      <c r="G46" s="1759">
        <v>10.8</v>
      </c>
      <c r="H46" s="1755">
        <v>1.5</v>
      </c>
      <c r="I46" s="1755">
        <f>C46*D46*E46*F46*(G46/100)*H46</f>
        <v>57.712500000000006</v>
      </c>
      <c r="J46" s="1757" t="s">
        <v>31</v>
      </c>
      <c r="K46" s="1811">
        <f>$K$35</f>
        <v>189.97336919999998</v>
      </c>
      <c r="L46" s="1801">
        <f>I46*K46</f>
        <v>10963.838069955</v>
      </c>
      <c r="N46" s="1806"/>
      <c r="O46" s="1806"/>
      <c r="P46" s="1806"/>
      <c r="Q46" s="1806"/>
      <c r="R46" s="1805">
        <f>L46</f>
        <v>10963.838069955</v>
      </c>
      <c r="S46" s="1806"/>
    </row>
    <row r="47" spans="1:19" ht="13.5" customHeight="1">
      <c r="A47" s="1753"/>
      <c r="B47" s="1739" t="s">
        <v>1049</v>
      </c>
      <c r="C47" s="3594"/>
      <c r="D47" s="3594"/>
      <c r="E47" s="3594"/>
      <c r="F47" s="3594"/>
      <c r="G47" s="3594"/>
      <c r="H47" s="3594"/>
      <c r="I47" s="3594"/>
      <c r="J47" s="3594"/>
      <c r="K47" s="3594"/>
      <c r="L47" s="1812">
        <f>SUM(L42:L46)</f>
        <v>42637.148049825002</v>
      </c>
      <c r="N47" s="1806"/>
      <c r="O47" s="1806"/>
      <c r="P47" s="1806"/>
      <c r="Q47" s="1806"/>
      <c r="R47" s="1806"/>
      <c r="S47" s="1805">
        <f>SUM(N42:R46)</f>
        <v>42637.148049825002</v>
      </c>
    </row>
    <row r="48" spans="1:19" ht="13.5" customHeight="1">
      <c r="A48" s="3594" t="s">
        <v>1051</v>
      </c>
      <c r="B48" s="3594"/>
      <c r="C48" s="3608"/>
      <c r="D48" s="3608"/>
      <c r="E48" s="3608"/>
      <c r="F48" s="3608"/>
      <c r="G48" s="3608"/>
      <c r="H48" s="3608"/>
      <c r="I48" s="3608"/>
      <c r="J48" s="3608"/>
      <c r="K48" s="3608"/>
      <c r="L48" s="1812">
        <f>L40+L47</f>
        <v>85274.296099650004</v>
      </c>
      <c r="N48" s="1806"/>
      <c r="O48" s="1806"/>
      <c r="P48" s="1806"/>
      <c r="Q48" s="1806"/>
      <c r="R48" s="1806"/>
      <c r="S48" s="1806"/>
    </row>
    <row r="49" spans="1:22" ht="67.5">
      <c r="A49" s="1753">
        <v>4</v>
      </c>
      <c r="B49" s="1739" t="s">
        <v>1052</v>
      </c>
      <c r="C49" s="1761">
        <f>$C$6/1000</f>
        <v>2.5</v>
      </c>
      <c r="D49" s="1737"/>
      <c r="E49" s="1737"/>
      <c r="F49" s="1737"/>
      <c r="G49" s="1765" t="s">
        <v>1053</v>
      </c>
      <c r="H49" s="1761"/>
      <c r="I49" s="1777">
        <v>25</v>
      </c>
      <c r="J49" s="1757" t="s">
        <v>1054</v>
      </c>
      <c r="K49" s="1800">
        <f>'SSR-rates'!$I$60</f>
        <v>490</v>
      </c>
      <c r="L49" s="1801">
        <f>C49*I49*K49</f>
        <v>30625</v>
      </c>
      <c r="N49" s="1806">
        <f>$L49/5</f>
        <v>6125</v>
      </c>
      <c r="O49" s="1806">
        <f>$L49/5</f>
        <v>6125</v>
      </c>
      <c r="P49" s="1806">
        <f>$L49/5</f>
        <v>6125</v>
      </c>
      <c r="Q49" s="1806">
        <f>$L49/5</f>
        <v>6125</v>
      </c>
      <c r="R49" s="1806">
        <f>$L49/5</f>
        <v>6125</v>
      </c>
      <c r="S49" s="1806"/>
    </row>
    <row r="50" spans="1:22" ht="13.5" customHeight="1">
      <c r="A50" s="3594" t="s">
        <v>1045</v>
      </c>
      <c r="B50" s="3594"/>
      <c r="C50" s="3608"/>
      <c r="D50" s="3608"/>
      <c r="E50" s="3608"/>
      <c r="F50" s="3608"/>
      <c r="G50" s="3608"/>
      <c r="H50" s="3608"/>
      <c r="I50" s="3608"/>
      <c r="J50" s="3608"/>
      <c r="K50" s="3608"/>
      <c r="L50" s="1812">
        <f>L49</f>
        <v>30625</v>
      </c>
      <c r="N50" s="1806"/>
      <c r="O50" s="1806"/>
      <c r="P50" s="1806"/>
      <c r="Q50" s="1806"/>
      <c r="R50" s="1806"/>
      <c r="S50" s="1805">
        <f>SUM(N49:R49)</f>
        <v>30625</v>
      </c>
    </row>
    <row r="51" spans="1:22" ht="56.25">
      <c r="A51" s="1753">
        <v>5</v>
      </c>
      <c r="B51" s="1739" t="s">
        <v>1055</v>
      </c>
      <c r="C51" s="1761">
        <f>$C$6/1000</f>
        <v>2.5</v>
      </c>
      <c r="D51" s="1737"/>
      <c r="E51" s="1737"/>
      <c r="F51" s="1737"/>
      <c r="G51" s="1766" t="s">
        <v>1056</v>
      </c>
      <c r="H51" s="1761"/>
      <c r="I51" s="1757">
        <v>30</v>
      </c>
      <c r="J51" s="1757" t="s">
        <v>1054</v>
      </c>
      <c r="K51" s="1800">
        <f>'SSR-rates'!$I$60</f>
        <v>490</v>
      </c>
      <c r="L51" s="1801">
        <f>C51*I51*K51</f>
        <v>36750</v>
      </c>
      <c r="N51" s="1806">
        <f>$L51/5</f>
        <v>7350</v>
      </c>
      <c r="O51" s="1806">
        <f>$L51/5</f>
        <v>7350</v>
      </c>
      <c r="P51" s="1806">
        <f>$L51/5</f>
        <v>7350</v>
      </c>
      <c r="Q51" s="1806">
        <f>$L51/5</f>
        <v>7350</v>
      </c>
      <c r="R51" s="1806">
        <f>$L51/5</f>
        <v>7350</v>
      </c>
      <c r="S51" s="1806"/>
    </row>
    <row r="52" spans="1:22" ht="13.5" customHeight="1">
      <c r="A52" s="3594" t="s">
        <v>1045</v>
      </c>
      <c r="B52" s="3594"/>
      <c r="C52" s="3608"/>
      <c r="D52" s="3608"/>
      <c r="E52" s="3608"/>
      <c r="F52" s="3608"/>
      <c r="G52" s="3608"/>
      <c r="H52" s="3608"/>
      <c r="I52" s="3608"/>
      <c r="J52" s="3608"/>
      <c r="K52" s="3608"/>
      <c r="L52" s="1812">
        <f>L51</f>
        <v>36750</v>
      </c>
      <c r="N52" s="1806"/>
      <c r="O52" s="1806"/>
      <c r="P52" s="1806"/>
      <c r="Q52" s="1806"/>
      <c r="R52" s="1806"/>
      <c r="S52" s="1805">
        <f>SUM(N51:R51)</f>
        <v>36750</v>
      </c>
    </row>
    <row r="53" spans="1:22" s="1730" customFormat="1" ht="90.6" customHeight="1">
      <c r="A53" s="1767">
        <v>6</v>
      </c>
      <c r="B53" s="1768" t="s">
        <v>1057</v>
      </c>
      <c r="C53" s="1761">
        <f>$C$6/1000</f>
        <v>2.5</v>
      </c>
      <c r="D53" s="1769"/>
      <c r="E53" s="1769"/>
      <c r="F53" s="1770"/>
      <c r="G53" s="1771" t="s">
        <v>1058</v>
      </c>
      <c r="H53" s="1761"/>
      <c r="I53" s="1814">
        <v>5</v>
      </c>
      <c r="J53" s="1770" t="s">
        <v>1059</v>
      </c>
      <c r="K53" s="1815">
        <v>600</v>
      </c>
      <c r="L53" s="1801">
        <f>C53*I53*K53</f>
        <v>7500</v>
      </c>
      <c r="N53" s="1806">
        <f>$L53/5</f>
        <v>1500</v>
      </c>
      <c r="O53" s="1806">
        <f>$L53/5</f>
        <v>1500</v>
      </c>
      <c r="P53" s="1806">
        <f>$L53/5</f>
        <v>1500</v>
      </c>
      <c r="Q53" s="1806">
        <f>$L53/5</f>
        <v>1500</v>
      </c>
      <c r="R53" s="1806">
        <f>$L53/5</f>
        <v>1500</v>
      </c>
      <c r="S53" s="1774"/>
    </row>
    <row r="54" spans="1:22" ht="13.5" customHeight="1">
      <c r="A54" s="3594" t="s">
        <v>1045</v>
      </c>
      <c r="B54" s="3594"/>
      <c r="C54" s="3608"/>
      <c r="D54" s="3608"/>
      <c r="E54" s="3608"/>
      <c r="F54" s="3608"/>
      <c r="G54" s="3608"/>
      <c r="H54" s="3608"/>
      <c r="I54" s="3608"/>
      <c r="J54" s="3608"/>
      <c r="K54" s="3608"/>
      <c r="L54" s="1812">
        <f>L53</f>
        <v>7500</v>
      </c>
      <c r="N54" s="1806"/>
      <c r="O54" s="1806"/>
      <c r="P54" s="1806"/>
      <c r="Q54" s="1806"/>
      <c r="R54" s="1806"/>
      <c r="S54" s="1805">
        <f>SUM(N53:R53)</f>
        <v>7500</v>
      </c>
    </row>
    <row r="55" spans="1:22" ht="72">
      <c r="A55" s="1753">
        <v>7</v>
      </c>
      <c r="B55" s="1772" t="s">
        <v>1060</v>
      </c>
      <c r="C55" s="1773">
        <f>C9/2</f>
        <v>0</v>
      </c>
      <c r="D55" s="1737"/>
      <c r="E55" s="1737"/>
      <c r="F55" s="1760">
        <f>2*0.5</f>
        <v>1</v>
      </c>
      <c r="G55" s="1759" t="s">
        <v>1061</v>
      </c>
      <c r="H55" s="1761"/>
      <c r="I55" s="1757">
        <v>10</v>
      </c>
      <c r="J55" s="1757" t="s">
        <v>1062</v>
      </c>
      <c r="K55" s="1800">
        <v>3</v>
      </c>
      <c r="L55" s="1801">
        <f>C55*I55*K55</f>
        <v>0</v>
      </c>
      <c r="N55" s="1806">
        <f>$L55/5</f>
        <v>0</v>
      </c>
      <c r="O55" s="1806">
        <f>$L55/5</f>
        <v>0</v>
      </c>
      <c r="P55" s="1806">
        <f>$L55/5</f>
        <v>0</v>
      </c>
      <c r="Q55" s="1806">
        <f>$L55/5</f>
        <v>0</v>
      </c>
      <c r="R55" s="1806">
        <f>$L55/5</f>
        <v>0</v>
      </c>
      <c r="S55" s="1806"/>
    </row>
    <row r="56" spans="1:22" ht="13.5" customHeight="1">
      <c r="A56" s="3594" t="s">
        <v>1045</v>
      </c>
      <c r="B56" s="3594"/>
      <c r="C56" s="3608"/>
      <c r="D56" s="3608"/>
      <c r="E56" s="3608"/>
      <c r="F56" s="3608"/>
      <c r="G56" s="3608"/>
      <c r="H56" s="3608"/>
      <c r="I56" s="3608"/>
      <c r="J56" s="3608"/>
      <c r="K56" s="3608"/>
      <c r="L56" s="1812">
        <f>SUM(L55)</f>
        <v>0</v>
      </c>
      <c r="N56" s="1806"/>
      <c r="O56" s="1806"/>
      <c r="P56" s="1806"/>
      <c r="Q56" s="1806"/>
      <c r="R56" s="1806"/>
      <c r="S56" s="1805">
        <f>SUM(N55:R55)</f>
        <v>0</v>
      </c>
    </row>
    <row r="57" spans="1:22" ht="45" customHeight="1">
      <c r="A57" s="3629">
        <v>8</v>
      </c>
      <c r="B57" s="1757" t="s">
        <v>1063</v>
      </c>
      <c r="C57" s="1757">
        <v>1000</v>
      </c>
      <c r="D57" s="1761">
        <f>$D$27</f>
        <v>0.95</v>
      </c>
      <c r="E57" s="1757"/>
      <c r="F57" s="1757">
        <f>2*0.5</f>
        <v>1</v>
      </c>
      <c r="G57" s="3615" t="s">
        <v>1064</v>
      </c>
      <c r="H57" s="1761">
        <f>$C$6/1000</f>
        <v>2.5</v>
      </c>
      <c r="I57" s="1757">
        <f>C57*D57*F57*5</f>
        <v>4750</v>
      </c>
      <c r="J57" s="1757" t="s">
        <v>963</v>
      </c>
      <c r="K57" s="1800">
        <f>'Road data'!G22</f>
        <v>3.93</v>
      </c>
      <c r="L57" s="1801">
        <f>I57*K57*H57</f>
        <v>46668.75</v>
      </c>
      <c r="N57" s="1806">
        <f t="shared" ref="N57:R59" si="5">$L57/5</f>
        <v>9333.75</v>
      </c>
      <c r="O57" s="1806">
        <f t="shared" si="5"/>
        <v>9333.75</v>
      </c>
      <c r="P57" s="1806">
        <f t="shared" si="5"/>
        <v>9333.75</v>
      </c>
      <c r="Q57" s="1806">
        <f t="shared" si="5"/>
        <v>9333.75</v>
      </c>
      <c r="R57" s="1806">
        <f t="shared" si="5"/>
        <v>9333.75</v>
      </c>
      <c r="S57" s="1806"/>
    </row>
    <row r="58" spans="1:22" ht="25.5">
      <c r="A58" s="3629"/>
      <c r="B58" s="1757" t="s">
        <v>1065</v>
      </c>
      <c r="C58" s="3608"/>
      <c r="D58" s="3608"/>
      <c r="E58" s="3608"/>
      <c r="F58" s="1757">
        <v>10</v>
      </c>
      <c r="G58" s="3615"/>
      <c r="H58" s="1761">
        <f>$C$6/1000</f>
        <v>2.5</v>
      </c>
      <c r="I58" s="1757">
        <f>F58*5</f>
        <v>50</v>
      </c>
      <c r="J58" s="1757" t="s">
        <v>241</v>
      </c>
      <c r="K58" s="1800">
        <v>104.571</v>
      </c>
      <c r="L58" s="1801">
        <f>I58*K58*H58</f>
        <v>13071.375</v>
      </c>
      <c r="N58" s="1806">
        <f t="shared" si="5"/>
        <v>2614.2750000000001</v>
      </c>
      <c r="O58" s="1806">
        <f t="shared" si="5"/>
        <v>2614.2750000000001</v>
      </c>
      <c r="P58" s="1806">
        <f t="shared" si="5"/>
        <v>2614.2750000000001</v>
      </c>
      <c r="Q58" s="1806">
        <f t="shared" si="5"/>
        <v>2614.2750000000001</v>
      </c>
      <c r="R58" s="1806">
        <f t="shared" si="5"/>
        <v>2614.2750000000001</v>
      </c>
      <c r="S58" s="1806"/>
    </row>
    <row r="59" spans="1:22" s="1730" customFormat="1" ht="25.5">
      <c r="A59" s="3629"/>
      <c r="B59" s="1774" t="s">
        <v>1066</v>
      </c>
      <c r="C59" s="3613">
        <v>0.5</v>
      </c>
      <c r="D59" s="3613"/>
      <c r="E59" s="3613"/>
      <c r="F59" s="1770">
        <v>10</v>
      </c>
      <c r="G59" s="3615"/>
      <c r="H59" s="1775">
        <v>0</v>
      </c>
      <c r="I59" s="1770">
        <f>C59*F59*5</f>
        <v>25</v>
      </c>
      <c r="J59" s="1770" t="s">
        <v>963</v>
      </c>
      <c r="K59" s="1815">
        <v>0</v>
      </c>
      <c r="L59" s="1801">
        <f>I59*K59*H59</f>
        <v>0</v>
      </c>
      <c r="N59" s="1806">
        <f t="shared" si="5"/>
        <v>0</v>
      </c>
      <c r="O59" s="1806">
        <f t="shared" si="5"/>
        <v>0</v>
      </c>
      <c r="P59" s="1806">
        <f t="shared" si="5"/>
        <v>0</v>
      </c>
      <c r="Q59" s="1806">
        <f t="shared" si="5"/>
        <v>0</v>
      </c>
      <c r="R59" s="1806">
        <f t="shared" si="5"/>
        <v>0</v>
      </c>
      <c r="S59" s="1774"/>
    </row>
    <row r="60" spans="1:22" ht="13.5" customHeight="1">
      <c r="A60" s="3614" t="s">
        <v>1045</v>
      </c>
      <c r="B60" s="3614"/>
      <c r="C60" s="3608"/>
      <c r="D60" s="3608"/>
      <c r="E60" s="3608"/>
      <c r="F60" s="3608"/>
      <c r="G60" s="3608"/>
      <c r="H60" s="3608"/>
      <c r="I60" s="3608"/>
      <c r="J60" s="3608"/>
      <c r="K60" s="3608"/>
      <c r="L60" s="1812">
        <f>SUM(L57:L59)</f>
        <v>59740.125</v>
      </c>
      <c r="N60" s="1806"/>
      <c r="O60" s="1806"/>
      <c r="P60" s="1806"/>
      <c r="Q60" s="1806"/>
      <c r="R60" s="1806"/>
      <c r="S60" s="1805">
        <f>SUM(N57:R59)</f>
        <v>59740.125000000007</v>
      </c>
    </row>
    <row r="61" spans="1:22" ht="52.5" customHeight="1">
      <c r="A61" s="1753">
        <v>9</v>
      </c>
      <c r="B61" s="1776" t="s">
        <v>1067</v>
      </c>
      <c r="C61" s="3616">
        <v>0</v>
      </c>
      <c r="D61" s="3616"/>
      <c r="E61" s="3616"/>
      <c r="F61" s="1757"/>
      <c r="G61" s="1759" t="s">
        <v>1068</v>
      </c>
      <c r="H61" s="1755"/>
      <c r="I61" s="1757">
        <f>C61*5</f>
        <v>0</v>
      </c>
      <c r="J61" s="1757" t="s">
        <v>963</v>
      </c>
      <c r="K61" s="1800"/>
      <c r="L61" s="1801">
        <f>I61*K61</f>
        <v>0</v>
      </c>
      <c r="N61" s="1806">
        <f>$L61/5</f>
        <v>0</v>
      </c>
      <c r="O61" s="1806">
        <f>$L61/5</f>
        <v>0</v>
      </c>
      <c r="P61" s="1806">
        <f>$L61/5</f>
        <v>0</v>
      </c>
      <c r="Q61" s="1806">
        <f>$L61/5</f>
        <v>0</v>
      </c>
      <c r="R61" s="1806">
        <f>$L61/5</f>
        <v>0</v>
      </c>
      <c r="S61" s="1806"/>
    </row>
    <row r="62" spans="1:22" ht="13.5" customHeight="1">
      <c r="A62" s="3594" t="s">
        <v>1045</v>
      </c>
      <c r="B62" s="3594"/>
      <c r="C62" s="3611"/>
      <c r="D62" s="3611"/>
      <c r="E62" s="3611"/>
      <c r="F62" s="1778"/>
      <c r="G62" s="3612"/>
      <c r="H62" s="3612"/>
      <c r="I62" s="3612"/>
      <c r="J62" s="3612"/>
      <c r="K62" s="3612"/>
      <c r="L62" s="1812">
        <f>L61</f>
        <v>0</v>
      </c>
      <c r="N62" s="1806"/>
      <c r="O62" s="1806"/>
      <c r="P62" s="1806"/>
      <c r="Q62" s="1806"/>
      <c r="R62" s="1806"/>
      <c r="S62" s="1805">
        <f>SUM(N61:R61)</f>
        <v>0</v>
      </c>
    </row>
    <row r="63" spans="1:22" ht="30">
      <c r="A63" s="3629">
        <v>10</v>
      </c>
      <c r="B63" s="1754" t="s">
        <v>1069</v>
      </c>
      <c r="C63" s="3608"/>
      <c r="D63" s="3608"/>
      <c r="E63" s="3608"/>
      <c r="F63" s="3608"/>
      <c r="G63" s="3608"/>
      <c r="H63" s="3608"/>
      <c r="I63" s="3608"/>
      <c r="J63" s="3608"/>
      <c r="K63" s="3608"/>
      <c r="L63" s="1801"/>
      <c r="N63" s="1806"/>
      <c r="O63" s="1806"/>
      <c r="P63" s="1806"/>
      <c r="Q63" s="1806"/>
      <c r="R63" s="1806"/>
      <c r="S63" s="1806"/>
    </row>
    <row r="64" spans="1:22" ht="38.25">
      <c r="A64" s="3629"/>
      <c r="B64" s="1779" t="s">
        <v>1070</v>
      </c>
      <c r="C64" s="1758">
        <f>I7</f>
        <v>0</v>
      </c>
      <c r="D64" s="1739"/>
      <c r="E64" s="1739"/>
      <c r="F64" s="1757">
        <v>1</v>
      </c>
      <c r="G64" s="1766" t="s">
        <v>1071</v>
      </c>
      <c r="H64" s="1758">
        <f>ROUND(C64/F64,0)</f>
        <v>0</v>
      </c>
      <c r="I64" s="1757">
        <f>F64*10</f>
        <v>10</v>
      </c>
      <c r="J64" s="1757" t="s">
        <v>1072</v>
      </c>
      <c r="K64" s="1800">
        <v>1200</v>
      </c>
      <c r="L64" s="1801">
        <f>I64*K64*H64</f>
        <v>0</v>
      </c>
      <c r="N64" s="1806">
        <f t="shared" ref="N64:R67" si="6">$L64/5</f>
        <v>0</v>
      </c>
      <c r="O64" s="1806">
        <f t="shared" si="6"/>
        <v>0</v>
      </c>
      <c r="P64" s="1806">
        <f t="shared" si="6"/>
        <v>0</v>
      </c>
      <c r="Q64" s="1806">
        <f t="shared" si="6"/>
        <v>0</v>
      </c>
      <c r="R64" s="1806">
        <f t="shared" si="6"/>
        <v>0</v>
      </c>
      <c r="S64" s="1806"/>
      <c r="V64" s="1779"/>
    </row>
    <row r="65" spans="1:22" ht="33.75">
      <c r="A65" s="3629"/>
      <c r="B65" s="1779" t="s">
        <v>1073</v>
      </c>
      <c r="C65" s="1758">
        <f>I8</f>
        <v>0</v>
      </c>
      <c r="D65" s="1739"/>
      <c r="E65" s="1739"/>
      <c r="F65" s="1757">
        <v>1</v>
      </c>
      <c r="G65" s="1766" t="s">
        <v>1071</v>
      </c>
      <c r="H65" s="1758">
        <f>ROUND(C65/F65,0)</f>
        <v>0</v>
      </c>
      <c r="I65" s="1757">
        <f>F65*10</f>
        <v>10</v>
      </c>
      <c r="J65" s="1760" t="s">
        <v>1074</v>
      </c>
      <c r="K65" s="1800">
        <v>2000</v>
      </c>
      <c r="L65" s="1801">
        <f>I65*K65*H65</f>
        <v>0</v>
      </c>
      <c r="N65" s="1806">
        <f t="shared" si="6"/>
        <v>0</v>
      </c>
      <c r="O65" s="1806">
        <f t="shared" si="6"/>
        <v>0</v>
      </c>
      <c r="P65" s="1806">
        <f t="shared" si="6"/>
        <v>0</v>
      </c>
      <c r="Q65" s="1806">
        <f t="shared" si="6"/>
        <v>0</v>
      </c>
      <c r="R65" s="1806">
        <f t="shared" si="6"/>
        <v>0</v>
      </c>
      <c r="S65" s="1806"/>
      <c r="V65" s="1779"/>
    </row>
    <row r="66" spans="1:22" ht="33.75" customHeight="1">
      <c r="A66" s="3629"/>
      <c r="B66" s="1779" t="s">
        <v>1075</v>
      </c>
      <c r="C66" s="1755">
        <f>I6</f>
        <v>0</v>
      </c>
      <c r="D66" s="1757"/>
      <c r="E66" s="1757"/>
      <c r="F66" s="1757">
        <v>1</v>
      </c>
      <c r="G66" s="1766" t="s">
        <v>1071</v>
      </c>
      <c r="H66" s="1755"/>
      <c r="I66" s="1757">
        <f>C66*F66*10</f>
        <v>0</v>
      </c>
      <c r="J66" s="1757" t="s">
        <v>1076</v>
      </c>
      <c r="K66" s="1800">
        <v>60</v>
      </c>
      <c r="L66" s="1801">
        <f>I66*K66</f>
        <v>0</v>
      </c>
      <c r="N66" s="1806">
        <f t="shared" si="6"/>
        <v>0</v>
      </c>
      <c r="O66" s="1806">
        <f t="shared" si="6"/>
        <v>0</v>
      </c>
      <c r="P66" s="1806">
        <f t="shared" si="6"/>
        <v>0</v>
      </c>
      <c r="Q66" s="1806">
        <f t="shared" si="6"/>
        <v>0</v>
      </c>
      <c r="R66" s="1806">
        <f t="shared" si="6"/>
        <v>0</v>
      </c>
      <c r="S66" s="1806"/>
    </row>
    <row r="67" spans="1:22" ht="33.75">
      <c r="A67" s="3629"/>
      <c r="B67" s="1779" t="s">
        <v>1077</v>
      </c>
      <c r="C67" s="1757">
        <f>C64+C65</f>
        <v>0</v>
      </c>
      <c r="D67" s="1760">
        <v>5.5</v>
      </c>
      <c r="E67" s="1760">
        <v>2</v>
      </c>
      <c r="F67" s="1760">
        <v>1</v>
      </c>
      <c r="G67" s="1766" t="s">
        <v>1068</v>
      </c>
      <c r="H67" s="1755"/>
      <c r="I67" s="1757">
        <f>C67*D67*E67*F67*5</f>
        <v>0</v>
      </c>
      <c r="J67" s="1757" t="s">
        <v>963</v>
      </c>
      <c r="K67" s="1800">
        <v>25</v>
      </c>
      <c r="L67" s="1801">
        <f>I67*K67</f>
        <v>0</v>
      </c>
      <c r="N67" s="1806">
        <f t="shared" si="6"/>
        <v>0</v>
      </c>
      <c r="O67" s="1806">
        <f t="shared" si="6"/>
        <v>0</v>
      </c>
      <c r="P67" s="1806">
        <f t="shared" si="6"/>
        <v>0</v>
      </c>
      <c r="Q67" s="1806">
        <f t="shared" si="6"/>
        <v>0</v>
      </c>
      <c r="R67" s="1806">
        <f t="shared" si="6"/>
        <v>0</v>
      </c>
      <c r="S67" s="1806"/>
    </row>
    <row r="68" spans="1:22" ht="13.5" customHeight="1">
      <c r="A68" s="3594" t="s">
        <v>1045</v>
      </c>
      <c r="B68" s="3594"/>
      <c r="C68" s="3611"/>
      <c r="D68" s="3611"/>
      <c r="E68" s="3611"/>
      <c r="F68" s="1778"/>
      <c r="G68" s="3612" t="s">
        <v>1078</v>
      </c>
      <c r="H68" s="3612"/>
      <c r="I68" s="3612"/>
      <c r="J68" s="3612"/>
      <c r="K68" s="3612"/>
      <c r="L68" s="1812">
        <f>SUM(L64:L67)</f>
        <v>0</v>
      </c>
      <c r="N68" s="1806"/>
      <c r="O68" s="1806"/>
      <c r="P68" s="1806"/>
      <c r="Q68" s="1806"/>
      <c r="R68" s="1806"/>
      <c r="S68" s="1805">
        <f>SUM(N64:R67)</f>
        <v>0</v>
      </c>
    </row>
    <row r="69" spans="1:22" ht="30">
      <c r="A69" s="3629">
        <v>11</v>
      </c>
      <c r="B69" s="1754" t="s">
        <v>1079</v>
      </c>
      <c r="C69" s="3622">
        <v>1</v>
      </c>
      <c r="D69" s="3622"/>
      <c r="E69" s="3622"/>
      <c r="F69" s="3622"/>
      <c r="G69" s="3615"/>
      <c r="H69" s="3619" t="s">
        <v>1080</v>
      </c>
      <c r="I69" s="3620">
        <f>C69*2</f>
        <v>2</v>
      </c>
      <c r="J69" s="3608" t="s">
        <v>607</v>
      </c>
      <c r="K69" s="3621">
        <v>1000</v>
      </c>
      <c r="L69" s="3623">
        <f>I69*K69</f>
        <v>2000</v>
      </c>
      <c r="N69" s="1806"/>
      <c r="O69" s="1806"/>
      <c r="P69" s="1806"/>
      <c r="Q69" s="1806"/>
      <c r="R69" s="1806"/>
      <c r="S69" s="1806"/>
    </row>
    <row r="70" spans="1:22" ht="21.75" customHeight="1">
      <c r="A70" s="3629"/>
      <c r="B70" s="1822" t="s">
        <v>561</v>
      </c>
      <c r="C70" s="3622"/>
      <c r="D70" s="3622"/>
      <c r="E70" s="3622"/>
      <c r="F70" s="3622"/>
      <c r="G70" s="3615"/>
      <c r="H70" s="3619"/>
      <c r="I70" s="3620"/>
      <c r="J70" s="3608"/>
      <c r="K70" s="3621"/>
      <c r="L70" s="3624"/>
      <c r="N70" s="1806"/>
      <c r="O70" s="1806"/>
      <c r="P70" s="1806"/>
      <c r="Q70" s="1806"/>
      <c r="R70" s="1806"/>
      <c r="S70" s="1806"/>
    </row>
    <row r="71" spans="1:22" ht="12.75">
      <c r="A71" s="3629"/>
      <c r="B71" s="1822"/>
      <c r="C71" s="3622"/>
      <c r="D71" s="3622"/>
      <c r="E71" s="3622"/>
      <c r="F71" s="3622"/>
      <c r="G71" s="3615"/>
      <c r="H71" s="3619"/>
      <c r="I71" s="3620"/>
      <c r="J71" s="3608"/>
      <c r="K71" s="3621"/>
      <c r="L71" s="3624"/>
      <c r="N71" s="1806"/>
      <c r="O71" s="1806"/>
      <c r="P71" s="1806"/>
      <c r="Q71" s="1806"/>
      <c r="R71" s="1806"/>
      <c r="S71" s="1806"/>
    </row>
    <row r="72" spans="1:22" ht="13.5" hidden="1" customHeight="1">
      <c r="A72" s="3629"/>
      <c r="B72" s="1756"/>
      <c r="C72" s="3622"/>
      <c r="D72" s="3622"/>
      <c r="E72" s="3622"/>
      <c r="F72" s="3622"/>
      <c r="G72" s="3615"/>
      <c r="H72" s="3619"/>
      <c r="I72" s="3620"/>
      <c r="J72" s="3608"/>
      <c r="K72" s="3621"/>
      <c r="L72" s="3624"/>
      <c r="N72" s="1806"/>
      <c r="O72" s="1806"/>
      <c r="P72" s="1806"/>
      <c r="Q72" s="1806"/>
      <c r="R72" s="1806"/>
      <c r="S72" s="1806"/>
    </row>
    <row r="73" spans="1:22" ht="14.25" hidden="1" customHeight="1">
      <c r="A73" s="3629"/>
      <c r="B73" s="1756"/>
      <c r="C73" s="3622"/>
      <c r="D73" s="3622"/>
      <c r="E73" s="3622"/>
      <c r="F73" s="3622"/>
      <c r="G73" s="3615"/>
      <c r="H73" s="3619"/>
      <c r="I73" s="3620"/>
      <c r="J73" s="3608"/>
      <c r="K73" s="3621"/>
      <c r="L73" s="3624"/>
      <c r="N73" s="1806"/>
      <c r="O73" s="1806"/>
      <c r="P73" s="1806"/>
      <c r="Q73" s="1806"/>
      <c r="R73" s="1806"/>
      <c r="S73" s="1806"/>
    </row>
    <row r="74" spans="1:22">
      <c r="A74" s="3629"/>
      <c r="B74" s="1756"/>
      <c r="C74" s="3622"/>
      <c r="D74" s="3622"/>
      <c r="E74" s="3622"/>
      <c r="F74" s="3622"/>
      <c r="G74" s="3615"/>
      <c r="H74" s="3619"/>
      <c r="I74" s="3620"/>
      <c r="J74" s="3608"/>
      <c r="K74" s="3621">
        <v>1096.0150000000001</v>
      </c>
      <c r="L74" s="3625"/>
      <c r="N74" s="1806"/>
      <c r="O74" s="1806">
        <f>$L$75/2</f>
        <v>1000</v>
      </c>
      <c r="P74" s="1806"/>
      <c r="Q74" s="1806">
        <f>$L$75/2</f>
        <v>1000</v>
      </c>
      <c r="R74" s="1806"/>
      <c r="S74" s="1806"/>
    </row>
    <row r="75" spans="1:22" ht="13.5" customHeight="1">
      <c r="A75" s="3594" t="s">
        <v>1045</v>
      </c>
      <c r="B75" s="3594"/>
      <c r="C75" s="3611"/>
      <c r="D75" s="3611"/>
      <c r="E75" s="3611"/>
      <c r="F75" s="3611"/>
      <c r="G75" s="3611"/>
      <c r="H75" s="3611"/>
      <c r="I75" s="3611"/>
      <c r="J75" s="3611"/>
      <c r="K75" s="3611"/>
      <c r="L75" s="1812">
        <f>SUM(L69)</f>
        <v>2000</v>
      </c>
      <c r="N75" s="1806"/>
      <c r="O75" s="1806"/>
      <c r="P75" s="1806"/>
      <c r="Q75" s="1806"/>
      <c r="R75" s="1806"/>
      <c r="S75" s="1805">
        <f>SUM(N70:R74)</f>
        <v>2000</v>
      </c>
    </row>
    <row r="76" spans="1:22" ht="13.5" customHeight="1">
      <c r="A76" s="3629">
        <v>12</v>
      </c>
      <c r="B76" s="1754" t="s">
        <v>1081</v>
      </c>
      <c r="C76" s="3608"/>
      <c r="D76" s="3608"/>
      <c r="E76" s="3608"/>
      <c r="F76" s="3608"/>
      <c r="G76" s="3608"/>
      <c r="H76" s="3608"/>
      <c r="I76" s="3608"/>
      <c r="J76" s="3608"/>
      <c r="K76" s="3608"/>
      <c r="L76" s="3608"/>
      <c r="N76" s="1806"/>
      <c r="O76" s="1806"/>
      <c r="P76" s="1806"/>
      <c r="Q76" s="1806"/>
      <c r="R76" s="1806"/>
      <c r="S76" s="1806"/>
    </row>
    <row r="77" spans="1:22" ht="48">
      <c r="A77" s="3629"/>
      <c r="B77" s="1779" t="s">
        <v>1082</v>
      </c>
      <c r="C77" s="3617">
        <f>$I$9</f>
        <v>0</v>
      </c>
      <c r="D77" s="3616"/>
      <c r="E77" s="3616"/>
      <c r="F77" s="1757">
        <v>0.2</v>
      </c>
      <c r="G77" s="1823" t="s">
        <v>1064</v>
      </c>
      <c r="H77" s="1824"/>
      <c r="I77" s="1760">
        <f>C77*F77*5</f>
        <v>0</v>
      </c>
      <c r="J77" s="1757" t="s">
        <v>241</v>
      </c>
      <c r="K77" s="1825">
        <v>0</v>
      </c>
      <c r="L77" s="1813">
        <f>I77*K77</f>
        <v>0</v>
      </c>
      <c r="N77" s="1806">
        <f t="shared" ref="N77:R78" si="7">$L77/5</f>
        <v>0</v>
      </c>
      <c r="O77" s="1806">
        <f t="shared" si="7"/>
        <v>0</v>
      </c>
      <c r="P77" s="1806">
        <f t="shared" si="7"/>
        <v>0</v>
      </c>
      <c r="Q77" s="1806">
        <f t="shared" si="7"/>
        <v>0</v>
      </c>
      <c r="R77" s="1806">
        <f t="shared" si="7"/>
        <v>0</v>
      </c>
      <c r="S77" s="1806"/>
    </row>
    <row r="78" spans="1:22" ht="48.6" customHeight="1">
      <c r="A78" s="3629"/>
      <c r="B78" s="1779" t="s">
        <v>1083</v>
      </c>
      <c r="C78" s="3617">
        <f>$I$9</f>
        <v>0</v>
      </c>
      <c r="D78" s="3616"/>
      <c r="E78" s="3616"/>
      <c r="F78" s="1757">
        <v>0.2</v>
      </c>
      <c r="G78" s="1823" t="s">
        <v>1071</v>
      </c>
      <c r="H78" s="1824"/>
      <c r="I78" s="1760">
        <f>C78*F78*10</f>
        <v>0</v>
      </c>
      <c r="J78" s="1757" t="s">
        <v>241</v>
      </c>
      <c r="K78" s="1825">
        <v>0</v>
      </c>
      <c r="L78" s="1813">
        <f>I78*K78</f>
        <v>0</v>
      </c>
      <c r="N78" s="1806">
        <f t="shared" si="7"/>
        <v>0</v>
      </c>
      <c r="O78" s="1806">
        <f t="shared" si="7"/>
        <v>0</v>
      </c>
      <c r="P78" s="1806">
        <f t="shared" si="7"/>
        <v>0</v>
      </c>
      <c r="Q78" s="1806">
        <f t="shared" si="7"/>
        <v>0</v>
      </c>
      <c r="R78" s="1806">
        <f t="shared" si="7"/>
        <v>0</v>
      </c>
      <c r="S78" s="1806"/>
    </row>
    <row r="79" spans="1:22" ht="13.5" customHeight="1">
      <c r="A79" s="3594" t="s">
        <v>1045</v>
      </c>
      <c r="B79" s="3594"/>
      <c r="C79" s="3618"/>
      <c r="D79" s="3618"/>
      <c r="E79" s="3618"/>
      <c r="F79" s="3618"/>
      <c r="G79" s="3618"/>
      <c r="H79" s="3618"/>
      <c r="I79" s="3618"/>
      <c r="J79" s="3618"/>
      <c r="K79" s="3618"/>
      <c r="L79" s="1812">
        <f>SUM(L77:L78)</f>
        <v>0</v>
      </c>
      <c r="N79" s="1806"/>
      <c r="O79" s="1806"/>
      <c r="P79" s="1806"/>
      <c r="Q79" s="1806"/>
      <c r="R79" s="1806"/>
      <c r="S79" s="1805">
        <f>SUM(N77:R78)</f>
        <v>0</v>
      </c>
    </row>
    <row r="80" spans="1:22" s="1731" customFormat="1" ht="21.75" customHeight="1">
      <c r="A80" s="3627" t="s">
        <v>1084</v>
      </c>
      <c r="B80" s="3627"/>
      <c r="C80" s="3628"/>
      <c r="D80" s="3628"/>
      <c r="E80" s="3628"/>
      <c r="F80" s="3628"/>
      <c r="G80" s="3628"/>
      <c r="H80" s="3628"/>
      <c r="I80" s="3628"/>
      <c r="J80" s="3628"/>
      <c r="K80" s="3628"/>
      <c r="L80" s="1826">
        <f>ROUND(L79+L75+L68+L62+L60+L56+L54+L52+L50+L48+L32+L25,0)</f>
        <v>650190</v>
      </c>
      <c r="N80" s="1827">
        <f t="shared" ref="N80:S80" si="8">SUM(N16:N79)</f>
        <v>84289.798361387482</v>
      </c>
      <c r="O80" s="1827">
        <f t="shared" si="8"/>
        <v>105526.7357537709</v>
      </c>
      <c r="P80" s="1827">
        <f t="shared" si="8"/>
        <v>130856.64319214653</v>
      </c>
      <c r="Q80" s="1827">
        <f t="shared" si="8"/>
        <v>154124.57369315872</v>
      </c>
      <c r="R80" s="1827">
        <f t="shared" si="8"/>
        <v>175392.50419417088</v>
      </c>
      <c r="S80" s="1827">
        <f t="shared" si="8"/>
        <v>650190.25519463443</v>
      </c>
    </row>
    <row r="81" spans="14:19">
      <c r="N81" s="1828"/>
      <c r="O81" s="1828"/>
      <c r="P81" s="1828"/>
      <c r="Q81" s="1828"/>
      <c r="R81" s="1828"/>
      <c r="S81" s="1828"/>
    </row>
  </sheetData>
  <sheetProtection password="CA5F" sheet="1" objects="1" scenarios="1"/>
  <protectedRanges>
    <protectedRange sqref="K3:K4" name="Range6"/>
    <protectedRange sqref="Q9:Q11" name="Range5"/>
    <protectedRange sqref="Q4:Q6" name="Range4"/>
    <protectedRange sqref="I9" name="Range3"/>
    <protectedRange sqref="I6" name="Range2"/>
    <protectedRange sqref="C3:C9" name="Range1"/>
  </protectedRanges>
  <mergeCells count="83">
    <mergeCell ref="L69:L74"/>
    <mergeCell ref="R2:R3"/>
    <mergeCell ref="C33:L34"/>
    <mergeCell ref="D69:F74"/>
    <mergeCell ref="A80:B80"/>
    <mergeCell ref="C80:K80"/>
    <mergeCell ref="A11:A12"/>
    <mergeCell ref="A14:A24"/>
    <mergeCell ref="A26:A31"/>
    <mergeCell ref="A33:A46"/>
    <mergeCell ref="A57:A59"/>
    <mergeCell ref="A63:A67"/>
    <mergeCell ref="A69:A74"/>
    <mergeCell ref="A76:A78"/>
    <mergeCell ref="B11:B12"/>
    <mergeCell ref="C11:C12"/>
    <mergeCell ref="C77:E77"/>
    <mergeCell ref="C78:E78"/>
    <mergeCell ref="A79:B79"/>
    <mergeCell ref="C79:K79"/>
    <mergeCell ref="A68:B68"/>
    <mergeCell ref="C68:E68"/>
    <mergeCell ref="G68:K68"/>
    <mergeCell ref="A75:B75"/>
    <mergeCell ref="C75:K75"/>
    <mergeCell ref="G69:G74"/>
    <mergeCell ref="H69:H74"/>
    <mergeCell ref="I69:I74"/>
    <mergeCell ref="J69:J74"/>
    <mergeCell ref="K69:K74"/>
    <mergeCell ref="C69:C74"/>
    <mergeCell ref="C76:L76"/>
    <mergeCell ref="A62:B62"/>
    <mergeCell ref="C62:E62"/>
    <mergeCell ref="G62:K62"/>
    <mergeCell ref="C63:K63"/>
    <mergeCell ref="A56:B56"/>
    <mergeCell ref="C56:K56"/>
    <mergeCell ref="C58:E58"/>
    <mergeCell ref="C59:E59"/>
    <mergeCell ref="A60:B60"/>
    <mergeCell ref="C60:K60"/>
    <mergeCell ref="G57:G59"/>
    <mergeCell ref="C61:E61"/>
    <mergeCell ref="A50:B50"/>
    <mergeCell ref="C50:K50"/>
    <mergeCell ref="A52:B52"/>
    <mergeCell ref="C52:K52"/>
    <mergeCell ref="A54:B54"/>
    <mergeCell ref="C54:K54"/>
    <mergeCell ref="A48:B48"/>
    <mergeCell ref="C48:K48"/>
    <mergeCell ref="A25:B25"/>
    <mergeCell ref="C25:K25"/>
    <mergeCell ref="C26:L26"/>
    <mergeCell ref="A32:B32"/>
    <mergeCell ref="C32:K32"/>
    <mergeCell ref="C40:K40"/>
    <mergeCell ref="C41:L41"/>
    <mergeCell ref="C47:K47"/>
    <mergeCell ref="N11:P11"/>
    <mergeCell ref="C14:E14"/>
    <mergeCell ref="N14:S14"/>
    <mergeCell ref="C21:E21"/>
    <mergeCell ref="G11:G12"/>
    <mergeCell ref="H11:H12"/>
    <mergeCell ref="I11:I12"/>
    <mergeCell ref="J11:J12"/>
    <mergeCell ref="D11:D12"/>
    <mergeCell ref="E11:E12"/>
    <mergeCell ref="F11:F12"/>
    <mergeCell ref="K11:L11"/>
    <mergeCell ref="F7:H7"/>
    <mergeCell ref="F8:H8"/>
    <mergeCell ref="F9:H9"/>
    <mergeCell ref="N9:P9"/>
    <mergeCell ref="B10:L10"/>
    <mergeCell ref="N10:P10"/>
    <mergeCell ref="A1:L1"/>
    <mergeCell ref="A2:L2"/>
    <mergeCell ref="H4:J4"/>
    <mergeCell ref="G5:H5"/>
    <mergeCell ref="F6:H6"/>
  </mergeCells>
  <pageMargins left="0.70866141732283505" right="0.70866141732283505" top="0.74803149606299202" bottom="0.74803149606299202" header="0.31496062992126" footer="0.31496062992126"/>
  <pageSetup paperSize="9" scale="64" orientation="landscape"/>
  <headerFooter>
    <oddHeader>&amp;CPage &amp;P of &amp;N</oddHeader>
  </headerFooter>
</worksheet>
</file>

<file path=xl/worksheets/sheet25.xml><?xml version="1.0" encoding="utf-8"?>
<worksheet xmlns="http://schemas.openxmlformats.org/spreadsheetml/2006/main" xmlns:r="http://schemas.openxmlformats.org/officeDocument/2006/relationships">
  <dimension ref="A1:P304"/>
  <sheetViews>
    <sheetView topLeftCell="A282" workbookViewId="0">
      <selection activeCell="E304" sqref="E304"/>
    </sheetView>
  </sheetViews>
  <sheetFormatPr defaultColWidth="9.140625" defaultRowHeight="12.75"/>
  <cols>
    <col min="1" max="1" width="7.5703125" style="89" customWidth="1"/>
    <col min="2" max="2" width="12.85546875" style="89" customWidth="1"/>
    <col min="3" max="3" width="8.140625" style="89" customWidth="1"/>
    <col min="4" max="4" width="43.7109375" style="89" customWidth="1"/>
    <col min="5" max="5" width="12.85546875" style="89" customWidth="1"/>
    <col min="6" max="6" width="11.5703125" style="89" customWidth="1"/>
    <col min="7" max="7" width="15.7109375" style="89" customWidth="1"/>
    <col min="8" max="8" width="23.28515625" style="89" customWidth="1"/>
    <col min="9" max="9" width="17.140625" style="89" customWidth="1"/>
    <col min="10" max="10" width="16" style="89" customWidth="1"/>
    <col min="11" max="11" width="9" style="89" customWidth="1"/>
    <col min="12" max="12" width="11.85546875" style="89" customWidth="1"/>
    <col min="13" max="13" width="14.42578125" style="89" customWidth="1"/>
    <col min="14" max="14" width="13.85546875" style="89" customWidth="1"/>
    <col min="15" max="15" width="9.140625" style="89"/>
    <col min="16" max="16" width="7.5703125" style="89" customWidth="1"/>
    <col min="17" max="16384" width="9.140625" style="89"/>
  </cols>
  <sheetData>
    <row r="1" spans="1:16" s="1505" customFormat="1" ht="22.5" customHeight="1">
      <c r="A1" s="3630" t="s">
        <v>1181</v>
      </c>
      <c r="B1" s="3630"/>
      <c r="C1" s="3630"/>
      <c r="D1" s="3630"/>
      <c r="E1" s="3630"/>
      <c r="F1" s="3630"/>
      <c r="G1" s="3630"/>
      <c r="H1" s="1515"/>
    </row>
    <row r="2" spans="1:16" s="1506" customFormat="1" ht="17.25" customHeight="1">
      <c r="A2" s="1516"/>
      <c r="B2" s="1516"/>
      <c r="C2" s="1516"/>
      <c r="D2" s="1517" t="s">
        <v>1182</v>
      </c>
      <c r="E2" s="1518"/>
      <c r="F2" s="1516"/>
      <c r="G2" s="1519"/>
      <c r="H2" s="1520"/>
    </row>
    <row r="3" spans="1:16" s="1507" customFormat="1" ht="18" customHeight="1">
      <c r="A3" s="1521">
        <v>17</v>
      </c>
      <c r="B3" s="3631" t="s">
        <v>1183</v>
      </c>
      <c r="C3" s="3631"/>
      <c r="D3" s="1522" t="s">
        <v>1184</v>
      </c>
      <c r="E3" s="1523"/>
      <c r="F3" s="1524"/>
      <c r="G3" s="1525"/>
      <c r="H3" s="1526"/>
      <c r="I3" s="1571"/>
    </row>
    <row r="4" spans="1:16" s="1507" customFormat="1" ht="34.15" customHeight="1">
      <c r="A4" s="1521"/>
      <c r="B4" s="1527" t="s">
        <v>1185</v>
      </c>
      <c r="C4" s="3632" t="s">
        <v>1186</v>
      </c>
      <c r="D4" s="3632"/>
      <c r="E4" s="3632"/>
      <c r="F4" s="3632"/>
      <c r="G4" s="3632"/>
      <c r="H4" s="1528"/>
      <c r="I4" s="1571"/>
    </row>
    <row r="5" spans="1:16" s="1508" customFormat="1">
      <c r="A5" s="1529"/>
      <c r="B5" s="1530"/>
      <c r="C5" s="1531"/>
      <c r="D5" s="1532" t="s">
        <v>1187</v>
      </c>
      <c r="E5" s="1523"/>
      <c r="F5" s="1533"/>
      <c r="G5" s="1534"/>
      <c r="H5" s="1535"/>
      <c r="I5" s="1572"/>
    </row>
    <row r="6" spans="1:16" s="1508" customFormat="1" ht="20.100000000000001" customHeight="1">
      <c r="A6" s="1529"/>
      <c r="B6" s="1530"/>
      <c r="C6" s="3633" t="s">
        <v>1188</v>
      </c>
      <c r="D6" s="3633"/>
      <c r="E6" s="3633"/>
      <c r="F6" s="3633"/>
      <c r="G6" s="3633"/>
      <c r="H6" s="1536"/>
      <c r="I6" s="1572"/>
    </row>
    <row r="7" spans="1:16" s="1508" customFormat="1" ht="20.100000000000001" customHeight="1">
      <c r="A7" s="1529"/>
      <c r="B7" s="1530"/>
      <c r="C7" s="1531"/>
      <c r="D7" s="1532" t="s">
        <v>1189</v>
      </c>
      <c r="E7" s="1523"/>
      <c r="F7" s="1533"/>
      <c r="G7" s="1534"/>
      <c r="H7" s="3634" t="s">
        <v>1190</v>
      </c>
      <c r="I7" s="3634"/>
      <c r="J7" s="3634"/>
      <c r="K7" s="3634"/>
      <c r="L7" s="3635" t="s">
        <v>1191</v>
      </c>
      <c r="M7" s="3635"/>
      <c r="N7" s="3635"/>
      <c r="O7" s="3635"/>
    </row>
    <row r="8" spans="1:16" s="1507" customFormat="1">
      <c r="A8" s="1521"/>
      <c r="B8" s="1527" t="s">
        <v>1192</v>
      </c>
      <c r="C8" s="3636" t="s">
        <v>1193</v>
      </c>
      <c r="D8" s="3636"/>
      <c r="E8" s="3636"/>
      <c r="F8" s="3636"/>
      <c r="G8" s="3636"/>
      <c r="H8" s="1537"/>
      <c r="I8" s="1571"/>
    </row>
    <row r="9" spans="1:16" s="1508" customFormat="1" ht="20.100000000000001" customHeight="1">
      <c r="A9" s="1529"/>
      <c r="B9" s="1533">
        <v>18.75</v>
      </c>
      <c r="C9" s="1523" t="s">
        <v>31</v>
      </c>
      <c r="D9" s="1532" t="s">
        <v>1194</v>
      </c>
      <c r="E9" s="1523"/>
      <c r="F9" s="1529" t="s">
        <v>31</v>
      </c>
      <c r="G9" s="1538">
        <f t="shared" ref="G9" si="0">ROUND(B9*E9,2)</f>
        <v>0</v>
      </c>
      <c r="H9" s="1539"/>
      <c r="I9" s="1573">
        <f>ROUND(B9*G9,2)</f>
        <v>0</v>
      </c>
    </row>
    <row r="10" spans="1:16" s="1508" customFormat="1" ht="46.5" customHeight="1">
      <c r="A10" s="1529"/>
      <c r="B10" s="1530"/>
      <c r="C10" s="1531"/>
      <c r="D10" s="1532" t="s">
        <v>1195</v>
      </c>
      <c r="E10" s="1540">
        <v>0.5</v>
      </c>
      <c r="F10" s="1529"/>
      <c r="G10" s="1541">
        <f>ROUND(G9*E10,0)</f>
        <v>0</v>
      </c>
      <c r="H10" s="1542"/>
      <c r="I10" s="1573">
        <f>ROUND(I9*50%,2)</f>
        <v>0</v>
      </c>
      <c r="P10" s="1508">
        <f>187.5*0.1</f>
        <v>18.75</v>
      </c>
    </row>
    <row r="11" spans="1:16" s="1508" customFormat="1" ht="20.100000000000001" customHeight="1">
      <c r="A11" s="1529"/>
      <c r="B11" s="1530"/>
      <c r="C11" s="1531"/>
      <c r="D11" s="1532" t="s">
        <v>1196</v>
      </c>
      <c r="E11" s="1523"/>
      <c r="F11" s="1533"/>
      <c r="G11" s="1534">
        <f>SUM(G9:G10)</f>
        <v>0</v>
      </c>
      <c r="H11" s="1543"/>
      <c r="I11" s="1573">
        <f>SUM(I9:I10)</f>
        <v>0</v>
      </c>
    </row>
    <row r="12" spans="1:16" s="1508" customFormat="1" ht="20.100000000000001" customHeight="1">
      <c r="A12" s="1529"/>
      <c r="B12" s="1530"/>
      <c r="C12" s="1531"/>
      <c r="D12" s="3637" t="s">
        <v>1197</v>
      </c>
      <c r="E12" s="3637"/>
      <c r="F12" s="1533"/>
      <c r="G12" s="1541">
        <f>G11/187.5</f>
        <v>0</v>
      </c>
      <c r="H12" s="1542"/>
      <c r="I12" s="1573">
        <f>ROUND(I11/187.5,2)</f>
        <v>0</v>
      </c>
      <c r="J12" s="1508" t="s">
        <v>1198</v>
      </c>
    </row>
    <row r="13" spans="1:16" s="1507" customFormat="1" ht="23.25" customHeight="1">
      <c r="A13" s="1521"/>
      <c r="B13" s="1527" t="s">
        <v>559</v>
      </c>
      <c r="C13" s="3636" t="s">
        <v>1199</v>
      </c>
      <c r="D13" s="3636"/>
      <c r="E13" s="3636"/>
      <c r="F13" s="3636"/>
      <c r="G13" s="3636"/>
      <c r="H13" s="1537"/>
      <c r="I13" s="1571"/>
    </row>
    <row r="14" spans="1:16" s="1508" customFormat="1" ht="20.100000000000001" customHeight="1">
      <c r="A14" s="1529"/>
      <c r="B14" s="1533">
        <v>18.75</v>
      </c>
      <c r="C14" s="1523" t="s">
        <v>31</v>
      </c>
      <c r="D14" s="1532" t="s">
        <v>1194</v>
      </c>
      <c r="E14" s="1523">
        <f>'Road data'!G362</f>
        <v>2889.56</v>
      </c>
      <c r="F14" s="1529" t="s">
        <v>31</v>
      </c>
      <c r="G14" s="1538">
        <f t="shared" ref="G14" si="1">B14*E14</f>
        <v>54179.25</v>
      </c>
      <c r="H14" s="1539"/>
      <c r="I14" s="1573">
        <f>ROUND(B14*G14,2)</f>
        <v>1015860.94</v>
      </c>
    </row>
    <row r="15" spans="1:16" s="1508" customFormat="1" ht="47.25" customHeight="1">
      <c r="A15" s="1529"/>
      <c r="B15" s="1530"/>
      <c r="C15" s="1531"/>
      <c r="D15" s="1532" t="s">
        <v>1195</v>
      </c>
      <c r="E15" s="1540">
        <v>0.5</v>
      </c>
      <c r="F15" s="1529"/>
      <c r="G15" s="1541">
        <f>G14*E15</f>
        <v>27089.625</v>
      </c>
      <c r="H15" s="1542"/>
      <c r="I15" s="1573">
        <f>ROUND(I14*50%,2)</f>
        <v>507930.47</v>
      </c>
      <c r="P15" s="1508">
        <f>187.5*0.1</f>
        <v>18.75</v>
      </c>
    </row>
    <row r="16" spans="1:16" s="1508" customFormat="1" ht="20.100000000000001" customHeight="1">
      <c r="A16" s="1529"/>
      <c r="B16" s="1530"/>
      <c r="C16" s="1531"/>
      <c r="D16" s="1532" t="s">
        <v>1196</v>
      </c>
      <c r="E16" s="1523"/>
      <c r="F16" s="1533"/>
      <c r="G16" s="1534">
        <f>SUM(G14:G15)</f>
        <v>81268.875</v>
      </c>
      <c r="H16" s="1543"/>
      <c r="I16" s="1573">
        <f>SUM(I14:I15)</f>
        <v>1523791.41</v>
      </c>
    </row>
    <row r="17" spans="1:16" s="1508" customFormat="1" ht="20.100000000000001" customHeight="1">
      <c r="A17" s="1529"/>
      <c r="B17" s="1530"/>
      <c r="C17" s="1531"/>
      <c r="D17" s="3637" t="s">
        <v>1197</v>
      </c>
      <c r="E17" s="3637"/>
      <c r="F17" s="1533"/>
      <c r="G17" s="1541">
        <f>G16/187.5</f>
        <v>433.43400000000003</v>
      </c>
      <c r="H17" s="1542"/>
      <c r="I17" s="1573">
        <f>ROUND(I16/187.5,2)</f>
        <v>8126.89</v>
      </c>
      <c r="J17" s="1508" t="s">
        <v>1198</v>
      </c>
    </row>
    <row r="18" spans="1:16" s="1507" customFormat="1" ht="21" customHeight="1">
      <c r="A18" s="1521"/>
      <c r="B18" s="1527" t="s">
        <v>1200</v>
      </c>
      <c r="C18" s="3636" t="s">
        <v>1201</v>
      </c>
      <c r="D18" s="3636"/>
      <c r="E18" s="3636"/>
      <c r="F18" s="3636"/>
      <c r="G18" s="3636"/>
      <c r="H18" s="1537"/>
      <c r="I18" s="1571"/>
    </row>
    <row r="19" spans="1:16" s="1508" customFormat="1" ht="20.100000000000001" customHeight="1">
      <c r="A19" s="1529"/>
      <c r="B19" s="1533">
        <v>18.75</v>
      </c>
      <c r="C19" s="1523" t="s">
        <v>31</v>
      </c>
      <c r="D19" s="1532" t="s">
        <v>1194</v>
      </c>
      <c r="E19" s="1523">
        <f>'Road data'!G398</f>
        <v>3079</v>
      </c>
      <c r="F19" s="1529" t="s">
        <v>31</v>
      </c>
      <c r="G19" s="1538">
        <f t="shared" ref="G19" si="2">B19*E19</f>
        <v>57731.25</v>
      </c>
      <c r="H19" s="1539"/>
      <c r="I19" s="1573">
        <f>ROUND(B19*G19,2)</f>
        <v>1082460.94</v>
      </c>
    </row>
    <row r="20" spans="1:16" s="1508" customFormat="1" ht="45" customHeight="1">
      <c r="A20" s="1529"/>
      <c r="B20" s="1530"/>
      <c r="C20" s="1531"/>
      <c r="D20" s="1532" t="s">
        <v>1195</v>
      </c>
      <c r="E20" s="1540">
        <v>0.5</v>
      </c>
      <c r="F20" s="1529"/>
      <c r="G20" s="1541">
        <f>G19*E20</f>
        <v>28865.625</v>
      </c>
      <c r="H20" s="1542"/>
      <c r="I20" s="1573">
        <f>ROUND(I19*50%,2)</f>
        <v>541230.47</v>
      </c>
      <c r="P20" s="1508">
        <f>187.5*0.1</f>
        <v>18.75</v>
      </c>
    </row>
    <row r="21" spans="1:16" s="1508" customFormat="1" ht="20.100000000000001" customHeight="1">
      <c r="A21" s="1529"/>
      <c r="B21" s="1530"/>
      <c r="C21" s="1531"/>
      <c r="D21" s="1532" t="s">
        <v>1196</v>
      </c>
      <c r="E21" s="1523"/>
      <c r="F21" s="1533"/>
      <c r="G21" s="1534">
        <f>SUM(G19:G20)</f>
        <v>86596.875</v>
      </c>
      <c r="H21" s="1543"/>
      <c r="I21" s="1573">
        <f>SUM(I19:I20)</f>
        <v>1623691.41</v>
      </c>
    </row>
    <row r="22" spans="1:16" s="1508" customFormat="1" ht="20.100000000000001" customHeight="1">
      <c r="A22" s="1529"/>
      <c r="B22" s="1530"/>
      <c r="C22" s="1531"/>
      <c r="D22" s="3637" t="s">
        <v>1197</v>
      </c>
      <c r="E22" s="3637"/>
      <c r="F22" s="1533"/>
      <c r="G22" s="1541">
        <f>G21/187.5</f>
        <v>461.85</v>
      </c>
      <c r="H22" s="1542"/>
      <c r="I22" s="1573">
        <f>ROUND(I21/187.5,2)</f>
        <v>8659.69</v>
      </c>
      <c r="J22" s="1508" t="s">
        <v>1198</v>
      </c>
    </row>
    <row r="23" spans="1:16" s="1506" customFormat="1">
      <c r="A23" s="1516"/>
      <c r="B23" s="1516"/>
      <c r="C23" s="1516"/>
      <c r="D23" s="1544"/>
      <c r="E23" s="1518"/>
      <c r="F23" s="1516"/>
      <c r="G23" s="1545"/>
      <c r="H23" s="1546"/>
    </row>
    <row r="24" spans="1:16" s="1509" customFormat="1" ht="44.25" customHeight="1">
      <c r="A24" s="3638" t="s">
        <v>1202</v>
      </c>
      <c r="B24" s="3638"/>
      <c r="C24" s="3638"/>
      <c r="D24" s="3639" t="s">
        <v>1203</v>
      </c>
      <c r="E24" s="3639"/>
      <c r="F24" s="3639"/>
      <c r="G24" s="3639"/>
      <c r="H24" s="1548"/>
    </row>
    <row r="25" spans="1:16" s="1509" customFormat="1" ht="60.75" customHeight="1">
      <c r="A25" s="1547">
        <v>18</v>
      </c>
      <c r="B25" s="3640" t="s">
        <v>1204</v>
      </c>
      <c r="C25" s="3640"/>
      <c r="D25" s="3641" t="s">
        <v>1205</v>
      </c>
      <c r="E25" s="3642"/>
      <c r="F25" s="3642"/>
      <c r="G25" s="3643"/>
      <c r="H25" s="1550"/>
    </row>
    <row r="26" spans="1:16" s="1510" customFormat="1" ht="20.100000000000001" customHeight="1">
      <c r="A26" s="1551"/>
      <c r="B26" s="1551"/>
      <c r="C26" s="1551"/>
      <c r="D26" s="1552" t="s">
        <v>1206</v>
      </c>
      <c r="E26" s="1553"/>
      <c r="F26" s="1551"/>
      <c r="G26" s="1554"/>
      <c r="H26" s="1555"/>
    </row>
    <row r="27" spans="1:16" s="1510" customFormat="1" ht="20.100000000000001" customHeight="1">
      <c r="A27" s="1551"/>
      <c r="B27" s="1551"/>
      <c r="C27" s="1551"/>
      <c r="D27" s="1552" t="s">
        <v>1207</v>
      </c>
      <c r="E27" s="1553"/>
      <c r="F27" s="1551"/>
      <c r="G27" s="1554"/>
      <c r="H27" s="1555"/>
    </row>
    <row r="28" spans="1:16" s="1510" customFormat="1" ht="20.100000000000001" customHeight="1">
      <c r="A28" s="1551"/>
      <c r="B28" s="1551"/>
      <c r="C28" s="1551"/>
      <c r="D28" s="1556" t="s">
        <v>1208</v>
      </c>
      <c r="E28" s="1553"/>
      <c r="F28" s="1551"/>
      <c r="G28" s="1554"/>
      <c r="H28" s="1555"/>
    </row>
    <row r="29" spans="1:16" s="1510" customFormat="1" ht="20.100000000000001" customHeight="1">
      <c r="A29" s="1551"/>
      <c r="B29" s="1557">
        <v>0</v>
      </c>
      <c r="C29" s="1553" t="s">
        <v>38</v>
      </c>
      <c r="D29" s="1552" t="s">
        <v>14</v>
      </c>
      <c r="E29" s="1553"/>
      <c r="F29" s="1553" t="s">
        <v>38</v>
      </c>
      <c r="G29" s="1554">
        <f>ROUND(B29*E29,2)</f>
        <v>0</v>
      </c>
      <c r="H29" s="1558"/>
    </row>
    <row r="30" spans="1:16" s="1510" customFormat="1" ht="20.100000000000001" customHeight="1">
      <c r="A30" s="1551"/>
      <c r="B30" s="1557">
        <v>20.8</v>
      </c>
      <c r="C30" s="1553" t="s">
        <v>38</v>
      </c>
      <c r="D30" s="1552" t="s">
        <v>1209</v>
      </c>
      <c r="E30" s="1553">
        <f>'SSR-rates'!J60</f>
        <v>520</v>
      </c>
      <c r="F30" s="1553" t="s">
        <v>38</v>
      </c>
      <c r="G30" s="1554">
        <f>ROUND(B30*E30,2)</f>
        <v>10816</v>
      </c>
      <c r="H30" s="1558"/>
    </row>
    <row r="31" spans="1:16" s="1510" customFormat="1" ht="20.100000000000001" customHeight="1">
      <c r="A31" s="1551"/>
      <c r="B31" s="1559">
        <f>'Input Data'!D23</f>
        <v>0</v>
      </c>
      <c r="C31" s="1551"/>
      <c r="D31" s="1560" t="s">
        <v>1210</v>
      </c>
      <c r="E31" s="1553"/>
      <c r="F31" s="1551"/>
      <c r="G31" s="1554">
        <f>+ROUND((G30)*B31,2)</f>
        <v>0</v>
      </c>
      <c r="H31" s="1561"/>
    </row>
    <row r="32" spans="1:16" s="1510" customFormat="1">
      <c r="A32" s="1551"/>
      <c r="B32" s="1553"/>
      <c r="C32" s="1551"/>
      <c r="D32" s="1560"/>
      <c r="E32" s="1553"/>
      <c r="F32" s="1551"/>
      <c r="G32" s="1562">
        <f>SUM(G30:G31)</f>
        <v>10816</v>
      </c>
      <c r="H32" s="1563"/>
    </row>
    <row r="33" spans="1:8" s="1510" customFormat="1" ht="20.100000000000001" customHeight="1">
      <c r="A33" s="1551"/>
      <c r="B33" s="1557"/>
      <c r="C33" s="1553"/>
      <c r="D33" s="1556" t="s">
        <v>1211</v>
      </c>
      <c r="E33" s="1553"/>
      <c r="F33" s="1553"/>
      <c r="G33" s="1554"/>
      <c r="H33" s="1558"/>
    </row>
    <row r="34" spans="1:8" s="1510" customFormat="1" ht="20.100000000000001" customHeight="1">
      <c r="A34" s="1551"/>
      <c r="B34" s="1557">
        <v>2</v>
      </c>
      <c r="C34" s="1553" t="s">
        <v>23</v>
      </c>
      <c r="D34" s="1552" t="s">
        <v>1212</v>
      </c>
      <c r="E34" s="1553">
        <f>'SSR-rates'!J73</f>
        <v>668.6</v>
      </c>
      <c r="F34" s="1553" t="s">
        <v>23</v>
      </c>
      <c r="G34" s="1554">
        <f>ROUND(B34*E34,2)</f>
        <v>1337.2</v>
      </c>
      <c r="H34" s="1558"/>
    </row>
    <row r="35" spans="1:8" s="1510" customFormat="1" ht="20.100000000000001" customHeight="1">
      <c r="A35" s="1551"/>
      <c r="B35" s="1557">
        <v>2</v>
      </c>
      <c r="C35" s="1553" t="s">
        <v>23</v>
      </c>
      <c r="D35" s="1552" t="s">
        <v>1213</v>
      </c>
      <c r="E35" s="1553">
        <f>'SSR-rates'!J76</f>
        <v>1846</v>
      </c>
      <c r="F35" s="1553" t="s">
        <v>23</v>
      </c>
      <c r="G35" s="1554">
        <f>ROUND(B35*E35,2)</f>
        <v>3692</v>
      </c>
      <c r="H35" s="1558"/>
    </row>
    <row r="36" spans="1:8" s="1510" customFormat="1" ht="20.100000000000001" customHeight="1">
      <c r="A36" s="1551"/>
      <c r="B36" s="1557">
        <v>2</v>
      </c>
      <c r="C36" s="1553" t="s">
        <v>23</v>
      </c>
      <c r="D36" s="1552" t="s">
        <v>1214</v>
      </c>
      <c r="E36" s="1553">
        <v>946.4</v>
      </c>
      <c r="F36" s="1553" t="s">
        <v>23</v>
      </c>
      <c r="G36" s="1554">
        <f>ROUND(B36*E36,2)</f>
        <v>1892.8</v>
      </c>
      <c r="H36" s="1558"/>
    </row>
    <row r="37" spans="1:8" s="1510" customFormat="1" ht="20.100000000000001" customHeight="1">
      <c r="A37" s="1551"/>
      <c r="B37" s="1557">
        <v>4</v>
      </c>
      <c r="C37" s="1553" t="s">
        <v>23</v>
      </c>
      <c r="D37" s="1552" t="s">
        <v>1215</v>
      </c>
      <c r="E37" s="1553">
        <f>'SSR-rates'!J68</f>
        <v>1734.8</v>
      </c>
      <c r="F37" s="1553" t="s">
        <v>23</v>
      </c>
      <c r="G37" s="1554">
        <f>ROUND(B37*E37,2)</f>
        <v>6939.2</v>
      </c>
      <c r="H37" s="1558"/>
    </row>
    <row r="38" spans="1:8" s="1510" customFormat="1" ht="20.100000000000001" customHeight="1">
      <c r="A38" s="1551"/>
      <c r="B38" s="1557"/>
      <c r="C38" s="1553"/>
      <c r="D38" s="1552"/>
      <c r="E38" s="1553"/>
      <c r="F38" s="1553"/>
      <c r="G38" s="1562">
        <f>SUM(G34:G37)</f>
        <v>13861.2</v>
      </c>
      <c r="H38" s="1564"/>
    </row>
    <row r="39" spans="1:8" s="1510" customFormat="1" ht="20.100000000000001" customHeight="1">
      <c r="A39" s="1551"/>
      <c r="B39" s="1557"/>
      <c r="C39" s="1553"/>
      <c r="D39" s="1556" t="s">
        <v>1216</v>
      </c>
      <c r="E39" s="1553"/>
      <c r="F39" s="1553"/>
      <c r="G39" s="1554"/>
      <c r="H39" s="1558"/>
    </row>
    <row r="40" spans="1:8" s="1510" customFormat="1" ht="35.1" customHeight="1">
      <c r="A40" s="1551"/>
      <c r="B40" s="1557">
        <v>6.4000000000000001E-2</v>
      </c>
      <c r="C40" s="1553" t="s">
        <v>1217</v>
      </c>
      <c r="D40" s="1552" t="s">
        <v>1218</v>
      </c>
      <c r="E40" s="1553">
        <f>Emution_RS</f>
        <v>43276.860229723185</v>
      </c>
      <c r="F40" s="1553" t="s">
        <v>1217</v>
      </c>
      <c r="G40" s="1554">
        <f>ROUND(B40*E40,2)</f>
        <v>2769.72</v>
      </c>
      <c r="H40" s="1558"/>
    </row>
    <row r="41" spans="1:8" s="1510" customFormat="1" ht="50.25" customHeight="1">
      <c r="A41" s="1551"/>
      <c r="B41" s="1557">
        <v>0.29199999999999998</v>
      </c>
      <c r="C41" s="1553" t="s">
        <v>1217</v>
      </c>
      <c r="D41" s="1552" t="s">
        <v>1219</v>
      </c>
      <c r="E41" s="1553">
        <f>BT_Rate_60_70</f>
        <v>43863.860229723185</v>
      </c>
      <c r="F41" s="1553" t="s">
        <v>1217</v>
      </c>
      <c r="G41" s="1554">
        <f t="shared" ref="G41:G44" si="3">ROUND(B41*E41,2)</f>
        <v>12808.25</v>
      </c>
      <c r="H41" s="1558"/>
    </row>
    <row r="42" spans="1:8" s="1510" customFormat="1" ht="52.5" customHeight="1">
      <c r="A42" s="1551"/>
      <c r="B42" s="1557">
        <v>0.13600000000000001</v>
      </c>
      <c r="C42" s="1553" t="s">
        <v>1217</v>
      </c>
      <c r="D42" s="1552" t="s">
        <v>1220</v>
      </c>
      <c r="E42" s="1553">
        <f>E41</f>
        <v>43863.860229723185</v>
      </c>
      <c r="F42" s="1553" t="s">
        <v>1217</v>
      </c>
      <c r="G42" s="1554">
        <f t="shared" si="3"/>
        <v>5965.48</v>
      </c>
      <c r="H42" s="1558"/>
    </row>
    <row r="43" spans="1:8" s="1510" customFormat="1" ht="48" customHeight="1">
      <c r="A43" s="1551"/>
      <c r="B43" s="1557">
        <v>5.4</v>
      </c>
      <c r="C43" s="1553" t="s">
        <v>31</v>
      </c>
      <c r="D43" s="1552" t="s">
        <v>1221</v>
      </c>
      <c r="E43" s="1553">
        <f>AVERAGE(lead!J8:J10)</f>
        <v>1768.8512667048074</v>
      </c>
      <c r="F43" s="1553" t="s">
        <v>31</v>
      </c>
      <c r="G43" s="1554">
        <f t="shared" si="3"/>
        <v>9551.7999999999993</v>
      </c>
      <c r="H43" s="1558"/>
    </row>
    <row r="44" spans="1:8" s="1510" customFormat="1" ht="69.75" customHeight="1">
      <c r="A44" s="1551"/>
      <c r="B44" s="1557">
        <v>1.2</v>
      </c>
      <c r="C44" s="1553" t="s">
        <v>31</v>
      </c>
      <c r="D44" s="1552" t="s">
        <v>1222</v>
      </c>
      <c r="E44" s="1553">
        <f>lead!J12</f>
        <v>1658.7679333714741</v>
      </c>
      <c r="F44" s="1553" t="s">
        <v>31</v>
      </c>
      <c r="G44" s="1554">
        <f t="shared" si="3"/>
        <v>1990.52</v>
      </c>
      <c r="H44" s="1558"/>
    </row>
    <row r="45" spans="1:8" s="1510" customFormat="1">
      <c r="A45" s="1551"/>
      <c r="B45" s="1557"/>
      <c r="C45" s="1553"/>
      <c r="D45" s="1552"/>
      <c r="E45" s="1553"/>
      <c r="F45" s="1553"/>
      <c r="G45" s="1562">
        <f>SUM(G40:G44)</f>
        <v>33085.769999999997</v>
      </c>
      <c r="H45" s="1564"/>
    </row>
    <row r="46" spans="1:8" s="1510" customFormat="1">
      <c r="A46" s="1551"/>
      <c r="B46" s="1557"/>
      <c r="C46" s="1553"/>
      <c r="D46" s="1552"/>
      <c r="E46" s="3644" t="s">
        <v>1223</v>
      </c>
      <c r="F46" s="3644"/>
      <c r="G46" s="1562">
        <f>G32+G38+G45</f>
        <v>57762.97</v>
      </c>
      <c r="H46" s="1564"/>
    </row>
    <row r="47" spans="1:8" s="1510" customFormat="1" ht="20.100000000000001" customHeight="1">
      <c r="A47" s="1551"/>
      <c r="B47" s="3645">
        <v>0.13614999999999999</v>
      </c>
      <c r="C47" s="3645"/>
      <c r="D47" s="1567" t="s">
        <v>1224</v>
      </c>
      <c r="E47" s="1553"/>
      <c r="F47" s="1568"/>
      <c r="G47" s="1554">
        <f>ROUND(G46*B47,2)</f>
        <v>7864.43</v>
      </c>
      <c r="H47" s="1558"/>
    </row>
    <row r="48" spans="1:8" s="1510" customFormat="1" ht="20.100000000000001" customHeight="1">
      <c r="A48" s="1551"/>
      <c r="B48" s="1569"/>
      <c r="C48" s="1570">
        <v>0</v>
      </c>
      <c r="D48" s="1567" t="s">
        <v>1225</v>
      </c>
      <c r="E48" s="1553">
        <f>G46+G47</f>
        <v>65627.399999999994</v>
      </c>
      <c r="F48" s="1568"/>
      <c r="G48" s="1554">
        <f>E48*C48</f>
        <v>0</v>
      </c>
      <c r="H48" s="1558"/>
    </row>
    <row r="49" spans="1:8" s="1510" customFormat="1" ht="20.100000000000001" customHeight="1">
      <c r="A49" s="1551"/>
      <c r="B49" s="1557"/>
      <c r="C49" s="1553"/>
      <c r="D49" s="1552" t="s">
        <v>1226</v>
      </c>
      <c r="E49" s="1553"/>
      <c r="F49" s="1553"/>
      <c r="G49" s="1554">
        <f>SUM(G46:G47)</f>
        <v>65627.399999999994</v>
      </c>
      <c r="H49" s="1558"/>
    </row>
    <row r="50" spans="1:8" s="1510" customFormat="1" ht="20.100000000000001" customHeight="1">
      <c r="A50" s="1551"/>
      <c r="B50" s="1557"/>
      <c r="C50" s="1553"/>
      <c r="D50" s="1556" t="s">
        <v>1227</v>
      </c>
      <c r="E50" s="1553"/>
      <c r="F50" s="1553"/>
      <c r="G50" s="1554">
        <f>ROUND(G49/200,2)</f>
        <v>328.14</v>
      </c>
      <c r="H50" s="1558"/>
    </row>
    <row r="51" spans="1:8" s="1510" customFormat="1" ht="20.100000000000001" customHeight="1">
      <c r="A51" s="1551"/>
      <c r="B51" s="1557"/>
      <c r="C51" s="1553"/>
      <c r="D51" s="1556" t="s">
        <v>1228</v>
      </c>
      <c r="E51" s="1553"/>
      <c r="F51" s="1553"/>
      <c r="G51" s="1562">
        <f>G50</f>
        <v>328.14</v>
      </c>
      <c r="H51" s="1564"/>
    </row>
    <row r="52" spans="1:8" s="1510" customFormat="1" ht="20.100000000000001" customHeight="1">
      <c r="A52" s="1551"/>
      <c r="B52" s="1551"/>
      <c r="C52" s="1551"/>
      <c r="D52" s="1560"/>
      <c r="E52" s="1553"/>
      <c r="F52" s="1551"/>
      <c r="G52" s="1554"/>
      <c r="H52" s="1555"/>
    </row>
    <row r="53" spans="1:8" s="1509" customFormat="1" ht="42.75" customHeight="1">
      <c r="A53" s="1547">
        <v>19</v>
      </c>
      <c r="B53" s="1549" t="s">
        <v>1229</v>
      </c>
      <c r="C53" s="3646" t="s">
        <v>1230</v>
      </c>
      <c r="D53" s="3647"/>
      <c r="E53" s="3647"/>
      <c r="F53" s="3647"/>
      <c r="G53" s="3648"/>
      <c r="H53" s="1550"/>
    </row>
    <row r="54" spans="1:8" s="1510" customFormat="1" ht="20.100000000000001" customHeight="1">
      <c r="A54" s="1551"/>
      <c r="B54" s="1551"/>
      <c r="C54" s="1551"/>
      <c r="D54" s="1560" t="s">
        <v>1206</v>
      </c>
      <c r="E54" s="1553"/>
      <c r="F54" s="1551"/>
      <c r="G54" s="1554"/>
      <c r="H54" s="1555"/>
    </row>
    <row r="55" spans="1:8" s="1510" customFormat="1" ht="20.100000000000001" customHeight="1">
      <c r="A55" s="1551"/>
      <c r="B55" s="1551"/>
      <c r="C55" s="1551"/>
      <c r="D55" s="1560" t="s">
        <v>1207</v>
      </c>
      <c r="E55" s="1553"/>
      <c r="F55" s="1551"/>
      <c r="G55" s="1554"/>
      <c r="H55" s="1555"/>
    </row>
    <row r="56" spans="1:8" s="1510" customFormat="1" ht="20.100000000000001" customHeight="1">
      <c r="A56" s="1551"/>
      <c r="B56" s="1551"/>
      <c r="C56" s="1551"/>
      <c r="D56" s="1567" t="s">
        <v>1208</v>
      </c>
      <c r="E56" s="1553"/>
      <c r="F56" s="1551"/>
      <c r="G56" s="1554"/>
      <c r="H56" s="1555"/>
    </row>
    <row r="57" spans="1:8" s="1510" customFormat="1" ht="20.100000000000001" customHeight="1">
      <c r="A57" s="1551"/>
      <c r="B57" s="1551"/>
      <c r="C57" s="1551" t="s">
        <v>38</v>
      </c>
      <c r="D57" s="1560" t="s">
        <v>14</v>
      </c>
      <c r="E57" s="1553"/>
      <c r="F57" s="1551"/>
      <c r="G57" s="1554"/>
      <c r="H57" s="1555"/>
    </row>
    <row r="58" spans="1:8" s="1510" customFormat="1" ht="20.100000000000001" customHeight="1">
      <c r="A58" s="1551"/>
      <c r="B58" s="1553">
        <v>16.64</v>
      </c>
      <c r="C58" s="1551" t="s">
        <v>38</v>
      </c>
      <c r="D58" s="1560" t="s">
        <v>1209</v>
      </c>
      <c r="E58" s="1553">
        <f>E30</f>
        <v>520</v>
      </c>
      <c r="F58" s="1551" t="s">
        <v>38</v>
      </c>
      <c r="G58" s="1554">
        <f>ROUND(B58*E58,2)</f>
        <v>8652.7999999999993</v>
      </c>
      <c r="H58" s="1558"/>
    </row>
    <row r="59" spans="1:8" s="1510" customFormat="1" ht="20.100000000000001" customHeight="1">
      <c r="A59" s="1551"/>
      <c r="B59" s="1559">
        <f>'Input Data'!D23</f>
        <v>0</v>
      </c>
      <c r="C59" s="1551"/>
      <c r="D59" s="1560" t="s">
        <v>1210</v>
      </c>
      <c r="E59" s="1553"/>
      <c r="F59" s="1551"/>
      <c r="G59" s="1554">
        <f>+ROUND((G58)*B59,2)</f>
        <v>0</v>
      </c>
      <c r="H59" s="1561"/>
    </row>
    <row r="60" spans="1:8" s="1510" customFormat="1" ht="20.100000000000001" customHeight="1">
      <c r="A60" s="1551"/>
      <c r="B60" s="1559"/>
      <c r="C60" s="1551"/>
      <c r="D60" s="1560"/>
      <c r="E60" s="1553"/>
      <c r="F60" s="1551"/>
      <c r="G60" s="1554"/>
      <c r="H60" s="1561"/>
    </row>
    <row r="61" spans="1:8" s="1510" customFormat="1" ht="20.100000000000001" customHeight="1">
      <c r="A61" s="1551"/>
      <c r="B61" s="1553"/>
      <c r="C61" s="1551"/>
      <c r="D61" s="1567" t="s">
        <v>1211</v>
      </c>
      <c r="E61" s="1553"/>
      <c r="F61" s="1551"/>
      <c r="G61" s="1554"/>
      <c r="H61" s="1555"/>
    </row>
    <row r="62" spans="1:8" s="1510" customFormat="1" ht="20.100000000000001" customHeight="1">
      <c r="A62" s="1551"/>
      <c r="B62" s="1553">
        <v>2</v>
      </c>
      <c r="C62" s="1551" t="s">
        <v>23</v>
      </c>
      <c r="D62" s="1560" t="s">
        <v>1231</v>
      </c>
      <c r="E62" s="1553">
        <f>E36</f>
        <v>946.4</v>
      </c>
      <c r="F62" s="1551" t="s">
        <v>23</v>
      </c>
      <c r="G62" s="1554">
        <f t="shared" ref="G62:G70" si="4">ROUND(B62*E62,2)</f>
        <v>1892.8</v>
      </c>
      <c r="H62" s="1558"/>
    </row>
    <row r="63" spans="1:8" s="1510" customFormat="1" ht="20.100000000000001" customHeight="1">
      <c r="A63" s="1551"/>
      <c r="B63" s="1553">
        <v>2</v>
      </c>
      <c r="C63" s="1551" t="s">
        <v>23</v>
      </c>
      <c r="D63" s="1560" t="s">
        <v>1213</v>
      </c>
      <c r="E63" s="1553">
        <f>E35</f>
        <v>1846</v>
      </c>
      <c r="F63" s="1551" t="s">
        <v>23</v>
      </c>
      <c r="G63" s="1554">
        <f t="shared" si="4"/>
        <v>3692</v>
      </c>
      <c r="H63" s="1558"/>
    </row>
    <row r="64" spans="1:8" s="1510" customFormat="1" ht="20.100000000000001" customHeight="1">
      <c r="A64" s="1551"/>
      <c r="B64" s="1553">
        <v>4</v>
      </c>
      <c r="C64" s="1551" t="s">
        <v>23</v>
      </c>
      <c r="D64" s="1560" t="s">
        <v>1215</v>
      </c>
      <c r="E64" s="1553">
        <f>E37</f>
        <v>1734.8</v>
      </c>
      <c r="F64" s="1551" t="s">
        <v>23</v>
      </c>
      <c r="G64" s="1554">
        <f t="shared" si="4"/>
        <v>6939.2</v>
      </c>
      <c r="H64" s="1558"/>
    </row>
    <row r="65" spans="1:8" s="1510" customFormat="1" ht="20.100000000000001" customHeight="1">
      <c r="A65" s="1551"/>
      <c r="B65" s="1553"/>
      <c r="C65" s="1551"/>
      <c r="D65" s="1567" t="s">
        <v>1216</v>
      </c>
      <c r="E65" s="1553"/>
      <c r="F65" s="1551"/>
      <c r="G65" s="1554">
        <f t="shared" si="4"/>
        <v>0</v>
      </c>
      <c r="H65" s="1558"/>
    </row>
    <row r="66" spans="1:8" s="1510" customFormat="1" ht="34.5" customHeight="1">
      <c r="A66" s="1551"/>
      <c r="B66" s="1553">
        <v>0.29199999999999998</v>
      </c>
      <c r="C66" s="1551" t="s">
        <v>1232</v>
      </c>
      <c r="D66" s="1560" t="s">
        <v>1233</v>
      </c>
      <c r="E66" s="1553">
        <f>E41</f>
        <v>43863.860229723185</v>
      </c>
      <c r="F66" s="1551" t="s">
        <v>1232</v>
      </c>
      <c r="G66" s="1554">
        <f t="shared" si="4"/>
        <v>12808.25</v>
      </c>
      <c r="H66" s="1558"/>
    </row>
    <row r="67" spans="1:8" s="1510" customFormat="1" ht="35.1" customHeight="1">
      <c r="A67" s="1551"/>
      <c r="B67" s="1553">
        <v>0.04</v>
      </c>
      <c r="C67" s="1551" t="s">
        <v>1232</v>
      </c>
      <c r="D67" s="1560" t="s">
        <v>1234</v>
      </c>
      <c r="E67" s="1553">
        <f>E40</f>
        <v>43276.860229723185</v>
      </c>
      <c r="F67" s="1551" t="s">
        <v>1232</v>
      </c>
      <c r="G67" s="1554">
        <f t="shared" si="4"/>
        <v>1731.07</v>
      </c>
      <c r="H67" s="1558"/>
    </row>
    <row r="68" spans="1:8" s="1510" customFormat="1" ht="46.5" customHeight="1">
      <c r="A68" s="1551"/>
      <c r="B68" s="1553">
        <v>0.13600000000000001</v>
      </c>
      <c r="C68" s="1551" t="s">
        <v>1232</v>
      </c>
      <c r="D68" s="1560" t="s">
        <v>1235</v>
      </c>
      <c r="E68" s="1553">
        <f>E66</f>
        <v>43863.860229723185</v>
      </c>
      <c r="F68" s="1551" t="s">
        <v>1232</v>
      </c>
      <c r="G68" s="1554">
        <f t="shared" si="4"/>
        <v>5965.48</v>
      </c>
      <c r="H68" s="1558"/>
    </row>
    <row r="69" spans="1:8" s="1510" customFormat="1" ht="48.75" customHeight="1">
      <c r="A69" s="1551"/>
      <c r="B69" s="1553">
        <v>5.4</v>
      </c>
      <c r="C69" s="1551" t="s">
        <v>31</v>
      </c>
      <c r="D69" s="1560" t="s">
        <v>1221</v>
      </c>
      <c r="E69" s="1553">
        <f>E43</f>
        <v>1768.8512667048074</v>
      </c>
      <c r="F69" s="1551" t="s">
        <v>31</v>
      </c>
      <c r="G69" s="1554">
        <f t="shared" si="4"/>
        <v>9551.7999999999993</v>
      </c>
      <c r="H69" s="1558"/>
    </row>
    <row r="70" spans="1:8" s="1510" customFormat="1" ht="48.75" customHeight="1">
      <c r="A70" s="1551"/>
      <c r="B70" s="1553">
        <v>1.2</v>
      </c>
      <c r="C70" s="1551" t="s">
        <v>31</v>
      </c>
      <c r="D70" s="1560" t="s">
        <v>1236</v>
      </c>
      <c r="E70" s="1553">
        <f>E44</f>
        <v>1658.7679333714741</v>
      </c>
      <c r="F70" s="1551" t="s">
        <v>31</v>
      </c>
      <c r="G70" s="1554">
        <f t="shared" si="4"/>
        <v>1990.52</v>
      </c>
      <c r="H70" s="1558"/>
    </row>
    <row r="71" spans="1:8" s="1510" customFormat="1" ht="20.100000000000001" customHeight="1">
      <c r="A71" s="1551"/>
      <c r="B71" s="1553"/>
      <c r="C71" s="1551"/>
      <c r="D71" s="1560" t="s">
        <v>1237</v>
      </c>
      <c r="E71" s="1553"/>
      <c r="F71" s="1551"/>
      <c r="G71" s="1554"/>
      <c r="H71" s="1555"/>
    </row>
    <row r="72" spans="1:8" s="1510" customFormat="1" ht="20.100000000000001" customHeight="1">
      <c r="A72" s="1551"/>
      <c r="B72" s="1566">
        <v>0.13614999999999999</v>
      </c>
      <c r="C72" s="1551"/>
      <c r="D72" s="1567" t="s">
        <v>1224</v>
      </c>
      <c r="E72" s="1553">
        <f>SUM(G58:G71)</f>
        <v>53223.920000000006</v>
      </c>
      <c r="F72" s="1551"/>
      <c r="G72" s="1554">
        <f>ROUND(B72*E72,2)</f>
        <v>7246.44</v>
      </c>
      <c r="H72" s="1555"/>
    </row>
    <row r="73" spans="1:8" s="1510" customFormat="1" ht="20.100000000000001" customHeight="1">
      <c r="A73" s="1551"/>
      <c r="B73" s="1570">
        <v>0</v>
      </c>
      <c r="C73" s="1551"/>
      <c r="D73" s="1567" t="s">
        <v>1225</v>
      </c>
      <c r="E73" s="1553">
        <f>E72+G72</f>
        <v>60470.360000000008</v>
      </c>
      <c r="F73" s="1551"/>
      <c r="G73" s="1554">
        <f>ROUND(B73*E73,2)</f>
        <v>0</v>
      </c>
      <c r="H73" s="1555"/>
    </row>
    <row r="74" spans="1:8" s="1510" customFormat="1" ht="20.100000000000001" customHeight="1">
      <c r="A74" s="1551"/>
      <c r="B74" s="1551"/>
      <c r="C74" s="1551"/>
      <c r="D74" s="1560" t="s">
        <v>1238</v>
      </c>
      <c r="E74" s="1553"/>
      <c r="F74" s="1551"/>
      <c r="G74" s="1554">
        <f>E73+G73</f>
        <v>60470.360000000008</v>
      </c>
      <c r="H74" s="1555"/>
    </row>
    <row r="75" spans="1:8" s="1511" customFormat="1" ht="20.100000000000001" customHeight="1">
      <c r="A75" s="1568"/>
      <c r="B75" s="1568"/>
      <c r="C75" s="1568"/>
      <c r="D75" s="1567" t="s">
        <v>1239</v>
      </c>
      <c r="E75" s="1574"/>
      <c r="F75" s="1568"/>
      <c r="G75" s="1562">
        <f>G74/200</f>
        <v>302.35180000000003</v>
      </c>
      <c r="H75" s="1575"/>
    </row>
    <row r="76" spans="1:8" s="1512" customFormat="1" ht="20.100000000000001" customHeight="1">
      <c r="A76" s="1576"/>
      <c r="B76" s="1576"/>
      <c r="C76" s="1576"/>
      <c r="D76" s="1577"/>
      <c r="E76" s="1578"/>
      <c r="F76" s="1576"/>
      <c r="G76" s="1579"/>
      <c r="H76" s="1580"/>
    </row>
    <row r="77" spans="1:8" s="1510" customFormat="1" ht="20.100000000000001" customHeight="1">
      <c r="A77" s="1551">
        <v>20</v>
      </c>
      <c r="B77" s="3649" t="s">
        <v>1240</v>
      </c>
      <c r="C77" s="3649"/>
      <c r="D77" s="3649"/>
      <c r="E77" s="3649"/>
      <c r="F77" s="3649"/>
      <c r="G77" s="3649"/>
      <c r="H77" s="1563"/>
    </row>
    <row r="78" spans="1:8" s="1509" customFormat="1" ht="95.25" customHeight="1">
      <c r="A78" s="1547"/>
      <c r="B78" s="1549" t="s">
        <v>1241</v>
      </c>
      <c r="C78" s="3646" t="s">
        <v>1242</v>
      </c>
      <c r="D78" s="3647"/>
      <c r="E78" s="3647"/>
      <c r="F78" s="3647"/>
      <c r="G78" s="3648"/>
      <c r="H78" s="1550"/>
    </row>
    <row r="79" spans="1:8" s="1510" customFormat="1" ht="20.100000000000001" customHeight="1">
      <c r="A79" s="1551"/>
      <c r="B79" s="1551"/>
      <c r="C79" s="1551"/>
      <c r="D79" s="1552" t="s">
        <v>1243</v>
      </c>
      <c r="E79" s="1553"/>
      <c r="F79" s="1551"/>
      <c r="G79" s="1554"/>
      <c r="H79" s="1555"/>
    </row>
    <row r="80" spans="1:8" s="1510" customFormat="1" ht="20.100000000000001" customHeight="1">
      <c r="A80" s="1551"/>
      <c r="B80" s="1551"/>
      <c r="C80" s="3650" t="s">
        <v>1244</v>
      </c>
      <c r="D80" s="3650"/>
      <c r="E80" s="3650"/>
      <c r="F80" s="1551"/>
      <c r="G80" s="1554"/>
      <c r="H80" s="1555"/>
    </row>
    <row r="81" spans="1:8" s="1510" customFormat="1" ht="20.100000000000001" customHeight="1">
      <c r="A81" s="1551"/>
      <c r="B81" s="1551"/>
      <c r="C81" s="1551"/>
      <c r="D81" s="1556" t="s">
        <v>1208</v>
      </c>
      <c r="E81" s="1553"/>
      <c r="F81" s="1551"/>
      <c r="G81" s="1554"/>
      <c r="H81" s="1555"/>
    </row>
    <row r="82" spans="1:8" s="1510" customFormat="1" ht="20.100000000000001" customHeight="1">
      <c r="A82" s="1551"/>
      <c r="B82" s="1557">
        <v>3.76</v>
      </c>
      <c r="C82" s="1553" t="s">
        <v>38</v>
      </c>
      <c r="D82" s="1552" t="s">
        <v>14</v>
      </c>
      <c r="E82" s="1553">
        <f>E83</f>
        <v>520</v>
      </c>
      <c r="F82" s="1553" t="s">
        <v>38</v>
      </c>
      <c r="G82" s="1554">
        <f t="shared" ref="G82:G97" si="5">ROUND(B82*E82,2)</f>
        <v>1955.2</v>
      </c>
      <c r="H82" s="1558"/>
    </row>
    <row r="83" spans="1:8" s="1510" customFormat="1" ht="20.100000000000001" customHeight="1">
      <c r="A83" s="1551"/>
      <c r="B83" s="1557">
        <v>90</v>
      </c>
      <c r="C83" s="1553" t="s">
        <v>38</v>
      </c>
      <c r="D83" s="1552" t="s">
        <v>1209</v>
      </c>
      <c r="E83" s="1553">
        <f>E58</f>
        <v>520</v>
      </c>
      <c r="F83" s="1553" t="s">
        <v>38</v>
      </c>
      <c r="G83" s="1554">
        <f t="shared" si="5"/>
        <v>46800</v>
      </c>
      <c r="H83" s="1558"/>
    </row>
    <row r="84" spans="1:8" s="1510" customFormat="1" ht="20.100000000000001" customHeight="1">
      <c r="A84" s="1551"/>
      <c r="B84" s="1557">
        <v>4</v>
      </c>
      <c r="C84" s="1553" t="s">
        <v>38</v>
      </c>
      <c r="D84" s="1552" t="s">
        <v>1245</v>
      </c>
      <c r="E84" s="1553">
        <f>'SSR-rates'!J59</f>
        <v>550</v>
      </c>
      <c r="F84" s="1553" t="s">
        <v>38</v>
      </c>
      <c r="G84" s="1554">
        <f t="shared" si="5"/>
        <v>2200</v>
      </c>
      <c r="H84" s="1558"/>
    </row>
    <row r="85" spans="1:8" s="1510" customFormat="1" ht="20.100000000000001" customHeight="1">
      <c r="A85" s="1551"/>
      <c r="B85" s="1559">
        <f>'Input Data'!D23</f>
        <v>0</v>
      </c>
      <c r="C85" s="1551"/>
      <c r="D85" s="1560" t="s">
        <v>1210</v>
      </c>
      <c r="E85" s="1553">
        <f>G82+G83+G84</f>
        <v>50955.199999999997</v>
      </c>
      <c r="F85" s="1551"/>
      <c r="G85" s="1554">
        <f>+ROUND((E85)*B85,2)</f>
        <v>0</v>
      </c>
      <c r="H85" s="1561"/>
    </row>
    <row r="86" spans="1:8" s="1510" customFormat="1" ht="20.100000000000001" customHeight="1">
      <c r="A86" s="1551"/>
      <c r="B86" s="1557"/>
      <c r="C86" s="1553"/>
      <c r="D86" s="1552"/>
      <c r="E86" s="1553"/>
      <c r="F86" s="1553"/>
      <c r="G86" s="1562">
        <f>SUM(G82:G85)</f>
        <v>50955.199999999997</v>
      </c>
      <c r="H86" s="1558"/>
    </row>
    <row r="87" spans="1:8" s="1510" customFormat="1" ht="20.100000000000001" customHeight="1">
      <c r="A87" s="1551"/>
      <c r="B87" s="1557"/>
      <c r="C87" s="1553"/>
      <c r="D87" s="1556" t="s">
        <v>1211</v>
      </c>
      <c r="E87" s="1553"/>
      <c r="F87" s="1553"/>
      <c r="G87" s="1554"/>
      <c r="H87" s="1558"/>
    </row>
    <row r="88" spans="1:8" s="1510" customFormat="1" ht="20.100000000000001" customHeight="1">
      <c r="A88" s="1551"/>
      <c r="B88" s="1557">
        <v>6</v>
      </c>
      <c r="C88" s="1553" t="s">
        <v>23</v>
      </c>
      <c r="D88" s="1552" t="s">
        <v>1246</v>
      </c>
      <c r="E88" s="1553">
        <f>E34</f>
        <v>668.6</v>
      </c>
      <c r="F88" s="1553" t="s">
        <v>23</v>
      </c>
      <c r="G88" s="1554">
        <f t="shared" si="5"/>
        <v>4011.6</v>
      </c>
      <c r="H88" s="1558"/>
    </row>
    <row r="89" spans="1:8" s="1510" customFormat="1" ht="20.100000000000001" customHeight="1">
      <c r="A89" s="1551"/>
      <c r="B89" s="1557">
        <v>6</v>
      </c>
      <c r="C89" s="1553" t="s">
        <v>23</v>
      </c>
      <c r="D89" s="1560" t="s">
        <v>1247</v>
      </c>
      <c r="E89" s="1553">
        <f>'SSR-rates'!Q78</f>
        <v>33344</v>
      </c>
      <c r="F89" s="1553" t="s">
        <v>23</v>
      </c>
      <c r="G89" s="1554">
        <f t="shared" si="5"/>
        <v>200064</v>
      </c>
      <c r="H89" s="1558"/>
    </row>
    <row r="90" spans="1:8" s="1510" customFormat="1" ht="20.100000000000001" customHeight="1">
      <c r="A90" s="1551"/>
      <c r="B90" s="1557">
        <v>45</v>
      </c>
      <c r="C90" s="1553" t="s">
        <v>23</v>
      </c>
      <c r="D90" s="1560" t="s">
        <v>1248</v>
      </c>
      <c r="E90" s="1553">
        <f>'SSR-rates'!J89</f>
        <v>1205.7</v>
      </c>
      <c r="F90" s="1553" t="s">
        <v>23</v>
      </c>
      <c r="G90" s="1554">
        <f t="shared" si="5"/>
        <v>54256.5</v>
      </c>
      <c r="H90" s="1558"/>
    </row>
    <row r="91" spans="1:8" s="1510" customFormat="1" ht="20.100000000000001" customHeight="1">
      <c r="A91" s="1551"/>
      <c r="B91" s="1557">
        <v>12</v>
      </c>
      <c r="C91" s="1553" t="s">
        <v>23</v>
      </c>
      <c r="D91" s="1560" t="s">
        <v>1249</v>
      </c>
      <c r="E91" s="1553">
        <f>'SSR-rates'!J68</f>
        <v>1734.8</v>
      </c>
      <c r="F91" s="1553" t="s">
        <v>23</v>
      </c>
      <c r="G91" s="1554">
        <f t="shared" si="5"/>
        <v>20817.599999999999</v>
      </c>
      <c r="H91" s="1558"/>
    </row>
    <row r="92" spans="1:8" s="1510" customFormat="1" ht="20.100000000000001" customHeight="1">
      <c r="A92" s="1551"/>
      <c r="B92" s="1557"/>
      <c r="C92" s="1553"/>
      <c r="D92" s="1560"/>
      <c r="E92" s="1553"/>
      <c r="F92" s="1553"/>
      <c r="G92" s="1562">
        <f>SUM(G88:G91)</f>
        <v>279149.7</v>
      </c>
      <c r="H92" s="1558"/>
    </row>
    <row r="93" spans="1:8" s="1510" customFormat="1" ht="20.100000000000001" customHeight="1">
      <c r="A93" s="1551"/>
      <c r="B93" s="1557"/>
      <c r="C93" s="1553"/>
      <c r="D93" s="1556" t="s">
        <v>1216</v>
      </c>
      <c r="E93" s="1553"/>
      <c r="F93" s="1553"/>
      <c r="G93" s="1562"/>
      <c r="H93" s="1558"/>
    </row>
    <row r="94" spans="1:8" s="1510" customFormat="1" ht="35.1" customHeight="1">
      <c r="A94" s="1551"/>
      <c r="B94" s="1557">
        <v>184.5</v>
      </c>
      <c r="C94" s="1553" t="s">
        <v>1250</v>
      </c>
      <c r="D94" s="1552" t="s">
        <v>1251</v>
      </c>
      <c r="E94" s="1553">
        <f>lead!J8</f>
        <v>1854.5179333714741</v>
      </c>
      <c r="F94" s="1553" t="s">
        <v>1250</v>
      </c>
      <c r="G94" s="1554">
        <f t="shared" si="5"/>
        <v>342158.56</v>
      </c>
      <c r="H94" s="1558"/>
    </row>
    <row r="95" spans="1:8" s="1510" customFormat="1" ht="35.1" customHeight="1">
      <c r="A95" s="1551"/>
      <c r="B95" s="1557">
        <v>92.25</v>
      </c>
      <c r="C95" s="1553" t="s">
        <v>1250</v>
      </c>
      <c r="D95" s="1552" t="s">
        <v>1252</v>
      </c>
      <c r="E95" s="1553">
        <f>lead!J9</f>
        <v>1754.5179333714741</v>
      </c>
      <c r="F95" s="1553" t="s">
        <v>1250</v>
      </c>
      <c r="G95" s="1554">
        <f t="shared" si="5"/>
        <v>161854.28</v>
      </c>
      <c r="H95" s="1558"/>
    </row>
    <row r="96" spans="1:8" s="1510" customFormat="1" ht="35.1" customHeight="1">
      <c r="A96" s="1551"/>
      <c r="B96" s="1557">
        <v>2.46</v>
      </c>
      <c r="C96" s="1553" t="s">
        <v>1250</v>
      </c>
      <c r="D96" s="1560" t="s">
        <v>1253</v>
      </c>
      <c r="E96" s="1553">
        <f>E67</f>
        <v>43276.860229723185</v>
      </c>
      <c r="F96" s="1553" t="s">
        <v>1250</v>
      </c>
      <c r="G96" s="1554">
        <f t="shared" si="5"/>
        <v>106461.08</v>
      </c>
      <c r="H96" s="1558"/>
    </row>
    <row r="97" spans="1:8" s="1510" customFormat="1" ht="20.100000000000001" customHeight="1">
      <c r="A97" s="1551"/>
      <c r="B97" s="1557">
        <v>14.97</v>
      </c>
      <c r="C97" s="1553" t="s">
        <v>1250</v>
      </c>
      <c r="D97" s="1552" t="s">
        <v>1254</v>
      </c>
      <c r="E97" s="1553">
        <f>E66</f>
        <v>43863.860229723185</v>
      </c>
      <c r="F97" s="1553" t="s">
        <v>1250</v>
      </c>
      <c r="G97" s="1554">
        <f t="shared" si="5"/>
        <v>656641.99</v>
      </c>
      <c r="H97" s="1558"/>
    </row>
    <row r="98" spans="1:8" s="1510" customFormat="1" ht="20.100000000000001" customHeight="1">
      <c r="A98" s="1551"/>
      <c r="B98" s="1557"/>
      <c r="C98" s="1553"/>
      <c r="D98" s="1552"/>
      <c r="E98" s="1553"/>
      <c r="F98" s="1553"/>
      <c r="G98" s="1562">
        <f>SUM(G94:G97)</f>
        <v>1267115.9099999999</v>
      </c>
      <c r="H98" s="1558"/>
    </row>
    <row r="99" spans="1:8" s="1510" customFormat="1" ht="20.100000000000001" customHeight="1">
      <c r="A99" s="1551"/>
      <c r="B99" s="1557"/>
      <c r="C99" s="1553"/>
      <c r="D99" s="1552"/>
      <c r="E99" s="3644" t="s">
        <v>1255</v>
      </c>
      <c r="F99" s="3644"/>
      <c r="G99" s="1562">
        <f>G86+G92+G98</f>
        <v>1597220.81</v>
      </c>
      <c r="H99" s="1558"/>
    </row>
    <row r="100" spans="1:8" s="1510" customFormat="1" ht="20.100000000000001" customHeight="1">
      <c r="A100" s="1551"/>
      <c r="B100" s="1566">
        <v>0.13614999999999999</v>
      </c>
      <c r="C100" s="1553" t="s">
        <v>85</v>
      </c>
      <c r="D100" s="1567" t="s">
        <v>1224</v>
      </c>
      <c r="E100" s="1553">
        <f>G86+G92+G98</f>
        <v>1597220.81</v>
      </c>
      <c r="F100" s="1553" t="s">
        <v>85</v>
      </c>
      <c r="G100" s="1554">
        <f>ROUND(B100*E100,2)</f>
        <v>217461.61</v>
      </c>
      <c r="H100" s="1558"/>
    </row>
    <row r="101" spans="1:8" s="1510" customFormat="1" ht="20.100000000000001" customHeight="1">
      <c r="A101" s="1551"/>
      <c r="B101" s="1570">
        <v>0</v>
      </c>
      <c r="C101" s="1557"/>
      <c r="D101" s="1567" t="s">
        <v>1225</v>
      </c>
      <c r="E101" s="1553">
        <f>E100+G100</f>
        <v>1814682.42</v>
      </c>
      <c r="F101" s="1553" t="s">
        <v>85</v>
      </c>
      <c r="G101" s="1554">
        <f>ROUND(B101*E101,2)</f>
        <v>0</v>
      </c>
      <c r="H101" s="1558"/>
    </row>
    <row r="102" spans="1:8" s="1510" customFormat="1" ht="20.100000000000001" customHeight="1">
      <c r="A102" s="1551"/>
      <c r="B102" s="1551"/>
      <c r="C102" s="1557"/>
      <c r="D102" s="1552" t="s">
        <v>1256</v>
      </c>
      <c r="E102" s="1553"/>
      <c r="F102" s="1551"/>
      <c r="G102" s="1554">
        <f>G99+G100</f>
        <v>1814682.42</v>
      </c>
      <c r="H102" s="1558"/>
    </row>
    <row r="103" spans="1:8" s="1510" customFormat="1" ht="20.100000000000001" customHeight="1">
      <c r="A103" s="1551"/>
      <c r="B103" s="1568"/>
      <c r="C103" s="1569"/>
      <c r="D103" s="1552"/>
      <c r="E103" s="1553"/>
      <c r="F103" s="1551"/>
      <c r="G103" s="1554"/>
      <c r="H103" s="1555"/>
    </row>
    <row r="104" spans="1:8" s="1511" customFormat="1" ht="35.1" customHeight="1">
      <c r="A104" s="1568"/>
      <c r="B104" s="1568"/>
      <c r="C104" s="1569"/>
      <c r="D104" s="1556" t="s">
        <v>1257</v>
      </c>
      <c r="E104" s="1574"/>
      <c r="F104" s="1568"/>
      <c r="G104" s="1562">
        <f>G102/10250</f>
        <v>177.04218731707317</v>
      </c>
      <c r="H104" s="1563"/>
    </row>
    <row r="105" spans="1:8" s="1510" customFormat="1">
      <c r="A105" s="1551"/>
      <c r="B105" s="1551"/>
      <c r="C105" s="1551"/>
      <c r="D105" s="1560"/>
      <c r="E105" s="1553"/>
      <c r="F105" s="1551"/>
      <c r="G105" s="1554"/>
      <c r="H105" s="1555"/>
    </row>
    <row r="106" spans="1:8" s="1513" customFormat="1" ht="20.100000000000001" customHeight="1">
      <c r="A106" s="1547">
        <v>21</v>
      </c>
      <c r="B106" s="3651" t="s">
        <v>1258</v>
      </c>
      <c r="C106" s="3651"/>
      <c r="D106" s="3651"/>
      <c r="E106" s="3651"/>
      <c r="F106" s="3651"/>
      <c r="G106" s="3651"/>
      <c r="H106" s="1581"/>
    </row>
    <row r="107" spans="1:8" s="1509" customFormat="1" ht="83.25" customHeight="1">
      <c r="A107" s="1547"/>
      <c r="B107" s="3646" t="s">
        <v>1259</v>
      </c>
      <c r="C107" s="3647"/>
      <c r="D107" s="3647"/>
      <c r="E107" s="3647"/>
      <c r="F107" s="3647"/>
      <c r="G107" s="3648"/>
      <c r="H107" s="1550"/>
    </row>
    <row r="108" spans="1:8" s="1510" customFormat="1" ht="20.100000000000001" customHeight="1">
      <c r="A108" s="1551"/>
      <c r="B108" s="1551" t="s">
        <v>1260</v>
      </c>
      <c r="C108" s="1551"/>
      <c r="D108" s="1567" t="s">
        <v>1261</v>
      </c>
      <c r="E108" s="1553"/>
      <c r="F108" s="1551"/>
      <c r="G108" s="1554"/>
      <c r="H108" s="1582"/>
    </row>
    <row r="109" spans="1:8" s="1510" customFormat="1" ht="20.100000000000001" customHeight="1">
      <c r="A109" s="1551"/>
      <c r="B109" s="3652" t="s">
        <v>1262</v>
      </c>
      <c r="C109" s="3652"/>
      <c r="D109" s="3652"/>
      <c r="E109" s="3652"/>
      <c r="F109" s="3652"/>
      <c r="G109" s="3652"/>
      <c r="H109" s="1582"/>
    </row>
    <row r="110" spans="1:8" s="1510" customFormat="1" ht="20.100000000000001" customHeight="1">
      <c r="A110" s="1551"/>
      <c r="B110" s="1551"/>
      <c r="C110" s="1568" t="s">
        <v>36</v>
      </c>
      <c r="D110" s="1567" t="s">
        <v>37</v>
      </c>
      <c r="E110" s="1553"/>
      <c r="F110" s="1551"/>
      <c r="G110" s="1554"/>
      <c r="H110" s="1582"/>
    </row>
    <row r="111" spans="1:8" s="1510" customFormat="1" ht="20.100000000000001" customHeight="1">
      <c r="A111" s="1551"/>
      <c r="B111" s="1553">
        <v>2.92</v>
      </c>
      <c r="C111" s="1553" t="s">
        <v>1263</v>
      </c>
      <c r="D111" s="1560" t="s">
        <v>14</v>
      </c>
      <c r="E111" s="1553">
        <f>E82</f>
        <v>520</v>
      </c>
      <c r="F111" s="1553" t="s">
        <v>1263</v>
      </c>
      <c r="G111" s="1554">
        <f>ROUND(B111*E111,2)</f>
        <v>1518.4</v>
      </c>
      <c r="H111" s="1561"/>
    </row>
    <row r="112" spans="1:8" s="1510" customFormat="1" ht="20.100000000000001" customHeight="1">
      <c r="A112" s="1551"/>
      <c r="B112" s="1553">
        <v>70</v>
      </c>
      <c r="C112" s="1553" t="s">
        <v>1263</v>
      </c>
      <c r="D112" s="1560" t="s">
        <v>312</v>
      </c>
      <c r="E112" s="1553">
        <f>E111</f>
        <v>520</v>
      </c>
      <c r="F112" s="1553" t="s">
        <v>1263</v>
      </c>
      <c r="G112" s="1554">
        <f>ROUND(B112*E112,2)</f>
        <v>36400</v>
      </c>
      <c r="H112" s="1561"/>
    </row>
    <row r="113" spans="1:8" s="1510" customFormat="1" ht="20.100000000000001" customHeight="1">
      <c r="A113" s="1551"/>
      <c r="B113" s="1553">
        <v>3</v>
      </c>
      <c r="C113" s="1553" t="s">
        <v>1263</v>
      </c>
      <c r="D113" s="1560" t="s">
        <v>15</v>
      </c>
      <c r="E113" s="1553">
        <f>E84</f>
        <v>550</v>
      </c>
      <c r="F113" s="1553" t="s">
        <v>1263</v>
      </c>
      <c r="G113" s="1554">
        <f>ROUND(B113*E113,2)</f>
        <v>1650</v>
      </c>
      <c r="H113" s="1561"/>
    </row>
    <row r="114" spans="1:8" s="1510" customFormat="1" ht="20.100000000000001" customHeight="1">
      <c r="A114" s="1551"/>
      <c r="B114" s="1583">
        <f>'Input Data'!D23</f>
        <v>0</v>
      </c>
      <c r="C114" s="1553"/>
      <c r="D114" s="1560" t="s">
        <v>17</v>
      </c>
      <c r="E114" s="1553">
        <f>SUM(G111:G113)</f>
        <v>39568.400000000001</v>
      </c>
      <c r="F114" s="1551"/>
      <c r="G114" s="1554">
        <f>B114*E114</f>
        <v>0</v>
      </c>
      <c r="H114" s="1561"/>
    </row>
    <row r="115" spans="1:8" s="1510" customFormat="1" ht="20.100000000000001" customHeight="1">
      <c r="A115" s="1551"/>
      <c r="B115" s="1553"/>
      <c r="C115" s="1553"/>
      <c r="D115" s="1560"/>
      <c r="E115" s="1553"/>
      <c r="F115" s="1551"/>
      <c r="G115" s="1562">
        <f>SUM(G111:G114)</f>
        <v>39568.400000000001</v>
      </c>
      <c r="H115" s="1563"/>
    </row>
    <row r="116" spans="1:8" s="1510" customFormat="1" ht="20.100000000000001" customHeight="1">
      <c r="A116" s="1551"/>
      <c r="B116" s="1551"/>
      <c r="C116" s="1568" t="s">
        <v>39</v>
      </c>
      <c r="D116" s="1567" t="s">
        <v>40</v>
      </c>
      <c r="E116" s="1553"/>
      <c r="F116" s="1551"/>
      <c r="G116" s="1554"/>
      <c r="H116" s="1582"/>
    </row>
    <row r="117" spans="1:8" s="1510" customFormat="1" ht="20.100000000000001" customHeight="1">
      <c r="A117" s="1551"/>
      <c r="B117" s="1553">
        <v>6</v>
      </c>
      <c r="C117" s="1553" t="s">
        <v>41</v>
      </c>
      <c r="D117" s="1560" t="s">
        <v>1264</v>
      </c>
      <c r="E117" s="1553">
        <f>E34</f>
        <v>668.6</v>
      </c>
      <c r="F117" s="1553" t="s">
        <v>41</v>
      </c>
      <c r="G117" s="1554">
        <f t="shared" ref="G117:G120" si="6">ROUND(B117*E117,2)</f>
        <v>4011.6</v>
      </c>
      <c r="H117" s="1561"/>
    </row>
    <row r="118" spans="1:8" s="1510" customFormat="1" ht="20.100000000000001" customHeight="1">
      <c r="A118" s="1551"/>
      <c r="B118" s="1553">
        <v>6</v>
      </c>
      <c r="C118" s="1553" t="s">
        <v>41</v>
      </c>
      <c r="D118" s="1560" t="s">
        <v>1265</v>
      </c>
      <c r="E118" s="1553">
        <f>E89</f>
        <v>33344</v>
      </c>
      <c r="F118" s="1553" t="s">
        <v>41</v>
      </c>
      <c r="G118" s="1554">
        <f t="shared" si="6"/>
        <v>200064</v>
      </c>
      <c r="H118" s="1561"/>
    </row>
    <row r="119" spans="1:8" s="1510" customFormat="1" ht="20.100000000000001" customHeight="1">
      <c r="A119" s="1551"/>
      <c r="B119" s="1553">
        <v>45</v>
      </c>
      <c r="C119" s="1553" t="s">
        <v>41</v>
      </c>
      <c r="D119" s="1584" t="s">
        <v>1248</v>
      </c>
      <c r="E119" s="1574">
        <f>E90</f>
        <v>1205.7</v>
      </c>
      <c r="F119" s="1553" t="s">
        <v>41</v>
      </c>
      <c r="G119" s="1554">
        <f t="shared" si="6"/>
        <v>54256.5</v>
      </c>
      <c r="H119" s="1561"/>
    </row>
    <row r="120" spans="1:8" s="1510" customFormat="1" ht="35.1" customHeight="1">
      <c r="A120" s="1551"/>
      <c r="B120" s="1553">
        <v>12</v>
      </c>
      <c r="C120" s="1553" t="s">
        <v>41</v>
      </c>
      <c r="D120" s="1560" t="s">
        <v>1266</v>
      </c>
      <c r="E120" s="1553">
        <f>E91</f>
        <v>1734.8</v>
      </c>
      <c r="F120" s="1553" t="s">
        <v>41</v>
      </c>
      <c r="G120" s="1554">
        <f t="shared" si="6"/>
        <v>20817.599999999999</v>
      </c>
      <c r="H120" s="1561"/>
    </row>
    <row r="121" spans="1:8" s="1510" customFormat="1">
      <c r="A121" s="1551"/>
      <c r="B121" s="1553"/>
      <c r="C121" s="1553"/>
      <c r="D121" s="1560"/>
      <c r="E121" s="1553"/>
      <c r="F121" s="1551"/>
      <c r="G121" s="1562">
        <f>SUM(G117:G120)</f>
        <v>279149.7</v>
      </c>
      <c r="H121" s="1563"/>
    </row>
    <row r="122" spans="1:8" s="1510" customFormat="1" ht="20.100000000000001" customHeight="1">
      <c r="A122" s="1551"/>
      <c r="B122" s="1551"/>
      <c r="C122" s="1568" t="s">
        <v>27</v>
      </c>
      <c r="D122" s="1567" t="s">
        <v>61</v>
      </c>
      <c r="E122" s="1553"/>
      <c r="F122" s="1551"/>
      <c r="G122" s="1554"/>
      <c r="H122" s="1582"/>
    </row>
    <row r="123" spans="1:8" s="1510" customFormat="1" ht="20.100000000000001" customHeight="1">
      <c r="A123" s="1551"/>
      <c r="B123" s="1553">
        <v>22.5</v>
      </c>
      <c r="C123" s="1553" t="s">
        <v>66</v>
      </c>
      <c r="D123" s="1560" t="s">
        <v>1267</v>
      </c>
      <c r="E123" s="1574">
        <f>E66</f>
        <v>43863.860229723185</v>
      </c>
      <c r="F123" s="1551" t="s">
        <v>66</v>
      </c>
      <c r="G123" s="1554">
        <f>ROUND(B123*E123,2)</f>
        <v>986936.86</v>
      </c>
      <c r="H123" s="1561"/>
    </row>
    <row r="124" spans="1:8" s="1510" customFormat="1" ht="20.100000000000001" customHeight="1">
      <c r="A124" s="1551"/>
      <c r="B124" s="1553">
        <v>1.18</v>
      </c>
      <c r="C124" s="1553" t="s">
        <v>66</v>
      </c>
      <c r="D124" s="1560" t="s">
        <v>1268</v>
      </c>
      <c r="E124" s="1574">
        <f>E40</f>
        <v>43276.860229723185</v>
      </c>
      <c r="F124" s="1551" t="s">
        <v>66</v>
      </c>
      <c r="G124" s="1554">
        <f>ROUND(B124*E124,2)</f>
        <v>51066.7</v>
      </c>
      <c r="H124" s="1561"/>
    </row>
    <row r="125" spans="1:8" s="1510" customFormat="1" ht="20.100000000000001" customHeight="1">
      <c r="A125" s="1551"/>
      <c r="B125" s="1553"/>
      <c r="C125" s="1553"/>
      <c r="D125" s="1560" t="s">
        <v>1269</v>
      </c>
      <c r="E125" s="1574"/>
      <c r="F125" s="1551"/>
      <c r="G125" s="1554"/>
      <c r="H125" s="1561"/>
    </row>
    <row r="126" spans="1:8" s="1510" customFormat="1" ht="20.100000000000001" customHeight="1">
      <c r="A126" s="1551"/>
      <c r="B126" s="1553"/>
      <c r="C126" s="1553"/>
      <c r="D126" s="1560" t="s">
        <v>1270</v>
      </c>
      <c r="E126" s="1553"/>
      <c r="F126" s="1551"/>
      <c r="G126" s="1554"/>
      <c r="H126" s="1582"/>
    </row>
    <row r="127" spans="1:8" s="1514" customFormat="1" ht="20.100000000000001" customHeight="1">
      <c r="A127" s="1551"/>
      <c r="B127" s="1553"/>
      <c r="C127" s="1553"/>
      <c r="D127" s="1560" t="s">
        <v>1271</v>
      </c>
      <c r="E127" s="1553"/>
      <c r="F127" s="1551"/>
      <c r="G127" s="1554"/>
      <c r="H127" s="1582"/>
    </row>
    <row r="128" spans="1:8" s="1514" customFormat="1" ht="35.1" customHeight="1">
      <c r="A128" s="1551"/>
      <c r="B128" s="1553"/>
      <c r="C128" s="1553"/>
      <c r="D128" s="1560" t="s">
        <v>1272</v>
      </c>
      <c r="E128" s="1553"/>
      <c r="F128" s="1551"/>
      <c r="G128" s="1554"/>
      <c r="H128" s="1582"/>
    </row>
    <row r="129" spans="1:11" s="1514" customFormat="1" ht="35.1" customHeight="1">
      <c r="A129" s="1551"/>
      <c r="B129" s="1553"/>
      <c r="C129" s="1553"/>
      <c r="D129" s="1560" t="s">
        <v>1273</v>
      </c>
      <c r="E129" s="1553"/>
      <c r="F129" s="1551"/>
      <c r="G129" s="1554"/>
      <c r="H129" s="1582"/>
      <c r="I129" s="1604"/>
    </row>
    <row r="130" spans="1:11" s="1514" customFormat="1" ht="20.100000000000001" customHeight="1">
      <c r="A130" s="1551"/>
      <c r="B130" s="1553"/>
      <c r="C130" s="1553"/>
      <c r="D130" s="1560" t="s">
        <v>1274</v>
      </c>
      <c r="E130" s="1553"/>
      <c r="F130" s="1551"/>
      <c r="G130" s="1554"/>
      <c r="H130" s="1582"/>
    </row>
    <row r="131" spans="1:11" s="1514" customFormat="1" ht="20.100000000000001" customHeight="1">
      <c r="A131" s="1551"/>
      <c r="B131" s="1553"/>
      <c r="C131" s="1553"/>
      <c r="D131" s="1567" t="s">
        <v>1275</v>
      </c>
      <c r="E131" s="1553"/>
      <c r="F131" s="1551"/>
      <c r="G131" s="1554"/>
      <c r="H131" s="1582"/>
    </row>
    <row r="132" spans="1:11" s="1514" customFormat="1" ht="35.1" customHeight="1">
      <c r="A132" s="1551"/>
      <c r="B132" s="1553"/>
      <c r="C132" s="1553"/>
      <c r="D132" s="1560" t="s">
        <v>1276</v>
      </c>
      <c r="E132" s="1553"/>
      <c r="F132" s="1551"/>
      <c r="G132" s="1554"/>
      <c r="H132" s="1582"/>
    </row>
    <row r="133" spans="1:11" s="1514" customFormat="1" ht="35.1" customHeight="1">
      <c r="A133" s="1551"/>
      <c r="B133" s="1553">
        <v>85.5</v>
      </c>
      <c r="C133" s="1553" t="s">
        <v>31</v>
      </c>
      <c r="D133" s="1560" t="s">
        <v>1277</v>
      </c>
      <c r="E133" s="1553">
        <f>AVERAGE(lead!J8:J9)</f>
        <v>1804.5179333714741</v>
      </c>
      <c r="F133" s="1551" t="s">
        <v>31</v>
      </c>
      <c r="G133" s="1554">
        <f>ROUND(B133*E133,2)</f>
        <v>154286.28</v>
      </c>
      <c r="H133" s="1561"/>
      <c r="J133" s="1514">
        <v>285</v>
      </c>
    </row>
    <row r="134" spans="1:11" s="1510" customFormat="1" ht="35.1" customHeight="1">
      <c r="A134" s="1551"/>
      <c r="B134" s="1553"/>
      <c r="C134" s="1553"/>
      <c r="D134" s="1560" t="s">
        <v>1278</v>
      </c>
      <c r="E134" s="1553"/>
      <c r="F134" s="1551"/>
      <c r="G134" s="1554"/>
      <c r="H134" s="1582"/>
    </row>
    <row r="135" spans="1:11" s="1514" customFormat="1" ht="35.1" customHeight="1">
      <c r="A135" s="1551"/>
      <c r="B135" s="1585">
        <v>71.25</v>
      </c>
      <c r="C135" s="1553" t="s">
        <v>31</v>
      </c>
      <c r="D135" s="1560" t="s">
        <v>1279</v>
      </c>
      <c r="E135" s="1553">
        <f>AVERAGE(lead!J9:J10)</f>
        <v>1726.0179333714741</v>
      </c>
      <c r="F135" s="1551" t="s">
        <v>31</v>
      </c>
      <c r="G135" s="1554">
        <f>ROUND(B135*E135,2)</f>
        <v>122978.78</v>
      </c>
      <c r="H135" s="1561"/>
      <c r="J135" s="1604">
        <f>+B133+B135+B137</f>
        <v>279.3</v>
      </c>
      <c r="K135" s="1605">
        <f>J133-J135</f>
        <v>5.6999999999999886</v>
      </c>
    </row>
    <row r="136" spans="1:11" s="1514" customFormat="1" ht="35.1" customHeight="1">
      <c r="A136" s="1551"/>
      <c r="B136" s="1553"/>
      <c r="C136" s="1553"/>
      <c r="D136" s="1560" t="s">
        <v>1280</v>
      </c>
      <c r="E136" s="1553"/>
      <c r="F136" s="1551"/>
      <c r="G136" s="1554"/>
      <c r="H136" s="1561"/>
    </row>
    <row r="137" spans="1:11" s="1514" customFormat="1" ht="35.1" customHeight="1">
      <c r="A137" s="1551"/>
      <c r="B137" s="1553">
        <v>122.55</v>
      </c>
      <c r="C137" s="1553" t="s">
        <v>31</v>
      </c>
      <c r="D137" s="1560" t="s">
        <v>1281</v>
      </c>
      <c r="E137" s="1553">
        <f>AVERAGE(lead!J11:J12)</f>
        <v>1669.6429333714741</v>
      </c>
      <c r="F137" s="1551" t="s">
        <v>31</v>
      </c>
      <c r="G137" s="1554">
        <f>ROUND(B137*E137,2)</f>
        <v>204614.74</v>
      </c>
      <c r="H137" s="1561"/>
    </row>
    <row r="138" spans="1:11" s="1514" customFormat="1" ht="21" customHeight="1">
      <c r="A138" s="1551"/>
      <c r="B138" s="1553">
        <v>8.6199999999999992</v>
      </c>
      <c r="C138" s="1553" t="s">
        <v>31</v>
      </c>
      <c r="D138" s="1560" t="s">
        <v>1282</v>
      </c>
      <c r="E138" s="1553">
        <f>lead!J12</f>
        <v>1658.7679333714741</v>
      </c>
      <c r="F138" s="1551" t="s">
        <v>31</v>
      </c>
      <c r="G138" s="1554">
        <f>ROUND(B138*E138,2)</f>
        <v>14298.58</v>
      </c>
      <c r="H138" s="1561"/>
      <c r="J138" s="1514">
        <f>SUM(B133:B138)/195</f>
        <v>1.4765128205128206</v>
      </c>
    </row>
    <row r="139" spans="1:11" s="1514" customFormat="1" ht="20.100000000000001" customHeight="1">
      <c r="A139" s="1551"/>
      <c r="B139" s="1553"/>
      <c r="C139" s="1553"/>
      <c r="D139" s="1560"/>
      <c r="E139" s="1553"/>
      <c r="F139" s="1551"/>
      <c r="G139" s="1562">
        <f>SUM(G123:G138)</f>
        <v>1534181.94</v>
      </c>
      <c r="H139" s="1563"/>
    </row>
    <row r="140" spans="1:11" s="1514" customFormat="1" ht="20.100000000000001" customHeight="1">
      <c r="A140" s="1551"/>
      <c r="B140" s="1553"/>
      <c r="C140" s="1553"/>
      <c r="D140" s="1560"/>
      <c r="E140" s="3653" t="s">
        <v>1255</v>
      </c>
      <c r="F140" s="3653"/>
      <c r="G140" s="1562">
        <f>G139+G121+G115</f>
        <v>1852900.0399999998</v>
      </c>
      <c r="H140" s="1563"/>
    </row>
    <row r="141" spans="1:11" s="1514" customFormat="1" ht="20.100000000000001" customHeight="1">
      <c r="A141" s="1551"/>
      <c r="B141" s="1568" t="s">
        <v>45</v>
      </c>
      <c r="C141" s="3654" t="s">
        <v>1283</v>
      </c>
      <c r="D141" s="3654"/>
      <c r="E141" s="3654"/>
      <c r="F141" s="1551"/>
      <c r="G141" s="1554"/>
      <c r="H141" s="1561"/>
    </row>
    <row r="142" spans="1:11" s="1514" customFormat="1" ht="35.1" customHeight="1">
      <c r="A142" s="1551"/>
      <c r="B142" s="1586">
        <v>0.13614999999999999</v>
      </c>
      <c r="C142" s="1587"/>
      <c r="D142" s="1588" t="s">
        <v>1284</v>
      </c>
      <c r="E142" s="1553">
        <f>G140</f>
        <v>1852900.0399999998</v>
      </c>
      <c r="F142" s="1551"/>
      <c r="G142" s="1554">
        <f>E142*B142</f>
        <v>252272.34044599996</v>
      </c>
      <c r="H142" s="1561"/>
    </row>
    <row r="143" spans="1:11" s="1510" customFormat="1" ht="20.100000000000001" customHeight="1">
      <c r="A143" s="1568"/>
      <c r="B143" s="1570">
        <v>0</v>
      </c>
      <c r="C143" s="1551"/>
      <c r="D143" s="1560"/>
      <c r="E143" s="1553">
        <v>0</v>
      </c>
      <c r="F143" s="1551"/>
      <c r="G143" s="1554">
        <f>E143*B143</f>
        <v>0</v>
      </c>
      <c r="H143" s="1561"/>
    </row>
    <row r="144" spans="1:11" s="1514" customFormat="1" ht="20.100000000000001" customHeight="1">
      <c r="A144" s="1551"/>
      <c r="B144" s="1568" t="s">
        <v>47</v>
      </c>
      <c r="C144" s="3654" t="s">
        <v>89</v>
      </c>
      <c r="D144" s="3654"/>
      <c r="E144" s="1553"/>
      <c r="F144" s="1551"/>
      <c r="G144" s="1562">
        <f>G140+G142</f>
        <v>2105172.3804459996</v>
      </c>
      <c r="H144" s="1563"/>
    </row>
    <row r="145" spans="1:8" s="1514" customFormat="1" ht="20.100000000000001" customHeight="1">
      <c r="A145" s="1551"/>
      <c r="B145" s="1553"/>
      <c r="C145" s="1553"/>
      <c r="D145" s="1560" t="s">
        <v>1285</v>
      </c>
      <c r="E145" s="1553"/>
      <c r="F145" s="1553"/>
      <c r="G145" s="1589">
        <f>SUM(G144:G144)</f>
        <v>2105172.3804459996</v>
      </c>
      <c r="H145" s="1590"/>
    </row>
    <row r="146" spans="1:8" s="1514" customFormat="1" ht="20.100000000000001" customHeight="1">
      <c r="A146" s="1551"/>
      <c r="B146" s="1553"/>
      <c r="C146" s="1553"/>
      <c r="D146" s="1560" t="s">
        <v>1286</v>
      </c>
      <c r="E146" s="1553"/>
      <c r="F146" s="1553"/>
      <c r="G146" s="1554">
        <f>ROUND(G145/196,2)</f>
        <v>10740.68</v>
      </c>
      <c r="H146" s="1561"/>
    </row>
    <row r="147" spans="1:8" s="1514" customFormat="1" ht="20.100000000000001" customHeight="1">
      <c r="A147" s="1551"/>
      <c r="B147" s="1553"/>
      <c r="C147" s="1553"/>
      <c r="D147" s="1560" t="s">
        <v>52</v>
      </c>
      <c r="E147" s="1553"/>
      <c r="F147" s="1553"/>
      <c r="G147" s="1562">
        <f>ROUND(G146,2)</f>
        <v>10740.68</v>
      </c>
      <c r="H147" s="1563"/>
    </row>
    <row r="148" spans="1:8" s="1514" customFormat="1">
      <c r="A148" s="1551"/>
      <c r="B148" s="1553"/>
      <c r="C148" s="1553"/>
      <c r="D148" s="1560"/>
      <c r="E148" s="1553"/>
      <c r="F148" s="1553"/>
      <c r="G148" s="1562"/>
      <c r="H148" s="1563"/>
    </row>
    <row r="149" spans="1:8" s="1513" customFormat="1" ht="69.75" customHeight="1">
      <c r="A149" s="1547">
        <v>22</v>
      </c>
      <c r="B149" s="1591" t="s">
        <v>1287</v>
      </c>
      <c r="C149" s="3655" t="s">
        <v>1288</v>
      </c>
      <c r="D149" s="3656"/>
      <c r="E149" s="3656"/>
      <c r="F149" s="3656"/>
      <c r="G149" s="3657"/>
      <c r="H149" s="1592"/>
    </row>
    <row r="150" spans="1:8" s="1514" customFormat="1" ht="20.100000000000001" customHeight="1">
      <c r="A150" s="3658" t="s">
        <v>1289</v>
      </c>
      <c r="B150" s="3658"/>
      <c r="C150" s="3658"/>
      <c r="D150" s="1552" t="s">
        <v>10</v>
      </c>
      <c r="E150" s="1553"/>
      <c r="F150" s="1553"/>
      <c r="G150" s="1562"/>
      <c r="H150" s="1563"/>
    </row>
    <row r="151" spans="1:8" s="1514" customFormat="1" ht="35.1" customHeight="1">
      <c r="A151" s="1551"/>
      <c r="B151" s="1553"/>
      <c r="C151" s="1553"/>
      <c r="D151" s="1552" t="s">
        <v>1290</v>
      </c>
      <c r="E151" s="1553"/>
      <c r="F151" s="1553"/>
      <c r="G151" s="1562"/>
      <c r="H151" s="1563"/>
    </row>
    <row r="152" spans="1:8" s="1514" customFormat="1" ht="20.100000000000001" customHeight="1">
      <c r="A152" s="1551"/>
      <c r="B152" s="1553"/>
      <c r="C152" s="1553"/>
      <c r="D152" s="1552" t="s">
        <v>1291</v>
      </c>
      <c r="E152" s="1553"/>
      <c r="F152" s="1553"/>
      <c r="G152" s="1562"/>
      <c r="H152" s="1563"/>
    </row>
    <row r="153" spans="1:8" s="1514" customFormat="1" ht="20.100000000000001" customHeight="1">
      <c r="A153" s="1551"/>
      <c r="B153" s="1553"/>
      <c r="C153" s="1553"/>
      <c r="D153" s="1556" t="s">
        <v>1208</v>
      </c>
      <c r="E153" s="1553"/>
      <c r="F153" s="1553"/>
      <c r="G153" s="1562"/>
      <c r="H153" s="1563"/>
    </row>
    <row r="154" spans="1:8" s="1514" customFormat="1" ht="20.100000000000001" customHeight="1">
      <c r="A154" s="1551"/>
      <c r="B154" s="1553"/>
      <c r="C154" s="1553" t="s">
        <v>38</v>
      </c>
      <c r="D154" s="1552" t="s">
        <v>14</v>
      </c>
      <c r="E154" s="1553">
        <v>0</v>
      </c>
      <c r="F154" s="1565">
        <v>0</v>
      </c>
      <c r="G154" s="1554">
        <f>ROUND(E154*F154,2)</f>
        <v>0</v>
      </c>
      <c r="H154" s="1558"/>
    </row>
    <row r="155" spans="1:8" s="1514" customFormat="1" ht="20.100000000000001" customHeight="1">
      <c r="A155" s="1551"/>
      <c r="B155" s="1553"/>
      <c r="C155" s="1553" t="s">
        <v>38</v>
      </c>
      <c r="D155" s="1552" t="s">
        <v>1209</v>
      </c>
      <c r="E155" s="1553">
        <v>20.8</v>
      </c>
      <c r="F155" s="1565">
        <f>E112</f>
        <v>520</v>
      </c>
      <c r="G155" s="1554">
        <f>ROUND(E155*F155,2)</f>
        <v>10816</v>
      </c>
      <c r="H155" s="1558"/>
    </row>
    <row r="156" spans="1:8" s="1514" customFormat="1" ht="20.100000000000001" customHeight="1">
      <c r="A156" s="1551"/>
      <c r="B156" s="1553"/>
      <c r="C156" s="1551"/>
      <c r="D156" s="1560" t="s">
        <v>1292</v>
      </c>
      <c r="E156" s="1553">
        <f>'Input Data'!D23</f>
        <v>0</v>
      </c>
      <c r="F156" s="1553"/>
      <c r="G156" s="1554">
        <f>ROUND(E156*G155,2)</f>
        <v>0</v>
      </c>
      <c r="H156" s="1561"/>
    </row>
    <row r="157" spans="1:8" s="1514" customFormat="1" ht="20.100000000000001" customHeight="1">
      <c r="A157" s="1551"/>
      <c r="B157" s="1553"/>
      <c r="C157" s="1551"/>
      <c r="D157" s="1560"/>
      <c r="E157" s="1553"/>
      <c r="F157" s="1553"/>
      <c r="G157" s="1562">
        <f>SUM(G154:G156)</f>
        <v>10816</v>
      </c>
      <c r="H157" s="1563"/>
    </row>
    <row r="158" spans="1:8" s="1514" customFormat="1" ht="20.100000000000001" customHeight="1">
      <c r="A158" s="1551"/>
      <c r="B158" s="1553"/>
      <c r="C158" s="1553"/>
      <c r="D158" s="1556" t="s">
        <v>1211</v>
      </c>
      <c r="E158" s="1553"/>
      <c r="F158" s="1565"/>
      <c r="G158" s="1554"/>
      <c r="H158" s="1558"/>
    </row>
    <row r="159" spans="1:8" s="1514" customFormat="1" ht="20.100000000000001" customHeight="1">
      <c r="A159" s="1551"/>
      <c r="B159" s="1553"/>
      <c r="C159" s="1553" t="s">
        <v>23</v>
      </c>
      <c r="D159" s="1552" t="s">
        <v>1293</v>
      </c>
      <c r="E159" s="1553">
        <v>4</v>
      </c>
      <c r="F159" s="1565">
        <v>444</v>
      </c>
      <c r="G159" s="1554">
        <f>ROUND(E159*F159,2)</f>
        <v>1776</v>
      </c>
      <c r="H159" s="1558"/>
    </row>
    <row r="160" spans="1:8" s="1514" customFormat="1" ht="20.100000000000001" customHeight="1">
      <c r="A160" s="1551"/>
      <c r="B160" s="1553"/>
      <c r="C160" s="1553" t="s">
        <v>23</v>
      </c>
      <c r="D160" s="1552" t="s">
        <v>1294</v>
      </c>
      <c r="E160" s="1553">
        <v>2</v>
      </c>
      <c r="F160" s="1565">
        <f>E34</f>
        <v>668.6</v>
      </c>
      <c r="G160" s="1554">
        <f>ROUND(E160*F160,2)</f>
        <v>1337.2</v>
      </c>
      <c r="H160" s="1558"/>
    </row>
    <row r="161" spans="1:8" s="1514" customFormat="1" ht="20.100000000000001" customHeight="1">
      <c r="A161" s="1551"/>
      <c r="B161" s="1553"/>
      <c r="C161" s="1553" t="s">
        <v>23</v>
      </c>
      <c r="D161" s="1552" t="s">
        <v>1295</v>
      </c>
      <c r="E161" s="1553">
        <v>4</v>
      </c>
      <c r="F161" s="1565">
        <f>E35</f>
        <v>1846</v>
      </c>
      <c r="G161" s="1554">
        <f>ROUND(E161*F161,2)</f>
        <v>7384</v>
      </c>
      <c r="H161" s="1558"/>
    </row>
    <row r="162" spans="1:8" s="1514" customFormat="1" ht="20.100000000000001" customHeight="1">
      <c r="A162" s="1551"/>
      <c r="B162" s="1553"/>
      <c r="C162" s="1553" t="s">
        <v>23</v>
      </c>
      <c r="D162" s="1552" t="s">
        <v>1296</v>
      </c>
      <c r="E162" s="1553">
        <v>4</v>
      </c>
      <c r="F162" s="1565">
        <f>E62</f>
        <v>946.4</v>
      </c>
      <c r="G162" s="1554">
        <f>ROUND(E162*F162,2)</f>
        <v>3785.6</v>
      </c>
      <c r="H162" s="1558"/>
    </row>
    <row r="163" spans="1:8" s="1514" customFormat="1" ht="20.100000000000001" customHeight="1">
      <c r="A163" s="1551"/>
      <c r="B163" s="1553"/>
      <c r="C163" s="1553" t="s">
        <v>23</v>
      </c>
      <c r="D163" s="1552" t="s">
        <v>1215</v>
      </c>
      <c r="E163" s="1553">
        <v>4</v>
      </c>
      <c r="F163" s="1565">
        <f>E91</f>
        <v>1734.8</v>
      </c>
      <c r="G163" s="1554">
        <f>ROUND(E163*F163,2)</f>
        <v>6939.2</v>
      </c>
      <c r="H163" s="1558"/>
    </row>
    <row r="164" spans="1:8" s="1514" customFormat="1" ht="20.100000000000001" customHeight="1">
      <c r="A164" s="1551"/>
      <c r="B164" s="1553"/>
      <c r="C164" s="1553"/>
      <c r="D164" s="1556" t="s">
        <v>1216</v>
      </c>
      <c r="E164" s="1553"/>
      <c r="F164" s="1565"/>
      <c r="G164" s="1562">
        <f>SUM(G159:G163)</f>
        <v>21222</v>
      </c>
      <c r="H164" s="1564"/>
    </row>
    <row r="165" spans="1:8" s="1514" customFormat="1" ht="35.1" customHeight="1">
      <c r="A165" s="1551"/>
      <c r="B165" s="1553"/>
      <c r="C165" s="1553"/>
      <c r="D165" s="1552" t="s">
        <v>1297</v>
      </c>
      <c r="E165" s="1553">
        <v>0.16800000000000001</v>
      </c>
      <c r="F165" s="1565">
        <f>Emultion_SS</f>
        <v>76970.860229723185</v>
      </c>
      <c r="G165" s="1554">
        <f>ROUND(E165*F165,2)</f>
        <v>12931.1</v>
      </c>
      <c r="H165" s="1558"/>
    </row>
    <row r="166" spans="1:8" s="1514" customFormat="1" ht="35.1" customHeight="1">
      <c r="A166" s="1551"/>
      <c r="B166" s="1553"/>
      <c r="C166" s="1553" t="s">
        <v>1298</v>
      </c>
      <c r="D166" s="1552" t="s">
        <v>1299</v>
      </c>
      <c r="E166" s="1553"/>
      <c r="F166" s="1565"/>
      <c r="G166" s="1554"/>
      <c r="H166" s="1558"/>
    </row>
    <row r="167" spans="1:8" s="1514" customFormat="1" ht="20.100000000000001" customHeight="1">
      <c r="A167" s="1551"/>
      <c r="B167" s="1553"/>
      <c r="C167" s="1553"/>
      <c r="D167" s="1552" t="s">
        <v>1300</v>
      </c>
      <c r="E167" s="1553"/>
      <c r="F167" s="1565"/>
      <c r="G167" s="1554"/>
      <c r="H167" s="1558"/>
    </row>
    <row r="168" spans="1:8" s="1514" customFormat="1" ht="20.100000000000001" customHeight="1">
      <c r="A168" s="1551"/>
      <c r="B168" s="1553"/>
      <c r="C168" s="1553"/>
      <c r="D168" s="1552" t="s">
        <v>1301</v>
      </c>
      <c r="E168" s="1553">
        <v>6.4000000000000001E-2</v>
      </c>
      <c r="F168" s="1565">
        <f>Emution_RS</f>
        <v>43276.860229723185</v>
      </c>
      <c r="G168" s="1554">
        <f>ROUND(E168*F168,2)</f>
        <v>2769.72</v>
      </c>
      <c r="H168" s="1558"/>
    </row>
    <row r="169" spans="1:8" s="1514" customFormat="1" ht="20.100000000000001" customHeight="1">
      <c r="A169" s="1551"/>
      <c r="B169" s="1553"/>
      <c r="C169" s="1553" t="s">
        <v>1298</v>
      </c>
      <c r="D169" s="1552" t="s">
        <v>1302</v>
      </c>
      <c r="E169" s="1553"/>
      <c r="F169" s="1565"/>
      <c r="G169" s="1554"/>
      <c r="H169" s="1558"/>
    </row>
    <row r="170" spans="1:8" s="1514" customFormat="1" ht="35.1" customHeight="1">
      <c r="A170" s="1551"/>
      <c r="B170" s="1553"/>
      <c r="C170" s="1553"/>
      <c r="D170" s="1552" t="s">
        <v>1303</v>
      </c>
      <c r="E170" s="1553">
        <v>1.0820000000000001</v>
      </c>
      <c r="F170" s="1593">
        <f>E123</f>
        <v>43863.860229723185</v>
      </c>
      <c r="G170" s="1554">
        <f>ROUND(E170*F170,2)</f>
        <v>47460.7</v>
      </c>
      <c r="H170" s="1558"/>
    </row>
    <row r="171" spans="1:8" s="1514" customFormat="1" ht="35.1" customHeight="1">
      <c r="A171" s="1551"/>
      <c r="B171" s="1553"/>
      <c r="C171" s="1553" t="s">
        <v>1298</v>
      </c>
      <c r="D171" s="1552" t="s">
        <v>1304</v>
      </c>
      <c r="E171" s="1553"/>
      <c r="F171" s="1565"/>
      <c r="G171" s="1554"/>
      <c r="H171" s="1558"/>
    </row>
    <row r="172" spans="1:8" s="1514" customFormat="1" ht="35.1" customHeight="1">
      <c r="A172" s="1551"/>
      <c r="B172" s="1553"/>
      <c r="C172" s="1553"/>
      <c r="D172" s="1552" t="s">
        <v>1305</v>
      </c>
      <c r="E172" s="1553"/>
      <c r="F172" s="1565"/>
      <c r="G172" s="1554"/>
      <c r="H172" s="1558"/>
    </row>
    <row r="173" spans="1:8" s="1514" customFormat="1" ht="35.1" customHeight="1">
      <c r="A173" s="1551"/>
      <c r="B173" s="1553"/>
      <c r="C173" s="1553"/>
      <c r="D173" s="1552" t="s">
        <v>1306</v>
      </c>
      <c r="E173" s="1553"/>
      <c r="F173" s="1565"/>
      <c r="G173" s="1554"/>
      <c r="H173" s="1558"/>
    </row>
    <row r="174" spans="1:8" s="1514" customFormat="1" ht="35.1" customHeight="1">
      <c r="A174" s="1551"/>
      <c r="B174" s="1553"/>
      <c r="C174" s="1553"/>
      <c r="D174" s="1552" t="s">
        <v>1307</v>
      </c>
      <c r="E174" s="1553"/>
      <c r="F174" s="1565"/>
      <c r="G174" s="1554"/>
      <c r="H174" s="1558"/>
    </row>
    <row r="175" spans="1:8" s="1514" customFormat="1" ht="35.1" customHeight="1">
      <c r="A175" s="1551"/>
      <c r="B175" s="1553"/>
      <c r="C175" s="1553"/>
      <c r="D175" s="1552" t="s">
        <v>1308</v>
      </c>
      <c r="E175" s="1553"/>
      <c r="F175" s="1565"/>
      <c r="G175" s="1554"/>
      <c r="H175" s="1558"/>
    </row>
    <row r="176" spans="1:8" s="1514" customFormat="1" ht="20.100000000000001" customHeight="1">
      <c r="A176" s="1551"/>
      <c r="B176" s="1553"/>
      <c r="C176" s="1553"/>
      <c r="D176" s="1556" t="s">
        <v>1309</v>
      </c>
      <c r="E176" s="1553"/>
      <c r="F176" s="1565"/>
      <c r="G176" s="1554"/>
      <c r="H176" s="1558"/>
    </row>
    <row r="177" spans="1:8" s="1514" customFormat="1" ht="20.100000000000001" customHeight="1">
      <c r="A177" s="1551"/>
      <c r="B177" s="1553"/>
      <c r="C177" s="1553" t="s">
        <v>31</v>
      </c>
      <c r="D177" s="1552" t="s">
        <v>1310</v>
      </c>
      <c r="E177" s="1553">
        <v>2.9849999999999999</v>
      </c>
      <c r="F177" s="1565">
        <f>AVERAGE(lead!J5:J6)</f>
        <v>1801.0179333714741</v>
      </c>
      <c r="G177" s="1554">
        <f>ROUND(E177*F177,2)</f>
        <v>5376.04</v>
      </c>
      <c r="H177" s="1558"/>
    </row>
    <row r="178" spans="1:8" s="1514" customFormat="1" ht="20.100000000000001" customHeight="1">
      <c r="A178" s="1551"/>
      <c r="B178" s="1553"/>
      <c r="C178" s="1553" t="s">
        <v>31</v>
      </c>
      <c r="D178" s="1552" t="s">
        <v>1311</v>
      </c>
      <c r="E178" s="1553">
        <v>8.9550000000000001</v>
      </c>
      <c r="F178" s="1565">
        <f>AVERAGE(lead!J6:J9)</f>
        <v>1877.5179333714741</v>
      </c>
      <c r="G178" s="1554">
        <f>ROUND(E178*F178,2)</f>
        <v>16813.169999999998</v>
      </c>
      <c r="H178" s="1558"/>
    </row>
    <row r="179" spans="1:8" s="1514" customFormat="1" ht="20.100000000000001" customHeight="1">
      <c r="A179" s="1551"/>
      <c r="B179" s="1553"/>
      <c r="C179" s="1553" t="s">
        <v>31</v>
      </c>
      <c r="D179" s="1552" t="s">
        <v>1312</v>
      </c>
      <c r="E179" s="1553">
        <v>4.9749999999999996</v>
      </c>
      <c r="F179" s="1565">
        <f>AVERAGE(lead!J9:J11)</f>
        <v>1710.8512667048074</v>
      </c>
      <c r="G179" s="1554">
        <f>ROUND(E179*F179,2)</f>
        <v>8511.49</v>
      </c>
      <c r="H179" s="1558"/>
    </row>
    <row r="180" spans="1:8" s="1514" customFormat="1" ht="20.100000000000001" customHeight="1">
      <c r="A180" s="1551"/>
      <c r="B180" s="1553"/>
      <c r="C180" s="1553" t="s">
        <v>31</v>
      </c>
      <c r="D180" s="1552" t="s">
        <v>1313</v>
      </c>
      <c r="E180" s="1553">
        <v>2.9849999999999999</v>
      </c>
      <c r="F180" s="1565">
        <f>AVERAGE(lead!J11:J12)</f>
        <v>1669.6429333714741</v>
      </c>
      <c r="G180" s="1554">
        <f>ROUND(E180*F180,2)</f>
        <v>4983.88</v>
      </c>
      <c r="H180" s="1558"/>
    </row>
    <row r="181" spans="1:8" s="1514" customFormat="1" ht="20.100000000000001" customHeight="1">
      <c r="A181" s="1551"/>
      <c r="B181" s="1553"/>
      <c r="C181" s="1553"/>
      <c r="D181" s="1552"/>
      <c r="E181" s="1553"/>
      <c r="F181" s="1565"/>
      <c r="G181" s="1562">
        <f>SUM(G165:G180)</f>
        <v>98846.1</v>
      </c>
      <c r="H181" s="1564"/>
    </row>
    <row r="182" spans="1:8" s="1514" customFormat="1" ht="20.100000000000001" customHeight="1">
      <c r="A182" s="1551"/>
      <c r="B182" s="1568" t="s">
        <v>45</v>
      </c>
      <c r="C182" s="3654" t="s">
        <v>1283</v>
      </c>
      <c r="D182" s="3654"/>
      <c r="E182" s="1553"/>
      <c r="F182" s="1551"/>
      <c r="G182" s="1554"/>
      <c r="H182" s="1561"/>
    </row>
    <row r="183" spans="1:8" s="1514" customFormat="1" ht="35.1" customHeight="1">
      <c r="A183" s="1551"/>
      <c r="B183" s="1586">
        <v>0.13614999999999999</v>
      </c>
      <c r="C183" s="3659" t="s">
        <v>1284</v>
      </c>
      <c r="D183" s="3659"/>
      <c r="E183" s="1553">
        <f>+G181+G164+G157</f>
        <v>130884.1</v>
      </c>
      <c r="F183" s="1551"/>
      <c r="G183" s="1554">
        <f>E183*B183</f>
        <v>17819.870214999999</v>
      </c>
      <c r="H183" s="1561"/>
    </row>
    <row r="184" spans="1:8" s="1510" customFormat="1" ht="20.100000000000001" customHeight="1">
      <c r="A184" s="1568"/>
      <c r="B184" s="1570">
        <v>0</v>
      </c>
      <c r="C184" s="3652" t="s">
        <v>1314</v>
      </c>
      <c r="D184" s="3652"/>
      <c r="E184" s="1553">
        <f>E183+G183</f>
        <v>148703.97021500001</v>
      </c>
      <c r="F184" s="1551"/>
      <c r="G184" s="1554">
        <f>E184*B184</f>
        <v>0</v>
      </c>
      <c r="H184" s="1561"/>
    </row>
    <row r="185" spans="1:8" s="1514" customFormat="1" ht="20.100000000000001" customHeight="1">
      <c r="A185" s="1551"/>
      <c r="B185" s="1568" t="s">
        <v>47</v>
      </c>
      <c r="C185" s="3652" t="s">
        <v>89</v>
      </c>
      <c r="D185" s="3652"/>
      <c r="E185" s="1553"/>
      <c r="F185" s="1551"/>
      <c r="G185" s="1562">
        <f>G157+G164+G181+G183+G184</f>
        <v>148703.97021500001</v>
      </c>
      <c r="H185" s="1563"/>
    </row>
    <row r="186" spans="1:8" s="1514" customFormat="1" ht="20.100000000000001" customHeight="1">
      <c r="A186" s="1551"/>
      <c r="B186" s="1553"/>
      <c r="C186" s="1553"/>
      <c r="D186" s="1560" t="s">
        <v>1315</v>
      </c>
      <c r="E186" s="1553"/>
      <c r="F186" s="1553"/>
      <c r="G186" s="1589">
        <f>SUM(G185:G185)</f>
        <v>148703.97021500001</v>
      </c>
      <c r="H186" s="1590"/>
    </row>
    <row r="187" spans="1:8" s="1514" customFormat="1" ht="20.100000000000001" customHeight="1">
      <c r="A187" s="1551"/>
      <c r="B187" s="1553"/>
      <c r="C187" s="1553"/>
      <c r="D187" s="1560" t="s">
        <v>1286</v>
      </c>
      <c r="E187" s="1553"/>
      <c r="F187" s="1553"/>
      <c r="G187" s="1554">
        <f>ROUND(G186/14.06,2)</f>
        <v>10576.38</v>
      </c>
      <c r="H187" s="1561"/>
    </row>
    <row r="188" spans="1:8" s="1514" customFormat="1" ht="20.100000000000001" customHeight="1">
      <c r="A188" s="1551"/>
      <c r="B188" s="1553"/>
      <c r="C188" s="1553"/>
      <c r="D188" s="1560" t="s">
        <v>52</v>
      </c>
      <c r="E188" s="1553"/>
      <c r="F188" s="1553"/>
      <c r="G188" s="1562">
        <f>ROUND(G187,2)</f>
        <v>10576.38</v>
      </c>
      <c r="H188" s="1563"/>
    </row>
    <row r="189" spans="1:8" s="1510" customFormat="1" ht="20.100000000000001" customHeight="1">
      <c r="A189" s="1551"/>
      <c r="B189" s="1551"/>
      <c r="C189" s="1551"/>
      <c r="D189" s="1560"/>
      <c r="E189" s="1553"/>
      <c r="F189" s="1551"/>
      <c r="G189" s="1554"/>
      <c r="H189" s="1555"/>
    </row>
    <row r="190" spans="1:8" s="1509" customFormat="1" ht="83.25" customHeight="1">
      <c r="A190" s="1594">
        <f>A149+1</f>
        <v>23</v>
      </c>
      <c r="B190" s="1595">
        <v>10.5</v>
      </c>
      <c r="C190" s="1596">
        <v>3004.2</v>
      </c>
      <c r="D190" s="3660" t="s">
        <v>1316</v>
      </c>
      <c r="E190" s="3661"/>
      <c r="F190" s="3661"/>
      <c r="G190" s="3662"/>
      <c r="H190" s="1548"/>
    </row>
    <row r="191" spans="1:8" s="1510" customFormat="1" ht="20.100000000000001" customHeight="1">
      <c r="A191" s="1597"/>
      <c r="B191" s="1598"/>
      <c r="C191" s="1597"/>
      <c r="D191" s="1599" t="s">
        <v>1317</v>
      </c>
      <c r="E191" s="1600"/>
      <c r="F191" s="1601"/>
      <c r="G191" s="1602"/>
      <c r="H191" s="1555"/>
    </row>
    <row r="192" spans="1:8" s="1510" customFormat="1" ht="20.100000000000001" customHeight="1">
      <c r="A192" s="1597"/>
      <c r="B192" s="1598"/>
      <c r="C192" s="1597"/>
      <c r="D192" s="1603" t="s">
        <v>130</v>
      </c>
      <c r="E192" s="1600"/>
      <c r="F192" s="1601"/>
      <c r="G192" s="1602"/>
      <c r="H192" s="1555"/>
    </row>
    <row r="193" spans="1:8" s="1512" customFormat="1" ht="35.1" customHeight="1">
      <c r="A193" s="1597"/>
      <c r="B193" s="1598"/>
      <c r="C193" s="1597"/>
      <c r="D193" s="1603" t="s">
        <v>1318</v>
      </c>
      <c r="E193" s="1600"/>
      <c r="F193" s="1601"/>
      <c r="G193" s="1602"/>
      <c r="H193" s="1580"/>
    </row>
    <row r="194" spans="1:8" s="1510" customFormat="1" ht="20.100000000000001" customHeight="1">
      <c r="A194" s="1597"/>
      <c r="B194" s="1598"/>
      <c r="C194" s="1597"/>
      <c r="D194" s="1606" t="s">
        <v>1319</v>
      </c>
      <c r="E194" s="1600"/>
      <c r="F194" s="1601"/>
      <c r="G194" s="1602"/>
      <c r="H194" s="1607"/>
    </row>
    <row r="195" spans="1:8" s="1510" customFormat="1" ht="20.100000000000001" customHeight="1">
      <c r="A195" s="1597"/>
      <c r="B195" s="1601">
        <v>2.92</v>
      </c>
      <c r="C195" s="1602" t="s">
        <v>57</v>
      </c>
      <c r="D195" s="1599" t="s">
        <v>14</v>
      </c>
      <c r="E195" s="1602">
        <f>'SSR-rates'!$J$58</f>
        <v>520</v>
      </c>
      <c r="F195" s="1608" t="s">
        <v>57</v>
      </c>
      <c r="G195" s="1609">
        <f>ROUND(B195*E195,2)</f>
        <v>1518.4</v>
      </c>
      <c r="H195" s="1607"/>
    </row>
    <row r="196" spans="1:8" s="1510" customFormat="1" ht="20.100000000000001" customHeight="1">
      <c r="A196" s="1597"/>
      <c r="B196" s="1601">
        <v>70</v>
      </c>
      <c r="C196" s="1602" t="s">
        <v>57</v>
      </c>
      <c r="D196" s="1599" t="s">
        <v>59</v>
      </c>
      <c r="E196" s="1602">
        <f>'SSR-rates'!$J$60</f>
        <v>520</v>
      </c>
      <c r="F196" s="1608" t="s">
        <v>57</v>
      </c>
      <c r="G196" s="1609">
        <f>ROUND(B196*E196,2)</f>
        <v>36400</v>
      </c>
      <c r="H196" s="1607"/>
    </row>
    <row r="197" spans="1:8" s="1510" customFormat="1" ht="20.100000000000001" customHeight="1">
      <c r="A197" s="1597"/>
      <c r="B197" s="1601">
        <v>3</v>
      </c>
      <c r="C197" s="1602" t="s">
        <v>57</v>
      </c>
      <c r="D197" s="1599" t="s">
        <v>15</v>
      </c>
      <c r="E197" s="1602">
        <f>'SSR-rates'!$J$59</f>
        <v>550</v>
      </c>
      <c r="F197" s="1608" t="s">
        <v>57</v>
      </c>
      <c r="G197" s="1609">
        <f>ROUND(B197*E197,2)</f>
        <v>1650</v>
      </c>
      <c r="H197" s="1607"/>
    </row>
    <row r="198" spans="1:8" s="1510" customFormat="1" ht="20.100000000000001" customHeight="1">
      <c r="A198" s="1551"/>
      <c r="B198" s="1559">
        <f>'Input Data'!D23</f>
        <v>0</v>
      </c>
      <c r="C198" s="1551"/>
      <c r="D198" s="1560" t="s">
        <v>1210</v>
      </c>
      <c r="E198" s="1553">
        <f>G195+G196+G197</f>
        <v>39568.400000000001</v>
      </c>
      <c r="F198" s="1551"/>
      <c r="G198" s="1553">
        <f>+ROUND((E198)*B198,2)</f>
        <v>0</v>
      </c>
      <c r="H198" s="1607"/>
    </row>
    <row r="199" spans="1:8" s="1510" customFormat="1" ht="20.100000000000001" customHeight="1">
      <c r="A199" s="1597"/>
      <c r="B199" s="1598"/>
      <c r="C199" s="1597"/>
      <c r="D199" s="1599"/>
      <c r="E199" s="1602"/>
      <c r="F199" s="1608"/>
      <c r="G199" s="1600">
        <f>SUM(G195:G198)</f>
        <v>39568.400000000001</v>
      </c>
      <c r="H199" s="1607"/>
    </row>
    <row r="200" spans="1:8" s="1510" customFormat="1" ht="20.100000000000001" customHeight="1">
      <c r="A200" s="1597"/>
      <c r="B200" s="1598"/>
      <c r="C200" s="1597"/>
      <c r="D200" s="1606" t="s">
        <v>1320</v>
      </c>
      <c r="E200" s="1602"/>
      <c r="F200" s="1608"/>
      <c r="G200" s="1602"/>
      <c r="H200" s="1607"/>
    </row>
    <row r="201" spans="1:8" s="1510" customFormat="1" ht="20.100000000000001" customHeight="1">
      <c r="A201" s="1597"/>
      <c r="B201" s="1601">
        <v>6</v>
      </c>
      <c r="C201" s="1602" t="s">
        <v>23</v>
      </c>
      <c r="D201" s="1599" t="s">
        <v>1321</v>
      </c>
      <c r="E201" s="1602">
        <f>'SSR-rates'!$J$73</f>
        <v>668.6</v>
      </c>
      <c r="F201" s="1608" t="s">
        <v>23</v>
      </c>
      <c r="G201" s="1609">
        <f>ROUND(B201*E201,2)</f>
        <v>4011.6</v>
      </c>
      <c r="H201" s="1607"/>
    </row>
    <row r="202" spans="1:8" s="1510" customFormat="1" ht="20.100000000000001" customHeight="1">
      <c r="A202" s="1597"/>
      <c r="B202" s="1601">
        <v>6</v>
      </c>
      <c r="C202" s="1602" t="s">
        <v>23</v>
      </c>
      <c r="D202" s="1599" t="s">
        <v>1247</v>
      </c>
      <c r="E202" s="1602">
        <f>'SSR-rates'!$Q$78</f>
        <v>33344</v>
      </c>
      <c r="F202" s="1608" t="s">
        <v>23</v>
      </c>
      <c r="G202" s="1609">
        <f>ROUND(B202*E202,2)</f>
        <v>200064</v>
      </c>
      <c r="H202" s="1607"/>
    </row>
    <row r="203" spans="1:8" s="1510" customFormat="1" ht="20.100000000000001" customHeight="1">
      <c r="A203" s="1597"/>
      <c r="B203" s="1601">
        <v>45</v>
      </c>
      <c r="C203" s="1602" t="s">
        <v>23</v>
      </c>
      <c r="D203" s="1599" t="s">
        <v>1248</v>
      </c>
      <c r="E203" s="1602">
        <f>'SSR-rates'!$J$89</f>
        <v>1205.7</v>
      </c>
      <c r="F203" s="1608" t="s">
        <v>23</v>
      </c>
      <c r="G203" s="1609">
        <f>ROUND(B203*E203,2)</f>
        <v>54256.5</v>
      </c>
      <c r="H203" s="1607"/>
    </row>
    <row r="204" spans="1:8" s="1510" customFormat="1" ht="20.100000000000001" customHeight="1">
      <c r="A204" s="1597"/>
      <c r="B204" s="1601">
        <v>12</v>
      </c>
      <c r="C204" s="1602" t="s">
        <v>23</v>
      </c>
      <c r="D204" s="1599" t="s">
        <v>1249</v>
      </c>
      <c r="E204" s="1602">
        <f>'SSR-rates'!$J$68</f>
        <v>1734.8</v>
      </c>
      <c r="F204" s="1608" t="s">
        <v>23</v>
      </c>
      <c r="G204" s="1609">
        <f>ROUND(B204*E204,2)</f>
        <v>20817.599999999999</v>
      </c>
      <c r="H204" s="1607"/>
    </row>
    <row r="205" spans="1:8" s="1510" customFormat="1" ht="20.100000000000001" customHeight="1">
      <c r="A205" s="1597"/>
      <c r="B205" s="1598"/>
      <c r="C205" s="1597"/>
      <c r="D205" s="1599"/>
      <c r="E205" s="1602"/>
      <c r="F205" s="1608"/>
      <c r="G205" s="1600">
        <f>SUM(G201:G204)</f>
        <v>279149.7</v>
      </c>
      <c r="H205" s="1607"/>
    </row>
    <row r="206" spans="1:8" s="1510" customFormat="1" ht="20.100000000000001" customHeight="1">
      <c r="A206" s="1597"/>
      <c r="B206" s="1598"/>
      <c r="C206" s="1597"/>
      <c r="D206" s="1606" t="s">
        <v>1322</v>
      </c>
      <c r="E206" s="1602"/>
      <c r="F206" s="1608"/>
      <c r="G206" s="1602"/>
      <c r="H206" s="1607"/>
    </row>
    <row r="207" spans="1:8" s="1510" customFormat="1" ht="20.100000000000001" customHeight="1">
      <c r="A207" s="1597"/>
      <c r="B207" s="1601">
        <v>22.5</v>
      </c>
      <c r="C207" s="1602" t="s">
        <v>1232</v>
      </c>
      <c r="D207" s="1599" t="s">
        <v>1323</v>
      </c>
      <c r="E207" s="1602">
        <f>BT_Rate_60_70</f>
        <v>43863.860229723185</v>
      </c>
      <c r="F207" s="1608" t="s">
        <v>1232</v>
      </c>
      <c r="G207" s="1609">
        <f>ROUND(B207*E207,2)</f>
        <v>986936.86</v>
      </c>
      <c r="H207" s="1607"/>
    </row>
    <row r="208" spans="1:8" s="1510" customFormat="1" ht="20.100000000000001" customHeight="1">
      <c r="A208" s="1597"/>
      <c r="B208" s="1601">
        <v>1.18</v>
      </c>
      <c r="C208" s="1602" t="s">
        <v>1232</v>
      </c>
      <c r="D208" s="1599" t="s">
        <v>1324</v>
      </c>
      <c r="E208" s="1602">
        <f>Emution_RS</f>
        <v>43276.860229723185</v>
      </c>
      <c r="F208" s="1608" t="s">
        <v>1232</v>
      </c>
      <c r="G208" s="1609">
        <f>ROUND(B208*E208,2)</f>
        <v>51066.7</v>
      </c>
      <c r="H208" s="1607"/>
    </row>
    <row r="209" spans="1:8" s="1510" customFormat="1" ht="20.100000000000001" customHeight="1">
      <c r="A209" s="1597"/>
      <c r="B209" s="1598"/>
      <c r="C209" s="1597"/>
      <c r="D209" s="1599"/>
      <c r="E209" s="1610"/>
      <c r="F209" s="1611"/>
      <c r="G209" s="1600">
        <f>SUM(G207:G208)</f>
        <v>1038003.5599999999</v>
      </c>
      <c r="H209" s="1607"/>
    </row>
    <row r="210" spans="1:8" s="1510" customFormat="1" ht="20.100000000000001" customHeight="1">
      <c r="A210" s="1597"/>
      <c r="B210" s="1598"/>
      <c r="C210" s="1597"/>
      <c r="D210" s="1606" t="s">
        <v>1325</v>
      </c>
      <c r="E210" s="1610"/>
      <c r="F210" s="1611"/>
      <c r="G210" s="1602"/>
      <c r="H210" s="1607"/>
    </row>
    <row r="211" spans="1:8" s="1510" customFormat="1" ht="20.100000000000001" customHeight="1">
      <c r="A211" s="1597"/>
      <c r="B211" s="1598"/>
      <c r="C211" s="1597"/>
      <c r="D211" s="1606" t="s">
        <v>1326</v>
      </c>
      <c r="E211" s="1610"/>
      <c r="F211" s="1611"/>
      <c r="G211" s="1602"/>
      <c r="H211" s="1607"/>
    </row>
    <row r="212" spans="1:8" s="1510" customFormat="1" ht="20.100000000000001" customHeight="1">
      <c r="A212" s="1597"/>
      <c r="B212" s="1601">
        <v>99.75</v>
      </c>
      <c r="C212" s="1602" t="s">
        <v>31</v>
      </c>
      <c r="D212" s="1599" t="s">
        <v>1327</v>
      </c>
      <c r="E212" s="1610">
        <f>AVERAGE(lead!J7:J9)</f>
        <v>1871.5179333714741</v>
      </c>
      <c r="F212" s="1602" t="s">
        <v>31</v>
      </c>
      <c r="G212" s="1609">
        <f>ROUND(B212*E212,2)</f>
        <v>186683.91</v>
      </c>
      <c r="H212" s="1607"/>
    </row>
    <row r="213" spans="1:8" s="1510" customFormat="1" ht="20.100000000000001" customHeight="1">
      <c r="A213" s="1597"/>
      <c r="B213" s="1601">
        <v>65.55</v>
      </c>
      <c r="C213" s="1602" t="s">
        <v>31</v>
      </c>
      <c r="D213" s="1599" t="s">
        <v>1328</v>
      </c>
      <c r="E213" s="1610">
        <f>AVERAGE(lead!J9:J10)</f>
        <v>1726.0179333714741</v>
      </c>
      <c r="F213" s="1602" t="s">
        <v>31</v>
      </c>
      <c r="G213" s="1609">
        <f>ROUND(B213*E213,2)</f>
        <v>113140.48</v>
      </c>
      <c r="H213" s="1607"/>
    </row>
    <row r="214" spans="1:8" s="1510" customFormat="1" ht="20.100000000000001" customHeight="1">
      <c r="A214" s="1597"/>
      <c r="B214" s="1601">
        <v>114</v>
      </c>
      <c r="C214" s="1602" t="s">
        <v>31</v>
      </c>
      <c r="D214" s="1599" t="s">
        <v>1329</v>
      </c>
      <c r="E214" s="1610">
        <f>AVERAGE(lead!J10:J12)</f>
        <v>1678.9346000381408</v>
      </c>
      <c r="F214" s="1602" t="s">
        <v>31</v>
      </c>
      <c r="G214" s="1609">
        <f>ROUND(B214*E214,2)</f>
        <v>191398.54</v>
      </c>
      <c r="H214" s="1607"/>
    </row>
    <row r="215" spans="1:8" s="1510" customFormat="1" ht="20.100000000000001" customHeight="1">
      <c r="A215" s="1597"/>
      <c r="B215" s="1601">
        <v>8.6199999999999992</v>
      </c>
      <c r="C215" s="1602" t="s">
        <v>1232</v>
      </c>
      <c r="D215" s="1599" t="s">
        <v>1330</v>
      </c>
      <c r="E215" s="1610">
        <f>lead!J12</f>
        <v>1658.7679333714741</v>
      </c>
      <c r="F215" s="1602" t="s">
        <v>1232</v>
      </c>
      <c r="G215" s="1609">
        <f>ROUND(B215*E215,2)</f>
        <v>14298.58</v>
      </c>
      <c r="H215" s="1607"/>
    </row>
    <row r="216" spans="1:8" s="1510" customFormat="1" ht="20.100000000000001" customHeight="1">
      <c r="A216" s="1597"/>
      <c r="B216" s="1598"/>
      <c r="C216" s="1597"/>
      <c r="D216" s="1599"/>
      <c r="E216" s="1610"/>
      <c r="F216" s="1611"/>
      <c r="G216" s="1602"/>
      <c r="H216" s="1607"/>
    </row>
    <row r="217" spans="1:8" s="1510" customFormat="1" ht="20.100000000000001" customHeight="1">
      <c r="A217" s="1597"/>
      <c r="B217" s="1612">
        <v>0.05</v>
      </c>
      <c r="C217" s="1597"/>
      <c r="D217" s="1599" t="s">
        <v>1331</v>
      </c>
      <c r="E217" s="1610">
        <f>SUM(G212:G215)</f>
        <v>505521.51000000007</v>
      </c>
      <c r="F217" s="1612"/>
      <c r="G217" s="1609">
        <f>ROUND(B217*E217,2)</f>
        <v>25276.080000000002</v>
      </c>
      <c r="H217" s="1607"/>
    </row>
    <row r="218" spans="1:8" s="1510" customFormat="1" ht="20.100000000000001" customHeight="1">
      <c r="A218" s="1597"/>
      <c r="B218" s="1598"/>
      <c r="C218" s="1597"/>
      <c r="D218" s="1599"/>
      <c r="E218" s="1610"/>
      <c r="F218" s="1608"/>
      <c r="G218" s="1613">
        <f>SUM(G212:G217)</f>
        <v>530797.59000000008</v>
      </c>
      <c r="H218" s="1607"/>
    </row>
    <row r="219" spans="1:8" s="1510" customFormat="1" ht="20.100000000000001" customHeight="1">
      <c r="A219" s="1597"/>
      <c r="B219" s="1598"/>
      <c r="C219" s="1597"/>
      <c r="D219" s="1606"/>
      <c r="E219" s="1600"/>
      <c r="F219" s="1601"/>
      <c r="G219" s="1613">
        <f>G218+G209+G205+G199</f>
        <v>1887519.2499999998</v>
      </c>
      <c r="H219" s="1607"/>
    </row>
    <row r="220" spans="1:8" s="1510" customFormat="1" ht="20.100000000000001" customHeight="1">
      <c r="A220" s="1597"/>
      <c r="B220" s="1568" t="s">
        <v>45</v>
      </c>
      <c r="C220" s="1597"/>
      <c r="D220" s="1567" t="s">
        <v>1332</v>
      </c>
      <c r="E220" s="1553"/>
      <c r="F220" s="1551"/>
      <c r="G220" s="1574"/>
      <c r="H220" s="1607"/>
    </row>
    <row r="221" spans="1:8" s="1510" customFormat="1" ht="35.1" customHeight="1">
      <c r="A221" s="1597"/>
      <c r="B221" s="1614">
        <f>'[4]Input Data'!$D$23</f>
        <v>0.13614999999999999</v>
      </c>
      <c r="C221" s="1553"/>
      <c r="D221" s="1552" t="str">
        <f>"Over head charges &amp; CP "&amp;'[4]Input Data'!$D$23*100&amp;"%  on (A) + (B)+(C)"</f>
        <v>Over head charges &amp; CP 13.615%  on (A) + (B)+(C)</v>
      </c>
      <c r="E221" s="1553">
        <f>G219</f>
        <v>1887519.2499999998</v>
      </c>
      <c r="F221" s="1551"/>
      <c r="G221" s="1553">
        <f>E221*B221</f>
        <v>256985.74588749994</v>
      </c>
      <c r="H221" s="1607"/>
    </row>
    <row r="222" spans="1:8" s="1510" customFormat="1" ht="20.100000000000001" customHeight="1">
      <c r="A222" s="1597"/>
      <c r="B222" s="1614">
        <f>'[4]Input Data'!$E$23</f>
        <v>0</v>
      </c>
      <c r="C222" s="1553"/>
      <c r="D222" s="1560" t="s">
        <v>1314</v>
      </c>
      <c r="E222" s="1553">
        <f>E221+G221</f>
        <v>2144504.9958874998</v>
      </c>
      <c r="F222" s="1551"/>
      <c r="G222" s="1553">
        <f>E222*B222</f>
        <v>0</v>
      </c>
      <c r="H222" s="1607"/>
    </row>
    <row r="223" spans="1:8" s="1510" customFormat="1" ht="20.100000000000001" customHeight="1">
      <c r="A223" s="1597"/>
      <c r="B223" s="1568" t="s">
        <v>47</v>
      </c>
      <c r="C223" s="1597"/>
      <c r="D223" s="1567" t="s">
        <v>89</v>
      </c>
      <c r="E223" s="1553"/>
      <c r="F223" s="1551"/>
      <c r="G223" s="1574">
        <f>G219+G221+G222</f>
        <v>2144504.9958874998</v>
      </c>
      <c r="H223" s="1607"/>
    </row>
    <row r="224" spans="1:8" s="1510" customFormat="1" ht="20.100000000000001" customHeight="1">
      <c r="A224" s="1597"/>
      <c r="B224" s="1553"/>
      <c r="C224" s="1553"/>
      <c r="D224" s="1567" t="s">
        <v>1333</v>
      </c>
      <c r="E224" s="1553"/>
      <c r="F224" s="1553" t="s">
        <v>1334</v>
      </c>
      <c r="G224" s="1574">
        <f>G223/4900</f>
        <v>437.65408079336731</v>
      </c>
      <c r="H224" s="1607"/>
    </row>
    <row r="225" spans="1:8" s="1510" customFormat="1" ht="20.100000000000001" customHeight="1">
      <c r="A225" s="1615"/>
      <c r="B225" s="1616">
        <v>10.1</v>
      </c>
      <c r="C225" s="1615">
        <v>3002</v>
      </c>
      <c r="D225" s="1617" t="s">
        <v>1335</v>
      </c>
      <c r="E225" s="1602"/>
      <c r="F225" s="1601"/>
      <c r="G225" s="1602"/>
      <c r="H225" s="1607"/>
    </row>
    <row r="226" spans="1:8" s="1509" customFormat="1" ht="57" customHeight="1">
      <c r="A226" s="1596"/>
      <c r="B226" s="1618"/>
      <c r="C226" s="1596"/>
      <c r="D226" s="3663" t="s">
        <v>1336</v>
      </c>
      <c r="E226" s="3664"/>
      <c r="F226" s="3664"/>
      <c r="G226" s="3665"/>
      <c r="H226" s="1619"/>
    </row>
    <row r="227" spans="1:8" s="1510" customFormat="1" ht="20.100000000000001" customHeight="1">
      <c r="A227" s="1597"/>
      <c r="B227" s="1598"/>
      <c r="C227" s="1597"/>
      <c r="D227" s="1620" t="s">
        <v>1337</v>
      </c>
      <c r="E227" s="3666"/>
      <c r="F227" s="3666"/>
      <c r="G227" s="3666"/>
      <c r="H227" s="1607"/>
    </row>
    <row r="228" spans="1:8" s="1510" customFormat="1" ht="20.100000000000001" customHeight="1">
      <c r="A228" s="1597"/>
      <c r="B228" s="1598"/>
      <c r="C228" s="1597"/>
      <c r="D228" s="1621" t="s">
        <v>10</v>
      </c>
      <c r="E228" s="1602"/>
      <c r="F228" s="1601"/>
      <c r="G228" s="1602"/>
      <c r="H228" s="1607"/>
    </row>
    <row r="229" spans="1:8" s="1510" customFormat="1" ht="20.100000000000001" customHeight="1">
      <c r="A229" s="1597"/>
      <c r="B229" s="1598"/>
      <c r="C229" s="1597"/>
      <c r="D229" s="1621" t="s">
        <v>84</v>
      </c>
      <c r="E229" s="1602"/>
      <c r="F229" s="1601"/>
      <c r="G229" s="1602"/>
      <c r="H229" s="1607"/>
    </row>
    <row r="230" spans="1:8" s="1510" customFormat="1" ht="20.100000000000001" customHeight="1">
      <c r="A230" s="1597"/>
      <c r="B230" s="1598"/>
      <c r="C230" s="1597"/>
      <c r="D230" s="1620" t="s">
        <v>1208</v>
      </c>
      <c r="E230" s="1602"/>
      <c r="F230" s="1601"/>
      <c r="G230" s="1602"/>
      <c r="H230" s="1607"/>
    </row>
    <row r="231" spans="1:8" s="1510" customFormat="1" ht="20.100000000000001" customHeight="1">
      <c r="A231" s="1597"/>
      <c r="B231" s="1601">
        <v>0.08</v>
      </c>
      <c r="C231" s="1602" t="s">
        <v>38</v>
      </c>
      <c r="D231" s="1621" t="s">
        <v>14</v>
      </c>
      <c r="E231" s="1602">
        <f>'SSR-rates'!$J$58</f>
        <v>520</v>
      </c>
      <c r="F231" s="1602" t="s">
        <v>38</v>
      </c>
      <c r="G231" s="1609">
        <f>ROUND(B231*E231,2)</f>
        <v>41.6</v>
      </c>
      <c r="H231" s="1607"/>
    </row>
    <row r="232" spans="1:8" s="1510" customFormat="1" ht="20.100000000000001" customHeight="1">
      <c r="A232" s="1597"/>
      <c r="B232" s="1601">
        <v>2</v>
      </c>
      <c r="C232" s="1602" t="s">
        <v>38</v>
      </c>
      <c r="D232" s="1621" t="s">
        <v>312</v>
      </c>
      <c r="E232" s="1602">
        <f>'SSR-rates'!$J$60</f>
        <v>520</v>
      </c>
      <c r="F232" s="1602" t="s">
        <v>38</v>
      </c>
      <c r="G232" s="1609">
        <f>ROUND(B232*E232,2)</f>
        <v>1040</v>
      </c>
      <c r="H232" s="1607"/>
    </row>
    <row r="233" spans="1:8" s="1510" customFormat="1" ht="20.100000000000001" customHeight="1">
      <c r="A233" s="1551"/>
      <c r="B233" s="1583">
        <f>'Input Data'!D23</f>
        <v>0</v>
      </c>
      <c r="C233" s="1553"/>
      <c r="D233" s="1560" t="s">
        <v>17</v>
      </c>
      <c r="E233" s="1553">
        <f>SUM(G230:G232)</f>
        <v>1081.5999999999999</v>
      </c>
      <c r="F233" s="1551"/>
      <c r="G233" s="1553">
        <f>B233*E233</f>
        <v>0</v>
      </c>
      <c r="H233" s="1607"/>
    </row>
    <row r="234" spans="1:8" s="1510" customFormat="1" ht="20.100000000000001" customHeight="1">
      <c r="A234" s="1597"/>
      <c r="B234" s="1598"/>
      <c r="C234" s="1597"/>
      <c r="D234" s="1621"/>
      <c r="E234" s="1602"/>
      <c r="F234" s="1597"/>
      <c r="G234" s="1600">
        <f>SUM(G231:G233)</f>
        <v>1081.5999999999999</v>
      </c>
      <c r="H234" s="1607"/>
    </row>
    <row r="235" spans="1:8" s="1510" customFormat="1" ht="20.100000000000001" customHeight="1">
      <c r="A235" s="1597"/>
      <c r="B235" s="1598"/>
      <c r="C235" s="1597"/>
      <c r="D235" s="1620" t="s">
        <v>1211</v>
      </c>
      <c r="E235" s="1602"/>
      <c r="F235" s="1597"/>
      <c r="G235" s="1602"/>
      <c r="H235" s="1607"/>
    </row>
    <row r="236" spans="1:8" s="1510" customFormat="1" ht="35.1" customHeight="1">
      <c r="A236" s="1597"/>
      <c r="B236" s="1601">
        <v>0.13</v>
      </c>
      <c r="C236" s="1602" t="s">
        <v>23</v>
      </c>
      <c r="D236" s="1599" t="s">
        <v>1338</v>
      </c>
      <c r="E236" s="1610">
        <f>'SSR-rates'!$J$64</f>
        <v>3502.9</v>
      </c>
      <c r="F236" s="1602" t="s">
        <v>23</v>
      </c>
      <c r="G236" s="1609">
        <f>ROUND(B236*E236,2)</f>
        <v>455.38</v>
      </c>
      <c r="H236" s="1607"/>
    </row>
    <row r="237" spans="1:8" s="1510" customFormat="1" ht="35.1" customHeight="1">
      <c r="A237" s="1597"/>
      <c r="B237" s="1601">
        <v>12</v>
      </c>
      <c r="C237" s="1602" t="s">
        <v>1339</v>
      </c>
      <c r="D237" s="1599" t="s">
        <v>1340</v>
      </c>
      <c r="E237" s="1610">
        <f>'Road data'!$G$205</f>
        <v>8</v>
      </c>
      <c r="F237" s="1602" t="s">
        <v>1339</v>
      </c>
      <c r="G237" s="1609">
        <f>ROUND(B237*E237,2)</f>
        <v>96</v>
      </c>
      <c r="H237" s="1607"/>
    </row>
    <row r="238" spans="1:8" s="1510" customFormat="1" ht="35.1" customHeight="1">
      <c r="A238" s="1597"/>
      <c r="B238" s="1622">
        <v>0.1</v>
      </c>
      <c r="C238" s="1602"/>
      <c r="D238" s="1599" t="s">
        <v>1341</v>
      </c>
      <c r="E238" s="1610">
        <f>G237</f>
        <v>96</v>
      </c>
      <c r="F238" s="1602"/>
      <c r="G238" s="1609">
        <f>ROUND(B238*E238,2)</f>
        <v>9.6</v>
      </c>
      <c r="H238" s="1607"/>
    </row>
    <row r="239" spans="1:8" s="1510" customFormat="1" ht="20.100000000000001" customHeight="1">
      <c r="A239" s="1597"/>
      <c r="B239" s="1601">
        <v>0.5</v>
      </c>
      <c r="C239" s="1602" t="s">
        <v>23</v>
      </c>
      <c r="D239" s="1599" t="s">
        <v>1342</v>
      </c>
      <c r="E239" s="1610">
        <f>'SSR-rates'!$J$91</f>
        <v>59</v>
      </c>
      <c r="F239" s="1602" t="s">
        <v>23</v>
      </c>
      <c r="G239" s="1609">
        <f>ROUND(B239*E239,2)</f>
        <v>29.5</v>
      </c>
      <c r="H239" s="1607"/>
    </row>
    <row r="240" spans="1:8" s="1510" customFormat="1" ht="20.100000000000001" customHeight="1">
      <c r="A240" s="1597"/>
      <c r="B240" s="1598"/>
      <c r="C240" s="1597"/>
      <c r="D240" s="1599"/>
      <c r="E240" s="1610"/>
      <c r="F240" s="1597"/>
      <c r="G240" s="1623">
        <f>SUM(G236:G239)</f>
        <v>590.48</v>
      </c>
      <c r="H240" s="1607"/>
    </row>
    <row r="241" spans="1:8" s="1510" customFormat="1">
      <c r="A241" s="1597"/>
      <c r="B241" s="1598"/>
      <c r="C241" s="1597"/>
      <c r="D241" s="1624"/>
      <c r="E241" s="1625"/>
      <c r="F241" s="1624"/>
      <c r="G241" s="1623">
        <f>G234+G240</f>
        <v>1672.08</v>
      </c>
      <c r="H241" s="1607"/>
    </row>
    <row r="242" spans="1:8" s="1510" customFormat="1" ht="20.100000000000001" customHeight="1">
      <c r="A242" s="1597"/>
      <c r="B242" s="1568" t="s">
        <v>27</v>
      </c>
      <c r="C242" s="3654" t="s">
        <v>1332</v>
      </c>
      <c r="D242" s="3654"/>
      <c r="E242" s="3654"/>
      <c r="F242" s="1551"/>
      <c r="G242" s="1574"/>
      <c r="H242" s="1607"/>
    </row>
    <row r="243" spans="1:8" s="1510" customFormat="1" ht="35.1" customHeight="1">
      <c r="A243" s="1597"/>
      <c r="B243" s="1614">
        <f>'[4]Input Data'!$D$23</f>
        <v>0.13614999999999999</v>
      </c>
      <c r="C243" s="1553"/>
      <c r="D243" s="1552" t="str">
        <f>"Over head charges &amp; CP "&amp;'[4]Input Data'!$D$23*100&amp;"%  on (A) + (B)+(C)"</f>
        <v>Over head charges &amp; CP 13.615%  on (A) + (B)+(C)</v>
      </c>
      <c r="E243" s="1553">
        <f>G241</f>
        <v>1672.08</v>
      </c>
      <c r="F243" s="1551"/>
      <c r="G243" s="1553">
        <f>E243*B243</f>
        <v>227.65369199999998</v>
      </c>
      <c r="H243" s="1607"/>
    </row>
    <row r="244" spans="1:8" s="1510" customFormat="1" ht="20.100000000000001" customHeight="1">
      <c r="A244" s="1597"/>
      <c r="B244" s="1614">
        <f>'[4]Input Data'!$E$23</f>
        <v>0</v>
      </c>
      <c r="C244" s="1553"/>
      <c r="D244" s="1560" t="s">
        <v>1314</v>
      </c>
      <c r="E244" s="1553">
        <f>E243+G243</f>
        <v>1899.7336919999998</v>
      </c>
      <c r="F244" s="1551"/>
      <c r="G244" s="1553">
        <f>E244*B244</f>
        <v>0</v>
      </c>
      <c r="H244" s="1607"/>
    </row>
    <row r="245" spans="1:8" s="1510" customFormat="1" ht="20.100000000000001" customHeight="1">
      <c r="A245" s="1597"/>
      <c r="B245" s="1568" t="s">
        <v>45</v>
      </c>
      <c r="C245" s="3654" t="s">
        <v>46</v>
      </c>
      <c r="D245" s="3654"/>
      <c r="E245" s="3654"/>
      <c r="F245" s="1551"/>
      <c r="G245" s="1574">
        <f>G241+G243+G244</f>
        <v>1899.7336919999998</v>
      </c>
      <c r="H245" s="1607"/>
    </row>
    <row r="246" spans="1:8" s="1510" customFormat="1" ht="20.100000000000001" customHeight="1">
      <c r="A246" s="1597"/>
      <c r="B246" s="1553"/>
      <c r="C246" s="1553"/>
      <c r="D246" s="1567" t="s">
        <v>1343</v>
      </c>
      <c r="E246" s="1553"/>
      <c r="F246" s="1553" t="s">
        <v>1334</v>
      </c>
      <c r="G246" s="1574">
        <f>G245/10</f>
        <v>189.97336919999998</v>
      </c>
      <c r="H246" s="1607"/>
    </row>
    <row r="247" spans="1:8" s="1510" customFormat="1" ht="44.25" customHeight="1">
      <c r="A247" s="1597"/>
      <c r="B247" s="1598"/>
      <c r="C247" s="1597"/>
      <c r="D247" s="3667" t="s">
        <v>1344</v>
      </c>
      <c r="E247" s="3668"/>
      <c r="F247" s="3669"/>
      <c r="G247" s="1602"/>
      <c r="H247" s="1607"/>
    </row>
    <row r="248" spans="1:8" s="1510" customFormat="1" ht="45.75" customHeight="1">
      <c r="A248" s="1615">
        <f>A225+1</f>
        <v>1</v>
      </c>
      <c r="B248" s="1616">
        <v>10.199999999999999</v>
      </c>
      <c r="C248" s="1615">
        <v>3003</v>
      </c>
      <c r="D248" s="3670" t="s">
        <v>1345</v>
      </c>
      <c r="E248" s="3671"/>
      <c r="F248" s="3671"/>
      <c r="G248" s="3672"/>
      <c r="H248" s="1607"/>
    </row>
    <row r="249" spans="1:8" s="1510" customFormat="1">
      <c r="A249" s="1597"/>
      <c r="B249" s="1598"/>
      <c r="C249" s="1597"/>
      <c r="D249" s="1626"/>
      <c r="E249" s="1602"/>
      <c r="F249" s="1601"/>
      <c r="G249" s="1602"/>
      <c r="H249" s="1607"/>
    </row>
    <row r="250" spans="1:8" s="1510" customFormat="1" ht="20.100000000000001" customHeight="1">
      <c r="A250" s="1597"/>
      <c r="B250" s="1598"/>
      <c r="C250" s="1597"/>
      <c r="D250" s="1626" t="s">
        <v>1346</v>
      </c>
      <c r="E250" s="1602"/>
      <c r="F250" s="1601"/>
      <c r="G250" s="1602"/>
      <c r="H250" s="1607"/>
    </row>
    <row r="251" spans="1:8" s="1510" customFormat="1" ht="20.100000000000001" customHeight="1">
      <c r="A251" s="1597"/>
      <c r="B251" s="1598"/>
      <c r="C251" s="1597"/>
      <c r="D251" s="1621" t="s">
        <v>1206</v>
      </c>
      <c r="E251" s="1602"/>
      <c r="F251" s="1601"/>
      <c r="G251" s="1602"/>
      <c r="H251" s="1607"/>
    </row>
    <row r="252" spans="1:8" s="1510" customFormat="1" ht="20.100000000000001" customHeight="1">
      <c r="A252" s="1597"/>
      <c r="B252" s="1598"/>
      <c r="C252" s="1597"/>
      <c r="D252" s="1621" t="s">
        <v>1347</v>
      </c>
      <c r="E252" s="1602"/>
      <c r="F252" s="1601"/>
      <c r="G252" s="1602"/>
      <c r="H252" s="1607"/>
    </row>
    <row r="253" spans="1:8" s="1510" customFormat="1" ht="35.1" customHeight="1">
      <c r="A253" s="1597"/>
      <c r="B253" s="1598"/>
      <c r="C253" s="1597"/>
      <c r="D253" s="1621" t="s">
        <v>1348</v>
      </c>
      <c r="E253" s="1602"/>
      <c r="F253" s="1601"/>
      <c r="G253" s="1602"/>
      <c r="H253" s="1607"/>
    </row>
    <row r="254" spans="1:8" s="1510" customFormat="1" ht="20.100000000000001" customHeight="1">
      <c r="A254" s="1597"/>
      <c r="B254" s="1598"/>
      <c r="C254" s="1597"/>
      <c r="D254" s="1621" t="s">
        <v>1349</v>
      </c>
      <c r="E254" s="1602"/>
      <c r="F254" s="1601"/>
      <c r="G254" s="1602"/>
      <c r="H254" s="1607"/>
    </row>
    <row r="255" spans="1:8" s="1510" customFormat="1" ht="20.100000000000001" customHeight="1">
      <c r="A255" s="1597"/>
      <c r="B255" s="1598"/>
      <c r="C255" s="1597"/>
      <c r="D255" s="1620" t="s">
        <v>1208</v>
      </c>
      <c r="E255" s="1602"/>
      <c r="F255" s="1601"/>
      <c r="G255" s="1602"/>
      <c r="H255" s="1607"/>
    </row>
    <row r="256" spans="1:8" s="1510" customFormat="1" ht="20.100000000000001" customHeight="1">
      <c r="A256" s="1597"/>
      <c r="B256" s="1601">
        <v>0.18</v>
      </c>
      <c r="C256" s="1602" t="s">
        <v>38</v>
      </c>
      <c r="D256" s="1621" t="s">
        <v>14</v>
      </c>
      <c r="E256" s="1602">
        <f>'SSR-rates'!$J$58</f>
        <v>520</v>
      </c>
      <c r="F256" s="1602" t="s">
        <v>38</v>
      </c>
      <c r="G256" s="1609">
        <f>ROUND(B256*E256,2)</f>
        <v>93.6</v>
      </c>
      <c r="H256" s="1607"/>
    </row>
    <row r="257" spans="1:8" s="1510" customFormat="1" ht="20.100000000000001" customHeight="1">
      <c r="A257" s="1597"/>
      <c r="B257" s="1601">
        <v>4.5</v>
      </c>
      <c r="C257" s="1602" t="s">
        <v>38</v>
      </c>
      <c r="D257" s="1621" t="s">
        <v>59</v>
      </c>
      <c r="E257" s="1602">
        <f>'SSR-rates'!$J$60</f>
        <v>520</v>
      </c>
      <c r="F257" s="1602" t="s">
        <v>38</v>
      </c>
      <c r="G257" s="1609">
        <f>ROUND(B257*E257,2)</f>
        <v>2340</v>
      </c>
      <c r="H257" s="1607"/>
    </row>
    <row r="258" spans="1:8" s="1510" customFormat="1" ht="20.100000000000001" customHeight="1">
      <c r="A258" s="1551"/>
      <c r="B258" s="1583">
        <f>'Input Data'!D23</f>
        <v>0</v>
      </c>
      <c r="C258" s="1553"/>
      <c r="D258" s="1560" t="s">
        <v>17</v>
      </c>
      <c r="E258" s="1553">
        <f>SUM(G255:G257)</f>
        <v>2433.6</v>
      </c>
      <c r="F258" s="1551"/>
      <c r="G258" s="1553">
        <f>B258*E258</f>
        <v>0</v>
      </c>
      <c r="H258" s="1607"/>
    </row>
    <row r="259" spans="1:8" s="1510" customFormat="1" ht="20.100000000000001" customHeight="1">
      <c r="A259" s="1597"/>
      <c r="B259" s="1598"/>
      <c r="C259" s="1597"/>
      <c r="D259" s="1621"/>
      <c r="E259" s="1602"/>
      <c r="F259" s="1597"/>
      <c r="G259" s="1600">
        <f>SUM(G256:G258)</f>
        <v>2433.6</v>
      </c>
      <c r="H259" s="1607"/>
    </row>
    <row r="260" spans="1:8" s="1510" customFormat="1" ht="20.100000000000001" customHeight="1">
      <c r="A260" s="1597"/>
      <c r="B260" s="1598"/>
      <c r="C260" s="1597"/>
      <c r="D260" s="1620" t="s">
        <v>1211</v>
      </c>
      <c r="E260" s="1602"/>
      <c r="F260" s="1597"/>
      <c r="G260" s="1602"/>
      <c r="H260" s="1607"/>
    </row>
    <row r="261" spans="1:8" s="1510" customFormat="1" ht="35.1" customHeight="1">
      <c r="A261" s="1597"/>
      <c r="B261" s="1601">
        <v>0.25</v>
      </c>
      <c r="C261" s="1602" t="s">
        <v>23</v>
      </c>
      <c r="D261" s="1599" t="s">
        <v>1338</v>
      </c>
      <c r="E261" s="1610">
        <f>'SSR-rates'!$J$64</f>
        <v>3502.9</v>
      </c>
      <c r="F261" s="1602" t="s">
        <v>23</v>
      </c>
      <c r="G261" s="1609">
        <f>ROUND(B261*E261,2)</f>
        <v>875.73</v>
      </c>
      <c r="H261" s="1607"/>
    </row>
    <row r="262" spans="1:8" s="1510" customFormat="1" ht="35.1" customHeight="1">
      <c r="A262" s="1597"/>
      <c r="B262" s="1601">
        <f>24*1</f>
        <v>24</v>
      </c>
      <c r="C262" s="1602" t="s">
        <v>1339</v>
      </c>
      <c r="D262" s="1599" t="s">
        <v>1350</v>
      </c>
      <c r="E262" s="1610">
        <f>E237</f>
        <v>8</v>
      </c>
      <c r="F262" s="1602" t="s">
        <v>1339</v>
      </c>
      <c r="G262" s="1609">
        <f>ROUND(B262*E262,2)</f>
        <v>192</v>
      </c>
      <c r="H262" s="1607"/>
    </row>
    <row r="263" spans="1:8" s="1510" customFormat="1" ht="35.1" customHeight="1">
      <c r="A263" s="1597"/>
      <c r="B263" s="1622">
        <v>0.1</v>
      </c>
      <c r="C263" s="1602"/>
      <c r="D263" s="1599" t="s">
        <v>1341</v>
      </c>
      <c r="E263" s="1610">
        <f>G262</f>
        <v>192</v>
      </c>
      <c r="F263" s="1602"/>
      <c r="G263" s="1609">
        <f>ROUND(B263*E263,2)</f>
        <v>19.2</v>
      </c>
      <c r="H263" s="1607"/>
    </row>
    <row r="264" spans="1:8" s="1510" customFormat="1" ht="20.100000000000001" customHeight="1">
      <c r="A264" s="1597"/>
      <c r="B264" s="1601">
        <v>12</v>
      </c>
      <c r="C264" s="1602" t="s">
        <v>23</v>
      </c>
      <c r="D264" s="1599" t="s">
        <v>1351</v>
      </c>
      <c r="E264" s="1610">
        <f>'SSR-rates'!$J$91</f>
        <v>59</v>
      </c>
      <c r="F264" s="1602" t="s">
        <v>23</v>
      </c>
      <c r="G264" s="1609">
        <f>ROUND(B264*E264,2)</f>
        <v>708</v>
      </c>
      <c r="H264" s="1607"/>
    </row>
    <row r="265" spans="1:8" s="1510" customFormat="1" ht="20.100000000000001" customHeight="1">
      <c r="A265" s="1597"/>
      <c r="B265" s="1598"/>
      <c r="C265" s="1597"/>
      <c r="D265" s="1599"/>
      <c r="E265" s="1610"/>
      <c r="F265" s="1611"/>
      <c r="G265" s="1623">
        <f>SUM(G261:G264)</f>
        <v>1794.93</v>
      </c>
      <c r="H265" s="1607"/>
    </row>
    <row r="266" spans="1:8" s="1510" customFormat="1" ht="20.100000000000001" customHeight="1">
      <c r="A266" s="1597"/>
      <c r="B266" s="1598"/>
      <c r="C266" s="1597"/>
      <c r="D266" s="1606"/>
      <c r="E266" s="1602"/>
      <c r="F266" s="1601"/>
      <c r="G266" s="1623">
        <f>G265+G259</f>
        <v>4228.53</v>
      </c>
      <c r="H266" s="1607"/>
    </row>
    <row r="267" spans="1:8" s="1510" customFormat="1" ht="20.100000000000001" customHeight="1">
      <c r="A267" s="1597"/>
      <c r="B267" s="1568" t="s">
        <v>27</v>
      </c>
      <c r="C267" s="1597"/>
      <c r="D267" s="1567" t="s">
        <v>1332</v>
      </c>
      <c r="E267" s="1553"/>
      <c r="F267" s="1551"/>
      <c r="G267" s="1574"/>
      <c r="H267" s="1607"/>
    </row>
    <row r="268" spans="1:8" s="1510" customFormat="1" ht="25.5">
      <c r="A268" s="1597"/>
      <c r="B268" s="1614">
        <f>'[4]Input Data'!$D$23</f>
        <v>0.13614999999999999</v>
      </c>
      <c r="C268" s="1553"/>
      <c r="D268" s="1552" t="str">
        <f>"Over head charges &amp; CP "&amp;'[4]Input Data'!$D$23*100&amp;"%  on (A) + (B)+(C)"</f>
        <v>Over head charges &amp; CP 13.615%  on (A) + (B)+(C)</v>
      </c>
      <c r="E268" s="1553">
        <f>G266</f>
        <v>4228.53</v>
      </c>
      <c r="F268" s="1551"/>
      <c r="G268" s="1553">
        <f>E268*B268</f>
        <v>575.71435949999989</v>
      </c>
      <c r="H268" s="1607"/>
    </row>
    <row r="269" spans="1:8" s="1510" customFormat="1" ht="20.100000000000001" customHeight="1">
      <c r="A269" s="1597"/>
      <c r="B269" s="1614">
        <f>'[4]Input Data'!$E$23</f>
        <v>0</v>
      </c>
      <c r="C269" s="1553"/>
      <c r="D269" s="1560" t="s">
        <v>1314</v>
      </c>
      <c r="E269" s="1553">
        <f>E268+G268</f>
        <v>4804.2443594999995</v>
      </c>
      <c r="F269" s="1551"/>
      <c r="G269" s="1553">
        <f>E269*B269</f>
        <v>0</v>
      </c>
      <c r="H269" s="1607"/>
    </row>
    <row r="270" spans="1:8" s="1510" customFormat="1" ht="20.100000000000001" customHeight="1">
      <c r="A270" s="1597"/>
      <c r="B270" s="1568" t="s">
        <v>45</v>
      </c>
      <c r="C270" s="1597"/>
      <c r="D270" s="1567" t="s">
        <v>46</v>
      </c>
      <c r="E270" s="1553"/>
      <c r="F270" s="1551"/>
      <c r="G270" s="1574">
        <f>G266+G268+G269</f>
        <v>4804.2443594999995</v>
      </c>
      <c r="H270" s="1607"/>
    </row>
    <row r="271" spans="1:8" s="1510" customFormat="1" ht="20.100000000000001" customHeight="1">
      <c r="A271" s="1597"/>
      <c r="B271" s="1553"/>
      <c r="C271" s="1553"/>
      <c r="D271" s="1567" t="s">
        <v>1333</v>
      </c>
      <c r="E271" s="1553"/>
      <c r="F271" s="1553" t="s">
        <v>1334</v>
      </c>
      <c r="G271" s="1574">
        <f>G270/100</f>
        <v>48.042443594999995</v>
      </c>
      <c r="H271" s="1607"/>
    </row>
    <row r="272" spans="1:8" s="1509" customFormat="1" ht="40.5" customHeight="1">
      <c r="A272" s="1594">
        <f>'[4]Road &amp; MTC data '!A203+1</f>
        <v>1</v>
      </c>
      <c r="B272" s="1595">
        <v>10.199999999999999</v>
      </c>
      <c r="C272" s="1594">
        <v>3003</v>
      </c>
      <c r="D272" s="3673" t="s">
        <v>1352</v>
      </c>
      <c r="E272" s="3674"/>
      <c r="F272" s="3674"/>
      <c r="G272" s="3675"/>
      <c r="H272" s="1619"/>
    </row>
    <row r="273" spans="1:8" s="1510" customFormat="1">
      <c r="A273" s="1597"/>
      <c r="B273" s="1598"/>
      <c r="C273" s="1597"/>
      <c r="D273" s="1626"/>
      <c r="E273" s="1602"/>
      <c r="F273" s="1601"/>
      <c r="G273" s="1602"/>
      <c r="H273" s="1607"/>
    </row>
    <row r="274" spans="1:8" s="1510" customFormat="1" ht="20.100000000000001" customHeight="1">
      <c r="A274" s="1597"/>
      <c r="B274" s="1598"/>
      <c r="C274" s="1597"/>
      <c r="D274" s="1626" t="s">
        <v>1353</v>
      </c>
      <c r="E274" s="1602"/>
      <c r="F274" s="1601"/>
      <c r="G274" s="1602"/>
      <c r="H274" s="1607"/>
    </row>
    <row r="275" spans="1:8" s="1510" customFormat="1" ht="20.100000000000001" customHeight="1">
      <c r="A275" s="1597"/>
      <c r="B275" s="1598"/>
      <c r="C275" s="1597"/>
      <c r="D275" s="1621" t="s">
        <v>1206</v>
      </c>
      <c r="E275" s="1602"/>
      <c r="F275" s="1601"/>
      <c r="G275" s="1602"/>
      <c r="H275" s="1607"/>
    </row>
    <row r="276" spans="1:8" s="1510" customFormat="1" ht="20.100000000000001" customHeight="1">
      <c r="A276" s="1597"/>
      <c r="B276" s="1598"/>
      <c r="C276" s="1597"/>
      <c r="D276" s="1621" t="s">
        <v>1347</v>
      </c>
      <c r="E276" s="1602"/>
      <c r="F276" s="1601"/>
      <c r="G276" s="1602"/>
      <c r="H276" s="1607"/>
    </row>
    <row r="277" spans="1:8" s="1510" customFormat="1" ht="27" customHeight="1">
      <c r="A277" s="1597"/>
      <c r="B277" s="1598"/>
      <c r="C277" s="1597"/>
      <c r="D277" s="1621" t="s">
        <v>1354</v>
      </c>
      <c r="E277" s="1602"/>
      <c r="F277" s="1601"/>
      <c r="G277" s="1602"/>
      <c r="H277" s="1607"/>
    </row>
    <row r="278" spans="1:8" s="1510" customFormat="1" ht="20.100000000000001" customHeight="1">
      <c r="A278" s="1597"/>
      <c r="B278" s="1598"/>
      <c r="C278" s="1597"/>
      <c r="D278" s="1621" t="s">
        <v>1355</v>
      </c>
      <c r="E278" s="1602"/>
      <c r="F278" s="1601"/>
      <c r="G278" s="1602"/>
      <c r="H278" s="1607"/>
    </row>
    <row r="279" spans="1:8" s="1510" customFormat="1" ht="20.100000000000001" customHeight="1">
      <c r="A279" s="1597"/>
      <c r="B279" s="1598"/>
      <c r="C279" s="1597"/>
      <c r="D279" s="1620" t="s">
        <v>1208</v>
      </c>
      <c r="E279" s="1602"/>
      <c r="F279" s="1601"/>
      <c r="G279" s="1602"/>
      <c r="H279" s="1607"/>
    </row>
    <row r="280" spans="1:8" s="1510" customFormat="1" ht="20.100000000000001" customHeight="1">
      <c r="A280" s="1597"/>
      <c r="B280" s="1601">
        <v>0.1</v>
      </c>
      <c r="C280" s="1602" t="s">
        <v>38</v>
      </c>
      <c r="D280" s="1621" t="s">
        <v>14</v>
      </c>
      <c r="E280" s="1602">
        <f>'SSR-rates'!J58</f>
        <v>520</v>
      </c>
      <c r="F280" s="1602" t="s">
        <v>38</v>
      </c>
      <c r="G280" s="1627">
        <f>ROUND(B280*E280,2)</f>
        <v>52</v>
      </c>
      <c r="H280" s="1607"/>
    </row>
    <row r="281" spans="1:8" s="1510" customFormat="1" ht="20.100000000000001" customHeight="1">
      <c r="A281" s="1597"/>
      <c r="B281" s="1601">
        <v>2.5</v>
      </c>
      <c r="C281" s="1602" t="s">
        <v>38</v>
      </c>
      <c r="D281" s="1621" t="s">
        <v>59</v>
      </c>
      <c r="E281" s="1602">
        <f>E280</f>
        <v>520</v>
      </c>
      <c r="F281" s="1602" t="s">
        <v>38</v>
      </c>
      <c r="G281" s="1627">
        <f>ROUND(B281*E281,2)</f>
        <v>1300</v>
      </c>
      <c r="H281" s="1607"/>
    </row>
    <row r="282" spans="1:8" s="1510" customFormat="1" ht="20.100000000000001" customHeight="1">
      <c r="A282" s="1551"/>
      <c r="B282" s="1583">
        <f>'Input Data'!D23</f>
        <v>0</v>
      </c>
      <c r="C282" s="1553"/>
      <c r="D282" s="1560" t="s">
        <v>17</v>
      </c>
      <c r="E282" s="1553">
        <f>SUM(G279:G281)</f>
        <v>1352</v>
      </c>
      <c r="F282" s="1551"/>
      <c r="G282" s="1553">
        <f>B282*E282</f>
        <v>0</v>
      </c>
      <c r="H282" s="1607"/>
    </row>
    <row r="283" spans="1:8" s="1510" customFormat="1" ht="20.100000000000001" customHeight="1">
      <c r="A283" s="1597"/>
      <c r="B283" s="1598"/>
      <c r="C283" s="1597"/>
      <c r="D283" s="1621"/>
      <c r="E283" s="3676" t="s">
        <v>1356</v>
      </c>
      <c r="F283" s="3676"/>
      <c r="G283" s="1600">
        <f>SUM(G280:G282)</f>
        <v>1352</v>
      </c>
      <c r="H283" s="1607"/>
    </row>
    <row r="284" spans="1:8" s="1510" customFormat="1" ht="20.100000000000001" customHeight="1">
      <c r="A284" s="1597"/>
      <c r="B284" s="1598"/>
      <c r="C284" s="1597"/>
      <c r="D284" s="1620" t="s">
        <v>1211</v>
      </c>
      <c r="E284" s="1602"/>
      <c r="F284" s="1597"/>
      <c r="G284" s="1602"/>
      <c r="H284" s="1607"/>
    </row>
    <row r="285" spans="1:8" s="1510" customFormat="1" ht="20.100000000000001" customHeight="1">
      <c r="A285" s="1597"/>
      <c r="B285" s="1601">
        <v>4</v>
      </c>
      <c r="C285" s="1602" t="s">
        <v>23</v>
      </c>
      <c r="D285" s="1599" t="s">
        <v>1351</v>
      </c>
      <c r="E285" s="1610">
        <f>E264</f>
        <v>59</v>
      </c>
      <c r="F285" s="1602" t="s">
        <v>23</v>
      </c>
      <c r="G285" s="1627">
        <f>ROUND(B285*E285,2)</f>
        <v>236</v>
      </c>
      <c r="H285" s="1607"/>
    </row>
    <row r="286" spans="1:8" s="1510" customFormat="1" ht="20.100000000000001" customHeight="1">
      <c r="A286" s="1597"/>
      <c r="B286" s="1598"/>
      <c r="C286" s="1597"/>
      <c r="D286" s="1599"/>
      <c r="E286" s="3676" t="s">
        <v>1357</v>
      </c>
      <c r="F286" s="3676"/>
      <c r="G286" s="1623">
        <f>SUM(G285:G285)</f>
        <v>236</v>
      </c>
      <c r="H286" s="1607"/>
    </row>
    <row r="287" spans="1:8" s="1510" customFormat="1" ht="20.100000000000001" customHeight="1">
      <c r="A287" s="1597"/>
      <c r="B287" s="1598"/>
      <c r="C287" s="1597"/>
      <c r="D287" s="1606"/>
      <c r="E287" s="3676" t="s">
        <v>1358</v>
      </c>
      <c r="F287" s="3676"/>
      <c r="G287" s="1623">
        <f>G286+G283</f>
        <v>1588</v>
      </c>
      <c r="H287" s="1607"/>
    </row>
    <row r="288" spans="1:8" s="1510" customFormat="1" ht="20.100000000000001" customHeight="1">
      <c r="A288" s="1597"/>
      <c r="B288" s="1568" t="s">
        <v>27</v>
      </c>
      <c r="C288" s="1597"/>
      <c r="D288" s="1567" t="s">
        <v>1332</v>
      </c>
      <c r="E288" s="1553"/>
      <c r="F288" s="1551"/>
      <c r="G288" s="1574"/>
      <c r="H288" s="1607"/>
    </row>
    <row r="289" spans="1:8" s="1510" customFormat="1" ht="25.5">
      <c r="A289" s="1597"/>
      <c r="B289" s="1628">
        <f>'[5]Input Data'!$D$24</f>
        <v>0.13614999999999999</v>
      </c>
      <c r="C289" s="1553"/>
      <c r="D289" s="1552" t="str">
        <f>"Over head charges &amp; CP "&amp;'[5]Input Data'!$D$24*100&amp;"%  on (A) + (B)+(C)"</f>
        <v>Over head charges &amp; CP 13.615%  on (A) + (B)+(C)</v>
      </c>
      <c r="E289" s="1553">
        <f>G287</f>
        <v>1588</v>
      </c>
      <c r="F289" s="1551"/>
      <c r="G289" s="1553">
        <f>E289*B289</f>
        <v>216.2062</v>
      </c>
      <c r="H289" s="1607"/>
    </row>
    <row r="290" spans="1:8" s="1510" customFormat="1" ht="20.100000000000001" customHeight="1">
      <c r="A290" s="1597"/>
      <c r="B290" s="1628">
        <v>0</v>
      </c>
      <c r="C290" s="1553"/>
      <c r="D290" s="1560" t="s">
        <v>1314</v>
      </c>
      <c r="E290" s="1553">
        <f>E289+G289</f>
        <v>1804.2062000000001</v>
      </c>
      <c r="F290" s="1551"/>
      <c r="G290" s="1553">
        <f>E290*B290</f>
        <v>0</v>
      </c>
      <c r="H290" s="1607"/>
    </row>
    <row r="291" spans="1:8" s="1510" customFormat="1" ht="20.100000000000001" customHeight="1">
      <c r="A291" s="1597"/>
      <c r="B291" s="1568" t="s">
        <v>45</v>
      </c>
      <c r="C291" s="1597"/>
      <c r="D291" s="1567" t="s">
        <v>46</v>
      </c>
      <c r="E291" s="1553"/>
      <c r="F291" s="1551"/>
      <c r="G291" s="1574">
        <f>G287+G289+G290</f>
        <v>1804.2062000000001</v>
      </c>
      <c r="H291" s="1607"/>
    </row>
    <row r="292" spans="1:8" s="1510" customFormat="1" ht="20.100000000000001" customHeight="1">
      <c r="A292" s="1597"/>
      <c r="B292" s="1553"/>
      <c r="C292" s="1553"/>
      <c r="D292" s="1567" t="s">
        <v>1333</v>
      </c>
      <c r="E292" s="1553"/>
      <c r="F292" s="1553" t="s">
        <v>1334</v>
      </c>
      <c r="G292" s="1574">
        <f>G291/100</f>
        <v>18.042062000000001</v>
      </c>
      <c r="H292" s="1607"/>
    </row>
    <row r="293" spans="1:8" s="1509" customFormat="1">
      <c r="A293" s="1629"/>
      <c r="B293" s="1630"/>
      <c r="C293" s="1629"/>
      <c r="D293" s="1631"/>
      <c r="E293" s="1632"/>
      <c r="F293" s="1633"/>
      <c r="G293" s="1632"/>
      <c r="H293" s="1619"/>
    </row>
    <row r="294" spans="1:8" s="1509" customFormat="1">
      <c r="A294" s="1629"/>
      <c r="B294" s="1630"/>
      <c r="C294" s="1629"/>
      <c r="D294" s="1631"/>
      <c r="E294" s="1632"/>
      <c r="F294" s="1633"/>
      <c r="G294" s="1632"/>
      <c r="H294" s="1619"/>
    </row>
    <row r="297" spans="1:8">
      <c r="D297" s="89" t="str">
        <f>'1V 1m dia Pipe Culverts'!B39</f>
        <v>Assistant  Engineer,</v>
      </c>
      <c r="E297" s="89" t="str">
        <f>'1V 1m dia Pipe Culverts'!H39</f>
        <v>Dy. Exe. Engineer</v>
      </c>
    </row>
    <row r="298" spans="1:8">
      <c r="D298" s="89" t="str">
        <f>'1V 1m dia Pipe Culverts'!B40</f>
        <v>PRSD, Wanaparthy</v>
      </c>
      <c r="E298" s="89" t="str">
        <f>'1V 1m dia Pipe Culverts'!H40</f>
        <v>PRSD, Wanaparthy</v>
      </c>
    </row>
    <row r="303" spans="1:8">
      <c r="D303" s="89" t="str">
        <f>'1V 1m dia Pipe Culverts'!B44</f>
        <v>District Panchayat Raj Engineer,</v>
      </c>
      <c r="E303" s="89" t="str">
        <f>'1V 1m dia Pipe Culverts'!H44</f>
        <v>Superintending Engineer</v>
      </c>
    </row>
    <row r="304" spans="1:8">
      <c r="D304" s="89" t="str">
        <f>'1V 1m dia Pipe Culverts'!B45</f>
        <v>PIU, Wanaparthy</v>
      </c>
      <c r="E304" s="89" t="str">
        <f>'1V 1m dia Pipe Culverts'!H45</f>
        <v>PR, Circle, Warangal</v>
      </c>
    </row>
  </sheetData>
  <mergeCells count="46">
    <mergeCell ref="D248:G248"/>
    <mergeCell ref="D272:G272"/>
    <mergeCell ref="E283:F283"/>
    <mergeCell ref="E286:F286"/>
    <mergeCell ref="E287:F287"/>
    <mergeCell ref="D226:G226"/>
    <mergeCell ref="E227:G227"/>
    <mergeCell ref="C242:E242"/>
    <mergeCell ref="C245:E245"/>
    <mergeCell ref="D247:F247"/>
    <mergeCell ref="C182:D182"/>
    <mergeCell ref="C183:D183"/>
    <mergeCell ref="C184:D184"/>
    <mergeCell ref="C185:D185"/>
    <mergeCell ref="D190:G190"/>
    <mergeCell ref="E140:F140"/>
    <mergeCell ref="C141:E141"/>
    <mergeCell ref="C144:D144"/>
    <mergeCell ref="C149:G149"/>
    <mergeCell ref="A150:C150"/>
    <mergeCell ref="C80:E80"/>
    <mergeCell ref="E99:F99"/>
    <mergeCell ref="B106:G106"/>
    <mergeCell ref="B107:G107"/>
    <mergeCell ref="B109:G109"/>
    <mergeCell ref="E46:F46"/>
    <mergeCell ref="B47:C47"/>
    <mergeCell ref="C53:G53"/>
    <mergeCell ref="B77:G77"/>
    <mergeCell ref="C78:G78"/>
    <mergeCell ref="C18:G18"/>
    <mergeCell ref="D22:E22"/>
    <mergeCell ref="A24:C24"/>
    <mergeCell ref="D24:G24"/>
    <mergeCell ref="B25:C25"/>
    <mergeCell ref="D25:G25"/>
    <mergeCell ref="L7:O7"/>
    <mergeCell ref="C8:G8"/>
    <mergeCell ref="D12:E12"/>
    <mergeCell ref="C13:G13"/>
    <mergeCell ref="D17:E17"/>
    <mergeCell ref="A1:G1"/>
    <mergeCell ref="B3:C3"/>
    <mergeCell ref="C4:G4"/>
    <mergeCell ref="C6:G6"/>
    <mergeCell ref="H7:K7"/>
  </mergeCells>
  <printOptions horizontalCentered="1"/>
  <pageMargins left="0.59055118110236204" right="0.196850393700787" top="0.59055118110236204" bottom="0.39370078740157499" header="0.31496062992126" footer="0.31496062992126"/>
  <pageSetup paperSize="9" scale="85" orientation="portrait"/>
</worksheet>
</file>

<file path=xl/worksheets/sheet26.xml><?xml version="1.0" encoding="utf-8"?>
<worksheet xmlns="http://schemas.openxmlformats.org/spreadsheetml/2006/main" xmlns:r="http://schemas.openxmlformats.org/officeDocument/2006/relationships">
  <sheetPr codeName="Sheet21">
    <tabColor rgb="FF000099"/>
  </sheetPr>
  <dimension ref="A1:I126"/>
  <sheetViews>
    <sheetView workbookViewId="0">
      <selection activeCell="E16" sqref="E16"/>
    </sheetView>
  </sheetViews>
  <sheetFormatPr defaultColWidth="9.28515625" defaultRowHeight="12.75"/>
  <cols>
    <col min="1" max="1" width="5" style="1421" customWidth="1"/>
    <col min="2" max="2" width="8.140625" style="1423" customWidth="1"/>
    <col min="3" max="3" width="6.85546875" style="1421" customWidth="1"/>
    <col min="4" max="4" width="45.28515625" style="1424" customWidth="1"/>
    <col min="5" max="5" width="10.42578125" style="1421" customWidth="1"/>
    <col min="6" max="6" width="8.28515625" style="1425" customWidth="1"/>
    <col min="7" max="7" width="15.140625" style="1417" customWidth="1"/>
    <col min="8" max="9" width="9.28515625" style="1419" hidden="1" customWidth="1"/>
    <col min="10" max="16384" width="9.28515625" style="1419"/>
  </cols>
  <sheetData>
    <row r="1" spans="1:7" s="1416" customFormat="1" ht="23.1" customHeight="1">
      <c r="A1" s="3678" t="s">
        <v>1359</v>
      </c>
      <c r="B1" s="3678"/>
      <c r="C1" s="3678"/>
      <c r="D1" s="3678"/>
      <c r="E1" s="3678"/>
      <c r="F1" s="3678"/>
      <c r="G1" s="3678"/>
    </row>
    <row r="2" spans="1:7" s="1416" customFormat="1" ht="26.1" customHeight="1">
      <c r="A2" s="3678" t="str">
        <f>'Input Data'!E1</f>
        <v>R/F A to B in Wanaparthy Mandal of Wanaparthy District</v>
      </c>
      <c r="B2" s="3678"/>
      <c r="C2" s="3678"/>
      <c r="D2" s="3678"/>
      <c r="E2" s="3678"/>
      <c r="F2" s="3678"/>
      <c r="G2" s="3678"/>
    </row>
    <row r="3" spans="1:7" s="1417" customFormat="1" ht="33">
      <c r="A3" s="1426" t="s">
        <v>1360</v>
      </c>
      <c r="B3" s="1426" t="s">
        <v>1361</v>
      </c>
      <c r="C3" s="1427" t="s">
        <v>1362</v>
      </c>
      <c r="D3" s="1428" t="s">
        <v>530</v>
      </c>
      <c r="E3" s="1428" t="s">
        <v>1024</v>
      </c>
      <c r="F3" s="1428" t="s">
        <v>3</v>
      </c>
      <c r="G3" s="1428" t="s">
        <v>1363</v>
      </c>
    </row>
    <row r="4" spans="1:7" s="1418" customFormat="1">
      <c r="A4" s="1426">
        <v>1</v>
      </c>
      <c r="B4" s="1426">
        <v>2</v>
      </c>
      <c r="C4" s="1426">
        <v>3</v>
      </c>
      <c r="D4" s="1426">
        <v>4</v>
      </c>
      <c r="E4" s="1426">
        <v>5</v>
      </c>
      <c r="F4" s="1426">
        <v>6</v>
      </c>
      <c r="G4" s="1426">
        <v>7</v>
      </c>
    </row>
    <row r="5" spans="1:7" ht="15.75" customHeight="1">
      <c r="A5" s="1429">
        <f>'Road data'!A930+1</f>
        <v>22</v>
      </c>
      <c r="B5" s="1430">
        <v>10.1</v>
      </c>
      <c r="C5" s="1431">
        <v>3002</v>
      </c>
      <c r="D5" s="1432" t="s">
        <v>1335</v>
      </c>
      <c r="E5" s="1433"/>
      <c r="F5" s="1434"/>
      <c r="G5" s="1435"/>
    </row>
    <row r="6" spans="1:7" ht="63.75" customHeight="1">
      <c r="A6" s="1433"/>
      <c r="B6" s="1436"/>
      <c r="C6" s="1433"/>
      <c r="D6" s="1437" t="s">
        <v>1336</v>
      </c>
      <c r="E6" s="1433"/>
      <c r="F6" s="1434"/>
      <c r="G6" s="1435"/>
    </row>
    <row r="7" spans="1:7">
      <c r="A7" s="1433"/>
      <c r="B7" s="1436"/>
      <c r="C7" s="1433"/>
      <c r="D7" s="1438" t="s">
        <v>1337</v>
      </c>
      <c r="E7" s="1433"/>
      <c r="F7" s="1434"/>
      <c r="G7" s="1435"/>
    </row>
    <row r="8" spans="1:7">
      <c r="A8" s="1433"/>
      <c r="B8" s="1436"/>
      <c r="C8" s="1433"/>
      <c r="D8" s="1439" t="s">
        <v>10</v>
      </c>
      <c r="E8" s="1433"/>
      <c r="F8" s="1434"/>
      <c r="G8" s="1435"/>
    </row>
    <row r="9" spans="1:7">
      <c r="A9" s="1433"/>
      <c r="B9" s="1436"/>
      <c r="C9" s="1433"/>
      <c r="D9" s="1439" t="s">
        <v>84</v>
      </c>
      <c r="E9" s="1433"/>
      <c r="F9" s="1434"/>
      <c r="G9" s="1435"/>
    </row>
    <row r="10" spans="1:7">
      <c r="A10" s="1433"/>
      <c r="B10" s="1436"/>
      <c r="C10" s="1433"/>
      <c r="D10" s="1438" t="s">
        <v>1208</v>
      </c>
      <c r="E10" s="1440"/>
      <c r="F10" s="1434"/>
      <c r="G10" s="1435"/>
    </row>
    <row r="11" spans="1:7">
      <c r="A11" s="1433"/>
      <c r="B11" s="1434">
        <v>0.08</v>
      </c>
      <c r="C11" s="1440" t="s">
        <v>38</v>
      </c>
      <c r="D11" s="1439" t="s">
        <v>14</v>
      </c>
      <c r="E11" s="1434">
        <f>'SSR-rates'!$J$58</f>
        <v>520</v>
      </c>
      <c r="F11" s="1440" t="s">
        <v>38</v>
      </c>
      <c r="G11" s="1441">
        <f t="shared" ref="G11:G12" si="0">ROUND(B11*E11,2)</f>
        <v>41.6</v>
      </c>
    </row>
    <row r="12" spans="1:7">
      <c r="A12" s="1433"/>
      <c r="B12" s="1434">
        <v>2</v>
      </c>
      <c r="C12" s="1440" t="s">
        <v>38</v>
      </c>
      <c r="D12" s="1439" t="s">
        <v>312</v>
      </c>
      <c r="E12" s="1434">
        <f>'SSR-rates'!$J$60</f>
        <v>520</v>
      </c>
      <c r="F12" s="1440" t="s">
        <v>38</v>
      </c>
      <c r="G12" s="1441">
        <f t="shared" si="0"/>
        <v>1040</v>
      </c>
    </row>
    <row r="13" spans="1:7">
      <c r="A13" s="1433"/>
      <c r="B13" s="1436"/>
      <c r="C13" s="1433"/>
      <c r="D13" s="1439"/>
      <c r="E13" s="1434"/>
      <c r="F13" s="1433"/>
      <c r="G13" s="1442">
        <f>SUM(G11:G12)</f>
        <v>1081.5999999999999</v>
      </c>
    </row>
    <row r="14" spans="1:7">
      <c r="A14" s="1433"/>
      <c r="B14" s="1436"/>
      <c r="C14" s="1433"/>
      <c r="D14" s="1438" t="s">
        <v>1211</v>
      </c>
      <c r="E14" s="1434"/>
      <c r="F14" s="1433"/>
      <c r="G14" s="1443"/>
    </row>
    <row r="15" spans="1:7">
      <c r="A15" s="1433"/>
      <c r="B15" s="1434">
        <v>0.13</v>
      </c>
      <c r="C15" s="1440" t="s">
        <v>23</v>
      </c>
      <c r="D15" s="1444" t="s">
        <v>1338</v>
      </c>
      <c r="E15" s="1445">
        <f>'SSR-rates'!$J$64</f>
        <v>3502.9</v>
      </c>
      <c r="F15" s="1440" t="s">
        <v>23</v>
      </c>
      <c r="G15" s="1441">
        <f t="shared" ref="G15:G18" si="1">ROUND(B15*E15,2)</f>
        <v>455.38</v>
      </c>
    </row>
    <row r="16" spans="1:7" ht="25.5">
      <c r="A16" s="1433"/>
      <c r="B16" s="1434">
        <f>12*1</f>
        <v>12</v>
      </c>
      <c r="C16" s="1446" t="s">
        <v>1339</v>
      </c>
      <c r="D16" s="1444" t="s">
        <v>1340</v>
      </c>
      <c r="E16" s="1445">
        <f>'Road data'!$G$205</f>
        <v>8</v>
      </c>
      <c r="F16" s="1440" t="s">
        <v>1339</v>
      </c>
      <c r="G16" s="1441">
        <f t="shared" si="1"/>
        <v>96</v>
      </c>
    </row>
    <row r="17" spans="1:7" ht="25.5">
      <c r="A17" s="1433"/>
      <c r="B17" s="1447">
        <v>0.1</v>
      </c>
      <c r="C17" s="1440"/>
      <c r="D17" s="1444" t="s">
        <v>1341</v>
      </c>
      <c r="E17" s="1445">
        <f>G16</f>
        <v>96</v>
      </c>
      <c r="F17" s="1440"/>
      <c r="G17" s="1441">
        <f t="shared" si="1"/>
        <v>9.6</v>
      </c>
    </row>
    <row r="18" spans="1:7">
      <c r="A18" s="1433"/>
      <c r="B18" s="1434">
        <v>0.5</v>
      </c>
      <c r="C18" s="1440" t="s">
        <v>23</v>
      </c>
      <c r="D18" s="1444" t="s">
        <v>1342</v>
      </c>
      <c r="E18" s="1445">
        <f>'SSR-rates'!$J$91</f>
        <v>59</v>
      </c>
      <c r="F18" s="1440" t="s">
        <v>23</v>
      </c>
      <c r="G18" s="1441">
        <f t="shared" si="1"/>
        <v>29.5</v>
      </c>
    </row>
    <row r="19" spans="1:7">
      <c r="A19" s="1433"/>
      <c r="B19" s="1436"/>
      <c r="C19" s="1433"/>
      <c r="D19" s="1444"/>
      <c r="E19" s="1448"/>
      <c r="F19" s="1433"/>
      <c r="G19" s="1449">
        <f>SUM(G15:G18)</f>
        <v>590.48</v>
      </c>
    </row>
    <row r="20" spans="1:7">
      <c r="A20" s="1433"/>
      <c r="B20" s="1436"/>
      <c r="C20" s="1433"/>
      <c r="D20" s="1450"/>
      <c r="E20" s="1440"/>
      <c r="F20" s="1434"/>
      <c r="G20" s="1449">
        <f>G13+G19</f>
        <v>1672.08</v>
      </c>
    </row>
    <row r="21" spans="1:7">
      <c r="A21" s="1433"/>
      <c r="B21" s="1451" t="s">
        <v>27</v>
      </c>
      <c r="C21" s="1452" t="s">
        <v>1332</v>
      </c>
      <c r="D21" s="1453"/>
      <c r="E21" s="1453"/>
      <c r="F21" s="1453"/>
      <c r="G21" s="1454"/>
    </row>
    <row r="22" spans="1:7">
      <c r="A22" s="1433"/>
      <c r="B22" s="1455">
        <f>'Input Data'!$D$24</f>
        <v>0.13614999999999999</v>
      </c>
      <c r="C22" s="1456"/>
      <c r="D22" s="1457" t="str">
        <f>"Over head charges &amp; CP "&amp;'Input Data'!$D$24*100&amp;"%  on (A) + (B)+(C)"</f>
        <v>Over head charges &amp; CP 13.615%  on (A) + (B)+(C)</v>
      </c>
      <c r="E22" s="1456">
        <f>G20</f>
        <v>1672.08</v>
      </c>
      <c r="F22" s="1453"/>
      <c r="G22" s="1458">
        <f>E22*B22</f>
        <v>227.65369199999998</v>
      </c>
    </row>
    <row r="23" spans="1:7">
      <c r="A23" s="1433"/>
      <c r="B23" s="1455">
        <f>'Input Data'!$E$24</f>
        <v>0</v>
      </c>
      <c r="C23" s="1456"/>
      <c r="D23" s="1453" t="s">
        <v>1314</v>
      </c>
      <c r="E23" s="1458">
        <f>E22+G22</f>
        <v>1899.7336919999998</v>
      </c>
      <c r="F23" s="1459"/>
      <c r="G23" s="1460">
        <f>E23*B23</f>
        <v>0</v>
      </c>
    </row>
    <row r="24" spans="1:7">
      <c r="A24" s="1433"/>
      <c r="B24" s="1451" t="s">
        <v>45</v>
      </c>
      <c r="C24" s="1452" t="s">
        <v>46</v>
      </c>
      <c r="D24" s="1461"/>
      <c r="E24" s="1453"/>
      <c r="F24" s="1453"/>
      <c r="G24" s="1454">
        <f>G20+G22+G23</f>
        <v>1899.7336919999998</v>
      </c>
    </row>
    <row r="25" spans="1:7" s="1420" customFormat="1">
      <c r="A25" s="1462"/>
      <c r="B25" s="1463"/>
      <c r="C25" s="1464"/>
      <c r="D25" s="1465" t="s">
        <v>1343</v>
      </c>
      <c r="E25" s="1463"/>
      <c r="F25" s="1463" t="s">
        <v>1334</v>
      </c>
      <c r="G25" s="1466">
        <f>G24/10</f>
        <v>189.97336919999998</v>
      </c>
    </row>
    <row r="26" spans="1:7" ht="53.45" customHeight="1">
      <c r="A26" s="1433"/>
      <c r="B26" s="1436"/>
      <c r="C26" s="1433"/>
      <c r="D26" s="1438" t="s">
        <v>1364</v>
      </c>
      <c r="E26" s="1439"/>
      <c r="F26" s="1434"/>
      <c r="G26" s="1443"/>
    </row>
    <row r="27" spans="1:7" ht="27.6" customHeight="1">
      <c r="A27" s="1429">
        <f>A5+1</f>
        <v>23</v>
      </c>
      <c r="B27" s="1430">
        <v>10.199999999999999</v>
      </c>
      <c r="C27" s="1431">
        <v>3003</v>
      </c>
      <c r="D27" s="1467" t="s">
        <v>1365</v>
      </c>
      <c r="E27" s="1431"/>
      <c r="F27" s="1434"/>
      <c r="G27" s="1443"/>
    </row>
    <row r="28" spans="1:7" ht="46.9" customHeight="1">
      <c r="A28" s="1433"/>
      <c r="B28" s="1436"/>
      <c r="C28" s="1433"/>
      <c r="D28" s="1468" t="s">
        <v>1366</v>
      </c>
      <c r="E28" s="1435"/>
      <c r="F28" s="1434"/>
      <c r="G28" s="1443"/>
    </row>
    <row r="29" spans="1:7">
      <c r="A29" s="1433"/>
      <c r="B29" s="1436"/>
      <c r="C29" s="1433"/>
      <c r="D29" s="1468" t="s">
        <v>1346</v>
      </c>
      <c r="E29" s="1435"/>
      <c r="F29" s="1434"/>
      <c r="G29" s="1443"/>
    </row>
    <row r="30" spans="1:7">
      <c r="A30" s="1433"/>
      <c r="B30" s="1436"/>
      <c r="C30" s="1433"/>
      <c r="D30" s="1439" t="s">
        <v>1206</v>
      </c>
      <c r="E30" s="1440"/>
      <c r="F30" s="1434"/>
      <c r="G30" s="1443"/>
    </row>
    <row r="31" spans="1:7">
      <c r="A31" s="1433"/>
      <c r="B31" s="1436"/>
      <c r="C31" s="1433"/>
      <c r="D31" s="1439" t="s">
        <v>1347</v>
      </c>
      <c r="E31" s="1440"/>
      <c r="F31" s="1434"/>
      <c r="G31" s="1443"/>
    </row>
    <row r="32" spans="1:7">
      <c r="A32" s="1433"/>
      <c r="B32" s="1436"/>
      <c r="C32" s="1433"/>
      <c r="D32" s="1439" t="s">
        <v>1348</v>
      </c>
      <c r="E32" s="1440"/>
      <c r="F32" s="1434"/>
      <c r="G32" s="1443"/>
    </row>
    <row r="33" spans="1:8">
      <c r="A33" s="1433"/>
      <c r="B33" s="1436"/>
      <c r="C33" s="1433"/>
      <c r="D33" s="1439" t="s">
        <v>1349</v>
      </c>
      <c r="E33" s="1440"/>
      <c r="F33" s="1434"/>
      <c r="G33" s="1443"/>
    </row>
    <row r="34" spans="1:8">
      <c r="A34" s="1433"/>
      <c r="B34" s="1436"/>
      <c r="C34" s="1433"/>
      <c r="D34" s="1438" t="s">
        <v>1208</v>
      </c>
      <c r="E34" s="1440"/>
      <c r="F34" s="1434"/>
      <c r="G34" s="1443"/>
    </row>
    <row r="35" spans="1:8">
      <c r="A35" s="1433"/>
      <c r="B35" s="1434">
        <v>0.18</v>
      </c>
      <c r="C35" s="1440" t="s">
        <v>38</v>
      </c>
      <c r="D35" s="1439" t="s">
        <v>14</v>
      </c>
      <c r="E35" s="1434">
        <f>'SSR-rates'!$J$58</f>
        <v>520</v>
      </c>
      <c r="F35" s="1440" t="s">
        <v>38</v>
      </c>
      <c r="G35" s="1441">
        <f t="shared" ref="G35:G36" si="2">ROUND(B35*E35,2)</f>
        <v>93.6</v>
      </c>
    </row>
    <row r="36" spans="1:8">
      <c r="A36" s="1433"/>
      <c r="B36" s="1434">
        <v>4.5</v>
      </c>
      <c r="C36" s="1440" t="s">
        <v>38</v>
      </c>
      <c r="D36" s="1439" t="s">
        <v>59</v>
      </c>
      <c r="E36" s="1434">
        <f>'SSR-rates'!$J$60</f>
        <v>520</v>
      </c>
      <c r="F36" s="1440" t="s">
        <v>38</v>
      </c>
      <c r="G36" s="1441">
        <f t="shared" si="2"/>
        <v>2340</v>
      </c>
    </row>
    <row r="37" spans="1:8">
      <c r="A37" s="1433"/>
      <c r="B37" s="1436"/>
      <c r="C37" s="1433"/>
      <c r="D37" s="1439"/>
      <c r="E37" s="1434"/>
      <c r="F37" s="1433"/>
      <c r="G37" s="1442">
        <f>SUM(G35:G36)</f>
        <v>2433.6</v>
      </c>
    </row>
    <row r="38" spans="1:8">
      <c r="A38" s="1433"/>
      <c r="B38" s="1436"/>
      <c r="C38" s="1433"/>
      <c r="D38" s="1438" t="s">
        <v>1211</v>
      </c>
      <c r="E38" s="1434"/>
      <c r="F38" s="1433"/>
      <c r="G38" s="1443"/>
    </row>
    <row r="39" spans="1:8">
      <c r="A39" s="1433"/>
      <c r="B39" s="1434">
        <v>0.25</v>
      </c>
      <c r="C39" s="1440" t="s">
        <v>23</v>
      </c>
      <c r="D39" s="1444" t="s">
        <v>1338</v>
      </c>
      <c r="E39" s="1445">
        <f>'SSR-rates'!$J$64</f>
        <v>3502.9</v>
      </c>
      <c r="F39" s="1440" t="s">
        <v>23</v>
      </c>
      <c r="G39" s="1441">
        <f t="shared" ref="G39:G42" si="3">ROUND(B39*E39,2)</f>
        <v>875.73</v>
      </c>
    </row>
    <row r="40" spans="1:8" ht="25.5">
      <c r="A40" s="1433"/>
      <c r="B40" s="1434">
        <f>24*1</f>
        <v>24</v>
      </c>
      <c r="C40" s="1440" t="s">
        <v>1339</v>
      </c>
      <c r="D40" s="1444" t="s">
        <v>1350</v>
      </c>
      <c r="E40" s="1445">
        <f>'Road data'!$G$205</f>
        <v>8</v>
      </c>
      <c r="F40" s="1440" t="s">
        <v>1339</v>
      </c>
      <c r="G40" s="1441">
        <f t="shared" si="3"/>
        <v>192</v>
      </c>
    </row>
    <row r="41" spans="1:8" ht="25.5">
      <c r="A41" s="1433"/>
      <c r="B41" s="1447">
        <v>0.1</v>
      </c>
      <c r="C41" s="1440"/>
      <c r="D41" s="1444" t="s">
        <v>1341</v>
      </c>
      <c r="E41" s="1445">
        <f>G40</f>
        <v>192</v>
      </c>
      <c r="F41" s="1440"/>
      <c r="G41" s="1441">
        <f t="shared" si="3"/>
        <v>19.2</v>
      </c>
    </row>
    <row r="42" spans="1:8">
      <c r="A42" s="1433"/>
      <c r="B42" s="1434">
        <v>12</v>
      </c>
      <c r="C42" s="1440" t="s">
        <v>23</v>
      </c>
      <c r="D42" s="1444" t="s">
        <v>1351</v>
      </c>
      <c r="E42" s="1445">
        <f>'SSR-rates'!$J$91</f>
        <v>59</v>
      </c>
      <c r="F42" s="1440" t="s">
        <v>23</v>
      </c>
      <c r="G42" s="1441">
        <f t="shared" si="3"/>
        <v>708</v>
      </c>
    </row>
    <row r="43" spans="1:8">
      <c r="A43" s="1433"/>
      <c r="B43" s="1436"/>
      <c r="C43" s="1433"/>
      <c r="D43" s="1444"/>
      <c r="E43" s="1448"/>
      <c r="F43" s="1445"/>
      <c r="G43" s="1449">
        <f>SUM(G39:G42)</f>
        <v>1794.93</v>
      </c>
    </row>
    <row r="44" spans="1:8">
      <c r="A44" s="1433"/>
      <c r="B44" s="1436"/>
      <c r="C44" s="1433"/>
      <c r="D44" s="1450"/>
      <c r="E44" s="1440"/>
      <c r="F44" s="1434"/>
      <c r="G44" s="1449">
        <f>G43+G37</f>
        <v>4228.53</v>
      </c>
    </row>
    <row r="45" spans="1:8" s="1421" customFormat="1">
      <c r="A45" s="1469"/>
      <c r="B45" s="1470" t="s">
        <v>27</v>
      </c>
      <c r="C45" s="1471" t="s">
        <v>1332</v>
      </c>
      <c r="D45" s="1472"/>
      <c r="E45" s="1472"/>
      <c r="F45" s="1472"/>
      <c r="G45" s="1473"/>
      <c r="H45" s="1419"/>
    </row>
    <row r="46" spans="1:8">
      <c r="A46" s="1433"/>
      <c r="B46" s="1455">
        <f>'Input Data'!$D$24</f>
        <v>0.13614999999999999</v>
      </c>
      <c r="C46" s="1456"/>
      <c r="D46" s="1457" t="str">
        <f>"Over head charges &amp; CP "&amp;'Input Data'!$D$24*100&amp;"%  on (A) + (B)+(C)"</f>
        <v>Over head charges &amp; CP 13.615%  on (A) + (B)+(C)</v>
      </c>
      <c r="E46" s="1456">
        <f>G44</f>
        <v>4228.53</v>
      </c>
      <c r="F46" s="1453"/>
      <c r="G46" s="1458">
        <f>E46*B46</f>
        <v>575.71435949999989</v>
      </c>
    </row>
    <row r="47" spans="1:8">
      <c r="A47" s="1433"/>
      <c r="B47" s="1455">
        <f>'Input Data'!$E$24</f>
        <v>0</v>
      </c>
      <c r="C47" s="1456"/>
      <c r="D47" s="1453" t="s">
        <v>1314</v>
      </c>
      <c r="E47" s="1458">
        <f>E46+G46</f>
        <v>4804.2443594999995</v>
      </c>
      <c r="F47" s="1459"/>
      <c r="G47" s="1460">
        <f>E47*B47</f>
        <v>0</v>
      </c>
    </row>
    <row r="48" spans="1:8">
      <c r="A48" s="1433"/>
      <c r="B48" s="1451" t="s">
        <v>45</v>
      </c>
      <c r="C48" s="1452" t="s">
        <v>46</v>
      </c>
      <c r="D48" s="1461"/>
      <c r="E48" s="1453"/>
      <c r="F48" s="1453"/>
      <c r="G48" s="1454">
        <f>G44+G46+G47</f>
        <v>4804.2443594999995</v>
      </c>
    </row>
    <row r="49" spans="1:8">
      <c r="A49" s="1462"/>
      <c r="B49" s="1463"/>
      <c r="C49" s="1464"/>
      <c r="D49" s="1465" t="s">
        <v>1333</v>
      </c>
      <c r="E49" s="1463"/>
      <c r="F49" s="1463" t="s">
        <v>1334</v>
      </c>
      <c r="G49" s="1466">
        <f>G48/100</f>
        <v>48.042443594999995</v>
      </c>
      <c r="H49" s="1420"/>
    </row>
    <row r="50" spans="1:8" ht="33" customHeight="1">
      <c r="A50" s="1429">
        <f>A27+1</f>
        <v>24</v>
      </c>
      <c r="B50" s="1474">
        <v>10.4</v>
      </c>
      <c r="C50" s="1433">
        <v>3004.2</v>
      </c>
      <c r="D50" s="1475" t="s">
        <v>1240</v>
      </c>
      <c r="E50" s="1476"/>
      <c r="F50" s="1445"/>
      <c r="G50" s="1443"/>
    </row>
    <row r="51" spans="1:8" ht="89.25">
      <c r="A51" s="1433"/>
      <c r="B51" s="1436"/>
      <c r="C51" s="1433"/>
      <c r="D51" s="1477" t="s">
        <v>1367</v>
      </c>
      <c r="E51" s="1476"/>
      <c r="F51" s="1445"/>
      <c r="G51" s="1443"/>
    </row>
    <row r="52" spans="1:8">
      <c r="A52" s="1433"/>
      <c r="B52" s="1436"/>
      <c r="C52" s="1433"/>
      <c r="D52" s="1477" t="s">
        <v>1368</v>
      </c>
      <c r="E52" s="1476"/>
      <c r="F52" s="1445"/>
      <c r="G52" s="1443"/>
    </row>
    <row r="53" spans="1:8" ht="13.5">
      <c r="A53" s="1433"/>
      <c r="B53" s="1436"/>
      <c r="C53" s="1433"/>
      <c r="D53" s="1478" t="s">
        <v>1369</v>
      </c>
      <c r="E53" s="1476"/>
      <c r="F53" s="1445"/>
      <c r="G53" s="1443"/>
    </row>
    <row r="54" spans="1:8" ht="13.5">
      <c r="A54" s="1433"/>
      <c r="B54" s="1436"/>
      <c r="C54" s="1433"/>
      <c r="D54" s="1478" t="s">
        <v>1370</v>
      </c>
      <c r="E54" s="1476"/>
      <c r="F54" s="1445"/>
      <c r="G54" s="1443"/>
    </row>
    <row r="55" spans="1:8">
      <c r="A55" s="1433"/>
      <c r="B55" s="1436"/>
      <c r="C55" s="1433"/>
      <c r="D55" s="1475" t="s">
        <v>1319</v>
      </c>
      <c r="E55" s="1476"/>
      <c r="F55" s="1445"/>
      <c r="G55" s="1443"/>
    </row>
    <row r="56" spans="1:8">
      <c r="A56" s="1433"/>
      <c r="B56" s="1434">
        <v>3.76</v>
      </c>
      <c r="C56" s="1440" t="s">
        <v>57</v>
      </c>
      <c r="D56" s="1479" t="s">
        <v>14</v>
      </c>
      <c r="E56" s="1434">
        <f>'SSR-rates'!$J$58</f>
        <v>520</v>
      </c>
      <c r="F56" s="1440" t="s">
        <v>57</v>
      </c>
      <c r="G56" s="1441">
        <f t="shared" ref="G56:G58" si="4">ROUND(B56*E56,2)</f>
        <v>1955.2</v>
      </c>
    </row>
    <row r="57" spans="1:8">
      <c r="A57" s="1433"/>
      <c r="B57" s="1434">
        <v>90</v>
      </c>
      <c r="C57" s="1440" t="s">
        <v>57</v>
      </c>
      <c r="D57" s="1479" t="s">
        <v>59</v>
      </c>
      <c r="E57" s="1434">
        <f>'SSR-rates'!$J$60</f>
        <v>520</v>
      </c>
      <c r="F57" s="1440" t="s">
        <v>57</v>
      </c>
      <c r="G57" s="1441">
        <f t="shared" si="4"/>
        <v>46800</v>
      </c>
    </row>
    <row r="58" spans="1:8">
      <c r="A58" s="1433"/>
      <c r="B58" s="1434">
        <v>4</v>
      </c>
      <c r="C58" s="1440" t="s">
        <v>57</v>
      </c>
      <c r="D58" s="1479" t="s">
        <v>15</v>
      </c>
      <c r="E58" s="1434">
        <f>'SSR-rates'!$J$59</f>
        <v>550</v>
      </c>
      <c r="F58" s="1440" t="s">
        <v>57</v>
      </c>
      <c r="G58" s="1441">
        <f t="shared" si="4"/>
        <v>2200</v>
      </c>
    </row>
    <row r="59" spans="1:8">
      <c r="A59" s="1433"/>
      <c r="B59" s="1436"/>
      <c r="C59" s="1433"/>
      <c r="D59" s="1479"/>
      <c r="E59" s="1435"/>
      <c r="F59" s="1433"/>
      <c r="G59" s="1480">
        <f>SUM(G56:G58)</f>
        <v>50955.199999999997</v>
      </c>
    </row>
    <row r="60" spans="1:8">
      <c r="A60" s="1433"/>
      <c r="B60" s="1436"/>
      <c r="C60" s="1433"/>
      <c r="D60" s="1475" t="s">
        <v>1320</v>
      </c>
      <c r="E60" s="1435"/>
      <c r="F60" s="1433"/>
      <c r="G60" s="1443"/>
    </row>
    <row r="61" spans="1:8">
      <c r="A61" s="1433"/>
      <c r="B61" s="1434">
        <v>6</v>
      </c>
      <c r="C61" s="1440" t="s">
        <v>23</v>
      </c>
      <c r="D61" s="1479" t="s">
        <v>1321</v>
      </c>
      <c r="E61" s="1446">
        <f>'SSR-rates'!$J$73</f>
        <v>668.6</v>
      </c>
      <c r="F61" s="1440" t="s">
        <v>23</v>
      </c>
      <c r="G61" s="1441">
        <f t="shared" ref="G61:G64" si="5">ROUND(B61*E61,2)</f>
        <v>4011.6</v>
      </c>
    </row>
    <row r="62" spans="1:8">
      <c r="A62" s="1433"/>
      <c r="B62" s="1434">
        <v>6</v>
      </c>
      <c r="C62" s="1440" t="s">
        <v>23</v>
      </c>
      <c r="D62" s="1479" t="s">
        <v>1247</v>
      </c>
      <c r="E62" s="1446">
        <f>'SSR-rates'!$Q$78</f>
        <v>33344</v>
      </c>
      <c r="F62" s="1440" t="s">
        <v>23</v>
      </c>
      <c r="G62" s="1441">
        <f t="shared" si="5"/>
        <v>200064</v>
      </c>
    </row>
    <row r="63" spans="1:8">
      <c r="A63" s="1433"/>
      <c r="B63" s="1434">
        <v>45</v>
      </c>
      <c r="C63" s="1440" t="s">
        <v>23</v>
      </c>
      <c r="D63" s="1479" t="s">
        <v>1248</v>
      </c>
      <c r="E63" s="1446">
        <f>'SSR-rates'!$J$89</f>
        <v>1205.7</v>
      </c>
      <c r="F63" s="1440" t="s">
        <v>23</v>
      </c>
      <c r="G63" s="1441">
        <f t="shared" si="5"/>
        <v>54256.5</v>
      </c>
    </row>
    <row r="64" spans="1:8">
      <c r="A64" s="1433"/>
      <c r="B64" s="1434">
        <v>12</v>
      </c>
      <c r="C64" s="1440" t="s">
        <v>23</v>
      </c>
      <c r="D64" s="1479" t="s">
        <v>1249</v>
      </c>
      <c r="E64" s="1446">
        <f>'SSR-rates'!$J$68</f>
        <v>1734.8</v>
      </c>
      <c r="F64" s="1440" t="s">
        <v>23</v>
      </c>
      <c r="G64" s="1441">
        <f t="shared" si="5"/>
        <v>20817.599999999999</v>
      </c>
    </row>
    <row r="65" spans="1:7">
      <c r="A65" s="1433"/>
      <c r="B65" s="1436"/>
      <c r="C65" s="1433"/>
      <c r="D65" s="1479"/>
      <c r="E65" s="1476"/>
      <c r="F65" s="1445"/>
      <c r="G65" s="1480">
        <f>SUM(G61:G64)</f>
        <v>279149.7</v>
      </c>
    </row>
    <row r="66" spans="1:7">
      <c r="A66" s="1433"/>
      <c r="B66" s="1436"/>
      <c r="C66" s="1433"/>
      <c r="D66" s="1475" t="s">
        <v>1322</v>
      </c>
      <c r="E66" s="1476"/>
      <c r="F66" s="1445"/>
      <c r="G66" s="1443"/>
    </row>
    <row r="67" spans="1:7" ht="25.5">
      <c r="A67" s="1433"/>
      <c r="B67" s="1434">
        <v>184.5</v>
      </c>
      <c r="C67" s="1440" t="s">
        <v>31</v>
      </c>
      <c r="D67" s="1479" t="s">
        <v>1371</v>
      </c>
      <c r="E67" s="1446">
        <f>lead!$J$8</f>
        <v>1854.5179333714741</v>
      </c>
      <c r="F67" s="1440" t="s">
        <v>31</v>
      </c>
      <c r="G67" s="1441">
        <f t="shared" ref="G67:G70" si="6">ROUND(B67*E67,2)</f>
        <v>342158.56</v>
      </c>
    </row>
    <row r="68" spans="1:7" ht="25.5">
      <c r="A68" s="1433"/>
      <c r="B68" s="1434">
        <v>92.25</v>
      </c>
      <c r="C68" s="1440" t="s">
        <v>31</v>
      </c>
      <c r="D68" s="1479" t="s">
        <v>1372</v>
      </c>
      <c r="E68" s="1446">
        <f>lead!$J$9</f>
        <v>1754.5179333714741</v>
      </c>
      <c r="F68" s="1440" t="s">
        <v>31</v>
      </c>
      <c r="G68" s="1441">
        <f t="shared" si="6"/>
        <v>161854.28</v>
      </c>
    </row>
    <row r="69" spans="1:7">
      <c r="A69" s="1433"/>
      <c r="B69" s="1434">
        <v>14.97</v>
      </c>
      <c r="C69" s="1440" t="s">
        <v>1232</v>
      </c>
      <c r="D69" s="1481" t="s">
        <v>1373</v>
      </c>
      <c r="E69" s="1446">
        <f>BT_Rate_60_70</f>
        <v>43863.860229723185</v>
      </c>
      <c r="F69" s="1440" t="s">
        <v>1232</v>
      </c>
      <c r="G69" s="1441">
        <f t="shared" si="6"/>
        <v>656641.99</v>
      </c>
    </row>
    <row r="70" spans="1:7" ht="25.5">
      <c r="A70" s="1433"/>
      <c r="B70" s="1434">
        <v>2.46</v>
      </c>
      <c r="C70" s="1440" t="s">
        <v>1232</v>
      </c>
      <c r="D70" s="1479" t="s">
        <v>1374</v>
      </c>
      <c r="E70" s="1446">
        <f>Emution_RS</f>
        <v>43276.860229723185</v>
      </c>
      <c r="F70" s="1440" t="s">
        <v>1232</v>
      </c>
      <c r="G70" s="1441">
        <f t="shared" si="6"/>
        <v>106461.08</v>
      </c>
    </row>
    <row r="71" spans="1:7">
      <c r="A71" s="1433"/>
      <c r="B71" s="1436"/>
      <c r="C71" s="1433"/>
      <c r="D71" s="1479"/>
      <c r="E71" s="1476"/>
      <c r="F71" s="1445"/>
      <c r="G71" s="1480">
        <f>SUM(G67:G70)</f>
        <v>1267115.9100000001</v>
      </c>
    </row>
    <row r="72" spans="1:7">
      <c r="A72" s="1433"/>
      <c r="B72" s="1436"/>
      <c r="C72" s="1433"/>
      <c r="D72" s="1450"/>
      <c r="E72" s="1476"/>
      <c r="F72" s="1445"/>
      <c r="G72" s="1480">
        <f>G59+G65+G71</f>
        <v>1597220.81</v>
      </c>
    </row>
    <row r="73" spans="1:7">
      <c r="A73" s="1433"/>
      <c r="B73" s="1451" t="s">
        <v>45</v>
      </c>
      <c r="C73" s="1452" t="s">
        <v>1332</v>
      </c>
      <c r="D73" s="1453"/>
      <c r="E73" s="1453"/>
      <c r="F73" s="1453"/>
      <c r="G73" s="1454"/>
    </row>
    <row r="74" spans="1:7">
      <c r="A74" s="1433"/>
      <c r="B74" s="1455">
        <f>'Input Data'!$D$24</f>
        <v>0.13614999999999999</v>
      </c>
      <c r="C74" s="1456"/>
      <c r="D74" s="1457" t="str">
        <f>"Over head charges &amp; CP "&amp;'Input Data'!$D$24*100&amp;"%  on (A) + (B)+(C)"</f>
        <v>Over head charges &amp; CP 13.615%  on (A) + (B)+(C)</v>
      </c>
      <c r="E74" s="1456">
        <f>G72</f>
        <v>1597220.81</v>
      </c>
      <c r="F74" s="1453"/>
      <c r="G74" s="1458">
        <f>E74*B74</f>
        <v>217461.6132815</v>
      </c>
    </row>
    <row r="75" spans="1:7">
      <c r="A75" s="1433"/>
      <c r="B75" s="1455">
        <f>'Input Data'!$E$24</f>
        <v>0</v>
      </c>
      <c r="C75" s="1456"/>
      <c r="D75" s="1453" t="s">
        <v>1314</v>
      </c>
      <c r="E75" s="1456">
        <f>E74+G74</f>
        <v>1814682.4232815001</v>
      </c>
      <c r="F75" s="1459"/>
      <c r="G75" s="1460">
        <f>E75*B75</f>
        <v>0</v>
      </c>
    </row>
    <row r="76" spans="1:7">
      <c r="A76" s="1433"/>
      <c r="B76" s="1451" t="s">
        <v>47</v>
      </c>
      <c r="C76" s="1452" t="s">
        <v>89</v>
      </c>
      <c r="D76" s="1461"/>
      <c r="E76" s="1453"/>
      <c r="F76" s="1453"/>
      <c r="G76" s="1454">
        <f>G72+G74+G75</f>
        <v>1814682.4232815001</v>
      </c>
    </row>
    <row r="77" spans="1:7">
      <c r="A77" s="1433"/>
      <c r="B77" s="1463"/>
      <c r="C77" s="1464"/>
      <c r="D77" s="1465" t="s">
        <v>1333</v>
      </c>
      <c r="E77" s="1463"/>
      <c r="F77" s="1463" t="s">
        <v>1334</v>
      </c>
      <c r="G77" s="1466">
        <f>G76/10250</f>
        <v>177.04218763721951</v>
      </c>
    </row>
    <row r="78" spans="1:7" ht="25.5">
      <c r="A78" s="1429">
        <f>A50+1</f>
        <v>25</v>
      </c>
      <c r="B78" s="1474">
        <v>10.5</v>
      </c>
      <c r="C78" s="1433">
        <v>3004.2</v>
      </c>
      <c r="D78" s="1475" t="s">
        <v>1375</v>
      </c>
      <c r="E78" s="1438"/>
      <c r="F78" s="1434"/>
      <c r="G78" s="1443"/>
    </row>
    <row r="79" spans="1:7" ht="89.25">
      <c r="A79" s="1433"/>
      <c r="B79" s="1436"/>
      <c r="C79" s="1433"/>
      <c r="D79" s="1477" t="s">
        <v>1376</v>
      </c>
      <c r="E79" s="1438"/>
      <c r="F79" s="1434"/>
      <c r="G79" s="1443"/>
    </row>
    <row r="80" spans="1:7">
      <c r="A80" s="1433"/>
      <c r="B80" s="1436"/>
      <c r="C80" s="1433"/>
      <c r="D80" s="1477" t="s">
        <v>1317</v>
      </c>
      <c r="E80" s="1438"/>
      <c r="F80" s="1434"/>
      <c r="G80" s="1443"/>
    </row>
    <row r="81" spans="1:7" ht="13.5">
      <c r="A81" s="1433"/>
      <c r="B81" s="1436"/>
      <c r="C81" s="1433"/>
      <c r="D81" s="1478" t="s">
        <v>130</v>
      </c>
      <c r="E81" s="1438"/>
      <c r="F81" s="1434"/>
      <c r="G81" s="1443"/>
    </row>
    <row r="82" spans="1:7" ht="13.5">
      <c r="A82" s="1433"/>
      <c r="B82" s="1436"/>
      <c r="C82" s="1433"/>
      <c r="D82" s="1478" t="s">
        <v>1318</v>
      </c>
      <c r="E82" s="1438"/>
      <c r="F82" s="1434"/>
      <c r="G82" s="1443"/>
    </row>
    <row r="83" spans="1:7">
      <c r="A83" s="1433"/>
      <c r="B83" s="1436"/>
      <c r="C83" s="1433"/>
      <c r="D83" s="1475" t="s">
        <v>1319</v>
      </c>
      <c r="E83" s="1438"/>
      <c r="F83" s="1434"/>
      <c r="G83" s="1443"/>
    </row>
    <row r="84" spans="1:7">
      <c r="A84" s="1433"/>
      <c r="B84" s="1434">
        <v>2.92</v>
      </c>
      <c r="C84" s="1440" t="s">
        <v>57</v>
      </c>
      <c r="D84" s="1479" t="s">
        <v>14</v>
      </c>
      <c r="E84" s="1434">
        <f>'SSR-rates'!$J$58</f>
        <v>520</v>
      </c>
      <c r="F84" s="1448" t="s">
        <v>57</v>
      </c>
      <c r="G84" s="1441">
        <f>ROUND(B84*E84,2)</f>
        <v>1518.4</v>
      </c>
    </row>
    <row r="85" spans="1:7">
      <c r="A85" s="1433"/>
      <c r="B85" s="1434">
        <v>70</v>
      </c>
      <c r="C85" s="1440" t="s">
        <v>57</v>
      </c>
      <c r="D85" s="1479" t="s">
        <v>59</v>
      </c>
      <c r="E85" s="1434">
        <f>'SSR-rates'!$J$60</f>
        <v>520</v>
      </c>
      <c r="F85" s="1448" t="s">
        <v>57</v>
      </c>
      <c r="G85" s="1441">
        <f t="shared" ref="G85:G86" si="7">ROUND(B85*E85,2)</f>
        <v>36400</v>
      </c>
    </row>
    <row r="86" spans="1:7">
      <c r="A86" s="1433"/>
      <c r="B86" s="1434">
        <v>3</v>
      </c>
      <c r="C86" s="1440" t="s">
        <v>57</v>
      </c>
      <c r="D86" s="1479" t="s">
        <v>15</v>
      </c>
      <c r="E86" s="1434">
        <f>'SSR-rates'!$J$59</f>
        <v>550</v>
      </c>
      <c r="F86" s="1448" t="s">
        <v>57</v>
      </c>
      <c r="G86" s="1441">
        <f t="shared" si="7"/>
        <v>1650</v>
      </c>
    </row>
    <row r="87" spans="1:7">
      <c r="A87" s="1469"/>
      <c r="B87" s="1482"/>
      <c r="C87" s="1469"/>
      <c r="D87" s="1483"/>
      <c r="E87" s="1484"/>
      <c r="F87" s="1485"/>
      <c r="G87" s="1486">
        <f>SUM(G84:G86)</f>
        <v>39568.400000000001</v>
      </c>
    </row>
    <row r="88" spans="1:7">
      <c r="A88" s="1433"/>
      <c r="B88" s="1436"/>
      <c r="C88" s="1433"/>
      <c r="D88" s="1475" t="s">
        <v>1320</v>
      </c>
      <c r="E88" s="1435"/>
      <c r="F88" s="1448"/>
      <c r="G88" s="1443"/>
    </row>
    <row r="89" spans="1:7">
      <c r="A89" s="1433"/>
      <c r="B89" s="1434">
        <v>6</v>
      </c>
      <c r="C89" s="1440" t="s">
        <v>23</v>
      </c>
      <c r="D89" s="1479" t="s">
        <v>1321</v>
      </c>
      <c r="E89" s="1446">
        <f>'SSR-rates'!$J$73</f>
        <v>668.6</v>
      </c>
      <c r="F89" s="1448" t="s">
        <v>23</v>
      </c>
      <c r="G89" s="1441">
        <f t="shared" ref="G89:G92" si="8">ROUND(B89*E89,2)</f>
        <v>4011.6</v>
      </c>
    </row>
    <row r="90" spans="1:7">
      <c r="A90" s="1433"/>
      <c r="B90" s="1434">
        <v>6</v>
      </c>
      <c r="C90" s="1440" t="s">
        <v>23</v>
      </c>
      <c r="D90" s="1479" t="s">
        <v>1247</v>
      </c>
      <c r="E90" s="1446">
        <f>'SSR-rates'!$Q$78</f>
        <v>33344</v>
      </c>
      <c r="F90" s="1448" t="s">
        <v>23</v>
      </c>
      <c r="G90" s="1441">
        <f t="shared" si="8"/>
        <v>200064</v>
      </c>
    </row>
    <row r="91" spans="1:7">
      <c r="A91" s="1433"/>
      <c r="B91" s="1434">
        <v>45</v>
      </c>
      <c r="C91" s="1440" t="s">
        <v>23</v>
      </c>
      <c r="D91" s="1479" t="s">
        <v>1248</v>
      </c>
      <c r="E91" s="1446">
        <f>'SSR-rates'!$J$89</f>
        <v>1205.7</v>
      </c>
      <c r="F91" s="1448" t="s">
        <v>23</v>
      </c>
      <c r="G91" s="1441">
        <f t="shared" si="8"/>
        <v>54256.5</v>
      </c>
    </row>
    <row r="92" spans="1:7">
      <c r="A92" s="1433"/>
      <c r="B92" s="1434">
        <v>12</v>
      </c>
      <c r="C92" s="1440" t="s">
        <v>23</v>
      </c>
      <c r="D92" s="1479" t="s">
        <v>1249</v>
      </c>
      <c r="E92" s="1446">
        <f>'SSR-rates'!$J$68</f>
        <v>1734.8</v>
      </c>
      <c r="F92" s="1448" t="s">
        <v>23</v>
      </c>
      <c r="G92" s="1441">
        <f t="shared" si="8"/>
        <v>20817.599999999999</v>
      </c>
    </row>
    <row r="93" spans="1:7">
      <c r="A93" s="1433"/>
      <c r="B93" s="1436"/>
      <c r="C93" s="1433"/>
      <c r="D93" s="1479"/>
      <c r="E93" s="1435"/>
      <c r="F93" s="1448"/>
      <c r="G93" s="1480">
        <f>SUM(G89:G92)</f>
        <v>279149.7</v>
      </c>
    </row>
    <row r="94" spans="1:7">
      <c r="A94" s="1433"/>
      <c r="B94" s="1436"/>
      <c r="C94" s="1433"/>
      <c r="D94" s="1475" t="s">
        <v>1322</v>
      </c>
      <c r="E94" s="1435"/>
      <c r="F94" s="1448"/>
      <c r="G94" s="1443"/>
    </row>
    <row r="95" spans="1:7">
      <c r="A95" s="1433"/>
      <c r="B95" s="1434">
        <v>22.5</v>
      </c>
      <c r="C95" s="1440" t="s">
        <v>1232</v>
      </c>
      <c r="D95" s="1479" t="s">
        <v>1323</v>
      </c>
      <c r="E95" s="1446">
        <f>BT_Rate_60_70</f>
        <v>43863.860229723185</v>
      </c>
      <c r="F95" s="1448" t="s">
        <v>1232</v>
      </c>
      <c r="G95" s="1441">
        <f t="shared" ref="G95:G96" si="9">ROUND(B95*E95,2)</f>
        <v>986936.86</v>
      </c>
    </row>
    <row r="96" spans="1:7">
      <c r="A96" s="1433"/>
      <c r="B96" s="1434">
        <v>1.18</v>
      </c>
      <c r="C96" s="1440" t="s">
        <v>1232</v>
      </c>
      <c r="D96" s="1479" t="s">
        <v>1324</v>
      </c>
      <c r="E96" s="1446">
        <f>Emution_RS</f>
        <v>43276.860229723185</v>
      </c>
      <c r="F96" s="1448" t="s">
        <v>1232</v>
      </c>
      <c r="G96" s="1441">
        <f t="shared" si="9"/>
        <v>51066.7</v>
      </c>
    </row>
    <row r="97" spans="1:7">
      <c r="A97" s="1433"/>
      <c r="B97" s="1436"/>
      <c r="C97" s="1433"/>
      <c r="D97" s="1479"/>
      <c r="E97" s="1476"/>
      <c r="F97" s="1445"/>
      <c r="G97" s="1480">
        <f>SUM(G95:G96)</f>
        <v>1038003.5599999999</v>
      </c>
    </row>
    <row r="98" spans="1:7">
      <c r="A98" s="1433"/>
      <c r="B98" s="1436"/>
      <c r="C98" s="1433"/>
      <c r="D98" s="1475" t="s">
        <v>1325</v>
      </c>
      <c r="E98" s="1476"/>
      <c r="F98" s="1445"/>
      <c r="G98" s="1443"/>
    </row>
    <row r="99" spans="1:7">
      <c r="A99" s="1433"/>
      <c r="B99" s="1436"/>
      <c r="C99" s="1433"/>
      <c r="D99" s="1475" t="s">
        <v>1326</v>
      </c>
      <c r="E99" s="1476"/>
      <c r="F99" s="1445"/>
      <c r="G99" s="1443"/>
    </row>
    <row r="100" spans="1:7">
      <c r="A100" s="1433"/>
      <c r="B100" s="1434">
        <v>99.75</v>
      </c>
      <c r="C100" s="1440" t="s">
        <v>31</v>
      </c>
      <c r="D100" s="1479" t="s">
        <v>1327</v>
      </c>
      <c r="E100" s="1487">
        <f>AVERAGE(lead!J7:J9)</f>
        <v>1871.5179333714741</v>
      </c>
      <c r="F100" s="1440" t="s">
        <v>31</v>
      </c>
      <c r="G100" s="1441">
        <f t="shared" ref="G100:G105" si="10">ROUND(B100*E100,2)</f>
        <v>186683.91</v>
      </c>
    </row>
    <row r="101" spans="1:7">
      <c r="A101" s="1433"/>
      <c r="B101" s="1434">
        <v>65.55</v>
      </c>
      <c r="C101" s="1440" t="s">
        <v>31</v>
      </c>
      <c r="D101" s="1479" t="s">
        <v>1328</v>
      </c>
      <c r="E101" s="1487">
        <f>(lead!J9+lead!J10)/2</f>
        <v>1726.0179333714741</v>
      </c>
      <c r="F101" s="1440" t="s">
        <v>31</v>
      </c>
      <c r="G101" s="1441">
        <f t="shared" si="10"/>
        <v>113140.48</v>
      </c>
    </row>
    <row r="102" spans="1:7">
      <c r="A102" s="1433"/>
      <c r="B102" s="1434">
        <v>114</v>
      </c>
      <c r="C102" s="1440" t="s">
        <v>31</v>
      </c>
      <c r="D102" s="1479" t="s">
        <v>1329</v>
      </c>
      <c r="E102" s="1487">
        <f>AVERAGE(lead!J10:J12)</f>
        <v>1678.9346000381408</v>
      </c>
      <c r="F102" s="1440" t="s">
        <v>31</v>
      </c>
      <c r="G102" s="1441">
        <f t="shared" si="10"/>
        <v>191398.54</v>
      </c>
    </row>
    <row r="103" spans="1:7">
      <c r="A103" s="1433"/>
      <c r="B103" s="1434">
        <v>8.6199999999999992</v>
      </c>
      <c r="C103" s="1440" t="s">
        <v>1232</v>
      </c>
      <c r="D103" s="1479" t="s">
        <v>1330</v>
      </c>
      <c r="E103" s="1487">
        <f>lead!$J$12</f>
        <v>1658.7679333714741</v>
      </c>
      <c r="F103" s="1440" t="s">
        <v>1232</v>
      </c>
      <c r="G103" s="1441">
        <f t="shared" si="10"/>
        <v>14298.58</v>
      </c>
    </row>
    <row r="104" spans="1:7">
      <c r="A104" s="1433"/>
      <c r="B104" s="1436"/>
      <c r="C104" s="1433"/>
      <c r="D104" s="1479"/>
      <c r="E104" s="1476"/>
      <c r="F104" s="1445"/>
      <c r="G104" s="1488"/>
    </row>
    <row r="105" spans="1:7">
      <c r="A105" s="1433"/>
      <c r="B105" s="1489">
        <v>0.05</v>
      </c>
      <c r="C105" s="1433"/>
      <c r="D105" s="1477" t="s">
        <v>1331</v>
      </c>
      <c r="E105" s="1476">
        <f>SUM(G100:G103)</f>
        <v>505521.51000000007</v>
      </c>
      <c r="F105" s="1489"/>
      <c r="G105" s="1441">
        <f t="shared" si="10"/>
        <v>25276.080000000002</v>
      </c>
    </row>
    <row r="106" spans="1:7">
      <c r="A106" s="1433"/>
      <c r="B106" s="1436"/>
      <c r="C106" s="1433"/>
      <c r="D106" s="1477"/>
      <c r="E106" s="1476"/>
      <c r="F106" s="1490"/>
      <c r="G106" s="1491">
        <f>SUM(G100:G105)</f>
        <v>530797.59000000008</v>
      </c>
    </row>
    <row r="107" spans="1:7">
      <c r="A107" s="1433"/>
      <c r="B107" s="1436"/>
      <c r="C107" s="1433"/>
      <c r="D107" s="1492"/>
      <c r="E107" s="1438"/>
      <c r="F107" s="1434"/>
      <c r="G107" s="1491">
        <f>G106+G97+G93+G87</f>
        <v>1887519.2499999998</v>
      </c>
    </row>
    <row r="108" spans="1:7">
      <c r="A108" s="1433"/>
      <c r="B108" s="1451" t="s">
        <v>45</v>
      </c>
      <c r="C108" s="1452" t="s">
        <v>1332</v>
      </c>
      <c r="D108" s="1453"/>
      <c r="E108" s="1453"/>
      <c r="F108" s="1453"/>
      <c r="G108" s="1454"/>
    </row>
    <row r="109" spans="1:7">
      <c r="A109" s="1433"/>
      <c r="B109" s="1455">
        <f>'Input Data'!$D$24</f>
        <v>0.13614999999999999</v>
      </c>
      <c r="C109" s="1456"/>
      <c r="D109" s="1457" t="str">
        <f>"Over head charges &amp; CP "&amp;'Input Data'!$D$24*100&amp;"%  on (A) + (B)+(C)"</f>
        <v>Over head charges &amp; CP 13.615%  on (A) + (B)+(C)</v>
      </c>
      <c r="E109" s="1456">
        <f>G107</f>
        <v>1887519.2499999998</v>
      </c>
      <c r="F109" s="1453"/>
      <c r="G109" s="1458">
        <f>E109*B109</f>
        <v>256985.74588749994</v>
      </c>
    </row>
    <row r="110" spans="1:7" ht="23.45" customHeight="1">
      <c r="A110" s="1433"/>
      <c r="B110" s="1455">
        <f>'Input Data'!$E$24</f>
        <v>0</v>
      </c>
      <c r="C110" s="1456"/>
      <c r="D110" s="1453" t="s">
        <v>1314</v>
      </c>
      <c r="E110" s="1456">
        <f>E109+G109</f>
        <v>2144504.9958874998</v>
      </c>
      <c r="F110" s="1459"/>
      <c r="G110" s="1460">
        <f>E110*B110</f>
        <v>0</v>
      </c>
    </row>
    <row r="111" spans="1:7">
      <c r="A111" s="1433"/>
      <c r="B111" s="1451" t="s">
        <v>47</v>
      </c>
      <c r="C111" s="1452" t="s">
        <v>89</v>
      </c>
      <c r="D111" s="1461"/>
      <c r="E111" s="1453"/>
      <c r="F111" s="1453"/>
      <c r="G111" s="1454">
        <f>G107+G109+G110</f>
        <v>2144504.9958874998</v>
      </c>
    </row>
    <row r="112" spans="1:7">
      <c r="A112" s="1469"/>
      <c r="B112" s="1493"/>
      <c r="C112" s="1494"/>
      <c r="D112" s="1495" t="s">
        <v>1333</v>
      </c>
      <c r="E112" s="1493"/>
      <c r="F112" s="1493" t="s">
        <v>1334</v>
      </c>
      <c r="G112" s="1496">
        <f>G111/4900</f>
        <v>437.65408079336731</v>
      </c>
    </row>
    <row r="113" spans="2:7">
      <c r="D113" s="1497"/>
      <c r="E113" s="1498"/>
    </row>
    <row r="114" spans="2:7">
      <c r="D114" s="1499" t="s">
        <v>1377</v>
      </c>
    </row>
    <row r="115" spans="2:7">
      <c r="D115" s="1499" t="s">
        <v>1378</v>
      </c>
    </row>
    <row r="116" spans="2:7">
      <c r="D116" s="1500"/>
    </row>
    <row r="117" spans="2:7">
      <c r="B117" s="1418"/>
      <c r="D117" s="1501" t="s">
        <v>950</v>
      </c>
    </row>
    <row r="118" spans="2:7" ht="12.75" customHeight="1">
      <c r="B118" s="1418"/>
      <c r="D118" s="1502" t="str">
        <f>'Road data'!D985</f>
        <v>Assistant Engineer,</v>
      </c>
      <c r="E118" s="3679" t="str">
        <f>'Road data'!E985</f>
        <v>Dy. Exe. Engineer</v>
      </c>
      <c r="F118" s="3679"/>
      <c r="G118" s="3679"/>
    </row>
    <row r="119" spans="2:7">
      <c r="B119" s="1418"/>
      <c r="D119" s="1502" t="str">
        <f>'Road data'!D986</f>
        <v>PRSD, Wanaparthy</v>
      </c>
      <c r="E119" s="3679" t="str">
        <f>'Road data'!E986</f>
        <v>PRSD, Wanaparthy</v>
      </c>
      <c r="F119" s="3679"/>
      <c r="G119" s="3679"/>
    </row>
    <row r="120" spans="2:7">
      <c r="B120" s="1418"/>
    </row>
    <row r="121" spans="2:7">
      <c r="B121" s="1418"/>
    </row>
    <row r="122" spans="2:7">
      <c r="B122" s="1418"/>
    </row>
    <row r="123" spans="2:7" s="1422" customFormat="1" ht="12.75" customHeight="1">
      <c r="B123" s="1503"/>
      <c r="D123" s="1504" t="str">
        <f>'Road data'!D989</f>
        <v>District Panchayat Raj Engineer,</v>
      </c>
      <c r="E123" s="3677" t="str">
        <f>'Road data'!E989</f>
        <v>Superintending Engineer</v>
      </c>
      <c r="F123" s="3677"/>
      <c r="G123" s="3677"/>
    </row>
    <row r="124" spans="2:7" s="1422" customFormat="1" ht="12.75" customHeight="1">
      <c r="B124" s="1503"/>
      <c r="D124" s="1504" t="str">
        <f>'Road data'!D990</f>
        <v>PIU, Wanaparthy</v>
      </c>
      <c r="E124" s="3677" t="str">
        <f>'Road data'!E990</f>
        <v>PR, Circle, Warangal</v>
      </c>
      <c r="F124" s="3677"/>
      <c r="G124" s="3677"/>
    </row>
    <row r="125" spans="2:7">
      <c r="B125" s="1418"/>
    </row>
    <row r="126" spans="2:7">
      <c r="B126" s="1418"/>
    </row>
  </sheetData>
  <mergeCells count="6">
    <mergeCell ref="E124:G124"/>
    <mergeCell ref="A1:G1"/>
    <mergeCell ref="A2:G2"/>
    <mergeCell ref="E118:G118"/>
    <mergeCell ref="E119:G119"/>
    <mergeCell ref="E123:G123"/>
  </mergeCells>
  <printOptions horizontalCentered="1"/>
  <pageMargins left="0.31458333333333299" right="0.118055555555556" top="0.39305555555555599" bottom="0.43263888888888902" header="0.118055555555556" footer="0.118055555555556"/>
  <pageSetup paperSize="9" orientation="portrait"/>
  <headerFooter alignWithMargins="0">
    <oddFooter>&amp;CPage &amp;P of &amp;N</oddFooter>
  </headerFooter>
</worksheet>
</file>

<file path=xl/worksheets/sheet27.xml><?xml version="1.0" encoding="utf-8"?>
<worksheet xmlns="http://schemas.openxmlformats.org/spreadsheetml/2006/main" xmlns:r="http://schemas.openxmlformats.org/officeDocument/2006/relationships">
  <sheetPr>
    <tabColor theme="5" tint="-0.249977111117893"/>
  </sheetPr>
  <dimension ref="A1:T45"/>
  <sheetViews>
    <sheetView view="pageBreakPreview" topLeftCell="A28" zoomScale="112" workbookViewId="0">
      <selection activeCell="B32" sqref="B32:K32"/>
    </sheetView>
  </sheetViews>
  <sheetFormatPr defaultColWidth="9.140625" defaultRowHeight="15"/>
  <cols>
    <col min="1" max="1" width="5" style="1378" customWidth="1"/>
    <col min="2" max="2" width="20.140625" style="678" customWidth="1"/>
    <col min="3" max="3" width="3.5703125" style="1379" customWidth="1"/>
    <col min="4" max="4" width="3.5703125" style="683" customWidth="1"/>
    <col min="5" max="5" width="3.5703125" style="1380" customWidth="1"/>
    <col min="6" max="6" width="7.140625" style="683" customWidth="1"/>
    <col min="7" max="7" width="8.28515625" style="683" customWidth="1"/>
    <col min="8" max="9" width="7.42578125" style="683" customWidth="1"/>
    <col min="10" max="10" width="9.42578125" style="683" customWidth="1"/>
    <col min="11" max="11" width="5.42578125" style="683" customWidth="1"/>
    <col min="12" max="12" width="11.85546875" style="682" customWidth="1"/>
    <col min="13" max="13" width="9.140625" style="678"/>
    <col min="14" max="14" width="9.7109375" style="678" customWidth="1"/>
    <col min="15" max="15" width="9.140625" style="678"/>
    <col min="16" max="16" width="6.28515625" style="678" customWidth="1"/>
    <col min="17" max="20" width="9.140625" style="678" hidden="1" customWidth="1"/>
    <col min="21" max="16384" width="9.140625" style="678"/>
  </cols>
  <sheetData>
    <row r="1" spans="1:14" ht="18" customHeight="1">
      <c r="A1" s="3680" t="s">
        <v>1379</v>
      </c>
      <c r="B1" s="3681"/>
      <c r="C1" s="3681"/>
      <c r="D1" s="3681"/>
      <c r="E1" s="3681"/>
      <c r="F1" s="3681"/>
      <c r="G1" s="3681"/>
      <c r="H1" s="3681"/>
      <c r="I1" s="3681"/>
      <c r="J1" s="3681"/>
      <c r="K1" s="3681"/>
      <c r="L1" s="3681"/>
    </row>
    <row r="2" spans="1:14" ht="36.75" customHeight="1">
      <c r="A2" s="3682" t="s">
        <v>677</v>
      </c>
      <c r="B2" s="3682"/>
      <c r="C2" s="1382"/>
      <c r="D2" s="1381"/>
      <c r="E2" s="1383"/>
      <c r="F2" s="3683" t="str">
        <f>'Input Data'!E1</f>
        <v>R/F A to B in Wanaparthy Mandal of Wanaparthy District</v>
      </c>
      <c r="G2" s="3683"/>
      <c r="H2" s="3683"/>
      <c r="I2" s="3683"/>
      <c r="J2" s="3683"/>
      <c r="K2" s="3683"/>
      <c r="L2" s="3683"/>
    </row>
    <row r="3" spans="1:14" s="682" customFormat="1" ht="22.5" customHeight="1">
      <c r="A3" s="3680" t="s">
        <v>2807</v>
      </c>
      <c r="B3" s="3680"/>
      <c r="C3" s="3680"/>
      <c r="D3" s="3680"/>
      <c r="E3" s="3680"/>
      <c r="F3" s="3680"/>
      <c r="G3" s="3680"/>
      <c r="H3" s="3680"/>
      <c r="I3" s="3680"/>
      <c r="J3" s="3680"/>
      <c r="K3" s="3680"/>
      <c r="L3" s="3680"/>
    </row>
    <row r="4" spans="1:14" s="683" customFormat="1" ht="36.75" customHeight="1">
      <c r="A4" s="808" t="s">
        <v>1380</v>
      </c>
      <c r="B4" s="808" t="s">
        <v>953</v>
      </c>
      <c r="C4" s="3684" t="s">
        <v>954</v>
      </c>
      <c r="D4" s="3684"/>
      <c r="E4" s="3684"/>
      <c r="F4" s="808" t="s">
        <v>180</v>
      </c>
      <c r="G4" s="808" t="s">
        <v>781</v>
      </c>
      <c r="H4" s="808" t="s">
        <v>955</v>
      </c>
      <c r="I4" s="698" t="s">
        <v>3</v>
      </c>
      <c r="J4" s="699" t="s">
        <v>5</v>
      </c>
      <c r="K4" s="699" t="s">
        <v>580</v>
      </c>
      <c r="L4" s="808" t="s">
        <v>7</v>
      </c>
    </row>
    <row r="5" spans="1:14" s="683" customFormat="1">
      <c r="A5" s="1384">
        <v>1</v>
      </c>
      <c r="B5" s="699">
        <v>2</v>
      </c>
      <c r="C5" s="3685">
        <v>3</v>
      </c>
      <c r="D5" s="3685"/>
      <c r="E5" s="3685"/>
      <c r="F5" s="699">
        <v>4</v>
      </c>
      <c r="G5" s="699">
        <v>5</v>
      </c>
      <c r="H5" s="699">
        <v>6</v>
      </c>
      <c r="I5" s="699">
        <v>7</v>
      </c>
      <c r="J5" s="699">
        <v>8</v>
      </c>
      <c r="K5" s="699">
        <v>9</v>
      </c>
      <c r="L5" s="699">
        <v>10</v>
      </c>
    </row>
    <row r="6" spans="1:14" ht="96.95" customHeight="1">
      <c r="A6" s="1384">
        <v>1</v>
      </c>
      <c r="B6" s="3686" t="str">
        <f>'Pipe data'!B4:G4</f>
        <v>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v>
      </c>
      <c r="C6" s="3686"/>
      <c r="D6" s="3686"/>
      <c r="E6" s="3686"/>
      <c r="F6" s="3686"/>
      <c r="G6" s="3686"/>
      <c r="H6" s="3686"/>
      <c r="I6" s="3686"/>
      <c r="J6" s="3686"/>
      <c r="K6" s="3686"/>
      <c r="L6" s="1403"/>
    </row>
    <row r="7" spans="1:14" s="676" customFormat="1" ht="30">
      <c r="A7" s="807"/>
      <c r="B7" s="1385" t="s">
        <v>1381</v>
      </c>
      <c r="C7" s="1386">
        <v>1</v>
      </c>
      <c r="D7" s="1386" t="s">
        <v>956</v>
      </c>
      <c r="E7" s="807">
        <v>2</v>
      </c>
      <c r="F7" s="805">
        <v>5.5</v>
      </c>
      <c r="G7" s="805">
        <v>1.4</v>
      </c>
      <c r="H7" s="1387">
        <v>1.5</v>
      </c>
      <c r="I7" s="1404">
        <f t="shared" ref="I7:I13" si="0">ROUND(C7*E7*F7*G7*H7,2)</f>
        <v>23.1</v>
      </c>
      <c r="J7" s="1386"/>
      <c r="K7" s="1405"/>
      <c r="L7" s="1406"/>
    </row>
    <row r="8" spans="1:14" s="676" customFormat="1">
      <c r="A8" s="807"/>
      <c r="B8" s="1385" t="s">
        <v>1382</v>
      </c>
      <c r="C8" s="1386">
        <v>1</v>
      </c>
      <c r="D8" s="1386" t="s">
        <v>956</v>
      </c>
      <c r="E8" s="807">
        <v>1</v>
      </c>
      <c r="F8" s="805">
        <v>4.7</v>
      </c>
      <c r="G8" s="805">
        <v>3</v>
      </c>
      <c r="H8" s="1387">
        <v>0.3</v>
      </c>
      <c r="I8" s="1404">
        <f t="shared" si="0"/>
        <v>4.2300000000000004</v>
      </c>
      <c r="J8" s="1386"/>
      <c r="K8" s="1405"/>
      <c r="L8" s="1406"/>
    </row>
    <row r="9" spans="1:14" s="676" customFormat="1">
      <c r="A9" s="807"/>
      <c r="B9" s="1386"/>
      <c r="C9" s="1388"/>
      <c r="D9" s="1386"/>
      <c r="E9" s="1385"/>
      <c r="F9" s="807"/>
      <c r="G9" s="807"/>
      <c r="H9" s="807"/>
      <c r="I9" s="1407">
        <f>SUM(I7:I8)</f>
        <v>27.330000000000002</v>
      </c>
      <c r="J9" s="1387">
        <f>'Pipe data'!G20</f>
        <v>123.69927804166667</v>
      </c>
      <c r="K9" s="1386">
        <v>1</v>
      </c>
      <c r="L9" s="1408">
        <f>ROUND(I9*J9,0)</f>
        <v>3381</v>
      </c>
    </row>
    <row r="10" spans="1:14">
      <c r="A10" s="1384"/>
      <c r="B10" s="702"/>
      <c r="C10" s="703"/>
      <c r="D10" s="699"/>
      <c r="E10" s="697"/>
      <c r="F10" s="699"/>
      <c r="G10" s="699"/>
      <c r="H10" s="699"/>
      <c r="I10" s="848" t="s">
        <v>73</v>
      </c>
      <c r="J10" s="704"/>
      <c r="K10" s="808" t="s">
        <v>73</v>
      </c>
      <c r="L10" s="713"/>
    </row>
    <row r="11" spans="1:14" ht="51" customHeight="1">
      <c r="A11" s="1384">
        <v>2</v>
      </c>
      <c r="B11" s="3687" t="str">
        <f>'Pipe data'!B55:G55</f>
        <v>Sand  Filling  in foundation trenches as per drawing and technical specification Clause 304 of MORTH including overhead charges &amp; Contractors profit etc complete.</v>
      </c>
      <c r="C11" s="3686"/>
      <c r="D11" s="3686"/>
      <c r="E11" s="3686"/>
      <c r="F11" s="3686"/>
      <c r="G11" s="3686"/>
      <c r="H11" s="3686"/>
      <c r="I11" s="3686"/>
      <c r="J11" s="3686"/>
      <c r="K11" s="3686"/>
      <c r="L11" s="1409"/>
      <c r="N11" s="684"/>
    </row>
    <row r="12" spans="1:14" s="676" customFormat="1" ht="30">
      <c r="A12" s="807"/>
      <c r="B12" s="1385" t="s">
        <v>1381</v>
      </c>
      <c r="C12" s="1386">
        <v>1</v>
      </c>
      <c r="D12" s="1386" t="s">
        <v>956</v>
      </c>
      <c r="E12" s="807">
        <v>2</v>
      </c>
      <c r="F12" s="805">
        <f>F7</f>
        <v>5.5</v>
      </c>
      <c r="G12" s="805">
        <v>1.4</v>
      </c>
      <c r="H12" s="1387">
        <v>0.1</v>
      </c>
      <c r="I12" s="1404">
        <f t="shared" si="0"/>
        <v>1.54</v>
      </c>
      <c r="J12" s="1386"/>
      <c r="K12" s="1405"/>
      <c r="L12" s="1406"/>
    </row>
    <row r="13" spans="1:14" s="676" customFormat="1">
      <c r="A13" s="807"/>
      <c r="B13" s="1385" t="s">
        <v>1382</v>
      </c>
      <c r="C13" s="1386">
        <v>1</v>
      </c>
      <c r="D13" s="1386" t="s">
        <v>956</v>
      </c>
      <c r="E13" s="807">
        <v>1</v>
      </c>
      <c r="F13" s="805">
        <v>4.7</v>
      </c>
      <c r="G13" s="805">
        <v>3</v>
      </c>
      <c r="H13" s="1387">
        <v>0.3</v>
      </c>
      <c r="I13" s="1404">
        <f t="shared" si="0"/>
        <v>4.2300000000000004</v>
      </c>
      <c r="J13" s="1386"/>
      <c r="K13" s="1405"/>
      <c r="L13" s="1406"/>
    </row>
    <row r="14" spans="1:14" s="676" customFormat="1">
      <c r="A14" s="807"/>
      <c r="B14" s="749"/>
      <c r="C14" s="1389"/>
      <c r="D14" s="807"/>
      <c r="E14" s="692"/>
      <c r="F14" s="1390"/>
      <c r="G14" s="807"/>
      <c r="H14" s="807"/>
      <c r="I14" s="1407">
        <f>SUM(I12:I13)</f>
        <v>5.7700000000000005</v>
      </c>
      <c r="J14" s="1410">
        <f>'Pipe data'!G72</f>
        <v>1237.43</v>
      </c>
      <c r="K14" s="1386">
        <v>1</v>
      </c>
      <c r="L14" s="1408">
        <f>ROUND(I14*J14,0)</f>
        <v>7140</v>
      </c>
    </row>
    <row r="15" spans="1:14">
      <c r="A15" s="1384"/>
      <c r="B15" s="702"/>
      <c r="C15" s="703"/>
      <c r="D15" s="699"/>
      <c r="E15" s="697"/>
      <c r="F15" s="699"/>
      <c r="G15" s="699"/>
      <c r="H15" s="699"/>
      <c r="I15" s="848" t="s">
        <v>73</v>
      </c>
      <c r="J15" s="704"/>
      <c r="K15" s="808" t="s">
        <v>73</v>
      </c>
      <c r="L15" s="713"/>
    </row>
    <row r="16" spans="1:14" ht="94.15" customHeight="1">
      <c r="A16" s="1384">
        <v>3</v>
      </c>
      <c r="B16" s="3686" t="str">
        <f>'Slab-Culverts Data'!B5:J5</f>
        <v>Providing Plain Cement Concrete (1:3:6) mix using 40mm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C16" s="3686"/>
      <c r="D16" s="3686"/>
      <c r="E16" s="3686"/>
      <c r="F16" s="3686"/>
      <c r="G16" s="3686"/>
      <c r="H16" s="3686"/>
      <c r="I16" s="3686"/>
      <c r="J16" s="3686"/>
      <c r="K16" s="808"/>
      <c r="L16" s="713"/>
    </row>
    <row r="17" spans="1:12" ht="19.149999999999999" customHeight="1">
      <c r="A17" s="1384"/>
      <c r="B17" s="702" t="s">
        <v>1383</v>
      </c>
      <c r="C17" s="703">
        <v>1</v>
      </c>
      <c r="D17" s="699" t="s">
        <v>956</v>
      </c>
      <c r="E17" s="697">
        <v>2</v>
      </c>
      <c r="F17" s="698">
        <f>F12</f>
        <v>5.5</v>
      </c>
      <c r="G17" s="699">
        <v>1.4</v>
      </c>
      <c r="H17" s="699">
        <v>0.15</v>
      </c>
      <c r="I17" s="1404">
        <f>ROUND(C17*E17*F17*G17*H17,2)</f>
        <v>2.31</v>
      </c>
      <c r="J17" s="704"/>
      <c r="K17" s="808"/>
      <c r="L17" s="713"/>
    </row>
    <row r="18" spans="1:12" ht="19.149999999999999" customHeight="1">
      <c r="A18" s="1384"/>
      <c r="B18" s="1385" t="s">
        <v>1382</v>
      </c>
      <c r="C18" s="1388">
        <v>1</v>
      </c>
      <c r="D18" s="1386" t="s">
        <v>956</v>
      </c>
      <c r="E18" s="692">
        <v>1</v>
      </c>
      <c r="F18" s="805">
        <v>5.4</v>
      </c>
      <c r="G18" s="805">
        <v>1.5</v>
      </c>
      <c r="H18" s="1387">
        <v>0.2</v>
      </c>
      <c r="I18" s="1404">
        <f>ROUND(C18*E18*F18*G18*H18,2)</f>
        <v>1.62</v>
      </c>
      <c r="J18" s="704"/>
      <c r="K18" s="808"/>
      <c r="L18" s="713"/>
    </row>
    <row r="19" spans="1:12" ht="19.149999999999999" customHeight="1">
      <c r="A19" s="1384"/>
      <c r="B19" s="702"/>
      <c r="C19" s="703"/>
      <c r="D19" s="699"/>
      <c r="E19" s="697"/>
      <c r="F19" s="699"/>
      <c r="G19" s="699"/>
      <c r="H19" s="699"/>
      <c r="I19" s="848">
        <f>SUM(I17:I18)</f>
        <v>3.93</v>
      </c>
      <c r="J19" s="704">
        <f>'Slab-Culverts Data'!J31</f>
        <v>5706.01</v>
      </c>
      <c r="K19" s="1386">
        <v>1</v>
      </c>
      <c r="L19" s="1408">
        <f>ROUND(I19*J19,0)</f>
        <v>22425</v>
      </c>
    </row>
    <row r="20" spans="1:12" ht="19.149999999999999" customHeight="1">
      <c r="A20" s="1384"/>
      <c r="B20" s="702"/>
      <c r="C20" s="703"/>
      <c r="D20" s="699"/>
      <c r="E20" s="697"/>
      <c r="F20" s="699"/>
      <c r="G20" s="699"/>
      <c r="H20" s="699"/>
      <c r="I20" s="848" t="s">
        <v>73</v>
      </c>
      <c r="J20" s="704"/>
      <c r="K20" s="808" t="s">
        <v>73</v>
      </c>
      <c r="L20" s="713"/>
    </row>
    <row r="21" spans="1:12" ht="111.95" customHeight="1">
      <c r="A21" s="1384">
        <v>3</v>
      </c>
      <c r="B21" s="3686" t="str">
        <f>'Pipe data'!$B$74:$G$74</f>
        <v>Vibrated  cement concrete M 15 Grade Concrete using 40mm , 20mm and 10mm size HBG crushed stone aggregate (Coarse aggregate conforming to table 1000-1 and fine aggregate (Natural sand 50%+Manufactured sand(Rock Sand)50% ) conforming to table 1000-2) including cost, (excluding  seigniorage) and conveyance of  all  materials to site and all labour charges , centering, machine mixing, laying in position, Compacting, Vibrating and curing including all other incidental and all other operational charges of T&amp;P required etc., complete as per MoRT&amp;H Specification 1500,1700, 2200 (5th Revision)  for foundations.</v>
      </c>
      <c r="C21" s="3686"/>
      <c r="D21" s="3686"/>
      <c r="E21" s="3686"/>
      <c r="F21" s="3686"/>
      <c r="G21" s="3686"/>
      <c r="H21" s="3686"/>
      <c r="I21" s="3686"/>
      <c r="J21" s="3686"/>
      <c r="K21" s="3686"/>
      <c r="L21" s="713"/>
    </row>
    <row r="22" spans="1:12" s="676" customFormat="1" ht="27.6" customHeight="1">
      <c r="A22" s="807"/>
      <c r="B22" s="693" t="s">
        <v>1384</v>
      </c>
      <c r="C22" s="1391" t="s">
        <v>1385</v>
      </c>
      <c r="D22" s="1391"/>
      <c r="E22" s="1384">
        <v>2</v>
      </c>
      <c r="F22" s="798">
        <f>F12</f>
        <v>5.5</v>
      </c>
      <c r="G22" s="1392">
        <v>1.4</v>
      </c>
      <c r="H22" s="1392">
        <v>0.15</v>
      </c>
      <c r="I22" s="1411">
        <f>ROUND(PRODUCT(C22:H22),2)</f>
        <v>2.31</v>
      </c>
      <c r="J22" s="1405"/>
      <c r="K22" s="1405"/>
      <c r="L22" s="1406"/>
    </row>
    <row r="23" spans="1:12" s="676" customFormat="1" ht="27.6" customHeight="1">
      <c r="A23" s="807"/>
      <c r="B23" s="693" t="s">
        <v>1384</v>
      </c>
      <c r="C23" s="1391" t="s">
        <v>1385</v>
      </c>
      <c r="D23" s="1391"/>
      <c r="E23" s="1393">
        <v>2</v>
      </c>
      <c r="F23" s="798">
        <f>F22</f>
        <v>5.5</v>
      </c>
      <c r="G23" s="1394" t="s">
        <v>1386</v>
      </c>
      <c r="H23" s="1392">
        <v>1.25</v>
      </c>
      <c r="I23" s="1411">
        <f>ROUND(PRODUCT(C23:H23)*(1.25+1)/2,2)</f>
        <v>15.47</v>
      </c>
      <c r="J23" s="1405"/>
      <c r="K23" s="1405"/>
      <c r="L23" s="1406"/>
    </row>
    <row r="24" spans="1:12">
      <c r="A24" s="1384"/>
      <c r="B24" s="691"/>
      <c r="C24" s="1395"/>
      <c r="D24" s="691"/>
      <c r="E24" s="691"/>
      <c r="F24" s="691"/>
      <c r="G24" s="691"/>
      <c r="H24" s="691"/>
      <c r="I24" s="1412">
        <f>SUM(I22:I23)</f>
        <v>17.78</v>
      </c>
      <c r="J24" s="707">
        <f>'Pipe data'!$G$103</f>
        <v>6381.51</v>
      </c>
      <c r="K24" s="1386">
        <v>1</v>
      </c>
      <c r="L24" s="1408">
        <f>ROUND(I24*J24,0)</f>
        <v>113463</v>
      </c>
    </row>
    <row r="25" spans="1:12">
      <c r="A25" s="1384"/>
      <c r="B25" s="691"/>
      <c r="C25" s="1395"/>
      <c r="D25" s="691"/>
      <c r="E25" s="691"/>
      <c r="F25" s="691"/>
      <c r="G25" s="691"/>
      <c r="H25" s="691"/>
      <c r="I25" s="688" t="s">
        <v>73</v>
      </c>
      <c r="J25" s="691"/>
      <c r="K25" s="808" t="s">
        <v>73</v>
      </c>
      <c r="L25" s="713"/>
    </row>
    <row r="26" spans="1:12" ht="111" customHeight="1">
      <c r="A26" s="1384">
        <v>4</v>
      </c>
      <c r="B26" s="3686" t="str">
        <f>'Slab-Culverts Data'!$B$177:$J$177</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v>
      </c>
      <c r="C26" s="3686"/>
      <c r="D26" s="3686"/>
      <c r="E26" s="3686"/>
      <c r="F26" s="3686"/>
      <c r="G26" s="3686"/>
      <c r="H26" s="3686"/>
      <c r="I26" s="3686"/>
      <c r="J26" s="3686"/>
      <c r="K26" s="3686"/>
      <c r="L26" s="713"/>
    </row>
    <row r="27" spans="1:12" ht="32.450000000000003" customHeight="1">
      <c r="A27" s="1384"/>
      <c r="B27" s="693" t="s">
        <v>1387</v>
      </c>
      <c r="C27" s="1391" t="s">
        <v>1385</v>
      </c>
      <c r="D27" s="1391"/>
      <c r="E27" s="1384">
        <v>2</v>
      </c>
      <c r="F27" s="798">
        <f>F22</f>
        <v>5.5</v>
      </c>
      <c r="G27" s="1394" t="s">
        <v>1388</v>
      </c>
      <c r="H27" s="1392">
        <v>1.8</v>
      </c>
      <c r="I27" s="1411">
        <f>ROUND(PRODUCT(C27:H27)*(0.4+1)/2,2)</f>
        <v>13.86</v>
      </c>
      <c r="J27" s="1410"/>
      <c r="K27" s="1386"/>
      <c r="L27" s="1408"/>
    </row>
    <row r="28" spans="1:12" s="676" customFormat="1">
      <c r="A28" s="807"/>
      <c r="B28" s="693" t="s">
        <v>1389</v>
      </c>
      <c r="C28" s="1391" t="s">
        <v>1385</v>
      </c>
      <c r="D28" s="1391"/>
      <c r="E28" s="1384">
        <v>2</v>
      </c>
      <c r="F28" s="798">
        <f>F23</f>
        <v>5.5</v>
      </c>
      <c r="G28" s="1384">
        <v>0.45</v>
      </c>
      <c r="H28" s="1392">
        <v>0.4</v>
      </c>
      <c r="I28" s="1411">
        <f>ROUND(PRODUCT(C28:H28),2)</f>
        <v>1.98</v>
      </c>
      <c r="J28" s="1405"/>
      <c r="K28" s="1405"/>
      <c r="L28" s="1406"/>
    </row>
    <row r="29" spans="1:12" s="676" customFormat="1" ht="30">
      <c r="A29" s="807"/>
      <c r="B29" s="778" t="s">
        <v>1390</v>
      </c>
      <c r="C29" s="1391" t="s">
        <v>1391</v>
      </c>
      <c r="D29" s="1391"/>
      <c r="E29" s="1384">
        <v>-2</v>
      </c>
      <c r="F29" s="798">
        <v>1.1000000000000001</v>
      </c>
      <c r="G29" s="798">
        <v>1.1000000000000001</v>
      </c>
      <c r="H29" s="1394" t="s">
        <v>1392</v>
      </c>
      <c r="I29" s="1411">
        <f>ROUND(PRODUCT(C29:H29)*(3.14/4)*(1+0.6)/2,2)</f>
        <v>-1.52</v>
      </c>
      <c r="J29" s="1405"/>
      <c r="K29" s="1405"/>
      <c r="L29" s="1406"/>
    </row>
    <row r="30" spans="1:12" ht="15" customHeight="1">
      <c r="A30" s="1384"/>
      <c r="B30" s="3688"/>
      <c r="C30" s="3689"/>
      <c r="D30" s="3689"/>
      <c r="E30" s="3689"/>
      <c r="F30" s="3689"/>
      <c r="G30" s="699"/>
      <c r="H30" s="699"/>
      <c r="I30" s="1407">
        <f>SUM(I27:I29)</f>
        <v>14.32</v>
      </c>
      <c r="J30" s="707">
        <f>'Pipe data'!G230</f>
        <v>6749.67</v>
      </c>
      <c r="K30" s="808">
        <v>1</v>
      </c>
      <c r="L30" s="713">
        <f>ROUND(I30*J30,0)</f>
        <v>96655</v>
      </c>
    </row>
    <row r="31" spans="1:12" ht="15" customHeight="1">
      <c r="A31" s="1384"/>
      <c r="B31" s="702"/>
      <c r="C31" s="703"/>
      <c r="D31" s="699"/>
      <c r="E31" s="697"/>
      <c r="F31" s="699"/>
      <c r="G31" s="699"/>
      <c r="H31" s="699"/>
      <c r="I31" s="848" t="s">
        <v>73</v>
      </c>
      <c r="J31" s="704"/>
      <c r="K31" s="808" t="s">
        <v>31</v>
      </c>
      <c r="L31" s="713"/>
    </row>
    <row r="32" spans="1:12" ht="98.1" customHeight="1">
      <c r="A32" s="1384">
        <v>5</v>
      </c>
      <c r="B32" s="3686" t="str">
        <f>'Pipe data'!B105:G105</f>
        <v xml:space="preserve">Providing, laying Reinforced cement concrete Hume pipes of 1000 mm Dia., NP4 class for pipe culverts  including cost and conveyance of Pipes etc., complete and Labour charges for laying, jointing of 1000mm dia. R.C.C Hume pipes  in position including lifting, aligning, lowering and hoisting etc., as per drawing and as per MoRT&amp;H Specification  2900, 2905 and 2906 (5th Revision) and IRC Special Publication No: 13 and as directed by the Engineer-in-Charge for finished item of work. </v>
      </c>
      <c r="C32" s="3686"/>
      <c r="D32" s="3686"/>
      <c r="E32" s="3686"/>
      <c r="F32" s="3686"/>
      <c r="G32" s="3686"/>
      <c r="H32" s="3686"/>
      <c r="I32" s="3686"/>
      <c r="J32" s="3686"/>
      <c r="K32" s="3686"/>
      <c r="L32" s="713"/>
    </row>
    <row r="33" spans="1:12" ht="15" customHeight="1">
      <c r="A33" s="1384"/>
      <c r="B33" s="808" t="s">
        <v>1393</v>
      </c>
      <c r="C33" s="808" t="s">
        <v>1385</v>
      </c>
      <c r="D33" s="808"/>
      <c r="E33" s="699">
        <v>3</v>
      </c>
      <c r="F33" s="698">
        <v>2.5</v>
      </c>
      <c r="G33" s="699"/>
      <c r="H33" s="704"/>
      <c r="I33" s="848">
        <f>ROUND(PRODUCT(C33:H33),2)</f>
        <v>7.5</v>
      </c>
      <c r="J33" s="704">
        <f>'Pipe data'!G128</f>
        <v>13850.07</v>
      </c>
      <c r="K33" s="808">
        <v>1</v>
      </c>
      <c r="L33" s="713">
        <f>ROUND(I33*J33,0)</f>
        <v>103876</v>
      </c>
    </row>
    <row r="34" spans="1:12" ht="15" customHeight="1">
      <c r="A34" s="1384"/>
      <c r="B34" s="702"/>
      <c r="C34" s="703"/>
      <c r="D34" s="699"/>
      <c r="E34" s="697"/>
      <c r="F34" s="699"/>
      <c r="G34" s="699"/>
      <c r="H34" s="699"/>
      <c r="I34" s="848" t="s">
        <v>107</v>
      </c>
      <c r="J34" s="704"/>
      <c r="K34" s="808" t="s">
        <v>107</v>
      </c>
      <c r="L34" s="713"/>
    </row>
    <row r="35" spans="1:12" ht="26.1" customHeight="1">
      <c r="A35" s="1396"/>
      <c r="B35" s="1397"/>
      <c r="C35" s="1398"/>
      <c r="D35" s="1399"/>
      <c r="E35" s="1400"/>
      <c r="F35" s="1399"/>
      <c r="G35" s="1399"/>
      <c r="H35" s="1399"/>
      <c r="I35" s="1399"/>
      <c r="J35" s="1413" t="s">
        <v>1394</v>
      </c>
      <c r="K35" s="1399"/>
      <c r="L35" s="1414">
        <f>SUM(L6:L34)</f>
        <v>346940</v>
      </c>
    </row>
    <row r="36" spans="1:12">
      <c r="J36" s="682"/>
      <c r="L36" s="1415"/>
    </row>
    <row r="37" spans="1:12">
      <c r="J37" s="682"/>
      <c r="L37" s="1415"/>
    </row>
    <row r="38" spans="1:12">
      <c r="J38" s="682"/>
      <c r="L38" s="1415"/>
    </row>
    <row r="39" spans="1:12" ht="15" customHeight="1">
      <c r="B39" s="3690" t="s">
        <v>1395</v>
      </c>
      <c r="C39" s="3690"/>
      <c r="D39" s="3690"/>
      <c r="E39" s="3690"/>
      <c r="F39" s="3690"/>
      <c r="H39" s="3690" t="s">
        <v>791</v>
      </c>
      <c r="I39" s="3690"/>
      <c r="J39" s="3690"/>
    </row>
    <row r="40" spans="1:12">
      <c r="B40" s="3690" t="str">
        <f>'Road data'!D986</f>
        <v>PRSD, Wanaparthy</v>
      </c>
      <c r="C40" s="3690"/>
      <c r="D40" s="3690"/>
      <c r="E40" s="3690"/>
      <c r="F40" s="3690"/>
      <c r="H40" s="3691" t="str">
        <f>GA!C35</f>
        <v>PRSD, Wanaparthy</v>
      </c>
      <c r="I40" s="3690"/>
      <c r="J40" s="3690"/>
    </row>
    <row r="41" spans="1:12">
      <c r="B41" s="1201"/>
      <c r="C41" s="1402"/>
      <c r="D41" s="1201"/>
      <c r="E41" s="1401"/>
      <c r="F41" s="1201"/>
      <c r="H41" s="1201"/>
      <c r="I41" s="1201"/>
    </row>
    <row r="42" spans="1:12">
      <c r="B42" s="1201"/>
      <c r="C42" s="1402"/>
      <c r="D42" s="1201"/>
      <c r="E42" s="1401"/>
      <c r="F42" s="1201"/>
      <c r="H42" s="1201"/>
      <c r="I42" s="1201"/>
    </row>
    <row r="43" spans="1:12">
      <c r="B43" s="1166"/>
      <c r="C43" s="1402"/>
      <c r="D43" s="1166"/>
      <c r="E43" s="1401"/>
      <c r="F43" s="1166"/>
      <c r="H43" s="1166"/>
      <c r="I43" s="1201"/>
    </row>
    <row r="44" spans="1:12" ht="18" customHeight="1">
      <c r="B44" s="3690" t="s">
        <v>906</v>
      </c>
      <c r="C44" s="3690"/>
      <c r="D44" s="3690"/>
      <c r="E44" s="3690"/>
      <c r="F44" s="3690"/>
      <c r="H44" s="3690" t="s">
        <v>685</v>
      </c>
      <c r="I44" s="3690"/>
      <c r="J44" s="3690"/>
    </row>
    <row r="45" spans="1:12" ht="15" customHeight="1">
      <c r="B45" s="3690" t="str">
        <f>'Road data'!D990</f>
        <v>PIU, Wanaparthy</v>
      </c>
      <c r="C45" s="3690"/>
      <c r="D45" s="3690"/>
      <c r="E45" s="3690"/>
      <c r="F45" s="3690"/>
      <c r="H45" s="3690" t="str">
        <f>GA!C38</f>
        <v>PR, Circle, Warangal</v>
      </c>
      <c r="I45" s="3690"/>
      <c r="J45" s="3690"/>
    </row>
  </sheetData>
  <protectedRanges>
    <protectedRange sqref="I45 H39:I44" name="Range4_3"/>
    <protectedRange sqref="B39:F45" name="Range4_4"/>
  </protectedRanges>
  <mergeCells count="21">
    <mergeCell ref="B40:F40"/>
    <mergeCell ref="H40:J40"/>
    <mergeCell ref="B44:F44"/>
    <mergeCell ref="H44:J44"/>
    <mergeCell ref="B45:F45"/>
    <mergeCell ref="H45:J45"/>
    <mergeCell ref="B26:K26"/>
    <mergeCell ref="B30:F30"/>
    <mergeCell ref="B32:K32"/>
    <mergeCell ref="B39:F39"/>
    <mergeCell ref="H39:J39"/>
    <mergeCell ref="C5:E5"/>
    <mergeCell ref="B6:K6"/>
    <mergeCell ref="B11:K11"/>
    <mergeCell ref="B16:J16"/>
    <mergeCell ref="B21:K21"/>
    <mergeCell ref="A1:L1"/>
    <mergeCell ref="A2:B2"/>
    <mergeCell ref="F2:L2"/>
    <mergeCell ref="A3:L3"/>
    <mergeCell ref="C4:E4"/>
  </mergeCells>
  <printOptions horizontalCentered="1"/>
  <pageMargins left="0.51180555555555596" right="0.23611111111111099" top="0.74791666666666701" bottom="0.51180555555555596" header="0.31458333333333299" footer="0.23611111111111099"/>
  <pageSetup paperSize="9" orientation="portrait" r:id="rId1"/>
</worksheet>
</file>

<file path=xl/worksheets/sheet28.xml><?xml version="1.0" encoding="utf-8"?>
<worksheet xmlns="http://schemas.openxmlformats.org/spreadsheetml/2006/main" xmlns:r="http://schemas.openxmlformats.org/officeDocument/2006/relationships">
  <sheetPr codeName="Sheet11">
    <tabColor theme="5" tint="-0.249977111117893"/>
  </sheetPr>
  <dimension ref="A1:T48"/>
  <sheetViews>
    <sheetView view="pageBreakPreview" topLeftCell="A11" zoomScale="112" workbookViewId="0">
      <selection activeCell="J19" sqref="J19"/>
    </sheetView>
  </sheetViews>
  <sheetFormatPr defaultColWidth="9.140625" defaultRowHeight="15"/>
  <cols>
    <col min="1" max="1" width="5" style="1378" customWidth="1"/>
    <col min="2" max="2" width="20.140625" style="678" customWidth="1"/>
    <col min="3" max="3" width="3.5703125" style="1379" customWidth="1"/>
    <col min="4" max="4" width="3.5703125" style="683" customWidth="1"/>
    <col min="5" max="5" width="3.5703125" style="1380" customWidth="1"/>
    <col min="6" max="6" width="7.140625" style="683" customWidth="1"/>
    <col min="7" max="7" width="8.28515625" style="683" customWidth="1"/>
    <col min="8" max="9" width="7.42578125" style="683" customWidth="1"/>
    <col min="10" max="10" width="9.42578125" style="683" customWidth="1"/>
    <col min="11" max="11" width="5.42578125" style="683" customWidth="1"/>
    <col min="12" max="12" width="11.85546875" style="682" customWidth="1"/>
    <col min="13" max="13" width="9.140625" style="678"/>
    <col min="14" max="14" width="9.7109375" style="678" customWidth="1"/>
    <col min="15" max="15" width="9.140625" style="678"/>
    <col min="16" max="16" width="6.28515625" style="678" customWidth="1"/>
    <col min="17" max="20" width="9.140625" style="678" hidden="1" customWidth="1"/>
    <col min="21" max="16384" width="9.140625" style="678"/>
  </cols>
  <sheetData>
    <row r="1" spans="1:14" ht="18" customHeight="1">
      <c r="A1" s="3692" t="s">
        <v>2763</v>
      </c>
      <c r="B1" s="3681"/>
      <c r="C1" s="3681"/>
      <c r="D1" s="3681"/>
      <c r="E1" s="3681"/>
      <c r="F1" s="3681"/>
      <c r="G1" s="3681"/>
      <c r="H1" s="3681"/>
      <c r="I1" s="3681"/>
      <c r="J1" s="3681"/>
      <c r="K1" s="3681"/>
      <c r="L1" s="3681"/>
    </row>
    <row r="2" spans="1:14" ht="36.75" customHeight="1">
      <c r="A2" s="3682" t="s">
        <v>677</v>
      </c>
      <c r="B2" s="3682"/>
      <c r="C2" s="1382"/>
      <c r="D2" s="1381"/>
      <c r="E2" s="1383"/>
      <c r="F2" s="3683" t="str">
        <f>'Input Data'!E1</f>
        <v>R/F A to B in Wanaparthy Mandal of Wanaparthy District</v>
      </c>
      <c r="G2" s="3683"/>
      <c r="H2" s="3683"/>
      <c r="I2" s="3683"/>
      <c r="J2" s="3683"/>
      <c r="K2" s="3683"/>
      <c r="L2" s="3683"/>
    </row>
    <row r="3" spans="1:14" s="682" customFormat="1" ht="22.5" customHeight="1">
      <c r="A3" s="3680" t="s">
        <v>2808</v>
      </c>
      <c r="B3" s="3693"/>
      <c r="C3" s="3693"/>
      <c r="D3" s="3693"/>
      <c r="E3" s="3693"/>
      <c r="F3" s="3693"/>
      <c r="G3" s="3693"/>
      <c r="H3" s="3693"/>
      <c r="I3" s="3693"/>
      <c r="J3" s="3693"/>
      <c r="K3" s="3693"/>
      <c r="L3" s="3693"/>
    </row>
    <row r="4" spans="1:14" s="683" customFormat="1" ht="36.75" customHeight="1">
      <c r="A4" s="808" t="s">
        <v>1380</v>
      </c>
      <c r="B4" s="808" t="s">
        <v>953</v>
      </c>
      <c r="C4" s="3694" t="s">
        <v>954</v>
      </c>
      <c r="D4" s="3695"/>
      <c r="E4" s="3696"/>
      <c r="F4" s="808" t="s">
        <v>180</v>
      </c>
      <c r="G4" s="808" t="s">
        <v>781</v>
      </c>
      <c r="H4" s="808" t="s">
        <v>955</v>
      </c>
      <c r="I4" s="698" t="s">
        <v>3</v>
      </c>
      <c r="J4" s="699" t="s">
        <v>5</v>
      </c>
      <c r="K4" s="699" t="s">
        <v>580</v>
      </c>
      <c r="L4" s="808" t="s">
        <v>7</v>
      </c>
    </row>
    <row r="5" spans="1:14" s="683" customFormat="1">
      <c r="A5" s="1384">
        <v>1</v>
      </c>
      <c r="B5" s="699">
        <v>2</v>
      </c>
      <c r="C5" s="3685">
        <v>3</v>
      </c>
      <c r="D5" s="3685"/>
      <c r="E5" s="3685"/>
      <c r="F5" s="699">
        <v>4</v>
      </c>
      <c r="G5" s="699">
        <v>5</v>
      </c>
      <c r="H5" s="699">
        <v>6</v>
      </c>
      <c r="I5" s="699">
        <v>7</v>
      </c>
      <c r="J5" s="699">
        <v>8</v>
      </c>
      <c r="K5" s="699">
        <v>9</v>
      </c>
      <c r="L5" s="699">
        <v>10</v>
      </c>
    </row>
    <row r="6" spans="1:14" ht="90.95" customHeight="1">
      <c r="A6" s="1384">
        <v>1</v>
      </c>
      <c r="B6" s="3686" t="str">
        <f>'Pipe data'!B4:G4</f>
        <v>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v>
      </c>
      <c r="C6" s="3686"/>
      <c r="D6" s="3686"/>
      <c r="E6" s="3686"/>
      <c r="F6" s="3686"/>
      <c r="G6" s="3686"/>
      <c r="H6" s="3686"/>
      <c r="I6" s="3686"/>
      <c r="J6" s="3686"/>
      <c r="K6" s="3686"/>
      <c r="L6" s="1403"/>
    </row>
    <row r="7" spans="1:14" s="676" customFormat="1" ht="30">
      <c r="A7" s="807"/>
      <c r="B7" s="1385" t="s">
        <v>1381</v>
      </c>
      <c r="C7" s="1386">
        <v>1</v>
      </c>
      <c r="D7" s="1386" t="s">
        <v>956</v>
      </c>
      <c r="E7" s="807">
        <v>2</v>
      </c>
      <c r="F7" s="805">
        <v>7.3</v>
      </c>
      <c r="G7" s="805">
        <v>1.4</v>
      </c>
      <c r="H7" s="1387">
        <v>1.5</v>
      </c>
      <c r="I7" s="1404">
        <f>ROUND(C7*E7*F7*G7*H7,2)</f>
        <v>30.66</v>
      </c>
      <c r="J7" s="1386"/>
      <c r="K7" s="1405"/>
      <c r="L7" s="1406"/>
    </row>
    <row r="8" spans="1:14" s="676" customFormat="1">
      <c r="A8" s="807"/>
      <c r="B8" s="1385" t="s">
        <v>1382</v>
      </c>
      <c r="C8" s="1386">
        <v>1</v>
      </c>
      <c r="D8" s="1386" t="s">
        <v>956</v>
      </c>
      <c r="E8" s="807">
        <v>1</v>
      </c>
      <c r="F8" s="805">
        <v>7.5</v>
      </c>
      <c r="G8" s="805">
        <v>3</v>
      </c>
      <c r="H8" s="1387">
        <v>0.3</v>
      </c>
      <c r="I8" s="1404">
        <f>ROUND(C8*E8*F8*G8*H8,2)</f>
        <v>6.75</v>
      </c>
      <c r="J8" s="1386"/>
      <c r="K8" s="1405"/>
      <c r="L8" s="1406"/>
    </row>
    <row r="9" spans="1:14" s="676" customFormat="1">
      <c r="A9" s="807"/>
      <c r="B9" s="1386"/>
      <c r="C9" s="1388"/>
      <c r="D9" s="1386"/>
      <c r="E9" s="1385"/>
      <c r="F9" s="807"/>
      <c r="G9" s="807"/>
      <c r="H9" s="807"/>
      <c r="I9" s="1407">
        <f>SUM(I7:I8)</f>
        <v>37.409999999999997</v>
      </c>
      <c r="J9" s="1387">
        <f>'Pipe data'!G20</f>
        <v>123.69927804166667</v>
      </c>
      <c r="K9" s="1386">
        <v>1</v>
      </c>
      <c r="L9" s="1408">
        <f>ROUND(I9*J9,0)</f>
        <v>4628</v>
      </c>
    </row>
    <row r="10" spans="1:14">
      <c r="A10" s="1384"/>
      <c r="B10" s="702"/>
      <c r="C10" s="703"/>
      <c r="D10" s="699"/>
      <c r="E10" s="697"/>
      <c r="F10" s="699"/>
      <c r="G10" s="699"/>
      <c r="H10" s="699"/>
      <c r="I10" s="848" t="s">
        <v>73</v>
      </c>
      <c r="J10" s="704"/>
      <c r="K10" s="808" t="s">
        <v>73</v>
      </c>
      <c r="L10" s="713"/>
    </row>
    <row r="11" spans="1:14" ht="42" customHeight="1">
      <c r="A11" s="1384">
        <v>2</v>
      </c>
      <c r="B11" s="3687" t="str">
        <f>'Pipe data'!B55:G55</f>
        <v>Sand  Filling  in foundation trenches as per drawing and technical specification Clause 304 of MORTH including overhead charges &amp; Contractors profit etc complete.</v>
      </c>
      <c r="C11" s="3686"/>
      <c r="D11" s="3686"/>
      <c r="E11" s="3686"/>
      <c r="F11" s="3686"/>
      <c r="G11" s="3686"/>
      <c r="H11" s="3686"/>
      <c r="I11" s="3686"/>
      <c r="J11" s="3686"/>
      <c r="K11" s="3686"/>
      <c r="L11" s="1409"/>
      <c r="N11" s="684"/>
    </row>
    <row r="12" spans="1:14" s="676" customFormat="1" ht="30">
      <c r="A12" s="807"/>
      <c r="B12" s="1385" t="s">
        <v>1381</v>
      </c>
      <c r="C12" s="1386">
        <v>1</v>
      </c>
      <c r="D12" s="1386" t="s">
        <v>956</v>
      </c>
      <c r="E12" s="807">
        <v>2</v>
      </c>
      <c r="F12" s="805">
        <f>F7</f>
        <v>7.3</v>
      </c>
      <c r="G12" s="805">
        <v>1.4</v>
      </c>
      <c r="H12" s="1387">
        <v>0.1</v>
      </c>
      <c r="I12" s="1404">
        <f t="shared" ref="I12:I13" si="0">ROUND(C12*E12*F12*G12*H12,2)</f>
        <v>2.04</v>
      </c>
      <c r="J12" s="1386"/>
      <c r="K12" s="1405"/>
      <c r="L12" s="1406"/>
    </row>
    <row r="13" spans="1:14" s="676" customFormat="1">
      <c r="A13" s="807"/>
      <c r="B13" s="1385" t="s">
        <v>1382</v>
      </c>
      <c r="C13" s="1386">
        <v>1</v>
      </c>
      <c r="D13" s="1386" t="s">
        <v>956</v>
      </c>
      <c r="E13" s="807">
        <v>1</v>
      </c>
      <c r="F13" s="805">
        <v>5.5</v>
      </c>
      <c r="G13" s="805">
        <v>3</v>
      </c>
      <c r="H13" s="1387">
        <v>0.3</v>
      </c>
      <c r="I13" s="1404">
        <f t="shared" si="0"/>
        <v>4.95</v>
      </c>
      <c r="J13" s="1386"/>
      <c r="K13" s="1405"/>
      <c r="L13" s="1406"/>
    </row>
    <row r="14" spans="1:14" s="676" customFormat="1">
      <c r="A14" s="807"/>
      <c r="B14" s="749"/>
      <c r="C14" s="1389"/>
      <c r="D14" s="807"/>
      <c r="E14" s="692"/>
      <c r="F14" s="1390"/>
      <c r="G14" s="807"/>
      <c r="H14" s="807"/>
      <c r="I14" s="1407">
        <f>SUM(I12:I13)</f>
        <v>6.99</v>
      </c>
      <c r="J14" s="1410">
        <f>'Pipe data'!G72</f>
        <v>1237.43</v>
      </c>
      <c r="K14" s="1386">
        <v>1</v>
      </c>
      <c r="L14" s="1408">
        <f>ROUND(I14*J14,0)</f>
        <v>8650</v>
      </c>
    </row>
    <row r="15" spans="1:14">
      <c r="A15" s="1384"/>
      <c r="B15" s="702"/>
      <c r="C15" s="703"/>
      <c r="D15" s="699"/>
      <c r="E15" s="697"/>
      <c r="F15" s="699"/>
      <c r="G15" s="699"/>
      <c r="H15" s="699"/>
      <c r="I15" s="848" t="s">
        <v>73</v>
      </c>
      <c r="J15" s="704"/>
      <c r="K15" s="808" t="s">
        <v>73</v>
      </c>
      <c r="L15" s="713"/>
    </row>
    <row r="16" spans="1:14" ht="94.15" customHeight="1">
      <c r="A16" s="1384">
        <v>3</v>
      </c>
      <c r="B16" s="3686" t="str">
        <f>'Slab-Culverts Data'!B5:J5</f>
        <v>Providing Plain Cement Concrete (1:3:6) mix using 40mm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C16" s="3686"/>
      <c r="D16" s="3686"/>
      <c r="E16" s="3686"/>
      <c r="F16" s="3686"/>
      <c r="G16" s="3686"/>
      <c r="H16" s="3686"/>
      <c r="I16" s="3686"/>
      <c r="J16" s="3686"/>
      <c r="K16" s="808"/>
      <c r="L16" s="713"/>
    </row>
    <row r="17" spans="1:12" ht="19.149999999999999" customHeight="1">
      <c r="A17" s="1384"/>
      <c r="B17" s="702" t="s">
        <v>1383</v>
      </c>
      <c r="C17" s="703">
        <v>1</v>
      </c>
      <c r="D17" s="699" t="s">
        <v>956</v>
      </c>
      <c r="E17" s="697">
        <v>2</v>
      </c>
      <c r="F17" s="698">
        <f>F12</f>
        <v>7.3</v>
      </c>
      <c r="G17" s="699">
        <v>1.4</v>
      </c>
      <c r="H17" s="699">
        <v>0.15</v>
      </c>
      <c r="I17" s="1404">
        <f t="shared" ref="I17:I18" si="1">ROUND(C17*E17*F17*G17*H17,2)</f>
        <v>3.07</v>
      </c>
      <c r="J17" s="704"/>
      <c r="K17" s="808"/>
      <c r="L17" s="713"/>
    </row>
    <row r="18" spans="1:12" ht="19.149999999999999" customHeight="1">
      <c r="A18" s="1384"/>
      <c r="B18" s="1385" t="s">
        <v>1382</v>
      </c>
      <c r="C18" s="1388">
        <v>1</v>
      </c>
      <c r="D18" s="1386" t="s">
        <v>956</v>
      </c>
      <c r="E18" s="692">
        <v>1</v>
      </c>
      <c r="F18" s="805">
        <v>5.4</v>
      </c>
      <c r="G18" s="805">
        <v>1.5</v>
      </c>
      <c r="H18" s="1387">
        <v>0.2</v>
      </c>
      <c r="I18" s="1404">
        <f t="shared" si="1"/>
        <v>1.62</v>
      </c>
      <c r="J18" s="704"/>
      <c r="K18" s="808"/>
      <c r="L18" s="713"/>
    </row>
    <row r="19" spans="1:12" ht="19.149999999999999" customHeight="1">
      <c r="A19" s="1384"/>
      <c r="B19" s="702"/>
      <c r="C19" s="703"/>
      <c r="D19" s="699"/>
      <c r="E19" s="697"/>
      <c r="F19" s="699"/>
      <c r="G19" s="699"/>
      <c r="H19" s="699"/>
      <c r="I19" s="848">
        <f>SUM(I17:I18)</f>
        <v>4.6899999999999995</v>
      </c>
      <c r="J19" s="704">
        <f>'Slab-Culverts Data'!J31</f>
        <v>5706.01</v>
      </c>
      <c r="K19" s="1386">
        <v>1</v>
      </c>
      <c r="L19" s="1408">
        <f>ROUND(I19*J19,0)</f>
        <v>26761</v>
      </c>
    </row>
    <row r="20" spans="1:12" ht="19.149999999999999" customHeight="1">
      <c r="A20" s="1384"/>
      <c r="B20" s="702"/>
      <c r="C20" s="703"/>
      <c r="D20" s="699"/>
      <c r="E20" s="697"/>
      <c r="F20" s="699"/>
      <c r="G20" s="699"/>
      <c r="H20" s="699"/>
      <c r="I20" s="848" t="s">
        <v>73</v>
      </c>
      <c r="J20" s="704"/>
      <c r="K20" s="808" t="s">
        <v>73</v>
      </c>
      <c r="L20" s="713"/>
    </row>
    <row r="21" spans="1:12" ht="101.25" customHeight="1">
      <c r="A21" s="1384">
        <v>3</v>
      </c>
      <c r="B21" s="3686" t="str">
        <f>'Pipe data'!$B$74:$G$74</f>
        <v>Vibrated  cement concrete M 15 Grade Concrete using 40mm , 20mm and 10mm size HBG crushed stone aggregate (Coarse aggregate conforming to table 1000-1 and fine aggregate (Natural sand 50%+Manufactured sand(Rock Sand)50% ) conforming to table 1000-2) including cost, (excluding  seigniorage) and conveyance of  all  materials to site and all labour charges , centering, machine mixing, laying in position, Compacting, Vibrating and curing including all other incidental and all other operational charges of T&amp;P required etc., complete as per MoRT&amp;H Specification 1500,1700, 2200 (5th Revision)  for foundations.</v>
      </c>
      <c r="C21" s="3686"/>
      <c r="D21" s="3686"/>
      <c r="E21" s="3686"/>
      <c r="F21" s="3686"/>
      <c r="G21" s="3686"/>
      <c r="H21" s="3686"/>
      <c r="I21" s="3686"/>
      <c r="J21" s="3686"/>
      <c r="K21" s="3686"/>
      <c r="L21" s="713"/>
    </row>
    <row r="22" spans="1:12" s="676" customFormat="1" ht="27.6" customHeight="1">
      <c r="A22" s="807"/>
      <c r="B22" s="693" t="s">
        <v>1384</v>
      </c>
      <c r="C22" s="1391" t="s">
        <v>1385</v>
      </c>
      <c r="D22" s="1391"/>
      <c r="E22" s="1384">
        <v>2</v>
      </c>
      <c r="F22" s="798">
        <f>F12</f>
        <v>7.3</v>
      </c>
      <c r="G22" s="1392">
        <v>1.4</v>
      </c>
      <c r="H22" s="1392">
        <v>0.15</v>
      </c>
      <c r="I22" s="1411">
        <f>ROUND(PRODUCT(C22:H22),2)</f>
        <v>3.07</v>
      </c>
      <c r="J22" s="1405"/>
      <c r="K22" s="1405"/>
      <c r="L22" s="1406"/>
    </row>
    <row r="23" spans="1:12" s="676" customFormat="1" ht="27.6" customHeight="1">
      <c r="A23" s="807"/>
      <c r="B23" s="693" t="s">
        <v>1384</v>
      </c>
      <c r="C23" s="1391" t="s">
        <v>1385</v>
      </c>
      <c r="D23" s="1391"/>
      <c r="E23" s="1393">
        <v>2</v>
      </c>
      <c r="F23" s="798">
        <f>F22</f>
        <v>7.3</v>
      </c>
      <c r="G23" s="1394" t="s">
        <v>1386</v>
      </c>
      <c r="H23" s="1392">
        <v>1.25</v>
      </c>
      <c r="I23" s="1411">
        <f>ROUND(PRODUCT(C23:H23)*(1.25+1)/2,2)</f>
        <v>20.53</v>
      </c>
      <c r="J23" s="1405"/>
      <c r="K23" s="1405"/>
      <c r="L23" s="1406"/>
    </row>
    <row r="24" spans="1:12">
      <c r="A24" s="1384"/>
      <c r="B24" s="691"/>
      <c r="C24" s="1395"/>
      <c r="D24" s="691"/>
      <c r="E24" s="691"/>
      <c r="F24" s="691"/>
      <c r="G24" s="691"/>
      <c r="H24" s="691"/>
      <c r="I24" s="1412">
        <f>SUM(I22:I23)</f>
        <v>23.6</v>
      </c>
      <c r="J24" s="707">
        <f>'Pipe data'!$G$103</f>
        <v>6381.51</v>
      </c>
      <c r="K24" s="1386">
        <v>1</v>
      </c>
      <c r="L24" s="1408">
        <f>ROUND(I24*J24,0)</f>
        <v>150604</v>
      </c>
    </row>
    <row r="25" spans="1:12">
      <c r="A25" s="1384"/>
      <c r="B25" s="691"/>
      <c r="C25" s="1395"/>
      <c r="D25" s="691"/>
      <c r="E25" s="691"/>
      <c r="F25" s="691"/>
      <c r="G25" s="691"/>
      <c r="H25" s="691"/>
      <c r="I25" s="688" t="s">
        <v>73</v>
      </c>
      <c r="J25" s="691"/>
      <c r="K25" s="808" t="s">
        <v>73</v>
      </c>
      <c r="L25" s="713"/>
    </row>
    <row r="26" spans="1:12" ht="99.75" customHeight="1">
      <c r="A26" s="1384">
        <v>4</v>
      </c>
      <c r="B26" s="3686" t="str">
        <f>'Slab-Culverts Data'!$B$177:$J$177</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v>
      </c>
      <c r="C26" s="3686"/>
      <c r="D26" s="3686"/>
      <c r="E26" s="3686"/>
      <c r="F26" s="3686"/>
      <c r="G26" s="3686"/>
      <c r="H26" s="3686"/>
      <c r="I26" s="3686"/>
      <c r="J26" s="3686"/>
      <c r="K26" s="3686"/>
      <c r="L26" s="713"/>
    </row>
    <row r="27" spans="1:12" ht="32.450000000000003" customHeight="1">
      <c r="A27" s="1384"/>
      <c r="B27" s="693" t="s">
        <v>1387</v>
      </c>
      <c r="C27" s="1391" t="s">
        <v>1385</v>
      </c>
      <c r="D27" s="1391"/>
      <c r="E27" s="1384">
        <v>2</v>
      </c>
      <c r="F27" s="798">
        <f>F22</f>
        <v>7.3</v>
      </c>
      <c r="G27" s="1394" t="s">
        <v>1388</v>
      </c>
      <c r="H27" s="1392">
        <v>1.8</v>
      </c>
      <c r="I27" s="1411">
        <f>ROUND(PRODUCT(C27:H27)*(0.4+1)/2,2)</f>
        <v>18.399999999999999</v>
      </c>
      <c r="J27" s="1410"/>
      <c r="K27" s="1386"/>
      <c r="L27" s="1408"/>
    </row>
    <row r="28" spans="1:12" s="676" customFormat="1">
      <c r="A28" s="807"/>
      <c r="B28" s="693" t="s">
        <v>1389</v>
      </c>
      <c r="C28" s="1391" t="s">
        <v>1385</v>
      </c>
      <c r="D28" s="1391"/>
      <c r="E28" s="1384">
        <v>2</v>
      </c>
      <c r="F28" s="798">
        <f>F23</f>
        <v>7.3</v>
      </c>
      <c r="G28" s="1384">
        <v>0.45</v>
      </c>
      <c r="H28" s="1392">
        <v>0.4</v>
      </c>
      <c r="I28" s="1411">
        <f>ROUND(PRODUCT(C28:H28),2)</f>
        <v>2.63</v>
      </c>
      <c r="J28" s="1405"/>
      <c r="K28" s="1405"/>
      <c r="L28" s="1406"/>
    </row>
    <row r="29" spans="1:12" s="676" customFormat="1" ht="30">
      <c r="A29" s="807"/>
      <c r="B29" s="778" t="s">
        <v>1390</v>
      </c>
      <c r="C29" s="1391" t="s">
        <v>1391</v>
      </c>
      <c r="D29" s="1391"/>
      <c r="E29" s="1384">
        <v>-2</v>
      </c>
      <c r="F29" s="798">
        <v>1.1000000000000001</v>
      </c>
      <c r="G29" s="798">
        <v>1.1000000000000001</v>
      </c>
      <c r="H29" s="1394" t="s">
        <v>1392</v>
      </c>
      <c r="I29" s="1411">
        <f>ROUND(PRODUCT(C29:H29)*(3.14/4)*(1+0.6)/2,2)</f>
        <v>-1.52</v>
      </c>
      <c r="J29" s="1405"/>
      <c r="K29" s="1405"/>
      <c r="L29" s="1406"/>
    </row>
    <row r="30" spans="1:12" ht="15" customHeight="1">
      <c r="A30" s="1384"/>
      <c r="B30" s="3688"/>
      <c r="C30" s="3689"/>
      <c r="D30" s="3689"/>
      <c r="E30" s="3689"/>
      <c r="F30" s="3689"/>
      <c r="G30" s="699"/>
      <c r="H30" s="699"/>
      <c r="I30" s="1407">
        <f>SUM(I27:I29)</f>
        <v>19.509999999999998</v>
      </c>
      <c r="J30" s="707">
        <f>'Pipe data'!G230</f>
        <v>6749.67</v>
      </c>
      <c r="K30" s="808">
        <v>1</v>
      </c>
      <c r="L30" s="713">
        <f>ROUND(I30*J30,0)</f>
        <v>131686</v>
      </c>
    </row>
    <row r="31" spans="1:12" ht="15" customHeight="1">
      <c r="A31" s="1384"/>
      <c r="B31" s="702"/>
      <c r="C31" s="703"/>
      <c r="D31" s="699"/>
      <c r="E31" s="697"/>
      <c r="F31" s="699"/>
      <c r="G31" s="699"/>
      <c r="H31" s="699"/>
      <c r="I31" s="848" t="s">
        <v>73</v>
      </c>
      <c r="J31" s="704"/>
      <c r="K31" s="808" t="s">
        <v>31</v>
      </c>
      <c r="L31" s="713"/>
    </row>
    <row r="32" spans="1:12" ht="102" customHeight="1">
      <c r="A32" s="1384">
        <v>5</v>
      </c>
      <c r="B32" s="3686" t="str">
        <f>'Pipe data'!B105:G105</f>
        <v xml:space="preserve">Providing, laying Reinforced cement concrete Hume pipes of 1000 mm Dia., NP4 class for pipe culverts  including cost and conveyance of Pipes etc., complete and Labour charges for laying, jointing of 1000mm dia. R.C.C Hume pipes  in position including lifting, aligning, lowering and hoisting etc., as per drawing and as per MoRT&amp;H Specification  2900, 2905 and 2906 (5th Revision) and IRC Special Publication No: 13 and as directed by the Engineer-in-Charge for finished item of work. </v>
      </c>
      <c r="C32" s="3686"/>
      <c r="D32" s="3686"/>
      <c r="E32" s="3686"/>
      <c r="F32" s="3686"/>
      <c r="G32" s="3686"/>
      <c r="H32" s="3686"/>
      <c r="I32" s="3686"/>
      <c r="J32" s="3686"/>
      <c r="K32" s="3686"/>
      <c r="L32" s="713"/>
    </row>
    <row r="33" spans="1:12" ht="15" customHeight="1">
      <c r="A33" s="1384"/>
      <c r="B33" s="808" t="s">
        <v>1393</v>
      </c>
      <c r="C33" s="808" t="s">
        <v>1385</v>
      </c>
      <c r="D33" s="808"/>
      <c r="E33" s="699">
        <v>6</v>
      </c>
      <c r="F33" s="698">
        <v>2.5</v>
      </c>
      <c r="G33" s="699"/>
      <c r="H33" s="704"/>
      <c r="I33" s="848">
        <f>ROUND(PRODUCT(C33:H33),2)</f>
        <v>15</v>
      </c>
      <c r="J33" s="704">
        <f>'Pipe data'!G128</f>
        <v>13850.07</v>
      </c>
      <c r="K33" s="808">
        <v>1</v>
      </c>
      <c r="L33" s="713">
        <f>ROUND(I33*J33,0)</f>
        <v>207751</v>
      </c>
    </row>
    <row r="34" spans="1:12" ht="15" customHeight="1">
      <c r="A34" s="1384"/>
      <c r="B34" s="702"/>
      <c r="C34" s="703"/>
      <c r="D34" s="699"/>
      <c r="E34" s="697"/>
      <c r="F34" s="699"/>
      <c r="G34" s="699"/>
      <c r="H34" s="699"/>
      <c r="I34" s="848" t="s">
        <v>107</v>
      </c>
      <c r="J34" s="704"/>
      <c r="K34" s="808" t="s">
        <v>107</v>
      </c>
      <c r="L34" s="713"/>
    </row>
    <row r="35" spans="1:12" ht="26.1" customHeight="1">
      <c r="A35" s="1396"/>
      <c r="B35" s="1397"/>
      <c r="C35" s="1398"/>
      <c r="D35" s="1399"/>
      <c r="E35" s="1400"/>
      <c r="F35" s="1399"/>
      <c r="G35" s="1399"/>
      <c r="H35" s="1399"/>
      <c r="I35" s="1399"/>
      <c r="J35" s="1413" t="s">
        <v>1394</v>
      </c>
      <c r="K35" s="1399"/>
      <c r="L35" s="1414">
        <f>SUM(L6:L34)</f>
        <v>530080</v>
      </c>
    </row>
    <row r="36" spans="1:12">
      <c r="J36" s="682"/>
      <c r="L36" s="1415"/>
    </row>
    <row r="37" spans="1:12">
      <c r="J37" s="682"/>
      <c r="L37" s="1415"/>
    </row>
    <row r="38" spans="1:12">
      <c r="J38" s="682"/>
      <c r="L38" s="1415"/>
    </row>
    <row r="39" spans="1:12" ht="15" customHeight="1">
      <c r="B39" s="3697" t="s">
        <v>1395</v>
      </c>
      <c r="C39" s="3697"/>
      <c r="D39" s="3697"/>
      <c r="E39" s="3697"/>
      <c r="F39" s="3697"/>
      <c r="H39" s="3690" t="s">
        <v>791</v>
      </c>
      <c r="I39" s="3690"/>
      <c r="J39" s="3690"/>
    </row>
    <row r="40" spans="1:12">
      <c r="B40" s="3697" t="str">
        <f>'Road data'!D986</f>
        <v>PRSD, Wanaparthy</v>
      </c>
      <c r="C40" s="3697"/>
      <c r="D40" s="3697"/>
      <c r="E40" s="3697"/>
      <c r="F40" s="3697"/>
      <c r="H40" s="3691" t="str">
        <f>GA!C35</f>
        <v>PRSD, Wanaparthy</v>
      </c>
      <c r="I40" s="3690"/>
      <c r="J40" s="3690"/>
    </row>
    <row r="41" spans="1:12">
      <c r="B41" s="1201"/>
      <c r="C41" s="1402"/>
      <c r="D41" s="1201"/>
      <c r="E41" s="1401"/>
      <c r="F41" s="1201"/>
      <c r="H41" s="1201"/>
      <c r="I41" s="1201"/>
    </row>
    <row r="42" spans="1:12">
      <c r="B42" s="1201"/>
      <c r="C42" s="1402"/>
      <c r="D42" s="1201"/>
      <c r="E42" s="1401"/>
      <c r="F42" s="1201"/>
      <c r="H42" s="1201"/>
      <c r="I42" s="1201"/>
    </row>
    <row r="43" spans="1:12">
      <c r="B43" s="1166"/>
      <c r="C43" s="1402"/>
      <c r="D43" s="1166"/>
      <c r="E43" s="1401"/>
      <c r="F43" s="1166"/>
      <c r="H43" s="1166"/>
      <c r="I43" s="1201"/>
    </row>
    <row r="44" spans="1:12" ht="18" hidden="1" customHeight="1">
      <c r="B44" s="3690" t="s">
        <v>906</v>
      </c>
      <c r="C44" s="3690"/>
      <c r="D44" s="3690"/>
      <c r="E44" s="3690"/>
      <c r="F44" s="3690"/>
      <c r="H44" s="3690" t="s">
        <v>685</v>
      </c>
      <c r="I44" s="3690"/>
      <c r="J44" s="3690"/>
    </row>
    <row r="45" spans="1:12" ht="15" hidden="1" customHeight="1">
      <c r="B45" s="3690" t="str">
        <f>'Road data'!D990</f>
        <v>PIU, Wanaparthy</v>
      </c>
      <c r="C45" s="3690"/>
      <c r="D45" s="3690"/>
      <c r="E45" s="3690"/>
      <c r="F45" s="3690"/>
      <c r="H45" s="3690" t="str">
        <f>GA!C38</f>
        <v>PR, Circle, Warangal</v>
      </c>
      <c r="I45" s="3690"/>
      <c r="J45" s="3690"/>
    </row>
    <row r="46" spans="1:12">
      <c r="B46" s="678" t="str">
        <f>'1V 1m dia Pipe Culverts'!B44</f>
        <v>District Panchayat Raj Engineer,</v>
      </c>
    </row>
    <row r="47" spans="1:12">
      <c r="B47" s="678" t="str">
        <f>'1V 1m dia Pipe Culverts'!B45</f>
        <v>PIU, Wanaparthy</v>
      </c>
      <c r="I47" s="683" t="str">
        <f>'1V 1m dia Pipe Culverts'!H44</f>
        <v>Superintending Engineer</v>
      </c>
    </row>
    <row r="48" spans="1:12">
      <c r="I48" s="683" t="str">
        <f>'1V 1m dia Pipe Culverts'!H45</f>
        <v>PR, Circle, Warangal</v>
      </c>
    </row>
  </sheetData>
  <protectedRanges>
    <protectedRange sqref="I45 H39:I44" name="Range4_3"/>
    <protectedRange sqref="B39:F45" name="Range4_4"/>
  </protectedRanges>
  <mergeCells count="21">
    <mergeCell ref="B40:F40"/>
    <mergeCell ref="H40:J40"/>
    <mergeCell ref="B44:F44"/>
    <mergeCell ref="H44:J44"/>
    <mergeCell ref="B45:F45"/>
    <mergeCell ref="H45:J45"/>
    <mergeCell ref="B26:K26"/>
    <mergeCell ref="B30:F30"/>
    <mergeCell ref="B32:K32"/>
    <mergeCell ref="B39:F39"/>
    <mergeCell ref="H39:J39"/>
    <mergeCell ref="C5:E5"/>
    <mergeCell ref="B6:K6"/>
    <mergeCell ref="B11:K11"/>
    <mergeCell ref="B16:J16"/>
    <mergeCell ref="B21:K21"/>
    <mergeCell ref="A1:L1"/>
    <mergeCell ref="A2:B2"/>
    <mergeCell ref="F2:L2"/>
    <mergeCell ref="A3:L3"/>
    <mergeCell ref="C4:E4"/>
  </mergeCells>
  <printOptions horizontalCentered="1"/>
  <pageMargins left="0.51180555555555596" right="0.23611111111111099" top="0.74791666666666701" bottom="0.51180555555555596" header="0.31458333333333299" footer="0.23611111111111099"/>
  <pageSetup paperSize="9" orientation="portrait" r:id="rId1"/>
</worksheet>
</file>

<file path=xl/worksheets/sheet29.xml><?xml version="1.0" encoding="utf-8"?>
<worksheet xmlns="http://schemas.openxmlformats.org/spreadsheetml/2006/main" xmlns:r="http://schemas.openxmlformats.org/officeDocument/2006/relationships">
  <sheetPr codeName="Sheet29">
    <tabColor rgb="FF008000"/>
  </sheetPr>
  <dimension ref="A1:L132"/>
  <sheetViews>
    <sheetView view="pageBreakPreview" workbookViewId="0">
      <selection activeCell="E5" sqref="E5"/>
    </sheetView>
  </sheetViews>
  <sheetFormatPr defaultColWidth="9.28515625" defaultRowHeight="15"/>
  <cols>
    <col min="1" max="1" width="5.85546875" style="1168" customWidth="1"/>
    <col min="2" max="2" width="30.28515625" style="1167" customWidth="1"/>
    <col min="3" max="3" width="11.7109375" style="1169" customWidth="1"/>
    <col min="4" max="4" width="10.7109375" style="1170" customWidth="1"/>
    <col min="5" max="5" width="13" style="1170" customWidth="1"/>
    <col min="6" max="6" width="9.85546875" style="1170" customWidth="1"/>
    <col min="7" max="7" width="12.7109375" style="1171" customWidth="1"/>
    <col min="8" max="8" width="27.140625" style="1172" customWidth="1"/>
    <col min="9" max="9" width="10.140625" style="1172" customWidth="1"/>
    <col min="10" max="16384" width="9.28515625" style="1172"/>
  </cols>
  <sheetData>
    <row r="1" spans="1:10" ht="21.95" customHeight="1">
      <c r="A1" s="3698" t="s">
        <v>1450</v>
      </c>
      <c r="B1" s="3698"/>
      <c r="C1" s="3698"/>
      <c r="D1" s="3698"/>
      <c r="E1" s="3698"/>
      <c r="F1" s="3698"/>
      <c r="G1" s="3698"/>
    </row>
    <row r="2" spans="1:10">
      <c r="A2" s="3699" t="str">
        <f>'Input Data'!E1</f>
        <v>R/F A to B in Wanaparthy Mandal of Wanaparthy District</v>
      </c>
      <c r="B2" s="3699"/>
      <c r="C2" s="3699"/>
      <c r="D2" s="3699"/>
      <c r="E2" s="3699"/>
      <c r="F2" s="3699"/>
      <c r="G2" s="3699"/>
    </row>
    <row r="3" spans="1:10" s="1164" customFormat="1" ht="18" customHeight="1">
      <c r="A3" s="1173" t="s">
        <v>391</v>
      </c>
      <c r="B3" s="1174" t="s">
        <v>530</v>
      </c>
      <c r="C3" s="3700" t="s">
        <v>3</v>
      </c>
      <c r="D3" s="3700"/>
      <c r="E3" s="3700" t="s">
        <v>5</v>
      </c>
      <c r="F3" s="3700"/>
      <c r="G3" s="1174" t="s">
        <v>532</v>
      </c>
    </row>
    <row r="4" spans="1:10" s="1165" customFormat="1" ht="64.5" customHeight="1">
      <c r="A4" s="1175">
        <v>1</v>
      </c>
      <c r="B4" s="3701" t="str">
        <f>'Road Furniture-Data'!D231</f>
        <v>Reinforced cement concrete M15 grade kilometre stone/local stone of standard design as per IRC:8 fixing in position including painting and printing, etc as per drawing and Technical Specification Clause 1703 MORD / 804 MORTH ,including overhead charges &amp; Contractors profit ,but excluding Seignarage charges.</v>
      </c>
      <c r="C4" s="3701"/>
      <c r="D4" s="3701"/>
      <c r="E4" s="3701"/>
      <c r="F4" s="3701"/>
      <c r="G4" s="1176"/>
    </row>
    <row r="5" spans="1:10" s="1165" customFormat="1">
      <c r="A5" s="1177"/>
      <c r="B5" s="1178" t="s">
        <v>1451</v>
      </c>
      <c r="C5" s="1179">
        <v>1</v>
      </c>
      <c r="D5" s="1180" t="s">
        <v>733</v>
      </c>
      <c r="E5" s="1181">
        <f>'Road Furniture-Data'!H281</f>
        <v>2679.9506199999996</v>
      </c>
      <c r="F5" s="2927" t="s">
        <v>1452</v>
      </c>
      <c r="G5" s="1183">
        <f>ROUND(+C5*E5,)</f>
        <v>2680</v>
      </c>
    </row>
    <row r="6" spans="1:10">
      <c r="A6" s="1184"/>
      <c r="B6" s="1185" t="s">
        <v>1453</v>
      </c>
      <c r="C6" s="1179">
        <v>5</v>
      </c>
      <c r="D6" s="1180" t="s">
        <v>733</v>
      </c>
      <c r="E6" s="1181">
        <f>'Road Furniture-Data'!H306</f>
        <v>744.76732656060608</v>
      </c>
      <c r="F6" s="2927" t="s">
        <v>1452</v>
      </c>
      <c r="G6" s="1183">
        <f>ROUND(+C6*E6,)</f>
        <v>3724</v>
      </c>
      <c r="I6" s="1211"/>
      <c r="J6" s="1211"/>
    </row>
    <row r="7" spans="1:10" ht="156" customHeight="1">
      <c r="A7" s="1186">
        <v>2</v>
      </c>
      <c r="B7" s="3703" t="str">
        <f>'Road Furniture-Data'!D309</f>
        <v>Providing and fixing of typical  CRR informatory  and Name Board  with necessary Logo as per specifications and drawing. Three MS Plates of 1.6 mm thick, top and middle plate duly welded with MS flat iron 25mm x 5m size on back on edges.  The lower plate will be we welded with MS angle irone frame of 25 mm x 25 mm x 5 mm. The angle iron frame of the lower most plate and flat iron frame of middle plate will be welded to 2 nos. 75 mm x 75 mm of 12 SWG sheet tubes posts duly embedded in cement concrete M-15 grade blocks of 450 mm x 450 mm x 600 mm, 600 mm below ground level. The top most diamond plate will be welded to middle plate by 47 mm x 47mm of 12 SWG sheet tube. All M.s. will be stove enameled on both sides. Lettering and printing arrows, border etc., will be pointed with ready mixed synthetic enamel paint of superior quality in required shade and colour. All sections of framed posts and steel tube will be painted with primer and two coats of epoxy paint as per drawing clause 1701 MORD ,including overhead charges &amp; Contractors profit ,but excluding Seignarage charges.</v>
      </c>
      <c r="C7" s="3703"/>
      <c r="D7" s="3703"/>
      <c r="E7" s="3703"/>
      <c r="F7" s="3703"/>
      <c r="G7" s="1183"/>
    </row>
    <row r="8" spans="1:10">
      <c r="A8" s="1184"/>
      <c r="B8" s="1187" t="s">
        <v>1454</v>
      </c>
      <c r="C8" s="1188">
        <v>1</v>
      </c>
      <c r="D8" s="1180" t="s">
        <v>733</v>
      </c>
      <c r="E8" s="1181">
        <f>'Road Furniture-Data'!H345</f>
        <v>15902.735746234997</v>
      </c>
      <c r="F8" s="2927" t="s">
        <v>1452</v>
      </c>
      <c r="G8" s="1183">
        <f>ROUND(+C8*E8,)</f>
        <v>15903</v>
      </c>
    </row>
    <row r="9" spans="1:10" ht="120" customHeight="1">
      <c r="A9" s="1186">
        <v>3</v>
      </c>
      <c r="B9" s="3703" t="str">
        <f>'Road Furniture-Data'!D167</f>
        <v>Providing and erecting direction and place identifications of semi reflective sign boards as per IRC:67 made of 2 mm thick M.S. Sheet duly stove enameled paint in white colour in front and grey colour on back with red reflective border of 70 mm width and required message, letters, figures with reflective engineering grade tape as per MORD specifications of required shade and colour. supported and welded on 47 mm x 47 mm of 12 SWG Square tube of 3050 mm height duly strengthened by 25 mm x 5 mm M/s flat iron on edges on back firmly fixed to the ground by means of properly designed foundation with M15 grade cement concrete 450 mm x 450 mm x 600 mm, 600 mm below ground level as per drawings and Technical Specification Clause 1701 MORD.,including overhead charges &amp; Contractors profit ,but excluding Seignarage charges.</v>
      </c>
      <c r="C9" s="3703"/>
      <c r="D9" s="3703"/>
      <c r="E9" s="3703"/>
      <c r="F9" s="3703"/>
      <c r="G9" s="1189"/>
    </row>
    <row r="10" spans="1:10">
      <c r="A10" s="1184"/>
      <c r="B10" s="1187" t="s">
        <v>1455</v>
      </c>
      <c r="C10" s="1188">
        <v>2</v>
      </c>
      <c r="D10" s="1180" t="s">
        <v>733</v>
      </c>
      <c r="E10" s="1181">
        <f>'Road Furniture-Data'!H192</f>
        <v>2995.5934270850003</v>
      </c>
      <c r="F10" s="2927" t="s">
        <v>1452</v>
      </c>
      <c r="G10" s="1183">
        <f>ROUND(+C10*E10,)</f>
        <v>5991</v>
      </c>
    </row>
    <row r="11" spans="1:10" ht="105" customHeight="1">
      <c r="A11" s="1186">
        <v>4</v>
      </c>
      <c r="B11" s="3703" t="str">
        <f>'Road Furniture-Data'!D123</f>
        <v>Providing and fixing of semi reflective cautionary, mandatory and informatory sign board as per IRC:67 made of 1.5 mm thick MS Sheet duly stove white colour in front and gray colour on back with red reflective border of 65 mm width and required letters and figures with reflective tape engineering grade as per Clause 1701.3.9 of MORD for Rural Roads of required shade and colour supported and welded on 47 mm x 47 mm 12 SWG sheet tube firmly fixed to the ground by means of properly designed foundation with M15 grade cement concrete 450 mm x 450 mm x 600 mm, 600 mm below ground level as per drawings and Technical Specification Clause 1701 MORD ,including overhead charges &amp; Contractors profit ,but excluding Seignarage charges.</v>
      </c>
      <c r="C11" s="3703"/>
      <c r="D11" s="3703"/>
      <c r="E11" s="3703"/>
      <c r="F11" s="3703"/>
      <c r="G11" s="1189"/>
    </row>
    <row r="12" spans="1:10">
      <c r="A12" s="1184"/>
      <c r="B12" s="1187" t="s">
        <v>1456</v>
      </c>
      <c r="C12" s="1188">
        <v>4</v>
      </c>
      <c r="D12" s="1180" t="s">
        <v>733</v>
      </c>
      <c r="E12" s="1181">
        <f>'Road Furniture-Data'!H160</f>
        <v>2290.6281445700001</v>
      </c>
      <c r="F12" s="2927" t="s">
        <v>1452</v>
      </c>
      <c r="G12" s="1183">
        <f>ROUND(+C12*E12,)</f>
        <v>9163</v>
      </c>
    </row>
    <row r="13" spans="1:10" hidden="1">
      <c r="A13" s="1184"/>
      <c r="B13" s="3704"/>
      <c r="C13" s="3704"/>
      <c r="D13" s="3704"/>
      <c r="E13" s="1181"/>
      <c r="F13" s="1182"/>
      <c r="G13" s="1183"/>
    </row>
    <row r="14" spans="1:10" ht="97.9" hidden="1" customHeight="1">
      <c r="A14" s="1184">
        <v>5</v>
      </c>
      <c r="B14" s="3703" t="s">
        <v>1457</v>
      </c>
      <c r="C14" s="3703"/>
      <c r="D14" s="3703"/>
      <c r="E14" s="3703"/>
      <c r="F14" s="3703"/>
      <c r="G14" s="1183"/>
    </row>
    <row r="15" spans="1:10" hidden="1">
      <c r="A15" s="1184"/>
      <c r="B15" s="1190"/>
      <c r="C15" s="1190">
        <v>0</v>
      </c>
      <c r="D15" s="1190">
        <v>0.1</v>
      </c>
      <c r="E15" s="1181">
        <f>C15*D15</f>
        <v>0</v>
      </c>
      <c r="F15" s="1182"/>
      <c r="G15" s="1183"/>
    </row>
    <row r="16" spans="1:10" hidden="1">
      <c r="A16" s="1184"/>
      <c r="B16" s="1190"/>
      <c r="C16" s="1190"/>
      <c r="D16" s="1190"/>
      <c r="E16" s="1181">
        <f>E15</f>
        <v>0</v>
      </c>
      <c r="F16" s="1182">
        <v>663</v>
      </c>
      <c r="G16" s="1183">
        <f>F16*E16</f>
        <v>0</v>
      </c>
    </row>
    <row r="17" spans="1:12">
      <c r="A17" s="1184"/>
      <c r="B17" s="1191"/>
      <c r="C17" s="1188"/>
      <c r="D17" s="1180"/>
      <c r="E17" s="1192"/>
      <c r="F17" s="1193"/>
      <c r="G17" s="1194"/>
    </row>
    <row r="18" spans="1:12" ht="24" customHeight="1">
      <c r="A18" s="1195"/>
      <c r="B18" s="1196"/>
      <c r="C18" s="1197"/>
      <c r="D18" s="1198"/>
      <c r="E18" s="1199" t="s">
        <v>60</v>
      </c>
      <c r="F18" s="1198" t="s">
        <v>430</v>
      </c>
      <c r="G18" s="1194">
        <f>SUM(G4:G17)</f>
        <v>37461</v>
      </c>
      <c r="H18" s="1200"/>
    </row>
    <row r="19" spans="1:12" ht="17.25" customHeight="1"/>
    <row r="20" spans="1:12" ht="17.25" customHeight="1"/>
    <row r="21" spans="1:12" s="1166" customFormat="1" ht="15.95" customHeight="1">
      <c r="A21" s="1201"/>
      <c r="B21" s="1201" t="s">
        <v>949</v>
      </c>
      <c r="D21" s="3690" t="s">
        <v>791</v>
      </c>
      <c r="E21" s="3690"/>
      <c r="G21" s="1201"/>
    </row>
    <row r="22" spans="1:12" s="1166" customFormat="1" ht="15.95" customHeight="1">
      <c r="A22" s="1201"/>
      <c r="B22" s="1201" t="str">
        <f>'Pipe data'!D274</f>
        <v>PRSD, Wanaparthy</v>
      </c>
      <c r="D22" s="3690" t="str">
        <f>'Pipe data'!E274</f>
        <v>PRSD, Wanaparthy</v>
      </c>
      <c r="E22" s="3690"/>
      <c r="G22" s="1201"/>
    </row>
    <row r="23" spans="1:12" s="1166" customFormat="1" ht="15.75" customHeight="1">
      <c r="A23" s="1201"/>
      <c r="E23" s="1201"/>
      <c r="G23" s="1201"/>
    </row>
    <row r="24" spans="1:12" s="1166" customFormat="1" ht="15.75" customHeight="1">
      <c r="A24" s="1201"/>
      <c r="E24" s="1201"/>
      <c r="G24" s="1201"/>
    </row>
    <row r="25" spans="1:12" s="1166" customFormat="1" ht="15.95" hidden="1" customHeight="1">
      <c r="A25" s="1201"/>
      <c r="B25" s="1201" t="str">
        <f>'Pipe data'!D399</f>
        <v>District Panchayat Raj Engineer,</v>
      </c>
      <c r="D25" s="3690" t="str">
        <f>'Pipe data'!E399</f>
        <v>Superintending Engineer</v>
      </c>
      <c r="E25" s="3690"/>
      <c r="G25" s="1201"/>
    </row>
    <row r="26" spans="1:12" s="1166" customFormat="1" ht="15.95" hidden="1" customHeight="1">
      <c r="A26" s="1202"/>
      <c r="B26" s="1201" t="str">
        <f>'Pipe data'!D400</f>
        <v>PIU, Wanaparthy</v>
      </c>
      <c r="C26" s="1203"/>
      <c r="D26" s="3702" t="str">
        <f>'Pipe data'!E400</f>
        <v>PR, Circle, Warangal</v>
      </c>
      <c r="E26" s="3702"/>
      <c r="G26" s="1201"/>
    </row>
    <row r="27" spans="1:12" ht="17.25" hidden="1" customHeight="1"/>
    <row r="28" spans="1:12" ht="17.25" customHeight="1"/>
    <row r="29" spans="1:12" ht="17.25" customHeight="1">
      <c r="B29" s="1167" t="str">
        <f>'1V 1m dia Pipe Culverts'!B44</f>
        <v>District Panchayat Raj Engineer,</v>
      </c>
      <c r="E29" s="1170" t="str">
        <f>'1V 1m dia Pipe Culverts'!H44</f>
        <v>Superintending Engineer</v>
      </c>
    </row>
    <row r="30" spans="1:12" ht="17.25" customHeight="1">
      <c r="B30" s="1167" t="str">
        <f>'1V 1m dia Pipe Culverts'!B45</f>
        <v>PIU, Wanaparthy</v>
      </c>
      <c r="E30" s="1170" t="str">
        <f>'1V 1m dia Pipe Culverts'!H45</f>
        <v>PR, Circle, Warangal</v>
      </c>
    </row>
    <row r="32" spans="1:12">
      <c r="B32" s="1204"/>
      <c r="C32" s="1205"/>
      <c r="D32" s="1206"/>
      <c r="E32" s="1207"/>
      <c r="F32" s="1208"/>
      <c r="G32" s="1209"/>
      <c r="H32" s="1208"/>
      <c r="I32" s="1208"/>
      <c r="K32" s="1208"/>
      <c r="L32" s="1208"/>
    </row>
    <row r="33" spans="2:12">
      <c r="B33" s="1204"/>
      <c r="C33" s="1205"/>
      <c r="D33" s="1208"/>
      <c r="E33" s="1207"/>
      <c r="F33" s="1208"/>
      <c r="G33" s="1209"/>
      <c r="H33" s="1208"/>
      <c r="I33" s="1208"/>
      <c r="K33" s="1208"/>
      <c r="L33" s="1208"/>
    </row>
    <row r="37" spans="2:12">
      <c r="B37" s="1210"/>
    </row>
    <row r="38" spans="2:12">
      <c r="B38" s="1210"/>
    </row>
    <row r="93" spans="1:12" s="1167" customFormat="1">
      <c r="A93" s="1164"/>
      <c r="C93" s="1169"/>
      <c r="D93" s="1170"/>
      <c r="E93" s="1170"/>
      <c r="F93" s="1170"/>
      <c r="G93" s="1171"/>
      <c r="H93" s="1172"/>
      <c r="I93" s="1172"/>
      <c r="J93" s="1172"/>
      <c r="K93" s="1172"/>
      <c r="L93" s="1172"/>
    </row>
    <row r="94" spans="1:12" s="1167" customFormat="1">
      <c r="A94" s="1164"/>
      <c r="C94" s="1169"/>
      <c r="D94" s="1170"/>
      <c r="E94" s="1170"/>
      <c r="F94" s="1170"/>
      <c r="G94" s="1171"/>
      <c r="H94" s="1172"/>
      <c r="I94" s="1172"/>
      <c r="J94" s="1172"/>
      <c r="K94" s="1172"/>
      <c r="L94" s="1172"/>
    </row>
    <row r="95" spans="1:12" s="1167" customFormat="1">
      <c r="A95" s="1164"/>
      <c r="C95" s="1169"/>
      <c r="D95" s="1170"/>
      <c r="E95" s="1170"/>
      <c r="F95" s="1170"/>
      <c r="G95" s="1171"/>
      <c r="H95" s="1172"/>
      <c r="I95" s="1172"/>
      <c r="J95" s="1172"/>
      <c r="K95" s="1172"/>
      <c r="L95" s="1172"/>
    </row>
    <row r="96" spans="1:12" s="1167" customFormat="1">
      <c r="A96" s="1164"/>
      <c r="C96" s="1169"/>
      <c r="D96" s="1170"/>
      <c r="E96" s="1170"/>
      <c r="F96" s="1170"/>
      <c r="G96" s="1171"/>
      <c r="H96" s="1172"/>
      <c r="I96" s="1172"/>
      <c r="J96" s="1172"/>
      <c r="K96" s="1172"/>
      <c r="L96" s="1172"/>
    </row>
    <row r="97" spans="1:12" s="1167" customFormat="1">
      <c r="A97" s="1164"/>
      <c r="C97" s="1169"/>
      <c r="D97" s="1170"/>
      <c r="E97" s="1170"/>
      <c r="F97" s="1170"/>
      <c r="G97" s="1171"/>
      <c r="H97" s="1172"/>
      <c r="I97" s="1172"/>
      <c r="J97" s="1172"/>
      <c r="K97" s="1172"/>
      <c r="L97" s="1172"/>
    </row>
    <row r="98" spans="1:12" s="1167" customFormat="1">
      <c r="A98" s="1164"/>
      <c r="C98" s="1169"/>
      <c r="D98" s="1170"/>
      <c r="E98" s="1170"/>
      <c r="F98" s="1170"/>
      <c r="G98" s="1171"/>
      <c r="H98" s="1172"/>
      <c r="I98" s="1172"/>
      <c r="J98" s="1172"/>
      <c r="K98" s="1172"/>
      <c r="L98" s="1172"/>
    </row>
    <row r="99" spans="1:12" s="1167" customFormat="1">
      <c r="A99" s="1164"/>
      <c r="C99" s="1169"/>
      <c r="D99" s="1170"/>
      <c r="E99" s="1170"/>
      <c r="F99" s="1170"/>
      <c r="G99" s="1171"/>
      <c r="H99" s="1172"/>
      <c r="I99" s="1172"/>
      <c r="J99" s="1172"/>
      <c r="K99" s="1172"/>
      <c r="L99" s="1172"/>
    </row>
    <row r="100" spans="1:12" s="1167" customFormat="1">
      <c r="A100" s="1164"/>
      <c r="C100" s="1169"/>
      <c r="D100" s="1170"/>
      <c r="E100" s="1170"/>
      <c r="F100" s="1170"/>
      <c r="G100" s="1171"/>
      <c r="H100" s="1172"/>
      <c r="I100" s="1172"/>
      <c r="J100" s="1172"/>
      <c r="K100" s="1172"/>
      <c r="L100" s="1172"/>
    </row>
    <row r="101" spans="1:12" s="1167" customFormat="1">
      <c r="A101" s="1164"/>
      <c r="C101" s="1169"/>
      <c r="D101" s="1170"/>
      <c r="E101" s="1170"/>
      <c r="F101" s="1170"/>
      <c r="G101" s="1171"/>
      <c r="H101" s="1172"/>
      <c r="I101" s="1172"/>
      <c r="J101" s="1172"/>
      <c r="K101" s="1172"/>
      <c r="L101" s="1172"/>
    </row>
    <row r="102" spans="1:12" s="1167" customFormat="1">
      <c r="A102" s="1164"/>
      <c r="C102" s="1169"/>
      <c r="D102" s="1170"/>
      <c r="E102" s="1170"/>
      <c r="F102" s="1170"/>
      <c r="G102" s="1171"/>
      <c r="H102" s="1172"/>
      <c r="I102" s="1172"/>
      <c r="J102" s="1172"/>
      <c r="K102" s="1172"/>
      <c r="L102" s="1172"/>
    </row>
    <row r="103" spans="1:12" s="1167" customFormat="1">
      <c r="A103" s="1164"/>
      <c r="C103" s="1169"/>
      <c r="D103" s="1170"/>
      <c r="E103" s="1170"/>
      <c r="F103" s="1170"/>
      <c r="G103" s="1171"/>
      <c r="H103" s="1172"/>
      <c r="I103" s="1172"/>
      <c r="J103" s="1172"/>
      <c r="K103" s="1172"/>
      <c r="L103" s="1172"/>
    </row>
    <row r="104" spans="1:12" s="1167" customFormat="1">
      <c r="A104" s="1164"/>
      <c r="C104" s="1169"/>
      <c r="D104" s="1170"/>
      <c r="E104" s="1170"/>
      <c r="F104" s="1170"/>
      <c r="G104" s="1171"/>
      <c r="H104" s="1172"/>
      <c r="I104" s="1172"/>
      <c r="J104" s="1172"/>
      <c r="K104" s="1172"/>
      <c r="L104" s="1172"/>
    </row>
    <row r="105" spans="1:12" s="1167" customFormat="1">
      <c r="A105" s="1164"/>
      <c r="C105" s="1169"/>
      <c r="D105" s="1170"/>
      <c r="E105" s="1170"/>
      <c r="F105" s="1170"/>
      <c r="G105" s="1171"/>
      <c r="H105" s="1172"/>
      <c r="I105" s="1172"/>
      <c r="J105" s="1172"/>
      <c r="K105" s="1172"/>
      <c r="L105" s="1172"/>
    </row>
    <row r="106" spans="1:12" s="1167" customFormat="1">
      <c r="A106" s="1164"/>
      <c r="C106" s="1169"/>
      <c r="D106" s="1170"/>
      <c r="E106" s="1170"/>
      <c r="F106" s="1170"/>
      <c r="G106" s="1171"/>
      <c r="H106" s="1172"/>
      <c r="I106" s="1172"/>
      <c r="J106" s="1172"/>
      <c r="K106" s="1172"/>
      <c r="L106" s="1172"/>
    </row>
    <row r="107" spans="1:12" s="1167" customFormat="1">
      <c r="A107" s="1164"/>
      <c r="C107" s="1169"/>
      <c r="D107" s="1170"/>
      <c r="E107" s="1170"/>
      <c r="F107" s="1170"/>
      <c r="G107" s="1171"/>
      <c r="H107" s="1172"/>
      <c r="I107" s="1172"/>
      <c r="J107" s="1172"/>
      <c r="K107" s="1172"/>
      <c r="L107" s="1172"/>
    </row>
    <row r="108" spans="1:12" s="1167" customFormat="1">
      <c r="A108" s="1164"/>
      <c r="C108" s="1169"/>
      <c r="D108" s="1170"/>
      <c r="E108" s="1170"/>
      <c r="F108" s="1170"/>
      <c r="G108" s="1171"/>
      <c r="H108" s="1172"/>
      <c r="I108" s="1172"/>
      <c r="J108" s="1172"/>
      <c r="K108" s="1172"/>
      <c r="L108" s="1172"/>
    </row>
    <row r="109" spans="1:12" s="1167" customFormat="1">
      <c r="A109" s="1164"/>
      <c r="C109" s="1169"/>
      <c r="D109" s="1170"/>
      <c r="E109" s="1170"/>
      <c r="F109" s="1170"/>
      <c r="G109" s="1171"/>
      <c r="H109" s="1172"/>
      <c r="I109" s="1172"/>
      <c r="J109" s="1172"/>
      <c r="K109" s="1172"/>
      <c r="L109" s="1172"/>
    </row>
    <row r="110" spans="1:12" s="1167" customFormat="1">
      <c r="A110" s="1164"/>
      <c r="C110" s="1169"/>
      <c r="D110" s="1170"/>
      <c r="E110" s="1170"/>
      <c r="F110" s="1170"/>
      <c r="G110" s="1171"/>
      <c r="H110" s="1172"/>
      <c r="I110" s="1172"/>
      <c r="J110" s="1172"/>
      <c r="K110" s="1172"/>
      <c r="L110" s="1172"/>
    </row>
    <row r="111" spans="1:12" s="1167" customFormat="1">
      <c r="A111" s="1164"/>
      <c r="C111" s="1169"/>
      <c r="D111" s="1170"/>
      <c r="E111" s="1170"/>
      <c r="F111" s="1170"/>
      <c r="G111" s="1171"/>
      <c r="H111" s="1172"/>
      <c r="I111" s="1172"/>
      <c r="J111" s="1172"/>
      <c r="K111" s="1172"/>
      <c r="L111" s="1172"/>
    </row>
    <row r="112" spans="1:12" s="1167" customFormat="1">
      <c r="A112" s="1164"/>
      <c r="C112" s="1169"/>
      <c r="D112" s="1170"/>
      <c r="E112" s="1170"/>
      <c r="F112" s="1170"/>
      <c r="G112" s="1171"/>
      <c r="H112" s="1172"/>
      <c r="I112" s="1172"/>
      <c r="J112" s="1172"/>
      <c r="K112" s="1172"/>
      <c r="L112" s="1172"/>
    </row>
    <row r="113" spans="1:12" s="1167" customFormat="1">
      <c r="A113" s="1164"/>
      <c r="C113" s="1169"/>
      <c r="D113" s="1170"/>
      <c r="E113" s="1170"/>
      <c r="F113" s="1170"/>
      <c r="G113" s="1171"/>
      <c r="H113" s="1172"/>
      <c r="I113" s="1172"/>
      <c r="J113" s="1172"/>
      <c r="K113" s="1172"/>
      <c r="L113" s="1172"/>
    </row>
    <row r="114" spans="1:12" s="1167" customFormat="1">
      <c r="A114" s="1164"/>
      <c r="C114" s="1169"/>
      <c r="D114" s="1170"/>
      <c r="E114" s="1170"/>
      <c r="F114" s="1170"/>
      <c r="G114" s="1171"/>
      <c r="H114" s="1172"/>
      <c r="I114" s="1172"/>
      <c r="J114" s="1172"/>
      <c r="K114" s="1172"/>
      <c r="L114" s="1172"/>
    </row>
    <row r="115" spans="1:12" s="1167" customFormat="1">
      <c r="A115" s="1164"/>
      <c r="C115" s="1169"/>
      <c r="D115" s="1170"/>
      <c r="E115" s="1170"/>
      <c r="F115" s="1170"/>
      <c r="G115" s="1171"/>
      <c r="H115" s="1172"/>
      <c r="I115" s="1172"/>
      <c r="J115" s="1172"/>
      <c r="K115" s="1172"/>
      <c r="L115" s="1172"/>
    </row>
    <row r="116" spans="1:12" s="1167" customFormat="1">
      <c r="A116" s="1164"/>
      <c r="C116" s="1169"/>
      <c r="D116" s="1170"/>
      <c r="E116" s="1170"/>
      <c r="F116" s="1170"/>
      <c r="G116" s="1171"/>
      <c r="H116" s="1172"/>
      <c r="I116" s="1172"/>
      <c r="J116" s="1172"/>
      <c r="K116" s="1172"/>
      <c r="L116" s="1172"/>
    </row>
    <row r="117" spans="1:12" s="1167" customFormat="1">
      <c r="A117" s="1164"/>
      <c r="C117" s="1169"/>
      <c r="D117" s="1170"/>
      <c r="E117" s="1170"/>
      <c r="F117" s="1170"/>
      <c r="G117" s="1171"/>
      <c r="H117" s="1172"/>
      <c r="I117" s="1172"/>
      <c r="J117" s="1172"/>
      <c r="K117" s="1172"/>
      <c r="L117" s="1172"/>
    </row>
    <row r="118" spans="1:12" s="1167" customFormat="1">
      <c r="A118" s="1164"/>
      <c r="C118" s="1169"/>
      <c r="D118" s="1170"/>
      <c r="E118" s="1170"/>
      <c r="F118" s="1170"/>
      <c r="G118" s="1171"/>
      <c r="H118" s="1172"/>
      <c r="I118" s="1172"/>
      <c r="J118" s="1172"/>
      <c r="K118" s="1172"/>
      <c r="L118" s="1172"/>
    </row>
    <row r="119" spans="1:12" s="1167" customFormat="1">
      <c r="A119" s="1164"/>
      <c r="C119" s="1169"/>
      <c r="D119" s="1170"/>
      <c r="E119" s="1170"/>
      <c r="F119" s="1170"/>
      <c r="G119" s="1171"/>
      <c r="H119" s="1172"/>
      <c r="I119" s="1172"/>
      <c r="J119" s="1172"/>
      <c r="K119" s="1172"/>
      <c r="L119" s="1172"/>
    </row>
    <row r="120" spans="1:12" s="1167" customFormat="1">
      <c r="A120" s="1164"/>
      <c r="C120" s="1169"/>
      <c r="D120" s="1170"/>
      <c r="E120" s="1170"/>
      <c r="F120" s="1170"/>
      <c r="G120" s="1171"/>
      <c r="H120" s="1172"/>
      <c r="I120" s="1172"/>
      <c r="J120" s="1172"/>
      <c r="K120" s="1172"/>
      <c r="L120" s="1172"/>
    </row>
    <row r="121" spans="1:12" s="1167" customFormat="1">
      <c r="A121" s="1164"/>
      <c r="C121" s="1169"/>
      <c r="D121" s="1170"/>
      <c r="E121" s="1170"/>
      <c r="F121" s="1170"/>
      <c r="G121" s="1171"/>
      <c r="H121" s="1172"/>
      <c r="I121" s="1172"/>
      <c r="J121" s="1172"/>
      <c r="K121" s="1172"/>
      <c r="L121" s="1172"/>
    </row>
    <row r="122" spans="1:12" s="1167" customFormat="1">
      <c r="A122" s="1164"/>
      <c r="C122" s="1169"/>
      <c r="D122" s="1170"/>
      <c r="E122" s="1170"/>
      <c r="F122" s="1170"/>
      <c r="G122" s="1171"/>
      <c r="H122" s="1172"/>
      <c r="I122" s="1172"/>
      <c r="J122" s="1172"/>
      <c r="K122" s="1172"/>
      <c r="L122" s="1172"/>
    </row>
    <row r="123" spans="1:12" s="1167" customFormat="1">
      <c r="A123" s="1164"/>
      <c r="C123" s="1169"/>
      <c r="D123" s="1170"/>
      <c r="E123" s="1170"/>
      <c r="F123" s="1170"/>
      <c r="G123" s="1171"/>
      <c r="H123" s="1172"/>
      <c r="I123" s="1172"/>
      <c r="J123" s="1172"/>
      <c r="K123" s="1172"/>
      <c r="L123" s="1172"/>
    </row>
    <row r="124" spans="1:12" s="1167" customFormat="1">
      <c r="A124" s="1164"/>
      <c r="C124" s="1169"/>
      <c r="D124" s="1170"/>
      <c r="E124" s="1170"/>
      <c r="F124" s="1170"/>
      <c r="G124" s="1171"/>
      <c r="H124" s="1172"/>
      <c r="I124" s="1172"/>
      <c r="J124" s="1172"/>
      <c r="K124" s="1172"/>
      <c r="L124" s="1172"/>
    </row>
    <row r="125" spans="1:12" s="1167" customFormat="1">
      <c r="A125" s="1164"/>
      <c r="C125" s="1169"/>
      <c r="D125" s="1170"/>
      <c r="E125" s="1170"/>
      <c r="F125" s="1170"/>
      <c r="G125" s="1171"/>
      <c r="H125" s="1172"/>
      <c r="I125" s="1172"/>
      <c r="J125" s="1172"/>
      <c r="K125" s="1172"/>
      <c r="L125" s="1172"/>
    </row>
    <row r="126" spans="1:12" s="1167" customFormat="1">
      <c r="A126" s="1164"/>
      <c r="C126" s="1169"/>
      <c r="D126" s="1170"/>
      <c r="E126" s="1170"/>
      <c r="F126" s="1170"/>
      <c r="G126" s="1171"/>
      <c r="H126" s="1172"/>
      <c r="I126" s="1172"/>
      <c r="J126" s="1172"/>
      <c r="K126" s="1172"/>
      <c r="L126" s="1172"/>
    </row>
    <row r="127" spans="1:12" s="1167" customFormat="1">
      <c r="A127" s="1164"/>
      <c r="C127" s="1169"/>
      <c r="D127" s="1170"/>
      <c r="E127" s="1170"/>
      <c r="F127" s="1170"/>
      <c r="G127" s="1171"/>
      <c r="H127" s="1172"/>
      <c r="I127" s="1172"/>
      <c r="J127" s="1172"/>
      <c r="K127" s="1172"/>
      <c r="L127" s="1172"/>
    </row>
    <row r="128" spans="1:12" s="1167" customFormat="1">
      <c r="A128" s="1164"/>
      <c r="C128" s="1169"/>
      <c r="D128" s="1170"/>
      <c r="E128" s="1170"/>
      <c r="F128" s="1170"/>
      <c r="G128" s="1171"/>
      <c r="H128" s="1172"/>
      <c r="I128" s="1172"/>
      <c r="J128" s="1172"/>
      <c r="K128" s="1172"/>
      <c r="L128" s="1172"/>
    </row>
    <row r="129" spans="1:12" s="1167" customFormat="1">
      <c r="A129" s="1164"/>
      <c r="C129" s="1169"/>
      <c r="D129" s="1170"/>
      <c r="E129" s="1170"/>
      <c r="F129" s="1170"/>
      <c r="G129" s="1171"/>
      <c r="H129" s="1172"/>
      <c r="I129" s="1172"/>
      <c r="J129" s="1172"/>
      <c r="K129" s="1172"/>
      <c r="L129" s="1172"/>
    </row>
    <row r="130" spans="1:12" s="1167" customFormat="1">
      <c r="A130" s="1164"/>
      <c r="C130" s="1169"/>
      <c r="D130" s="1170"/>
      <c r="E130" s="1170"/>
      <c r="F130" s="1170"/>
      <c r="G130" s="1171"/>
      <c r="H130" s="1172"/>
      <c r="I130" s="1172"/>
      <c r="J130" s="1172"/>
      <c r="K130" s="1172"/>
      <c r="L130" s="1172"/>
    </row>
    <row r="131" spans="1:12" s="1167" customFormat="1">
      <c r="A131" s="1164"/>
      <c r="C131" s="1169"/>
      <c r="D131" s="1170"/>
      <c r="E131" s="1170"/>
      <c r="F131" s="1170"/>
      <c r="G131" s="1171"/>
      <c r="H131" s="1172"/>
      <c r="I131" s="1172"/>
      <c r="J131" s="1172"/>
      <c r="K131" s="1172"/>
      <c r="L131" s="1172"/>
    </row>
    <row r="132" spans="1:12" s="1167" customFormat="1">
      <c r="A132" s="1164"/>
      <c r="C132" s="1169"/>
      <c r="D132" s="1170"/>
      <c r="E132" s="1170"/>
      <c r="F132" s="1170"/>
      <c r="G132" s="1171"/>
      <c r="H132" s="1172"/>
      <c r="I132" s="1172"/>
      <c r="J132" s="1172"/>
      <c r="K132" s="1172"/>
      <c r="L132" s="1172"/>
    </row>
  </sheetData>
  <protectedRanges>
    <protectedRange sqref="E26 A21:E25 A26:C26" name="Range4"/>
  </protectedRanges>
  <mergeCells count="14">
    <mergeCell ref="D21:E21"/>
    <mergeCell ref="D22:E22"/>
    <mergeCell ref="D25:E25"/>
    <mergeCell ref="D26:E26"/>
    <mergeCell ref="B7:F7"/>
    <mergeCell ref="B9:F9"/>
    <mergeCell ref="B11:F11"/>
    <mergeCell ref="B13:D13"/>
    <mergeCell ref="B14:F14"/>
    <mergeCell ref="A1:G1"/>
    <mergeCell ref="A2:G2"/>
    <mergeCell ref="C3:D3"/>
    <mergeCell ref="E3:F3"/>
    <mergeCell ref="B4:F4"/>
  </mergeCells>
  <pageMargins left="0.5" right="0.25138888888888899" top="0.55486111111111103" bottom="0.30277777777777798" header="0.30277777777777798" footer="0.25138888888888899"/>
  <pageSetup paperSize="9" orientation="portrait" r:id="rId1"/>
  <headerFooter alignWithMargins="0"/>
</worksheet>
</file>

<file path=xl/worksheets/sheet30.xml><?xml version="1.0" encoding="utf-8"?>
<worksheet xmlns="http://schemas.openxmlformats.org/spreadsheetml/2006/main" xmlns:r="http://schemas.openxmlformats.org/officeDocument/2006/relationships">
  <sheetPr>
    <tabColor rgb="FFFFFF00"/>
  </sheetPr>
  <dimension ref="A1:N37"/>
  <sheetViews>
    <sheetView view="pageBreakPreview" topLeftCell="A7" zoomScaleNormal="85" zoomScaleSheetLayoutView="100" workbookViewId="0">
      <selection activeCell="F16" sqref="F16"/>
    </sheetView>
  </sheetViews>
  <sheetFormatPr defaultColWidth="9.140625" defaultRowHeight="15"/>
  <cols>
    <col min="1" max="1" width="5.85546875" style="1131" customWidth="1"/>
    <col min="2" max="2" width="34.7109375" style="1131" customWidth="1"/>
    <col min="3" max="3" width="4.7109375" style="1131" customWidth="1"/>
    <col min="4" max="4" width="2.85546875" style="1131" customWidth="1"/>
    <col min="5" max="5" width="5.28515625" style="1131" customWidth="1"/>
    <col min="6" max="6" width="7.42578125" style="1131" customWidth="1"/>
    <col min="7" max="7" width="6.42578125" style="1131" customWidth="1"/>
    <col min="8" max="8" width="6" style="1131" customWidth="1"/>
    <col min="9" max="9" width="10.42578125" style="1132" customWidth="1"/>
    <col min="10" max="10" width="9.140625" style="1131"/>
    <col min="11" max="11" width="6.5703125" style="1131" customWidth="1"/>
    <col min="12" max="12" width="12.42578125" style="1131" customWidth="1"/>
    <col min="13" max="13" width="9.140625" style="1131"/>
    <col min="14" max="14" width="12.85546875" style="1131"/>
    <col min="15" max="16384" width="9.140625" style="1131"/>
  </cols>
  <sheetData>
    <row r="1" spans="1:12">
      <c r="A1" s="3705" t="s">
        <v>1458</v>
      </c>
      <c r="B1" s="3705"/>
      <c r="C1" s="3705"/>
      <c r="D1" s="3705"/>
      <c r="E1" s="3705"/>
      <c r="F1" s="3705"/>
      <c r="G1" s="3705"/>
      <c r="H1" s="3705"/>
      <c r="I1" s="3705"/>
      <c r="J1" s="3705"/>
      <c r="K1" s="3705"/>
      <c r="L1" s="3705"/>
    </row>
    <row r="2" spans="1:12">
      <c r="A2" s="3706" t="str">
        <f>'Road-furniture '!A2</f>
        <v>R/F A to B in Wanaparthy Mandal of Wanaparthy District</v>
      </c>
      <c r="B2" s="3706"/>
      <c r="C2" s="3706"/>
      <c r="D2" s="3706"/>
      <c r="E2" s="3706"/>
      <c r="F2" s="3706"/>
      <c r="G2" s="3706"/>
      <c r="H2" s="3706"/>
      <c r="I2" s="3706"/>
      <c r="J2" s="3706"/>
      <c r="K2" s="3706"/>
      <c r="L2" s="3706"/>
    </row>
    <row r="3" spans="1:12">
      <c r="A3" s="3708" t="s">
        <v>391</v>
      </c>
      <c r="B3" s="3707" t="s">
        <v>530</v>
      </c>
      <c r="C3" s="3707" t="s">
        <v>555</v>
      </c>
      <c r="D3" s="3707"/>
      <c r="E3" s="3707"/>
      <c r="F3" s="3707" t="s">
        <v>1459</v>
      </c>
      <c r="G3" s="3707"/>
      <c r="H3" s="3707"/>
      <c r="I3" s="3706" t="s">
        <v>3</v>
      </c>
      <c r="J3" s="3707" t="s">
        <v>5</v>
      </c>
      <c r="K3" s="3707"/>
      <c r="L3" s="3707" t="s">
        <v>532</v>
      </c>
    </row>
    <row r="4" spans="1:12">
      <c r="A4" s="3708"/>
      <c r="B4" s="3707"/>
      <c r="C4" s="3707"/>
      <c r="D4" s="3707"/>
      <c r="E4" s="3707"/>
      <c r="F4" s="1134" t="s">
        <v>180</v>
      </c>
      <c r="G4" s="1134" t="s">
        <v>781</v>
      </c>
      <c r="H4" s="1134" t="s">
        <v>955</v>
      </c>
      <c r="I4" s="3706"/>
      <c r="J4" s="3707"/>
      <c r="K4" s="3707"/>
      <c r="L4" s="3707"/>
    </row>
    <row r="5" spans="1:12">
      <c r="A5" s="1133">
        <v>1</v>
      </c>
      <c r="B5" s="1133">
        <v>2</v>
      </c>
      <c r="C5" s="3708">
        <v>3</v>
      </c>
      <c r="D5" s="3708"/>
      <c r="E5" s="3708"/>
      <c r="F5" s="1133">
        <v>4</v>
      </c>
      <c r="G5" s="1133">
        <v>5</v>
      </c>
      <c r="H5" s="1133">
        <v>6</v>
      </c>
      <c r="I5" s="1133">
        <v>7</v>
      </c>
      <c r="J5" s="3708">
        <v>8</v>
      </c>
      <c r="K5" s="3708"/>
      <c r="L5" s="1133">
        <v>9</v>
      </c>
    </row>
    <row r="6" spans="1:12" ht="47.1" customHeight="1">
      <c r="A6" s="1135">
        <v>1</v>
      </c>
      <c r="B6" s="3709" t="s">
        <v>1460</v>
      </c>
      <c r="C6" s="3709"/>
      <c r="D6" s="3709"/>
      <c r="E6" s="3709"/>
      <c r="F6" s="3709"/>
      <c r="G6" s="3709"/>
      <c r="H6" s="3709"/>
      <c r="I6" s="1149"/>
      <c r="J6" s="1148"/>
      <c r="K6" s="1148"/>
      <c r="L6" s="1135"/>
    </row>
    <row r="7" spans="1:12" ht="39" customHeight="1">
      <c r="A7" s="1137" t="s">
        <v>761</v>
      </c>
      <c r="B7" s="1138" t="s">
        <v>1461</v>
      </c>
      <c r="C7" s="1136"/>
      <c r="D7" s="1136"/>
      <c r="E7" s="1136"/>
      <c r="F7" s="1136"/>
      <c r="G7" s="1136"/>
      <c r="H7" s="1136"/>
      <c r="I7" s="1149"/>
      <c r="J7" s="1148"/>
      <c r="K7" s="1148"/>
      <c r="L7" s="1135"/>
    </row>
    <row r="8" spans="1:12" ht="16.5" customHeight="1">
      <c r="A8" s="1139"/>
      <c r="B8" s="1140" t="s">
        <v>1462</v>
      </c>
      <c r="C8" s="1141">
        <v>1</v>
      </c>
      <c r="D8" s="1142" t="s">
        <v>956</v>
      </c>
      <c r="E8" s="1142">
        <v>2</v>
      </c>
      <c r="F8" s="1143">
        <v>6</v>
      </c>
      <c r="G8" s="1144"/>
      <c r="H8" s="1145"/>
      <c r="I8" s="1154">
        <f>C8*E8*F8</f>
        <v>12</v>
      </c>
      <c r="J8" s="1155"/>
      <c r="K8" s="1155"/>
      <c r="L8" s="1135"/>
    </row>
    <row r="9" spans="1:12" ht="28.5" customHeight="1">
      <c r="A9" s="1137" t="s">
        <v>763</v>
      </c>
      <c r="B9" s="1138" t="s">
        <v>1463</v>
      </c>
      <c r="C9" s="1136"/>
      <c r="D9" s="1138"/>
      <c r="E9" s="1138"/>
      <c r="F9" s="1138"/>
      <c r="G9" s="1138"/>
      <c r="H9" s="1136"/>
      <c r="I9" s="1149"/>
      <c r="J9" s="1155"/>
      <c r="K9" s="1155"/>
      <c r="L9" s="1135"/>
    </row>
    <row r="10" spans="1:12" ht="14.25" customHeight="1">
      <c r="A10" s="1139"/>
      <c r="B10" s="1146" t="s">
        <v>1464</v>
      </c>
      <c r="C10" s="1141">
        <v>0</v>
      </c>
      <c r="D10" s="1142" t="s">
        <v>956</v>
      </c>
      <c r="E10" s="1142">
        <v>2</v>
      </c>
      <c r="F10" s="1147">
        <v>20</v>
      </c>
      <c r="G10" s="1144"/>
      <c r="H10" s="1145"/>
      <c r="I10" s="1154">
        <f>C10*E10*F10</f>
        <v>0</v>
      </c>
      <c r="J10" s="1155"/>
      <c r="K10" s="1155"/>
      <c r="L10" s="1135"/>
    </row>
    <row r="11" spans="1:12" hidden="1">
      <c r="A11" s="1139"/>
      <c r="B11" s="1146"/>
      <c r="C11" s="1141"/>
      <c r="D11" s="1142"/>
      <c r="E11" s="1142"/>
      <c r="F11" s="1147"/>
      <c r="G11" s="1144"/>
      <c r="H11" s="1145"/>
      <c r="I11" s="1154"/>
      <c r="J11" s="1155"/>
      <c r="K11" s="1155"/>
      <c r="L11" s="1135"/>
    </row>
    <row r="12" spans="1:12" ht="14.25" customHeight="1">
      <c r="A12" s="1139"/>
      <c r="B12" s="1148"/>
      <c r="C12" s="1136"/>
      <c r="D12" s="1136"/>
      <c r="E12" s="1149"/>
      <c r="F12" s="1136"/>
      <c r="G12" s="1136"/>
      <c r="H12" s="1136"/>
      <c r="I12" s="1135">
        <f>SUM(I8:I11)</f>
        <v>12</v>
      </c>
      <c r="J12" s="1156">
        <v>399</v>
      </c>
      <c r="K12" s="1156" t="s">
        <v>1465</v>
      </c>
      <c r="L12" s="1157">
        <f>ROUND(I12*J12,0)</f>
        <v>4788</v>
      </c>
    </row>
    <row r="13" spans="1:12" ht="14.25" customHeight="1">
      <c r="A13" s="1139"/>
      <c r="B13" s="1150"/>
      <c r="C13" s="1136"/>
      <c r="D13" s="1136"/>
      <c r="E13" s="1149"/>
      <c r="F13" s="1136"/>
      <c r="G13" s="1136"/>
      <c r="H13" s="1136"/>
      <c r="I13" s="1158" t="s">
        <v>733</v>
      </c>
      <c r="J13" s="1156"/>
      <c r="K13" s="1156"/>
      <c r="L13" s="1159"/>
    </row>
    <row r="14" spans="1:12" ht="47.1" customHeight="1">
      <c r="A14" s="1139">
        <v>2</v>
      </c>
      <c r="B14" s="3709" t="s">
        <v>1466</v>
      </c>
      <c r="C14" s="3709"/>
      <c r="D14" s="3709"/>
      <c r="E14" s="3709"/>
      <c r="F14" s="3709"/>
      <c r="G14" s="3709"/>
      <c r="H14" s="3709"/>
      <c r="I14" s="1160"/>
      <c r="J14" s="1149"/>
      <c r="K14" s="1148"/>
      <c r="L14" s="1159"/>
    </row>
    <row r="15" spans="1:12">
      <c r="A15" s="1137" t="s">
        <v>763</v>
      </c>
      <c r="B15" s="1138" t="s">
        <v>1467</v>
      </c>
      <c r="C15" s="1136"/>
      <c r="D15" s="1138"/>
      <c r="E15" s="1138"/>
      <c r="F15" s="1138"/>
      <c r="G15" s="1138"/>
      <c r="H15" s="1136"/>
      <c r="I15" s="1160"/>
      <c r="J15" s="1155"/>
      <c r="K15" s="1155"/>
      <c r="L15" s="1135"/>
    </row>
    <row r="16" spans="1:12">
      <c r="A16" s="1139"/>
      <c r="B16" s="1146" t="s">
        <v>1468</v>
      </c>
      <c r="C16" s="1141">
        <v>1</v>
      </c>
      <c r="D16" s="1142" t="s">
        <v>956</v>
      </c>
      <c r="E16" s="1142">
        <v>2</v>
      </c>
      <c r="F16" s="1147">
        <v>1</v>
      </c>
      <c r="G16" s="1144">
        <v>0.1</v>
      </c>
      <c r="H16" s="1145"/>
      <c r="I16" s="1145">
        <f>C16*E16*F16*G16</f>
        <v>0.2</v>
      </c>
      <c r="J16" s="1155"/>
      <c r="K16" s="1155"/>
      <c r="L16" s="1135"/>
    </row>
    <row r="17" spans="1:14">
      <c r="A17" s="1139"/>
      <c r="B17" s="1146" t="s">
        <v>1469</v>
      </c>
      <c r="C17" s="1141">
        <v>0</v>
      </c>
      <c r="D17" s="1142" t="s">
        <v>956</v>
      </c>
      <c r="E17" s="1142">
        <v>1</v>
      </c>
      <c r="F17" s="1147">
        <f>F16-N17</f>
        <v>0.77777777777777779</v>
      </c>
      <c r="G17" s="1144">
        <v>0.1</v>
      </c>
      <c r="H17" s="1145"/>
      <c r="I17" s="1145">
        <f>C17*E17*F17*G17</f>
        <v>0</v>
      </c>
      <c r="J17" s="1155"/>
      <c r="K17" s="1155"/>
      <c r="L17" s="1135"/>
      <c r="N17" s="1161">
        <f>F16/4.5</f>
        <v>0.22222222222222221</v>
      </c>
    </row>
    <row r="18" spans="1:14">
      <c r="A18" s="1139"/>
      <c r="B18" s="1136"/>
      <c r="C18" s="1136"/>
      <c r="D18" s="1136"/>
      <c r="E18" s="1149"/>
      <c r="F18" s="1151"/>
      <c r="G18" s="1152"/>
      <c r="H18" s="1136"/>
      <c r="I18" s="1158">
        <f>SUM(I16:I17)</f>
        <v>0.2</v>
      </c>
      <c r="J18" s="1156">
        <v>728</v>
      </c>
      <c r="K18" s="2928" t="s">
        <v>1470</v>
      </c>
      <c r="L18" s="1157">
        <f>ROUND(I18*J18,0)</f>
        <v>146</v>
      </c>
    </row>
    <row r="19" spans="1:14" ht="61.9" customHeight="1">
      <c r="A19" s="1139">
        <v>3</v>
      </c>
      <c r="B19" s="3709" t="s">
        <v>1471</v>
      </c>
      <c r="C19" s="3709"/>
      <c r="D19" s="3709"/>
      <c r="E19" s="3709"/>
      <c r="F19" s="3709"/>
      <c r="G19" s="3709"/>
      <c r="H19" s="3709"/>
      <c r="I19" s="1160" t="s">
        <v>353</v>
      </c>
      <c r="J19" s="1149"/>
      <c r="K19" s="1148"/>
      <c r="L19" s="1159"/>
    </row>
    <row r="20" spans="1:14" ht="30">
      <c r="A20" s="1139"/>
      <c r="B20" s="1140" t="s">
        <v>1472</v>
      </c>
      <c r="C20" s="1141">
        <v>0</v>
      </c>
      <c r="D20" s="1142" t="s">
        <v>956</v>
      </c>
      <c r="E20" s="1142">
        <v>2</v>
      </c>
      <c r="F20" s="1147">
        <v>15</v>
      </c>
      <c r="G20" s="1144"/>
      <c r="H20" s="1145"/>
      <c r="I20" s="1154">
        <f>C20*E20*F20</f>
        <v>0</v>
      </c>
      <c r="J20" s="1155"/>
      <c r="K20" s="1155"/>
      <c r="L20" s="1135"/>
    </row>
    <row r="21" spans="1:14">
      <c r="A21" s="1137"/>
      <c r="B21" s="1138" t="s">
        <v>1473</v>
      </c>
      <c r="C21" s="1136"/>
      <c r="D21" s="1138"/>
      <c r="E21" s="1138"/>
      <c r="F21" s="1138"/>
      <c r="G21" s="1138"/>
      <c r="H21" s="1136"/>
      <c r="I21" s="1160"/>
      <c r="J21" s="1155"/>
      <c r="K21" s="1155"/>
      <c r="L21" s="1135"/>
    </row>
    <row r="22" spans="1:14">
      <c r="A22" s="1139"/>
      <c r="B22" s="1150"/>
      <c r="C22" s="1136"/>
      <c r="D22" s="1136"/>
      <c r="E22" s="1149"/>
      <c r="F22" s="1136"/>
      <c r="G22" s="1136"/>
      <c r="H22" s="1136"/>
      <c r="I22" s="1135">
        <f>SUM(I20:I21)</f>
        <v>0</v>
      </c>
      <c r="J22" s="1156">
        <v>3183</v>
      </c>
      <c r="K22" s="2928" t="s">
        <v>1474</v>
      </c>
      <c r="L22" s="1157">
        <f>ROUND(I22*J22,0)</f>
        <v>0</v>
      </c>
    </row>
    <row r="23" spans="1:14">
      <c r="A23" s="1139"/>
      <c r="B23" s="1150"/>
      <c r="C23" s="1136"/>
      <c r="D23" s="1136"/>
      <c r="E23" s="1149"/>
      <c r="F23" s="1136"/>
      <c r="G23" s="1136"/>
      <c r="H23" s="1136"/>
      <c r="I23" s="1156" t="s">
        <v>601</v>
      </c>
      <c r="J23" s="1156"/>
      <c r="K23" s="1156"/>
      <c r="L23" s="1159"/>
    </row>
    <row r="24" spans="1:14" ht="59.25" customHeight="1">
      <c r="A24" s="1139">
        <v>4</v>
      </c>
      <c r="B24" s="3710" t="s">
        <v>2755</v>
      </c>
      <c r="C24" s="3710"/>
      <c r="D24" s="3710"/>
      <c r="E24" s="3710"/>
      <c r="F24" s="3710"/>
      <c r="G24" s="3710"/>
      <c r="H24" s="3710"/>
      <c r="I24" s="1160"/>
      <c r="J24" s="1149"/>
      <c r="K24" s="1148"/>
      <c r="L24" s="1159"/>
    </row>
    <row r="25" spans="1:14">
      <c r="A25" s="1139"/>
      <c r="B25" s="1140" t="s">
        <v>1475</v>
      </c>
      <c r="C25" s="1141">
        <v>1</v>
      </c>
      <c r="D25" s="1142" t="s">
        <v>956</v>
      </c>
      <c r="E25" s="1142">
        <v>6</v>
      </c>
      <c r="F25" s="1143">
        <v>3.75</v>
      </c>
      <c r="G25" s="1144">
        <v>0.2</v>
      </c>
      <c r="H25" s="1145"/>
      <c r="I25" s="1162">
        <f>C25*E25*F25*G25</f>
        <v>4.5</v>
      </c>
      <c r="J25" s="1155"/>
      <c r="K25" s="1155"/>
      <c r="L25" s="1135"/>
    </row>
    <row r="26" spans="1:14">
      <c r="A26" s="1139"/>
      <c r="B26" s="1150"/>
      <c r="C26" s="1136"/>
      <c r="D26" s="1136"/>
      <c r="E26" s="1149"/>
      <c r="F26" s="1136"/>
      <c r="G26" s="1136"/>
      <c r="H26" s="1136"/>
      <c r="I26" s="1158">
        <f>SUM(I25:I25)</f>
        <v>4.5</v>
      </c>
      <c r="J26" s="1156">
        <v>2107</v>
      </c>
      <c r="K26" s="1156" t="s">
        <v>1476</v>
      </c>
      <c r="L26" s="1157">
        <f>ROUND(I26*J26,0)</f>
        <v>9482</v>
      </c>
    </row>
    <row r="27" spans="1:14">
      <c r="A27" s="1139"/>
      <c r="B27" s="1150"/>
      <c r="C27" s="1136"/>
      <c r="D27" s="1136"/>
      <c r="E27" s="1149"/>
      <c r="F27" s="1136"/>
      <c r="G27" s="1136"/>
      <c r="H27" s="1136"/>
      <c r="I27" s="1156" t="s">
        <v>353</v>
      </c>
      <c r="J27" s="1156"/>
      <c r="K27" s="1156"/>
      <c r="L27" s="1159"/>
    </row>
    <row r="28" spans="1:14">
      <c r="A28" s="1139"/>
      <c r="B28" s="1150"/>
      <c r="C28" s="1136"/>
      <c r="D28" s="1136"/>
      <c r="E28" s="1149"/>
      <c r="F28" s="1136"/>
      <c r="G28" s="1136"/>
      <c r="H28" s="1136"/>
      <c r="I28" s="1158"/>
      <c r="J28" s="1156" t="s">
        <v>1334</v>
      </c>
      <c r="K28" s="1156"/>
      <c r="L28" s="1163">
        <f>SUM(L10:L26)</f>
        <v>14416</v>
      </c>
    </row>
    <row r="31" spans="1:14">
      <c r="B31" s="1131" t="str">
        <f>'Road-furniture '!B21</f>
        <v>Assistant Engineer,</v>
      </c>
      <c r="C31" s="1131" t="str">
        <f>'Road-furniture '!D21</f>
        <v>Dy. Exe. Engineer</v>
      </c>
      <c r="H31" s="1153" t="str">
        <f>'Road-furniture '!B29</f>
        <v>District Panchayat Raj Engineer,</v>
      </c>
    </row>
    <row r="32" spans="1:14">
      <c r="B32" s="1131" t="str">
        <f>'Road-furniture '!B22</f>
        <v>PRSD, Wanaparthy</v>
      </c>
      <c r="C32" s="1131" t="str">
        <f>'Road-furniture '!D22</f>
        <v>PRSD, Wanaparthy</v>
      </c>
      <c r="H32" s="1153" t="str">
        <f>'Road-furniture '!B30</f>
        <v>PIU, Wanaparthy</v>
      </c>
    </row>
    <row r="36" spans="8:8">
      <c r="H36" s="1153" t="str">
        <f>'Road-furniture '!E29</f>
        <v>Superintending Engineer</v>
      </c>
    </row>
    <row r="37" spans="8:8">
      <c r="H37" s="1153" t="str">
        <f>'Road-furniture '!E30</f>
        <v>PR, Circle, Warangal</v>
      </c>
    </row>
  </sheetData>
  <protectedRanges>
    <protectedRange sqref="A20:I21 A25:I25" name="Range3"/>
    <protectedRange sqref="A15:I16" name="Range2"/>
    <protectedRange sqref="A7:I11" name="Range1"/>
  </protectedRanges>
  <mergeCells count="15">
    <mergeCell ref="B6:H6"/>
    <mergeCell ref="B14:H14"/>
    <mergeCell ref="B19:H19"/>
    <mergeCell ref="B24:H24"/>
    <mergeCell ref="A3:A4"/>
    <mergeCell ref="B3:B4"/>
    <mergeCell ref="C3:E4"/>
    <mergeCell ref="A1:L1"/>
    <mergeCell ref="A2:L2"/>
    <mergeCell ref="F3:H3"/>
    <mergeCell ref="C5:E5"/>
    <mergeCell ref="J5:K5"/>
    <mergeCell ref="I3:I4"/>
    <mergeCell ref="L3:L4"/>
    <mergeCell ref="J3:K4"/>
  </mergeCells>
  <pageMargins left="0.23622047244094499" right="0.23622047244094499" top="0.55118110236220497" bottom="0.55118110236220497" header="0.31496062992126" footer="0.31496062992126"/>
  <pageSetup paperSize="9" scale="87" orientation="portrait" r:id="rId1"/>
</worksheet>
</file>

<file path=xl/worksheets/sheet31.xml><?xml version="1.0" encoding="utf-8"?>
<worksheet xmlns="http://schemas.openxmlformats.org/spreadsheetml/2006/main" xmlns:r="http://schemas.openxmlformats.org/officeDocument/2006/relationships">
  <sheetPr codeName="Sheet24">
    <tabColor theme="5" tint="-0.249977111117893"/>
  </sheetPr>
  <dimension ref="A1:T41"/>
  <sheetViews>
    <sheetView view="pageBreakPreview" workbookViewId="0">
      <selection activeCell="L33" sqref="L33"/>
    </sheetView>
  </sheetViews>
  <sheetFormatPr defaultColWidth="9.140625" defaultRowHeight="14.25"/>
  <cols>
    <col min="1" max="1" width="5" style="973" customWidth="1"/>
    <col min="2" max="2" width="21.28515625" style="974" customWidth="1"/>
    <col min="3" max="5" width="4.140625" style="971" customWidth="1"/>
    <col min="6" max="6" width="9" style="971" customWidth="1"/>
    <col min="7" max="7" width="10.5703125" style="971" customWidth="1"/>
    <col min="8" max="8" width="5" style="971" customWidth="1"/>
    <col min="9" max="9" width="9.5703125" style="971" customWidth="1"/>
    <col min="10" max="10" width="10.5703125" style="971" customWidth="1"/>
    <col min="11" max="11" width="6.140625" style="971" customWidth="1"/>
    <col min="12" max="12" width="16.28515625" style="970" customWidth="1"/>
    <col min="13" max="13" width="9.140625" style="974"/>
    <col min="14" max="14" width="13.85546875" style="974" customWidth="1"/>
    <col min="15" max="15" width="11" style="974" customWidth="1"/>
    <col min="16" max="16" width="6.28515625" style="974" customWidth="1"/>
    <col min="17" max="20" width="9.140625" style="974" hidden="1" customWidth="1"/>
    <col min="21" max="16384" width="9.140625" style="974"/>
  </cols>
  <sheetData>
    <row r="1" spans="1:15" ht="18" customHeight="1">
      <c r="A1" s="3711" t="s">
        <v>1520</v>
      </c>
      <c r="B1" s="3712"/>
      <c r="C1" s="3712"/>
      <c r="D1" s="3712"/>
      <c r="E1" s="3712"/>
      <c r="F1" s="3712"/>
      <c r="G1" s="3712"/>
      <c r="H1" s="3712"/>
      <c r="I1" s="3712"/>
      <c r="J1" s="3712"/>
      <c r="K1" s="3712"/>
      <c r="L1" s="3712"/>
    </row>
    <row r="2" spans="1:15" ht="30" customHeight="1">
      <c r="A2" s="3713" t="s">
        <v>677</v>
      </c>
      <c r="B2" s="3713"/>
      <c r="C2" s="3714" t="str">
        <f>'Input Data'!E1</f>
        <v>R/F A to B in Wanaparthy Mandal of Wanaparthy District</v>
      </c>
      <c r="D2" s="3714"/>
      <c r="E2" s="3714"/>
      <c r="F2" s="3714"/>
      <c r="G2" s="3714"/>
      <c r="H2" s="3714"/>
      <c r="I2" s="3714"/>
      <c r="J2" s="3714"/>
      <c r="K2" s="3714"/>
      <c r="L2" s="3714"/>
    </row>
    <row r="3" spans="1:15" s="970" customFormat="1" ht="21.75" customHeight="1">
      <c r="A3" s="3715" t="s">
        <v>1521</v>
      </c>
      <c r="B3" s="3715"/>
      <c r="C3" s="3715"/>
      <c r="D3" s="3715"/>
      <c r="E3" s="3715"/>
      <c r="F3" s="3715"/>
      <c r="G3" s="3715"/>
      <c r="H3" s="3715"/>
      <c r="I3" s="3715"/>
      <c r="J3" s="3715"/>
      <c r="K3" s="3715"/>
      <c r="L3" s="3715"/>
    </row>
    <row r="4" spans="1:15" s="971" customFormat="1" ht="33" customHeight="1">
      <c r="A4" s="975" t="s">
        <v>1380</v>
      </c>
      <c r="B4" s="976" t="s">
        <v>953</v>
      </c>
      <c r="C4" s="3716" t="s">
        <v>954</v>
      </c>
      <c r="D4" s="3717"/>
      <c r="E4" s="3718"/>
      <c r="F4" s="976" t="s">
        <v>180</v>
      </c>
      <c r="G4" s="976" t="s">
        <v>781</v>
      </c>
      <c r="H4" s="976" t="s">
        <v>955</v>
      </c>
      <c r="I4" s="1010" t="s">
        <v>3</v>
      </c>
      <c r="J4" s="978" t="s">
        <v>5</v>
      </c>
      <c r="K4" s="978" t="s">
        <v>580</v>
      </c>
      <c r="L4" s="976" t="s">
        <v>7</v>
      </c>
    </row>
    <row r="5" spans="1:15" s="970" customFormat="1" ht="15">
      <c r="A5" s="977">
        <v>1</v>
      </c>
      <c r="B5" s="978">
        <v>2</v>
      </c>
      <c r="C5" s="3719">
        <v>3</v>
      </c>
      <c r="D5" s="3720"/>
      <c r="E5" s="3721"/>
      <c r="F5" s="978">
        <v>4</v>
      </c>
      <c r="G5" s="978">
        <v>5</v>
      </c>
      <c r="H5" s="978">
        <v>6</v>
      </c>
      <c r="I5" s="1011">
        <v>7</v>
      </c>
      <c r="J5" s="978">
        <v>8</v>
      </c>
      <c r="K5" s="978">
        <v>9</v>
      </c>
      <c r="L5" s="978">
        <v>10</v>
      </c>
    </row>
    <row r="6" spans="1:15" ht="94.5" customHeight="1">
      <c r="A6" s="979">
        <v>1</v>
      </c>
      <c r="B6" s="3722" t="str">
        <f>'Pipe data'!B4:G4</f>
        <v>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v>
      </c>
      <c r="C6" s="3722"/>
      <c r="D6" s="3722"/>
      <c r="E6" s="3722"/>
      <c r="F6" s="3722"/>
      <c r="G6" s="3722"/>
      <c r="H6" s="3722"/>
      <c r="I6" s="3722"/>
      <c r="J6" s="3722"/>
      <c r="K6" s="3722"/>
      <c r="L6" s="1012"/>
      <c r="O6" s="1013"/>
    </row>
    <row r="7" spans="1:15" ht="22.15" customHeight="1">
      <c r="A7" s="980"/>
      <c r="B7" s="981" t="s">
        <v>1522</v>
      </c>
      <c r="C7" s="982"/>
      <c r="D7" s="982"/>
      <c r="E7" s="982"/>
      <c r="F7" s="982"/>
      <c r="G7" s="982"/>
      <c r="H7" s="982"/>
      <c r="I7" s="982"/>
      <c r="J7" s="982"/>
      <c r="K7" s="982"/>
      <c r="L7" s="1014"/>
      <c r="O7" s="1013"/>
    </row>
    <row r="8" spans="1:15" ht="22.15" customHeight="1">
      <c r="A8" s="983"/>
      <c r="B8" s="984" t="s">
        <v>1523</v>
      </c>
      <c r="C8" s="985"/>
      <c r="D8" s="985"/>
      <c r="E8" s="985"/>
      <c r="F8" s="985"/>
      <c r="G8" s="985"/>
      <c r="H8" s="985"/>
      <c r="I8" s="985"/>
      <c r="J8" s="985"/>
      <c r="K8" s="985"/>
      <c r="L8" s="1015"/>
      <c r="O8" s="1013"/>
    </row>
    <row r="9" spans="1:15" ht="20.100000000000001" customHeight="1">
      <c r="A9" s="983"/>
      <c r="B9" s="986"/>
      <c r="C9" s="987">
        <v>2</v>
      </c>
      <c r="D9" s="987" t="s">
        <v>956</v>
      </c>
      <c r="E9" s="987">
        <v>1</v>
      </c>
      <c r="F9" s="988">
        <v>370</v>
      </c>
      <c r="G9" s="988">
        <v>1</v>
      </c>
      <c r="H9" s="988">
        <v>0.45</v>
      </c>
      <c r="I9" s="988">
        <f>ROUND(C9*E9*F9*G9*H9,2)</f>
        <v>333</v>
      </c>
      <c r="J9" s="987"/>
      <c r="K9" s="985"/>
      <c r="L9" s="1015"/>
      <c r="O9" s="1013"/>
    </row>
    <row r="10" spans="1:15" ht="20.100000000000001" customHeight="1">
      <c r="A10" s="983"/>
      <c r="B10" s="986"/>
      <c r="C10" s="986"/>
      <c r="D10" s="986"/>
      <c r="E10" s="986"/>
      <c r="F10" s="985"/>
      <c r="G10" s="983"/>
      <c r="H10" s="983"/>
      <c r="I10" s="1016">
        <f>SUM(I9:I9)</f>
        <v>333</v>
      </c>
      <c r="J10" s="988">
        <f>'Pipe data'!G20</f>
        <v>123.69927804166667</v>
      </c>
      <c r="K10" s="987">
        <v>1</v>
      </c>
      <c r="L10" s="1017">
        <f>ROUND(I10*J10,0)</f>
        <v>41192</v>
      </c>
      <c r="O10" s="1013"/>
    </row>
    <row r="11" spans="1:15" ht="20.100000000000001" customHeight="1">
      <c r="A11" s="983"/>
      <c r="B11" s="986"/>
      <c r="C11" s="986"/>
      <c r="D11" s="986"/>
      <c r="E11" s="986"/>
      <c r="F11" s="985"/>
      <c r="G11" s="983"/>
      <c r="H11" s="983"/>
      <c r="I11" s="1018" t="s">
        <v>31</v>
      </c>
      <c r="J11" s="988"/>
      <c r="K11" s="987" t="s">
        <v>31</v>
      </c>
      <c r="L11" s="1017"/>
    </row>
    <row r="12" spans="1:15" ht="12.75" customHeight="1">
      <c r="A12" s="989"/>
      <c r="B12" s="990"/>
      <c r="C12" s="990"/>
      <c r="D12" s="990"/>
      <c r="E12" s="990"/>
      <c r="F12" s="991"/>
      <c r="G12" s="983"/>
      <c r="H12" s="983"/>
      <c r="I12" s="1018"/>
      <c r="J12" s="988"/>
      <c r="K12" s="987"/>
      <c r="L12" s="1017"/>
    </row>
    <row r="13" spans="1:15" ht="45.75" customHeight="1">
      <c r="A13" s="989">
        <v>2</v>
      </c>
      <c r="B13" s="3723" t="str">
        <f>'Pipe data'!B55:G55</f>
        <v>Sand  Filling  in foundation trenches as per drawing and technical specification Clause 304 of MORTH including overhead charges &amp; Contractors profit etc complete.</v>
      </c>
      <c r="C13" s="3724"/>
      <c r="D13" s="3724"/>
      <c r="E13" s="3724"/>
      <c r="F13" s="3724"/>
      <c r="G13" s="3724"/>
      <c r="H13" s="3724"/>
      <c r="I13" s="3724"/>
      <c r="J13" s="3724"/>
      <c r="K13" s="3724"/>
      <c r="L13" s="1019"/>
      <c r="N13" s="1013"/>
    </row>
    <row r="14" spans="1:15" ht="22.15" customHeight="1">
      <c r="A14" s="983"/>
      <c r="B14" s="984" t="s">
        <v>1523</v>
      </c>
      <c r="C14" s="985"/>
      <c r="D14" s="985"/>
      <c r="E14" s="985"/>
      <c r="F14" s="985"/>
      <c r="G14" s="985"/>
      <c r="H14" s="985"/>
      <c r="I14" s="985"/>
      <c r="J14" s="985"/>
      <c r="K14" s="985"/>
      <c r="L14" s="1015"/>
      <c r="O14" s="1013"/>
    </row>
    <row r="15" spans="1:15" ht="32.450000000000003" customHeight="1">
      <c r="A15" s="983"/>
      <c r="B15" s="986" t="s">
        <v>1524</v>
      </c>
      <c r="C15" s="987">
        <v>2</v>
      </c>
      <c r="D15" s="987" t="s">
        <v>956</v>
      </c>
      <c r="E15" s="987">
        <v>1</v>
      </c>
      <c r="F15" s="988">
        <f>F9</f>
        <v>370</v>
      </c>
      <c r="G15" s="988">
        <v>1</v>
      </c>
      <c r="H15" s="988">
        <v>0.1</v>
      </c>
      <c r="I15" s="988">
        <f>ROUND(C15*E15*F15*G15*H15,2)</f>
        <v>74</v>
      </c>
      <c r="J15" s="987"/>
      <c r="K15" s="985"/>
      <c r="L15" s="1015"/>
      <c r="O15" s="1013"/>
    </row>
    <row r="16" spans="1:15" ht="20.100000000000001" customHeight="1">
      <c r="A16" s="983"/>
      <c r="B16" s="986"/>
      <c r="C16" s="986"/>
      <c r="D16" s="986"/>
      <c r="E16" s="986"/>
      <c r="F16" s="985"/>
      <c r="G16" s="983"/>
      <c r="H16" s="983"/>
      <c r="I16" s="1016">
        <f>SUM(I15:I15)</f>
        <v>74</v>
      </c>
      <c r="J16" s="988">
        <f>'Pipe data'!G72</f>
        <v>1237.43</v>
      </c>
      <c r="K16" s="987">
        <v>1</v>
      </c>
      <c r="L16" s="1017">
        <f>ROUND(I16*J16,0)</f>
        <v>91570</v>
      </c>
    </row>
    <row r="17" spans="1:15" ht="20.100000000000001" customHeight="1">
      <c r="A17" s="983"/>
      <c r="B17" s="986"/>
      <c r="C17" s="986"/>
      <c r="D17" s="986"/>
      <c r="E17" s="986"/>
      <c r="F17" s="985"/>
      <c r="G17" s="983"/>
      <c r="H17" s="983"/>
      <c r="I17" s="1018" t="s">
        <v>31</v>
      </c>
      <c r="J17" s="988"/>
      <c r="K17" s="987" t="s">
        <v>31</v>
      </c>
      <c r="L17" s="1017"/>
    </row>
    <row r="18" spans="1:15" ht="15">
      <c r="A18" s="989"/>
      <c r="B18" s="990"/>
      <c r="C18" s="990"/>
      <c r="D18" s="990"/>
      <c r="E18" s="990"/>
      <c r="F18" s="991"/>
      <c r="G18" s="983"/>
      <c r="H18" s="983"/>
      <c r="I18" s="1018"/>
      <c r="J18" s="988"/>
      <c r="K18" s="987"/>
      <c r="L18" s="1017"/>
    </row>
    <row r="19" spans="1:15" ht="105" customHeight="1">
      <c r="A19" s="989">
        <v>3</v>
      </c>
      <c r="B19" s="3723" t="str">
        <f>'Slab-Culverts Data'!B33:J33</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C19" s="3724"/>
      <c r="D19" s="3724"/>
      <c r="E19" s="3724"/>
      <c r="F19" s="3724"/>
      <c r="G19" s="3724"/>
      <c r="H19" s="3724"/>
      <c r="I19" s="3724"/>
      <c r="J19" s="3724"/>
      <c r="K19" s="3724"/>
      <c r="L19" s="1019"/>
    </row>
    <row r="20" spans="1:15" ht="22.15" customHeight="1">
      <c r="A20" s="983"/>
      <c r="B20" s="984" t="s">
        <v>1525</v>
      </c>
      <c r="C20" s="985"/>
      <c r="D20" s="985"/>
      <c r="E20" s="985"/>
      <c r="F20" s="985"/>
      <c r="G20" s="985"/>
      <c r="H20" s="985"/>
      <c r="I20" s="985"/>
      <c r="J20" s="985"/>
      <c r="K20" s="985"/>
      <c r="L20" s="1015"/>
      <c r="O20" s="1013"/>
    </row>
    <row r="21" spans="1:15" ht="20.100000000000001" customHeight="1">
      <c r="A21" s="983"/>
      <c r="B21" s="992" t="s">
        <v>1516</v>
      </c>
      <c r="C21" s="987">
        <v>2</v>
      </c>
      <c r="D21" s="987" t="s">
        <v>956</v>
      </c>
      <c r="E21" s="993">
        <f>E15</f>
        <v>1</v>
      </c>
      <c r="F21" s="994">
        <f>F15</f>
        <v>370</v>
      </c>
      <c r="G21" s="994">
        <v>1</v>
      </c>
      <c r="H21" s="994">
        <v>0.15</v>
      </c>
      <c r="I21" s="994">
        <f>+E21*F21*G21*H21*C21</f>
        <v>111</v>
      </c>
      <c r="J21" s="987"/>
      <c r="K21" s="985"/>
      <c r="L21" s="1015"/>
      <c r="O21" s="1013"/>
    </row>
    <row r="22" spans="1:15" ht="32.450000000000003" customHeight="1">
      <c r="A22" s="983"/>
      <c r="B22" s="992" t="s">
        <v>1526</v>
      </c>
      <c r="C22" s="987">
        <v>2</v>
      </c>
      <c r="D22" s="987" t="s">
        <v>956</v>
      </c>
      <c r="E22" s="993">
        <f>E21</f>
        <v>1</v>
      </c>
      <c r="F22" s="994">
        <f>+F21</f>
        <v>370</v>
      </c>
      <c r="G22" s="995" t="s">
        <v>1527</v>
      </c>
      <c r="H22" s="994">
        <v>0.6</v>
      </c>
      <c r="I22" s="994">
        <f>+E22*F22*(0.23+0.3)/2*H22*C22</f>
        <v>117.66000000000001</v>
      </c>
      <c r="J22" s="987"/>
      <c r="K22" s="985"/>
      <c r="L22" s="1015"/>
      <c r="O22" s="1013"/>
    </row>
    <row r="23" spans="1:15" ht="32.450000000000003" customHeight="1">
      <c r="A23" s="983"/>
      <c r="B23" s="992" t="s">
        <v>1528</v>
      </c>
      <c r="C23" s="987">
        <v>2</v>
      </c>
      <c r="D23" s="987" t="s">
        <v>956</v>
      </c>
      <c r="E23" s="993">
        <f>E22</f>
        <v>1</v>
      </c>
      <c r="F23" s="994">
        <f>+F22</f>
        <v>370</v>
      </c>
      <c r="G23" s="995" t="s">
        <v>1527</v>
      </c>
      <c r="H23" s="994">
        <v>0.6</v>
      </c>
      <c r="I23" s="994">
        <f>+E23*F23*(0.23+0.3)/2*H23*C23</f>
        <v>117.66000000000001</v>
      </c>
      <c r="J23" s="987"/>
      <c r="K23" s="985"/>
      <c r="L23" s="1015"/>
      <c r="O23" s="1013"/>
    </row>
    <row r="24" spans="1:15" ht="15" customHeight="1">
      <c r="A24" s="983"/>
      <c r="B24" s="986"/>
      <c r="C24" s="986"/>
      <c r="D24" s="986"/>
      <c r="E24" s="986"/>
      <c r="F24" s="983"/>
      <c r="G24" s="983"/>
      <c r="H24" s="983"/>
      <c r="I24" s="1016">
        <f>SUM(I21:I23)</f>
        <v>346.32000000000005</v>
      </c>
      <c r="J24" s="988">
        <f>'Slab-Culverts Data'!J62</f>
        <v>6381.51</v>
      </c>
      <c r="K24" s="987">
        <v>1</v>
      </c>
      <c r="L24" s="1017">
        <f>ROUND(I24*J24,0)</f>
        <v>2210045</v>
      </c>
    </row>
    <row r="25" spans="1:15" ht="15" customHeight="1">
      <c r="A25" s="996"/>
      <c r="B25" s="997"/>
      <c r="C25" s="997"/>
      <c r="D25" s="997"/>
      <c r="E25" s="997"/>
      <c r="F25" s="996"/>
      <c r="G25" s="996"/>
      <c r="H25" s="996"/>
      <c r="I25" s="1020" t="s">
        <v>31</v>
      </c>
      <c r="J25" s="1021"/>
      <c r="K25" s="1022" t="s">
        <v>31</v>
      </c>
      <c r="L25" s="1023"/>
    </row>
    <row r="26" spans="1:15" ht="104.45" hidden="1" customHeight="1">
      <c r="A26" s="998">
        <v>4</v>
      </c>
      <c r="B26" s="3725" t="str">
        <f>'Slab-Culverts Data'!B369:J369</f>
        <v>Vibrated reinforced cement concrete M 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MoRT&amp;H  specification 1500, 1600, 1700&amp; 2300 as directed by the Engineer-in-Charge for  superstructure (Deck Slab)</v>
      </c>
      <c r="C26" s="3726"/>
      <c r="D26" s="3726"/>
      <c r="E26" s="3726"/>
      <c r="F26" s="3726"/>
      <c r="G26" s="3726"/>
      <c r="H26" s="3726"/>
      <c r="I26" s="3726"/>
      <c r="J26" s="3726"/>
      <c r="K26" s="3726"/>
      <c r="L26" s="1024"/>
    </row>
    <row r="27" spans="1:15" ht="15" hidden="1" customHeight="1">
      <c r="A27" s="998"/>
      <c r="B27" s="1000" t="s">
        <v>1529</v>
      </c>
      <c r="C27" s="1000">
        <v>1</v>
      </c>
      <c r="D27" s="1000" t="s">
        <v>956</v>
      </c>
      <c r="E27" s="1000">
        <v>35</v>
      </c>
      <c r="F27" s="1001">
        <v>0</v>
      </c>
      <c r="G27" s="1001">
        <v>0.9</v>
      </c>
      <c r="H27" s="1001">
        <v>0.2</v>
      </c>
      <c r="I27" s="1007">
        <f>ROUND(C27*E27*F27*G27*H27,2)</f>
        <v>0</v>
      </c>
      <c r="J27" s="1025"/>
      <c r="K27" s="1026"/>
      <c r="L27" s="1024"/>
    </row>
    <row r="28" spans="1:15" ht="15" hidden="1" customHeight="1">
      <c r="A28" s="998"/>
      <c r="B28" s="1000"/>
      <c r="C28" s="1000"/>
      <c r="D28" s="1000"/>
      <c r="E28" s="1000"/>
      <c r="F28" s="1002"/>
      <c r="G28" s="1002"/>
      <c r="H28" s="1002"/>
      <c r="I28" s="1016">
        <f>SUM(I27)</f>
        <v>0</v>
      </c>
      <c r="J28" s="1025">
        <f>'Slab-Culverts Data'!J397</f>
        <v>8444.74</v>
      </c>
      <c r="K28" s="1026">
        <v>1</v>
      </c>
      <c r="L28" s="1024">
        <f>ROUND(I28*J28,0)</f>
        <v>0</v>
      </c>
    </row>
    <row r="29" spans="1:15" ht="15" hidden="1" customHeight="1">
      <c r="A29" s="998"/>
      <c r="B29" s="1000"/>
      <c r="C29" s="1000"/>
      <c r="D29" s="1000"/>
      <c r="E29" s="1000"/>
      <c r="F29" s="1002"/>
      <c r="G29" s="1002"/>
      <c r="H29" s="1002"/>
      <c r="I29" s="1016" t="s">
        <v>73</v>
      </c>
      <c r="J29" s="1025"/>
      <c r="K29" s="1026" t="s">
        <v>31</v>
      </c>
      <c r="L29" s="1024"/>
    </row>
    <row r="30" spans="1:15" ht="103.15" hidden="1" customHeight="1">
      <c r="A30" s="998">
        <v>5</v>
      </c>
      <c r="B30" s="3725" t="str">
        <f>'Slab-Culverts Data'!B431:J431</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 2200  (5th revision) in super structure.</v>
      </c>
      <c r="C30" s="3726"/>
      <c r="D30" s="3726"/>
      <c r="E30" s="3726"/>
      <c r="F30" s="3726"/>
      <c r="G30" s="3726"/>
      <c r="H30" s="3726"/>
      <c r="I30" s="3726"/>
      <c r="J30" s="3726"/>
      <c r="K30" s="3726"/>
      <c r="L30" s="1024"/>
    </row>
    <row r="31" spans="1:15" s="972" customFormat="1" ht="22.15" hidden="1" customHeight="1">
      <c r="A31" s="1003"/>
      <c r="B31" s="1004"/>
      <c r="C31" s="1005"/>
      <c r="D31" s="1005"/>
      <c r="E31" s="1005"/>
      <c r="F31" s="1005"/>
      <c r="G31" s="1005"/>
      <c r="H31" s="1005"/>
      <c r="I31" s="1027">
        <v>0</v>
      </c>
      <c r="J31" s="1028">
        <f>'Slab-Culverts Data'!J451</f>
        <v>66904.47</v>
      </c>
      <c r="K31" s="1005">
        <v>1</v>
      </c>
      <c r="L31" s="1029">
        <f>ROUND((I31*J31),0)</f>
        <v>0</v>
      </c>
      <c r="O31" s="1030"/>
    </row>
    <row r="32" spans="1:15" ht="32.450000000000003" hidden="1" customHeight="1">
      <c r="A32" s="998"/>
      <c r="B32" s="1000"/>
      <c r="C32" s="1006"/>
      <c r="D32" s="1006"/>
      <c r="E32" s="1006"/>
      <c r="F32" s="1007"/>
      <c r="G32" s="1007"/>
      <c r="H32" s="1007"/>
      <c r="I32" s="1031" t="s">
        <v>66</v>
      </c>
      <c r="J32" s="1006"/>
      <c r="K32" s="999" t="s">
        <v>66</v>
      </c>
      <c r="L32" s="1032"/>
      <c r="O32" s="1013"/>
    </row>
    <row r="33" spans="1:12" ht="23.25" customHeight="1">
      <c r="A33" s="998"/>
      <c r="B33" s="1000"/>
      <c r="C33" s="1000"/>
      <c r="D33" s="1000"/>
      <c r="E33" s="1000"/>
      <c r="F33" s="1002"/>
      <c r="G33" s="1002"/>
      <c r="H33" s="1002"/>
      <c r="I33" s="1016"/>
      <c r="J33" s="1033" t="s">
        <v>1394</v>
      </c>
      <c r="K33" s="1034"/>
      <c r="L33" s="1035">
        <f>SUM(L6:L32)</f>
        <v>2342807</v>
      </c>
    </row>
    <row r="34" spans="1:12" ht="12.75" customHeight="1">
      <c r="L34" s="1036"/>
    </row>
    <row r="36" spans="1:12" ht="14.25" customHeight="1">
      <c r="B36" s="1008"/>
      <c r="F36" s="1008" t="str">
        <f>GA!B34</f>
        <v>Assistant Engineer,</v>
      </c>
      <c r="I36" s="3727" t="s">
        <v>791</v>
      </c>
      <c r="J36" s="3727"/>
      <c r="K36" s="3727"/>
    </row>
    <row r="37" spans="1:12" ht="14.25" customHeight="1">
      <c r="B37" s="1008"/>
      <c r="F37" s="1008" t="str">
        <f>'Ret wall'!F33</f>
        <v>PRSD, Wanaparthy</v>
      </c>
      <c r="I37" s="3727" t="str">
        <f>'Ret wall'!I33:K33</f>
        <v>PRSD, Wanaparthy</v>
      </c>
      <c r="J37" s="3727"/>
      <c r="K37" s="3727"/>
    </row>
    <row r="38" spans="1:12" ht="14.25" customHeight="1">
      <c r="B38" s="1008"/>
      <c r="F38" s="1008"/>
      <c r="I38" s="1037"/>
      <c r="J38" s="1037"/>
      <c r="K38" s="1037"/>
    </row>
    <row r="39" spans="1:12">
      <c r="B39" s="1009"/>
      <c r="F39" s="1009"/>
      <c r="J39" s="1009"/>
      <c r="K39" s="1037"/>
    </row>
    <row r="40" spans="1:12" ht="14.25" customHeight="1">
      <c r="B40" s="1008"/>
      <c r="F40" s="1008" t="s">
        <v>906</v>
      </c>
      <c r="I40" s="3727" t="s">
        <v>685</v>
      </c>
      <c r="J40" s="3727"/>
      <c r="K40" s="3727"/>
    </row>
    <row r="41" spans="1:12">
      <c r="B41" s="1008"/>
      <c r="F41" s="1008" t="str">
        <f>'Ret wall'!F37</f>
        <v>PIU, Wanaparthy</v>
      </c>
      <c r="I41" s="3728">
        <f>'Ret wall'!I37:K37</f>
        <v>0</v>
      </c>
      <c r="J41" s="3728"/>
      <c r="K41" s="3728"/>
    </row>
  </sheetData>
  <protectedRanges>
    <protectedRange sqref="B36:B41 F36:F41" name="Range4"/>
    <protectedRange sqref="I40 K36:K41 I36:I38 J39" name="Range4_1"/>
  </protectedRanges>
  <mergeCells count="15">
    <mergeCell ref="B30:K30"/>
    <mergeCell ref="I36:K36"/>
    <mergeCell ref="I37:K37"/>
    <mergeCell ref="I40:K40"/>
    <mergeCell ref="I41:K41"/>
    <mergeCell ref="C5:E5"/>
    <mergeCell ref="B6:K6"/>
    <mergeCell ref="B13:K13"/>
    <mergeCell ref="B19:K19"/>
    <mergeCell ref="B26:K26"/>
    <mergeCell ref="A1:L1"/>
    <mergeCell ref="A2:B2"/>
    <mergeCell ref="C2:L2"/>
    <mergeCell ref="A3:L3"/>
    <mergeCell ref="C4:E4"/>
  </mergeCells>
  <printOptions horizontalCentered="1" headings="1"/>
  <pageMargins left="0.59055118110236204" right="0.196850393700787" top="0.59055118110236204" bottom="0.39370078740157499" header="0.31496062992126" footer="0.31496062992126"/>
  <pageSetup paperSize="9" scale="84" orientation="portrait" r:id="rId1"/>
  <colBreaks count="1" manualBreakCount="1">
    <brk id="12" max="1048575" man="1"/>
  </colBreaks>
</worksheet>
</file>

<file path=xl/worksheets/sheet32.xml><?xml version="1.0" encoding="utf-8"?>
<worksheet xmlns="http://schemas.openxmlformats.org/spreadsheetml/2006/main" xmlns:r="http://schemas.openxmlformats.org/officeDocument/2006/relationships">
  <sheetPr codeName="Sheet39">
    <tabColor rgb="FFFF0000"/>
  </sheetPr>
  <dimension ref="A1:J159"/>
  <sheetViews>
    <sheetView workbookViewId="0">
      <selection activeCell="G12" sqref="G12"/>
    </sheetView>
  </sheetViews>
  <sheetFormatPr defaultColWidth="9.28515625" defaultRowHeight="12.75"/>
  <cols>
    <col min="1" max="1" width="6.140625" style="936" customWidth="1"/>
    <col min="2" max="2" width="39.140625" style="936" customWidth="1"/>
    <col min="3" max="3" width="8.7109375" style="930" customWidth="1"/>
    <col min="4" max="4" width="7.5703125" style="930" customWidth="1"/>
    <col min="5" max="5" width="11.42578125" style="936" customWidth="1"/>
    <col min="6" max="6" width="12.28515625" style="936" customWidth="1"/>
    <col min="7" max="7" width="15.7109375" style="936" customWidth="1"/>
    <col min="8" max="257" width="9.28515625" style="936"/>
    <col min="258" max="258" width="6.140625" style="936" customWidth="1"/>
    <col min="259" max="259" width="36" style="936" customWidth="1"/>
    <col min="260" max="260" width="8.7109375" style="936" customWidth="1"/>
    <col min="261" max="261" width="12.5703125" style="936" customWidth="1"/>
    <col min="262" max="262" width="12.42578125" style="936" customWidth="1"/>
    <col min="263" max="263" width="17.140625" style="936" customWidth="1"/>
    <col min="264" max="513" width="9.28515625" style="936"/>
    <col min="514" max="514" width="6.140625" style="936" customWidth="1"/>
    <col min="515" max="515" width="36" style="936" customWidth="1"/>
    <col min="516" max="516" width="8.7109375" style="936" customWidth="1"/>
    <col min="517" max="517" width="12.5703125" style="936" customWidth="1"/>
    <col min="518" max="518" width="12.42578125" style="936" customWidth="1"/>
    <col min="519" max="519" width="17.140625" style="936" customWidth="1"/>
    <col min="520" max="769" width="9.28515625" style="936"/>
    <col min="770" max="770" width="6.140625" style="936" customWidth="1"/>
    <col min="771" max="771" width="36" style="936" customWidth="1"/>
    <col min="772" max="772" width="8.7109375" style="936" customWidth="1"/>
    <col min="773" max="773" width="12.5703125" style="936" customWidth="1"/>
    <col min="774" max="774" width="12.42578125" style="936" customWidth="1"/>
    <col min="775" max="775" width="17.140625" style="936" customWidth="1"/>
    <col min="776" max="1025" width="9.28515625" style="936"/>
    <col min="1026" max="1026" width="6.140625" style="936" customWidth="1"/>
    <col min="1027" max="1027" width="36" style="936" customWidth="1"/>
    <col min="1028" max="1028" width="8.7109375" style="936" customWidth="1"/>
    <col min="1029" max="1029" width="12.5703125" style="936" customWidth="1"/>
    <col min="1030" max="1030" width="12.42578125" style="936" customWidth="1"/>
    <col min="1031" max="1031" width="17.140625" style="936" customWidth="1"/>
    <col min="1032" max="1281" width="9.28515625" style="936"/>
    <col min="1282" max="1282" width="6.140625" style="936" customWidth="1"/>
    <col min="1283" max="1283" width="36" style="936" customWidth="1"/>
    <col min="1284" max="1284" width="8.7109375" style="936" customWidth="1"/>
    <col min="1285" max="1285" width="12.5703125" style="936" customWidth="1"/>
    <col min="1286" max="1286" width="12.42578125" style="936" customWidth="1"/>
    <col min="1287" max="1287" width="17.140625" style="936" customWidth="1"/>
    <col min="1288" max="1537" width="9.28515625" style="936"/>
    <col min="1538" max="1538" width="6.140625" style="936" customWidth="1"/>
    <col min="1539" max="1539" width="36" style="936" customWidth="1"/>
    <col min="1540" max="1540" width="8.7109375" style="936" customWidth="1"/>
    <col min="1541" max="1541" width="12.5703125" style="936" customWidth="1"/>
    <col min="1542" max="1542" width="12.42578125" style="936" customWidth="1"/>
    <col min="1543" max="1543" width="17.140625" style="936" customWidth="1"/>
    <col min="1544" max="1793" width="9.28515625" style="936"/>
    <col min="1794" max="1794" width="6.140625" style="936" customWidth="1"/>
    <col min="1795" max="1795" width="36" style="936" customWidth="1"/>
    <col min="1796" max="1796" width="8.7109375" style="936" customWidth="1"/>
    <col min="1797" max="1797" width="12.5703125" style="936" customWidth="1"/>
    <col min="1798" max="1798" width="12.42578125" style="936" customWidth="1"/>
    <col min="1799" max="1799" width="17.140625" style="936" customWidth="1"/>
    <col min="1800" max="2049" width="9.28515625" style="936"/>
    <col min="2050" max="2050" width="6.140625" style="936" customWidth="1"/>
    <col min="2051" max="2051" width="36" style="936" customWidth="1"/>
    <col min="2052" max="2052" width="8.7109375" style="936" customWidth="1"/>
    <col min="2053" max="2053" width="12.5703125" style="936" customWidth="1"/>
    <col min="2054" max="2054" width="12.42578125" style="936" customWidth="1"/>
    <col min="2055" max="2055" width="17.140625" style="936" customWidth="1"/>
    <col min="2056" max="2305" width="9.28515625" style="936"/>
    <col min="2306" max="2306" width="6.140625" style="936" customWidth="1"/>
    <col min="2307" max="2307" width="36" style="936" customWidth="1"/>
    <col min="2308" max="2308" width="8.7109375" style="936" customWidth="1"/>
    <col min="2309" max="2309" width="12.5703125" style="936" customWidth="1"/>
    <col min="2310" max="2310" width="12.42578125" style="936" customWidth="1"/>
    <col min="2311" max="2311" width="17.140625" style="936" customWidth="1"/>
    <col min="2312" max="2561" width="9.28515625" style="936"/>
    <col min="2562" max="2562" width="6.140625" style="936" customWidth="1"/>
    <col min="2563" max="2563" width="36" style="936" customWidth="1"/>
    <col min="2564" max="2564" width="8.7109375" style="936" customWidth="1"/>
    <col min="2565" max="2565" width="12.5703125" style="936" customWidth="1"/>
    <col min="2566" max="2566" width="12.42578125" style="936" customWidth="1"/>
    <col min="2567" max="2567" width="17.140625" style="936" customWidth="1"/>
    <col min="2568" max="2817" width="9.28515625" style="936"/>
    <col min="2818" max="2818" width="6.140625" style="936" customWidth="1"/>
    <col min="2819" max="2819" width="36" style="936" customWidth="1"/>
    <col min="2820" max="2820" width="8.7109375" style="936" customWidth="1"/>
    <col min="2821" max="2821" width="12.5703125" style="936" customWidth="1"/>
    <col min="2822" max="2822" width="12.42578125" style="936" customWidth="1"/>
    <col min="2823" max="2823" width="17.140625" style="936" customWidth="1"/>
    <col min="2824" max="3073" width="9.28515625" style="936"/>
    <col min="3074" max="3074" width="6.140625" style="936" customWidth="1"/>
    <col min="3075" max="3075" width="36" style="936" customWidth="1"/>
    <col min="3076" max="3076" width="8.7109375" style="936" customWidth="1"/>
    <col min="3077" max="3077" width="12.5703125" style="936" customWidth="1"/>
    <col min="3078" max="3078" width="12.42578125" style="936" customWidth="1"/>
    <col min="3079" max="3079" width="17.140625" style="936" customWidth="1"/>
    <col min="3080" max="3329" width="9.28515625" style="936"/>
    <col min="3330" max="3330" width="6.140625" style="936" customWidth="1"/>
    <col min="3331" max="3331" width="36" style="936" customWidth="1"/>
    <col min="3332" max="3332" width="8.7109375" style="936" customWidth="1"/>
    <col min="3333" max="3333" width="12.5703125" style="936" customWidth="1"/>
    <col min="3334" max="3334" width="12.42578125" style="936" customWidth="1"/>
    <col min="3335" max="3335" width="17.140625" style="936" customWidth="1"/>
    <col min="3336" max="3585" width="9.28515625" style="936"/>
    <col min="3586" max="3586" width="6.140625" style="936" customWidth="1"/>
    <col min="3587" max="3587" width="36" style="936" customWidth="1"/>
    <col min="3588" max="3588" width="8.7109375" style="936" customWidth="1"/>
    <col min="3589" max="3589" width="12.5703125" style="936" customWidth="1"/>
    <col min="3590" max="3590" width="12.42578125" style="936" customWidth="1"/>
    <col min="3591" max="3591" width="17.140625" style="936" customWidth="1"/>
    <col min="3592" max="3841" width="9.28515625" style="936"/>
    <col min="3842" max="3842" width="6.140625" style="936" customWidth="1"/>
    <col min="3843" max="3843" width="36" style="936" customWidth="1"/>
    <col min="3844" max="3844" width="8.7109375" style="936" customWidth="1"/>
    <col min="3845" max="3845" width="12.5703125" style="936" customWidth="1"/>
    <col min="3846" max="3846" width="12.42578125" style="936" customWidth="1"/>
    <col min="3847" max="3847" width="17.140625" style="936" customWidth="1"/>
    <col min="3848" max="4097" width="9.28515625" style="936"/>
    <col min="4098" max="4098" width="6.140625" style="936" customWidth="1"/>
    <col min="4099" max="4099" width="36" style="936" customWidth="1"/>
    <col min="4100" max="4100" width="8.7109375" style="936" customWidth="1"/>
    <col min="4101" max="4101" width="12.5703125" style="936" customWidth="1"/>
    <col min="4102" max="4102" width="12.42578125" style="936" customWidth="1"/>
    <col min="4103" max="4103" width="17.140625" style="936" customWidth="1"/>
    <col min="4104" max="4353" width="9.28515625" style="936"/>
    <col min="4354" max="4354" width="6.140625" style="936" customWidth="1"/>
    <col min="4355" max="4355" width="36" style="936" customWidth="1"/>
    <col min="4356" max="4356" width="8.7109375" style="936" customWidth="1"/>
    <col min="4357" max="4357" width="12.5703125" style="936" customWidth="1"/>
    <col min="4358" max="4358" width="12.42578125" style="936" customWidth="1"/>
    <col min="4359" max="4359" width="17.140625" style="936" customWidth="1"/>
    <col min="4360" max="4609" width="9.28515625" style="936"/>
    <col min="4610" max="4610" width="6.140625" style="936" customWidth="1"/>
    <col min="4611" max="4611" width="36" style="936" customWidth="1"/>
    <col min="4612" max="4612" width="8.7109375" style="936" customWidth="1"/>
    <col min="4613" max="4613" width="12.5703125" style="936" customWidth="1"/>
    <col min="4614" max="4614" width="12.42578125" style="936" customWidth="1"/>
    <col min="4615" max="4615" width="17.140625" style="936" customWidth="1"/>
    <col min="4616" max="4865" width="9.28515625" style="936"/>
    <col min="4866" max="4866" width="6.140625" style="936" customWidth="1"/>
    <col min="4867" max="4867" width="36" style="936" customWidth="1"/>
    <col min="4868" max="4868" width="8.7109375" style="936" customWidth="1"/>
    <col min="4869" max="4869" width="12.5703125" style="936" customWidth="1"/>
    <col min="4870" max="4870" width="12.42578125" style="936" customWidth="1"/>
    <col min="4871" max="4871" width="17.140625" style="936" customWidth="1"/>
    <col min="4872" max="5121" width="9.28515625" style="936"/>
    <col min="5122" max="5122" width="6.140625" style="936" customWidth="1"/>
    <col min="5123" max="5123" width="36" style="936" customWidth="1"/>
    <col min="5124" max="5124" width="8.7109375" style="936" customWidth="1"/>
    <col min="5125" max="5125" width="12.5703125" style="936" customWidth="1"/>
    <col min="5126" max="5126" width="12.42578125" style="936" customWidth="1"/>
    <col min="5127" max="5127" width="17.140625" style="936" customWidth="1"/>
    <col min="5128" max="5377" width="9.28515625" style="936"/>
    <col min="5378" max="5378" width="6.140625" style="936" customWidth="1"/>
    <col min="5379" max="5379" width="36" style="936" customWidth="1"/>
    <col min="5380" max="5380" width="8.7109375" style="936" customWidth="1"/>
    <col min="5381" max="5381" width="12.5703125" style="936" customWidth="1"/>
    <col min="5382" max="5382" width="12.42578125" style="936" customWidth="1"/>
    <col min="5383" max="5383" width="17.140625" style="936" customWidth="1"/>
    <col min="5384" max="5633" width="9.28515625" style="936"/>
    <col min="5634" max="5634" width="6.140625" style="936" customWidth="1"/>
    <col min="5635" max="5635" width="36" style="936" customWidth="1"/>
    <col min="5636" max="5636" width="8.7109375" style="936" customWidth="1"/>
    <col min="5637" max="5637" width="12.5703125" style="936" customWidth="1"/>
    <col min="5638" max="5638" width="12.42578125" style="936" customWidth="1"/>
    <col min="5639" max="5639" width="17.140625" style="936" customWidth="1"/>
    <col min="5640" max="5889" width="9.28515625" style="936"/>
    <col min="5890" max="5890" width="6.140625" style="936" customWidth="1"/>
    <col min="5891" max="5891" width="36" style="936" customWidth="1"/>
    <col min="5892" max="5892" width="8.7109375" style="936" customWidth="1"/>
    <col min="5893" max="5893" width="12.5703125" style="936" customWidth="1"/>
    <col min="5894" max="5894" width="12.42578125" style="936" customWidth="1"/>
    <col min="5895" max="5895" width="17.140625" style="936" customWidth="1"/>
    <col min="5896" max="6145" width="9.28515625" style="936"/>
    <col min="6146" max="6146" width="6.140625" style="936" customWidth="1"/>
    <col min="6147" max="6147" width="36" style="936" customWidth="1"/>
    <col min="6148" max="6148" width="8.7109375" style="936" customWidth="1"/>
    <col min="6149" max="6149" width="12.5703125" style="936" customWidth="1"/>
    <col min="6150" max="6150" width="12.42578125" style="936" customWidth="1"/>
    <col min="6151" max="6151" width="17.140625" style="936" customWidth="1"/>
    <col min="6152" max="6401" width="9.28515625" style="936"/>
    <col min="6402" max="6402" width="6.140625" style="936" customWidth="1"/>
    <col min="6403" max="6403" width="36" style="936" customWidth="1"/>
    <col min="6404" max="6404" width="8.7109375" style="936" customWidth="1"/>
    <col min="6405" max="6405" width="12.5703125" style="936" customWidth="1"/>
    <col min="6406" max="6406" width="12.42578125" style="936" customWidth="1"/>
    <col min="6407" max="6407" width="17.140625" style="936" customWidth="1"/>
    <col min="6408" max="6657" width="9.28515625" style="936"/>
    <col min="6658" max="6658" width="6.140625" style="936" customWidth="1"/>
    <col min="6659" max="6659" width="36" style="936" customWidth="1"/>
    <col min="6660" max="6660" width="8.7109375" style="936" customWidth="1"/>
    <col min="6661" max="6661" width="12.5703125" style="936" customWidth="1"/>
    <col min="6662" max="6662" width="12.42578125" style="936" customWidth="1"/>
    <col min="6663" max="6663" width="17.140625" style="936" customWidth="1"/>
    <col min="6664" max="6913" width="9.28515625" style="936"/>
    <col min="6914" max="6914" width="6.140625" style="936" customWidth="1"/>
    <col min="6915" max="6915" width="36" style="936" customWidth="1"/>
    <col min="6916" max="6916" width="8.7109375" style="936" customWidth="1"/>
    <col min="6917" max="6917" width="12.5703125" style="936" customWidth="1"/>
    <col min="6918" max="6918" width="12.42578125" style="936" customWidth="1"/>
    <col min="6919" max="6919" width="17.140625" style="936" customWidth="1"/>
    <col min="6920" max="7169" width="9.28515625" style="936"/>
    <col min="7170" max="7170" width="6.140625" style="936" customWidth="1"/>
    <col min="7171" max="7171" width="36" style="936" customWidth="1"/>
    <col min="7172" max="7172" width="8.7109375" style="936" customWidth="1"/>
    <col min="7173" max="7173" width="12.5703125" style="936" customWidth="1"/>
    <col min="7174" max="7174" width="12.42578125" style="936" customWidth="1"/>
    <col min="7175" max="7175" width="17.140625" style="936" customWidth="1"/>
    <col min="7176" max="7425" width="9.28515625" style="936"/>
    <col min="7426" max="7426" width="6.140625" style="936" customWidth="1"/>
    <col min="7427" max="7427" width="36" style="936" customWidth="1"/>
    <col min="7428" max="7428" width="8.7109375" style="936" customWidth="1"/>
    <col min="7429" max="7429" width="12.5703125" style="936" customWidth="1"/>
    <col min="7430" max="7430" width="12.42578125" style="936" customWidth="1"/>
    <col min="7431" max="7431" width="17.140625" style="936" customWidth="1"/>
    <col min="7432" max="7681" width="9.28515625" style="936"/>
    <col min="7682" max="7682" width="6.140625" style="936" customWidth="1"/>
    <col min="7683" max="7683" width="36" style="936" customWidth="1"/>
    <col min="7684" max="7684" width="8.7109375" style="936" customWidth="1"/>
    <col min="7685" max="7685" width="12.5703125" style="936" customWidth="1"/>
    <col min="7686" max="7686" width="12.42578125" style="936" customWidth="1"/>
    <col min="7687" max="7687" width="17.140625" style="936" customWidth="1"/>
    <col min="7688" max="7937" width="9.28515625" style="936"/>
    <col min="7938" max="7938" width="6.140625" style="936" customWidth="1"/>
    <col min="7939" max="7939" width="36" style="936" customWidth="1"/>
    <col min="7940" max="7940" width="8.7109375" style="936" customWidth="1"/>
    <col min="7941" max="7941" width="12.5703125" style="936" customWidth="1"/>
    <col min="7942" max="7942" width="12.42578125" style="936" customWidth="1"/>
    <col min="7943" max="7943" width="17.140625" style="936" customWidth="1"/>
    <col min="7944" max="8193" width="9.28515625" style="936"/>
    <col min="8194" max="8194" width="6.140625" style="936" customWidth="1"/>
    <col min="8195" max="8195" width="36" style="936" customWidth="1"/>
    <col min="8196" max="8196" width="8.7109375" style="936" customWidth="1"/>
    <col min="8197" max="8197" width="12.5703125" style="936" customWidth="1"/>
    <col min="8198" max="8198" width="12.42578125" style="936" customWidth="1"/>
    <col min="8199" max="8199" width="17.140625" style="936" customWidth="1"/>
    <col min="8200" max="8449" width="9.28515625" style="936"/>
    <col min="8450" max="8450" width="6.140625" style="936" customWidth="1"/>
    <col min="8451" max="8451" width="36" style="936" customWidth="1"/>
    <col min="8452" max="8452" width="8.7109375" style="936" customWidth="1"/>
    <col min="8453" max="8453" width="12.5703125" style="936" customWidth="1"/>
    <col min="8454" max="8454" width="12.42578125" style="936" customWidth="1"/>
    <col min="8455" max="8455" width="17.140625" style="936" customWidth="1"/>
    <col min="8456" max="8705" width="9.28515625" style="936"/>
    <col min="8706" max="8706" width="6.140625" style="936" customWidth="1"/>
    <col min="8707" max="8707" width="36" style="936" customWidth="1"/>
    <col min="8708" max="8708" width="8.7109375" style="936" customWidth="1"/>
    <col min="8709" max="8709" width="12.5703125" style="936" customWidth="1"/>
    <col min="8710" max="8710" width="12.42578125" style="936" customWidth="1"/>
    <col min="8711" max="8711" width="17.140625" style="936" customWidth="1"/>
    <col min="8712" max="8961" width="9.28515625" style="936"/>
    <col min="8962" max="8962" width="6.140625" style="936" customWidth="1"/>
    <col min="8963" max="8963" width="36" style="936" customWidth="1"/>
    <col min="8964" max="8964" width="8.7109375" style="936" customWidth="1"/>
    <col min="8965" max="8965" width="12.5703125" style="936" customWidth="1"/>
    <col min="8966" max="8966" width="12.42578125" style="936" customWidth="1"/>
    <col min="8967" max="8967" width="17.140625" style="936" customWidth="1"/>
    <col min="8968" max="9217" width="9.28515625" style="936"/>
    <col min="9218" max="9218" width="6.140625" style="936" customWidth="1"/>
    <col min="9219" max="9219" width="36" style="936" customWidth="1"/>
    <col min="9220" max="9220" width="8.7109375" style="936" customWidth="1"/>
    <col min="9221" max="9221" width="12.5703125" style="936" customWidth="1"/>
    <col min="9222" max="9222" width="12.42578125" style="936" customWidth="1"/>
    <col min="9223" max="9223" width="17.140625" style="936" customWidth="1"/>
    <col min="9224" max="9473" width="9.28515625" style="936"/>
    <col min="9474" max="9474" width="6.140625" style="936" customWidth="1"/>
    <col min="9475" max="9475" width="36" style="936" customWidth="1"/>
    <col min="9476" max="9476" width="8.7109375" style="936" customWidth="1"/>
    <col min="9477" max="9477" width="12.5703125" style="936" customWidth="1"/>
    <col min="9478" max="9478" width="12.42578125" style="936" customWidth="1"/>
    <col min="9479" max="9479" width="17.140625" style="936" customWidth="1"/>
    <col min="9480" max="9729" width="9.28515625" style="936"/>
    <col min="9730" max="9730" width="6.140625" style="936" customWidth="1"/>
    <col min="9731" max="9731" width="36" style="936" customWidth="1"/>
    <col min="9732" max="9732" width="8.7109375" style="936" customWidth="1"/>
    <col min="9733" max="9733" width="12.5703125" style="936" customWidth="1"/>
    <col min="9734" max="9734" width="12.42578125" style="936" customWidth="1"/>
    <col min="9735" max="9735" width="17.140625" style="936" customWidth="1"/>
    <col min="9736" max="9985" width="9.28515625" style="936"/>
    <col min="9986" max="9986" width="6.140625" style="936" customWidth="1"/>
    <col min="9987" max="9987" width="36" style="936" customWidth="1"/>
    <col min="9988" max="9988" width="8.7109375" style="936" customWidth="1"/>
    <col min="9989" max="9989" width="12.5703125" style="936" customWidth="1"/>
    <col min="9990" max="9990" width="12.42578125" style="936" customWidth="1"/>
    <col min="9991" max="9991" width="17.140625" style="936" customWidth="1"/>
    <col min="9992" max="10241" width="9.28515625" style="936"/>
    <col min="10242" max="10242" width="6.140625" style="936" customWidth="1"/>
    <col min="10243" max="10243" width="36" style="936" customWidth="1"/>
    <col min="10244" max="10244" width="8.7109375" style="936" customWidth="1"/>
    <col min="10245" max="10245" width="12.5703125" style="936" customWidth="1"/>
    <col min="10246" max="10246" width="12.42578125" style="936" customWidth="1"/>
    <col min="10247" max="10247" width="17.140625" style="936" customWidth="1"/>
    <col min="10248" max="10497" width="9.28515625" style="936"/>
    <col min="10498" max="10498" width="6.140625" style="936" customWidth="1"/>
    <col min="10499" max="10499" width="36" style="936" customWidth="1"/>
    <col min="10500" max="10500" width="8.7109375" style="936" customWidth="1"/>
    <col min="10501" max="10501" width="12.5703125" style="936" customWidth="1"/>
    <col min="10502" max="10502" width="12.42578125" style="936" customWidth="1"/>
    <col min="10503" max="10503" width="17.140625" style="936" customWidth="1"/>
    <col min="10504" max="10753" width="9.28515625" style="936"/>
    <col min="10754" max="10754" width="6.140625" style="936" customWidth="1"/>
    <col min="10755" max="10755" width="36" style="936" customWidth="1"/>
    <col min="10756" max="10756" width="8.7109375" style="936" customWidth="1"/>
    <col min="10757" max="10757" width="12.5703125" style="936" customWidth="1"/>
    <col min="10758" max="10758" width="12.42578125" style="936" customWidth="1"/>
    <col min="10759" max="10759" width="17.140625" style="936" customWidth="1"/>
    <col min="10760" max="11009" width="9.28515625" style="936"/>
    <col min="11010" max="11010" width="6.140625" style="936" customWidth="1"/>
    <col min="11011" max="11011" width="36" style="936" customWidth="1"/>
    <col min="11012" max="11012" width="8.7109375" style="936" customWidth="1"/>
    <col min="11013" max="11013" width="12.5703125" style="936" customWidth="1"/>
    <col min="11014" max="11014" width="12.42578125" style="936" customWidth="1"/>
    <col min="11015" max="11015" width="17.140625" style="936" customWidth="1"/>
    <col min="11016" max="11265" width="9.28515625" style="936"/>
    <col min="11266" max="11266" width="6.140625" style="936" customWidth="1"/>
    <col min="11267" max="11267" width="36" style="936" customWidth="1"/>
    <col min="11268" max="11268" width="8.7109375" style="936" customWidth="1"/>
    <col min="11269" max="11269" width="12.5703125" style="936" customWidth="1"/>
    <col min="11270" max="11270" width="12.42578125" style="936" customWidth="1"/>
    <col min="11271" max="11271" width="17.140625" style="936" customWidth="1"/>
    <col min="11272" max="11521" width="9.28515625" style="936"/>
    <col min="11522" max="11522" width="6.140625" style="936" customWidth="1"/>
    <col min="11523" max="11523" width="36" style="936" customWidth="1"/>
    <col min="11524" max="11524" width="8.7109375" style="936" customWidth="1"/>
    <col min="11525" max="11525" width="12.5703125" style="936" customWidth="1"/>
    <col min="11526" max="11526" width="12.42578125" style="936" customWidth="1"/>
    <col min="11527" max="11527" width="17.140625" style="936" customWidth="1"/>
    <col min="11528" max="11777" width="9.28515625" style="936"/>
    <col min="11778" max="11778" width="6.140625" style="936" customWidth="1"/>
    <col min="11779" max="11779" width="36" style="936" customWidth="1"/>
    <col min="11780" max="11780" width="8.7109375" style="936" customWidth="1"/>
    <col min="11781" max="11781" width="12.5703125" style="936" customWidth="1"/>
    <col min="11782" max="11782" width="12.42578125" style="936" customWidth="1"/>
    <col min="11783" max="11783" width="17.140625" style="936" customWidth="1"/>
    <col min="11784" max="12033" width="9.28515625" style="936"/>
    <col min="12034" max="12034" width="6.140625" style="936" customWidth="1"/>
    <col min="12035" max="12035" width="36" style="936" customWidth="1"/>
    <col min="12036" max="12036" width="8.7109375" style="936" customWidth="1"/>
    <col min="12037" max="12037" width="12.5703125" style="936" customWidth="1"/>
    <col min="12038" max="12038" width="12.42578125" style="936" customWidth="1"/>
    <col min="12039" max="12039" width="17.140625" style="936" customWidth="1"/>
    <col min="12040" max="12289" width="9.28515625" style="936"/>
    <col min="12290" max="12290" width="6.140625" style="936" customWidth="1"/>
    <col min="12291" max="12291" width="36" style="936" customWidth="1"/>
    <col min="12292" max="12292" width="8.7109375" style="936" customWidth="1"/>
    <col min="12293" max="12293" width="12.5703125" style="936" customWidth="1"/>
    <col min="12294" max="12294" width="12.42578125" style="936" customWidth="1"/>
    <col min="12295" max="12295" width="17.140625" style="936" customWidth="1"/>
    <col min="12296" max="12545" width="9.28515625" style="936"/>
    <col min="12546" max="12546" width="6.140625" style="936" customWidth="1"/>
    <col min="12547" max="12547" width="36" style="936" customWidth="1"/>
    <col min="12548" max="12548" width="8.7109375" style="936" customWidth="1"/>
    <col min="12549" max="12549" width="12.5703125" style="936" customWidth="1"/>
    <col min="12550" max="12550" width="12.42578125" style="936" customWidth="1"/>
    <col min="12551" max="12551" width="17.140625" style="936" customWidth="1"/>
    <col min="12552" max="12801" width="9.28515625" style="936"/>
    <col min="12802" max="12802" width="6.140625" style="936" customWidth="1"/>
    <col min="12803" max="12803" width="36" style="936" customWidth="1"/>
    <col min="12804" max="12804" width="8.7109375" style="936" customWidth="1"/>
    <col min="12805" max="12805" width="12.5703125" style="936" customWidth="1"/>
    <col min="12806" max="12806" width="12.42578125" style="936" customWidth="1"/>
    <col min="12807" max="12807" width="17.140625" style="936" customWidth="1"/>
    <col min="12808" max="13057" width="9.28515625" style="936"/>
    <col min="13058" max="13058" width="6.140625" style="936" customWidth="1"/>
    <col min="13059" max="13059" width="36" style="936" customWidth="1"/>
    <col min="13060" max="13060" width="8.7109375" style="936" customWidth="1"/>
    <col min="13061" max="13061" width="12.5703125" style="936" customWidth="1"/>
    <col min="13062" max="13062" width="12.42578125" style="936" customWidth="1"/>
    <col min="13063" max="13063" width="17.140625" style="936" customWidth="1"/>
    <col min="13064" max="13313" width="9.28515625" style="936"/>
    <col min="13314" max="13314" width="6.140625" style="936" customWidth="1"/>
    <col min="13315" max="13315" width="36" style="936" customWidth="1"/>
    <col min="13316" max="13316" width="8.7109375" style="936" customWidth="1"/>
    <col min="13317" max="13317" width="12.5703125" style="936" customWidth="1"/>
    <col min="13318" max="13318" width="12.42578125" style="936" customWidth="1"/>
    <col min="13319" max="13319" width="17.140625" style="936" customWidth="1"/>
    <col min="13320" max="13569" width="9.28515625" style="936"/>
    <col min="13570" max="13570" width="6.140625" style="936" customWidth="1"/>
    <col min="13571" max="13571" width="36" style="936" customWidth="1"/>
    <col min="13572" max="13572" width="8.7109375" style="936" customWidth="1"/>
    <col min="13573" max="13573" width="12.5703125" style="936" customWidth="1"/>
    <col min="13574" max="13574" width="12.42578125" style="936" customWidth="1"/>
    <col min="13575" max="13575" width="17.140625" style="936" customWidth="1"/>
    <col min="13576" max="13825" width="9.28515625" style="936"/>
    <col min="13826" max="13826" width="6.140625" style="936" customWidth="1"/>
    <col min="13827" max="13827" width="36" style="936" customWidth="1"/>
    <col min="13828" max="13828" width="8.7109375" style="936" customWidth="1"/>
    <col min="13829" max="13829" width="12.5703125" style="936" customWidth="1"/>
    <col min="13830" max="13830" width="12.42578125" style="936" customWidth="1"/>
    <col min="13831" max="13831" width="17.140625" style="936" customWidth="1"/>
    <col min="13832" max="14081" width="9.28515625" style="936"/>
    <col min="14082" max="14082" width="6.140625" style="936" customWidth="1"/>
    <col min="14083" max="14083" width="36" style="936" customWidth="1"/>
    <col min="14084" max="14084" width="8.7109375" style="936" customWidth="1"/>
    <col min="14085" max="14085" width="12.5703125" style="936" customWidth="1"/>
    <col min="14086" max="14086" width="12.42578125" style="936" customWidth="1"/>
    <col min="14087" max="14087" width="17.140625" style="936" customWidth="1"/>
    <col min="14088" max="14337" width="9.28515625" style="936"/>
    <col min="14338" max="14338" width="6.140625" style="936" customWidth="1"/>
    <col min="14339" max="14339" width="36" style="936" customWidth="1"/>
    <col min="14340" max="14340" width="8.7109375" style="936" customWidth="1"/>
    <col min="14341" max="14341" width="12.5703125" style="936" customWidth="1"/>
    <col min="14342" max="14342" width="12.42578125" style="936" customWidth="1"/>
    <col min="14343" max="14343" width="17.140625" style="936" customWidth="1"/>
    <col min="14344" max="14593" width="9.28515625" style="936"/>
    <col min="14594" max="14594" width="6.140625" style="936" customWidth="1"/>
    <col min="14595" max="14595" width="36" style="936" customWidth="1"/>
    <col min="14596" max="14596" width="8.7109375" style="936" customWidth="1"/>
    <col min="14597" max="14597" width="12.5703125" style="936" customWidth="1"/>
    <col min="14598" max="14598" width="12.42578125" style="936" customWidth="1"/>
    <col min="14599" max="14599" width="17.140625" style="936" customWidth="1"/>
    <col min="14600" max="14849" width="9.28515625" style="936"/>
    <col min="14850" max="14850" width="6.140625" style="936" customWidth="1"/>
    <col min="14851" max="14851" width="36" style="936" customWidth="1"/>
    <col min="14852" max="14852" width="8.7109375" style="936" customWidth="1"/>
    <col min="14853" max="14853" width="12.5703125" style="936" customWidth="1"/>
    <col min="14854" max="14854" width="12.42578125" style="936" customWidth="1"/>
    <col min="14855" max="14855" width="17.140625" style="936" customWidth="1"/>
    <col min="14856" max="15105" width="9.28515625" style="936"/>
    <col min="15106" max="15106" width="6.140625" style="936" customWidth="1"/>
    <col min="15107" max="15107" width="36" style="936" customWidth="1"/>
    <col min="15108" max="15108" width="8.7109375" style="936" customWidth="1"/>
    <col min="15109" max="15109" width="12.5703125" style="936" customWidth="1"/>
    <col min="15110" max="15110" width="12.42578125" style="936" customWidth="1"/>
    <col min="15111" max="15111" width="17.140625" style="936" customWidth="1"/>
    <col min="15112" max="15361" width="9.28515625" style="936"/>
    <col min="15362" max="15362" width="6.140625" style="936" customWidth="1"/>
    <col min="15363" max="15363" width="36" style="936" customWidth="1"/>
    <col min="15364" max="15364" width="8.7109375" style="936" customWidth="1"/>
    <col min="15365" max="15365" width="12.5703125" style="936" customWidth="1"/>
    <col min="15366" max="15366" width="12.42578125" style="936" customWidth="1"/>
    <col min="15367" max="15367" width="17.140625" style="936" customWidth="1"/>
    <col min="15368" max="15617" width="9.28515625" style="936"/>
    <col min="15618" max="15618" width="6.140625" style="936" customWidth="1"/>
    <col min="15619" max="15619" width="36" style="936" customWidth="1"/>
    <col min="15620" max="15620" width="8.7109375" style="936" customWidth="1"/>
    <col min="15621" max="15621" width="12.5703125" style="936" customWidth="1"/>
    <col min="15622" max="15622" width="12.42578125" style="936" customWidth="1"/>
    <col min="15623" max="15623" width="17.140625" style="936" customWidth="1"/>
    <col min="15624" max="15873" width="9.28515625" style="936"/>
    <col min="15874" max="15874" width="6.140625" style="936" customWidth="1"/>
    <col min="15875" max="15875" width="36" style="936" customWidth="1"/>
    <col min="15876" max="15876" width="8.7109375" style="936" customWidth="1"/>
    <col min="15877" max="15877" width="12.5703125" style="936" customWidth="1"/>
    <col min="15878" max="15878" width="12.42578125" style="936" customWidth="1"/>
    <col min="15879" max="15879" width="17.140625" style="936" customWidth="1"/>
    <col min="15880" max="16129" width="9.28515625" style="936"/>
    <col min="16130" max="16130" width="6.140625" style="936" customWidth="1"/>
    <col min="16131" max="16131" width="36" style="936" customWidth="1"/>
    <col min="16132" max="16132" width="8.7109375" style="936" customWidth="1"/>
    <col min="16133" max="16133" width="12.5703125" style="936" customWidth="1"/>
    <col min="16134" max="16134" width="12.42578125" style="936" customWidth="1"/>
    <col min="16135" max="16135" width="17.140625" style="936" customWidth="1"/>
    <col min="16136" max="16384" width="9.28515625" style="936"/>
  </cols>
  <sheetData>
    <row r="1" spans="1:8" ht="15.75">
      <c r="A1" s="3729" t="s">
        <v>1530</v>
      </c>
      <c r="B1" s="3729"/>
      <c r="C1" s="3729"/>
      <c r="D1" s="3729"/>
      <c r="E1" s="3729"/>
      <c r="F1" s="3729"/>
      <c r="G1" s="3729"/>
    </row>
    <row r="2" spans="1:8" ht="25.5" customHeight="1">
      <c r="A2" s="3730" t="str">
        <f>'Input Data'!E1</f>
        <v>R/F A to B in Wanaparthy Mandal of Wanaparthy District</v>
      </c>
      <c r="B2" s="3731"/>
      <c r="C2" s="3731"/>
      <c r="D2" s="3731"/>
      <c r="E2" s="3731"/>
      <c r="F2" s="3731"/>
      <c r="G2" s="3731"/>
    </row>
    <row r="3" spans="1:8" s="930" customFormat="1" ht="25.5">
      <c r="A3" s="937" t="s">
        <v>1360</v>
      </c>
      <c r="B3" s="937" t="s">
        <v>1531</v>
      </c>
      <c r="C3" s="937" t="s">
        <v>1024</v>
      </c>
      <c r="D3" s="937" t="s">
        <v>733</v>
      </c>
      <c r="E3" s="937" t="s">
        <v>1532</v>
      </c>
      <c r="F3" s="938" t="s">
        <v>1533</v>
      </c>
      <c r="G3" s="939" t="s">
        <v>532</v>
      </c>
    </row>
    <row r="4" spans="1:8">
      <c r="A4" s="940">
        <v>1</v>
      </c>
      <c r="B4" s="940">
        <v>2</v>
      </c>
      <c r="C4" s="940">
        <v>3</v>
      </c>
      <c r="D4" s="940"/>
      <c r="E4" s="941">
        <v>4</v>
      </c>
      <c r="F4" s="940">
        <v>5</v>
      </c>
      <c r="G4" s="940">
        <v>6</v>
      </c>
    </row>
    <row r="5" spans="1:8" hidden="1">
      <c r="A5" s="942"/>
      <c r="B5" s="942"/>
      <c r="C5" s="942"/>
      <c r="D5" s="942"/>
      <c r="E5" s="943"/>
      <c r="F5" s="942"/>
      <c r="G5" s="942"/>
    </row>
    <row r="6" spans="1:8" s="931" customFormat="1">
      <c r="A6" s="944"/>
      <c r="B6" s="944" t="s">
        <v>1534</v>
      </c>
      <c r="C6" s="944"/>
      <c r="D6" s="944"/>
      <c r="E6" s="945"/>
      <c r="F6" s="944"/>
      <c r="G6" s="944"/>
    </row>
    <row r="7" spans="1:8" s="931" customFormat="1" hidden="1">
      <c r="A7" s="944"/>
      <c r="B7" s="944"/>
      <c r="C7" s="944"/>
      <c r="D7" s="944"/>
      <c r="E7" s="945"/>
      <c r="F7" s="944"/>
      <c r="G7" s="944"/>
    </row>
    <row r="8" spans="1:8" s="932" customFormat="1" ht="25.5">
      <c r="A8" s="946">
        <v>1</v>
      </c>
      <c r="B8" s="947" t="s">
        <v>1535</v>
      </c>
      <c r="C8" s="946" t="s">
        <v>73</v>
      </c>
      <c r="D8" s="946"/>
      <c r="E8" s="948">
        <v>0</v>
      </c>
      <c r="F8" s="949">
        <v>30</v>
      </c>
      <c r="G8" s="949">
        <f t="shared" ref="G8:G17" si="0">ROUND(F8*E8,0)</f>
        <v>0</v>
      </c>
    </row>
    <row r="9" spans="1:8" s="932" customFormat="1">
      <c r="A9" s="946">
        <v>2</v>
      </c>
      <c r="B9" s="947" t="s">
        <v>1536</v>
      </c>
      <c r="C9" s="946" t="s">
        <v>73</v>
      </c>
      <c r="D9" s="946"/>
      <c r="E9" s="948">
        <f>'Road Estimate'!I20</f>
        <v>2500</v>
      </c>
      <c r="F9" s="949">
        <v>30</v>
      </c>
      <c r="G9" s="949">
        <f t="shared" si="0"/>
        <v>75000</v>
      </c>
    </row>
    <row r="10" spans="1:8" s="932" customFormat="1" ht="18" customHeight="1">
      <c r="A10" s="946">
        <f t="shared" ref="A10:A17" si="1">A9+1</f>
        <v>3</v>
      </c>
      <c r="B10" s="947" t="s">
        <v>1537</v>
      </c>
      <c r="C10" s="946" t="s">
        <v>73</v>
      </c>
      <c r="D10" s="946"/>
      <c r="E10" s="948">
        <f>'Road Estimate'!I36</f>
        <v>640</v>
      </c>
      <c r="F10" s="949">
        <f>1.2*97.5</f>
        <v>117</v>
      </c>
      <c r="G10" s="949">
        <f t="shared" si="0"/>
        <v>74880</v>
      </c>
    </row>
    <row r="11" spans="1:8" s="932" customFormat="1" ht="18" customHeight="1">
      <c r="A11" s="946">
        <f t="shared" si="1"/>
        <v>4</v>
      </c>
      <c r="B11" s="947" t="s">
        <v>1538</v>
      </c>
      <c r="C11" s="946" t="s">
        <v>73</v>
      </c>
      <c r="D11" s="946"/>
      <c r="E11" s="948">
        <f>'Road Estimate'!I52</f>
        <v>506.25</v>
      </c>
      <c r="F11" s="949">
        <f>1.33*97.5</f>
        <v>129.67500000000001</v>
      </c>
      <c r="G11" s="949">
        <f t="shared" si="0"/>
        <v>65648</v>
      </c>
    </row>
    <row r="12" spans="1:8" s="932" customFormat="1" ht="18" customHeight="1">
      <c r="A12" s="946">
        <f>A10+1</f>
        <v>4</v>
      </c>
      <c r="B12" s="947" t="s">
        <v>1539</v>
      </c>
      <c r="C12" s="946" t="s">
        <v>73</v>
      </c>
      <c r="D12" s="946"/>
      <c r="E12" s="948">
        <v>0</v>
      </c>
      <c r="F12" s="949">
        <f>1.488*97.5</f>
        <v>145.08000000000001</v>
      </c>
      <c r="G12" s="949">
        <f t="shared" si="0"/>
        <v>0</v>
      </c>
    </row>
    <row r="13" spans="1:8" s="932" customFormat="1" ht="18" customHeight="1">
      <c r="A13" s="946">
        <f>A11+1</f>
        <v>5</v>
      </c>
      <c r="B13" s="947" t="s">
        <v>490</v>
      </c>
      <c r="C13" s="946" t="s">
        <v>353</v>
      </c>
      <c r="D13" s="946"/>
      <c r="E13" s="948">
        <v>0</v>
      </c>
      <c r="F13" s="949">
        <f>0.027*97.5</f>
        <v>2.6324999999999998</v>
      </c>
      <c r="G13" s="949">
        <f t="shared" si="0"/>
        <v>0</v>
      </c>
    </row>
    <row r="14" spans="1:8" s="932" customFormat="1" ht="18" customHeight="1">
      <c r="A14" s="946">
        <f t="shared" si="1"/>
        <v>6</v>
      </c>
      <c r="B14" s="947" t="s">
        <v>1540</v>
      </c>
      <c r="C14" s="946" t="s">
        <v>353</v>
      </c>
      <c r="D14" s="946"/>
      <c r="E14" s="948">
        <f>E13</f>
        <v>0</v>
      </c>
      <c r="F14" s="949">
        <f>0.009*97.5</f>
        <v>0.87749999999999995</v>
      </c>
      <c r="G14" s="949">
        <f t="shared" si="0"/>
        <v>0</v>
      </c>
    </row>
    <row r="15" spans="1:8" s="932" customFormat="1" ht="18" customHeight="1">
      <c r="A15" s="946">
        <f t="shared" si="1"/>
        <v>7</v>
      </c>
      <c r="B15" s="947" t="s">
        <v>488</v>
      </c>
      <c r="C15" s="946" t="s">
        <v>73</v>
      </c>
      <c r="D15" s="946"/>
      <c r="E15" s="948">
        <f>'Road Estimate'!I87</f>
        <v>90</v>
      </c>
      <c r="F15" s="949">
        <f>1.471*97.5</f>
        <v>143.42250000000001</v>
      </c>
      <c r="G15" s="949">
        <f t="shared" si="0"/>
        <v>12908</v>
      </c>
    </row>
    <row r="16" spans="1:8" s="932" customFormat="1" ht="18" customHeight="1">
      <c r="A16" s="946">
        <f t="shared" si="1"/>
        <v>8</v>
      </c>
      <c r="B16" s="947" t="s">
        <v>1541</v>
      </c>
      <c r="C16" s="946" t="s">
        <v>73</v>
      </c>
      <c r="D16" s="946"/>
      <c r="E16" s="948">
        <f>'Road Estimate'!I91</f>
        <v>150</v>
      </c>
      <c r="F16" s="949">
        <f>(1.125*97.5+0.225*40)</f>
        <v>118.6875</v>
      </c>
      <c r="G16" s="949">
        <f t="shared" si="0"/>
        <v>17803</v>
      </c>
      <c r="H16" s="950">
        <f>(0.9*75+0.225*75+0.225*40)</f>
        <v>93.375</v>
      </c>
    </row>
    <row r="17" spans="1:7" s="932" customFormat="1" ht="18" customHeight="1">
      <c r="A17" s="946">
        <f t="shared" si="1"/>
        <v>9</v>
      </c>
      <c r="B17" s="947" t="s">
        <v>1542</v>
      </c>
      <c r="C17" s="946" t="s">
        <v>73</v>
      </c>
      <c r="D17" s="946"/>
      <c r="E17" s="948">
        <f>'Road Estimate'!I30</f>
        <v>600</v>
      </c>
      <c r="F17" s="949">
        <v>30</v>
      </c>
      <c r="G17" s="949">
        <f t="shared" si="0"/>
        <v>18000</v>
      </c>
    </row>
    <row r="18" spans="1:7" s="932" customFormat="1" ht="18.75" customHeight="1">
      <c r="A18" s="951"/>
      <c r="B18" s="3732" t="str">
        <f>'1V 1m dia Pipe Culverts'!A3</f>
        <v xml:space="preserve">Construction of HP Culvert 1V of 1000mm Dia.NP4 Pipes at Km </v>
      </c>
      <c r="C18" s="3732"/>
      <c r="D18" s="3732"/>
      <c r="E18" s="3732"/>
      <c r="F18" s="3732"/>
      <c r="G18" s="952"/>
    </row>
    <row r="19" spans="1:7" s="932" customFormat="1" ht="18.75" customHeight="1">
      <c r="A19" s="946">
        <v>1</v>
      </c>
      <c r="B19" s="947" t="s">
        <v>1543</v>
      </c>
      <c r="C19" s="946" t="s">
        <v>73</v>
      </c>
      <c r="D19" s="953">
        <f>'CD Abs'!C5</f>
        <v>3</v>
      </c>
      <c r="E19" s="954">
        <f>('1V 1m dia Pipe Culverts'!I9)*D19</f>
        <v>81.990000000000009</v>
      </c>
      <c r="F19" s="949">
        <v>30</v>
      </c>
      <c r="G19" s="949">
        <f t="shared" ref="G19:G23" si="2">ROUND(F19*E19,0)</f>
        <v>2460</v>
      </c>
    </row>
    <row r="20" spans="1:7" s="932" customFormat="1" ht="18.75" customHeight="1">
      <c r="A20" s="946">
        <f t="shared" ref="A20:A23" si="3">A19+1</f>
        <v>2</v>
      </c>
      <c r="B20" s="947" t="s">
        <v>1544</v>
      </c>
      <c r="C20" s="946" t="s">
        <v>73</v>
      </c>
      <c r="D20" s="946">
        <f>D19</f>
        <v>3</v>
      </c>
      <c r="E20" s="954">
        <f>('1V 1m dia Pipe Culverts'!I14)*D20</f>
        <v>17.310000000000002</v>
      </c>
      <c r="F20" s="949">
        <f>(0.6*97.5+0.6*40)</f>
        <v>82.5</v>
      </c>
      <c r="G20" s="949">
        <f t="shared" si="2"/>
        <v>1428</v>
      </c>
    </row>
    <row r="21" spans="1:7" s="932" customFormat="1" ht="18.75" customHeight="1">
      <c r="A21" s="946">
        <f t="shared" si="3"/>
        <v>3</v>
      </c>
      <c r="B21" s="947" t="s">
        <v>1545</v>
      </c>
      <c r="C21" s="946" t="s">
        <v>73</v>
      </c>
      <c r="D21" s="946">
        <f>D19</f>
        <v>3</v>
      </c>
      <c r="E21" s="954">
        <f>('1V 1m dia Pipe Culverts'!I24)*D21+('1V 1m dia Pipe Culverts'!I19)*D21</f>
        <v>65.13000000000001</v>
      </c>
      <c r="F21" s="949">
        <f>(1.125*97.5+0.225*40)</f>
        <v>118.6875</v>
      </c>
      <c r="G21" s="949">
        <f t="shared" si="2"/>
        <v>7730</v>
      </c>
    </row>
    <row r="22" spans="1:7" s="932" customFormat="1" ht="18.75" customHeight="1">
      <c r="A22" s="946">
        <f t="shared" si="3"/>
        <v>4</v>
      </c>
      <c r="B22" s="947" t="s">
        <v>1546</v>
      </c>
      <c r="C22" s="946" t="s">
        <v>73</v>
      </c>
      <c r="D22" s="946">
        <f>D19</f>
        <v>3</v>
      </c>
      <c r="E22" s="954">
        <f>('1V 1m dia Pipe Culverts'!I30)*D22</f>
        <v>42.96</v>
      </c>
      <c r="F22" s="949">
        <f>(1.125*97.5+0.225*40)</f>
        <v>118.6875</v>
      </c>
      <c r="G22" s="949">
        <f t="shared" si="2"/>
        <v>5099</v>
      </c>
    </row>
    <row r="23" spans="1:7" s="932" customFormat="1" ht="18.75" customHeight="1">
      <c r="A23" s="946">
        <f t="shared" si="3"/>
        <v>5</v>
      </c>
      <c r="B23" s="947" t="s">
        <v>1547</v>
      </c>
      <c r="C23" s="946" t="s">
        <v>1062</v>
      </c>
      <c r="D23" s="946">
        <f>D20</f>
        <v>3</v>
      </c>
      <c r="E23" s="954">
        <f>('1V 1m dia Pipe Culverts'!I33)*D23</f>
        <v>22.5</v>
      </c>
      <c r="F23" s="949">
        <f>(0.0028*97.5+0.0028*40)</f>
        <v>0.38500000000000001</v>
      </c>
      <c r="G23" s="949">
        <f t="shared" si="2"/>
        <v>9</v>
      </c>
    </row>
    <row r="24" spans="1:7" s="932" customFormat="1" ht="18.75" customHeight="1">
      <c r="A24" s="946"/>
      <c r="B24" s="947"/>
      <c r="C24" s="946"/>
      <c r="D24" s="946"/>
      <c r="E24" s="948"/>
      <c r="F24" s="949"/>
      <c r="G24" s="949"/>
    </row>
    <row r="25" spans="1:7" s="933" customFormat="1" ht="18" customHeight="1">
      <c r="A25" s="951"/>
      <c r="B25" s="3732" t="str">
        <f>'2V 1m dia Pipe Culverts'!A3</f>
        <v>Construction of HP Culvert 2V of 1000mm Dia.NP4 Pipes at Km</v>
      </c>
      <c r="C25" s="3732"/>
      <c r="D25" s="3732"/>
      <c r="E25" s="3732"/>
      <c r="F25" s="3732"/>
      <c r="G25" s="952"/>
    </row>
    <row r="26" spans="1:7" s="932" customFormat="1" ht="18" customHeight="1">
      <c r="A26" s="946">
        <v>1</v>
      </c>
      <c r="B26" s="947" t="s">
        <v>1543</v>
      </c>
      <c r="C26" s="946" t="s">
        <v>73</v>
      </c>
      <c r="D26" s="953">
        <f>'CD Abs'!C6</f>
        <v>1</v>
      </c>
      <c r="E26" s="954">
        <f>('2V 1m dia Pipe Culverts'!I9)*D26</f>
        <v>37.409999999999997</v>
      </c>
      <c r="F26" s="949">
        <v>30</v>
      </c>
      <c r="G26" s="949">
        <f t="shared" ref="G26:G89" si="4">ROUND(F26*E26,0)</f>
        <v>1122</v>
      </c>
    </row>
    <row r="27" spans="1:7" s="932" customFormat="1" ht="18" customHeight="1">
      <c r="A27" s="946">
        <f>A26+1</f>
        <v>2</v>
      </c>
      <c r="B27" s="947" t="s">
        <v>1544</v>
      </c>
      <c r="C27" s="946" t="s">
        <v>73</v>
      </c>
      <c r="D27" s="946">
        <f>D26</f>
        <v>1</v>
      </c>
      <c r="E27" s="954">
        <f>('2V 1m dia Pipe Culverts'!I14)*D27</f>
        <v>6.99</v>
      </c>
      <c r="F27" s="949">
        <f>(0.6*97.5+0.6*40)</f>
        <v>82.5</v>
      </c>
      <c r="G27" s="949">
        <f t="shared" si="4"/>
        <v>577</v>
      </c>
    </row>
    <row r="28" spans="1:7" s="932" customFormat="1" ht="18" customHeight="1">
      <c r="A28" s="946">
        <f>A27+1</f>
        <v>3</v>
      </c>
      <c r="B28" s="947" t="s">
        <v>1545</v>
      </c>
      <c r="C28" s="946" t="s">
        <v>73</v>
      </c>
      <c r="D28" s="946">
        <f>D26</f>
        <v>1</v>
      </c>
      <c r="E28" s="954">
        <f>('2V 1m dia Pipe Culverts'!I24)*D28+('2V 1m dia Pipe Culverts'!I19)*D28</f>
        <v>28.29</v>
      </c>
      <c r="F28" s="949">
        <f>(1.125*97.5+0.225*40)</f>
        <v>118.6875</v>
      </c>
      <c r="G28" s="949">
        <f t="shared" si="4"/>
        <v>3358</v>
      </c>
    </row>
    <row r="29" spans="1:7" s="932" customFormat="1" ht="18" customHeight="1">
      <c r="A29" s="946">
        <f>A28+1</f>
        <v>4</v>
      </c>
      <c r="B29" s="947" t="s">
        <v>1546</v>
      </c>
      <c r="C29" s="946" t="s">
        <v>73</v>
      </c>
      <c r="D29" s="946">
        <f>D27</f>
        <v>1</v>
      </c>
      <c r="E29" s="954">
        <f>('2V 1m dia Pipe Culverts'!I30)*D29</f>
        <v>19.509999999999998</v>
      </c>
      <c r="F29" s="949">
        <f>(1.125*97.5+0.225*40)</f>
        <v>118.6875</v>
      </c>
      <c r="G29" s="949">
        <f t="shared" si="4"/>
        <v>2316</v>
      </c>
    </row>
    <row r="30" spans="1:7" s="932" customFormat="1" ht="18" customHeight="1">
      <c r="A30" s="946">
        <f>A29+1</f>
        <v>5</v>
      </c>
      <c r="B30" s="947" t="s">
        <v>1547</v>
      </c>
      <c r="C30" s="946" t="s">
        <v>1062</v>
      </c>
      <c r="D30" s="946">
        <f>D28</f>
        <v>1</v>
      </c>
      <c r="E30" s="954">
        <f>('2V 1m dia Pipe Culverts'!I33)*D30</f>
        <v>15</v>
      </c>
      <c r="F30" s="949">
        <f>(0.0028*97.5+0.0028*40)</f>
        <v>0.38500000000000001</v>
      </c>
      <c r="G30" s="949">
        <f t="shared" si="4"/>
        <v>6</v>
      </c>
    </row>
    <row r="31" spans="1:7" s="933" customFormat="1" ht="24" customHeight="1">
      <c r="A31" s="951"/>
      <c r="B31" s="3732" t="s">
        <v>1548</v>
      </c>
      <c r="C31" s="3732"/>
      <c r="D31" s="3732"/>
      <c r="E31" s="3732"/>
      <c r="F31" s="3732"/>
      <c r="G31" s="952"/>
    </row>
    <row r="32" spans="1:7" s="932" customFormat="1" ht="18" customHeight="1">
      <c r="A32" s="946">
        <v>1</v>
      </c>
      <c r="B32" s="947" t="s">
        <v>1543</v>
      </c>
      <c r="C32" s="946" t="s">
        <v>73</v>
      </c>
      <c r="D32" s="953">
        <f>'CD Abs'!C7</f>
        <v>0</v>
      </c>
      <c r="E32" s="954">
        <f>D32</f>
        <v>0</v>
      </c>
      <c r="F32" s="949">
        <v>30</v>
      </c>
      <c r="G32" s="949">
        <f t="shared" si="4"/>
        <v>0</v>
      </c>
    </row>
    <row r="33" spans="1:7" s="932" customFormat="1" ht="18" customHeight="1">
      <c r="A33" s="946">
        <f>A32+1</f>
        <v>2</v>
      </c>
      <c r="B33" s="947" t="s">
        <v>1544</v>
      </c>
      <c r="C33" s="946" t="s">
        <v>73</v>
      </c>
      <c r="D33" s="946">
        <f>D32</f>
        <v>0</v>
      </c>
      <c r="E33" s="954">
        <f>D33</f>
        <v>0</v>
      </c>
      <c r="F33" s="949">
        <f>(0.6*97.5+0.6*40)</f>
        <v>82.5</v>
      </c>
      <c r="G33" s="949">
        <f t="shared" si="4"/>
        <v>0</v>
      </c>
    </row>
    <row r="34" spans="1:7" s="932" customFormat="1" ht="18" customHeight="1">
      <c r="A34" s="946">
        <f>A33+1</f>
        <v>3</v>
      </c>
      <c r="B34" s="947" t="s">
        <v>1545</v>
      </c>
      <c r="C34" s="946" t="s">
        <v>73</v>
      </c>
      <c r="D34" s="946">
        <f>D33</f>
        <v>0</v>
      </c>
      <c r="E34" s="954">
        <f>D34</f>
        <v>0</v>
      </c>
      <c r="F34" s="949">
        <f>(1.125*97.5+0.225*40)</f>
        <v>118.6875</v>
      </c>
      <c r="G34" s="949">
        <f t="shared" si="4"/>
        <v>0</v>
      </c>
    </row>
    <row r="35" spans="1:7" s="932" customFormat="1" ht="18" customHeight="1">
      <c r="A35" s="946">
        <f>A34+1</f>
        <v>4</v>
      </c>
      <c r="B35" s="947" t="s">
        <v>1546</v>
      </c>
      <c r="C35" s="946" t="s">
        <v>73</v>
      </c>
      <c r="D35" s="946">
        <f>D34</f>
        <v>0</v>
      </c>
      <c r="E35" s="954">
        <f>D35</f>
        <v>0</v>
      </c>
      <c r="F35" s="949">
        <f>(1.125*97.5+0.225*40)</f>
        <v>118.6875</v>
      </c>
      <c r="G35" s="949">
        <f t="shared" si="4"/>
        <v>0</v>
      </c>
    </row>
    <row r="36" spans="1:7" s="932" customFormat="1" ht="18" customHeight="1">
      <c r="A36" s="946">
        <f>A35+1</f>
        <v>5</v>
      </c>
      <c r="B36" s="947" t="s">
        <v>1547</v>
      </c>
      <c r="C36" s="946" t="s">
        <v>1062</v>
      </c>
      <c r="D36" s="946">
        <f>D35</f>
        <v>0</v>
      </c>
      <c r="E36" s="954">
        <f>D36</f>
        <v>0</v>
      </c>
      <c r="F36" s="949">
        <f>(0.0028*97.5+0.0028*40)</f>
        <v>0.38500000000000001</v>
      </c>
      <c r="G36" s="949">
        <f t="shared" si="4"/>
        <v>0</v>
      </c>
    </row>
    <row r="37" spans="1:7" s="933" customFormat="1" ht="28.15" customHeight="1">
      <c r="A37" s="951"/>
      <c r="B37" s="3732" t="s">
        <v>1549</v>
      </c>
      <c r="C37" s="3732"/>
      <c r="D37" s="3732"/>
      <c r="E37" s="3732"/>
      <c r="F37" s="3732"/>
      <c r="G37" s="952"/>
    </row>
    <row r="38" spans="1:7" s="932" customFormat="1" ht="18" customHeight="1">
      <c r="A38" s="946">
        <v>1</v>
      </c>
      <c r="B38" s="947" t="s">
        <v>1543</v>
      </c>
      <c r="C38" s="946" t="s">
        <v>73</v>
      </c>
      <c r="D38" s="953">
        <f>'CD Abs'!C8</f>
        <v>0</v>
      </c>
      <c r="E38" s="948">
        <f t="shared" ref="E38:E52" si="5">D38</f>
        <v>0</v>
      </c>
      <c r="F38" s="949">
        <v>30</v>
      </c>
      <c r="G38" s="949">
        <f t="shared" si="4"/>
        <v>0</v>
      </c>
    </row>
    <row r="39" spans="1:7" s="932" customFormat="1" ht="18" customHeight="1">
      <c r="A39" s="946">
        <f t="shared" ref="A39:A52" si="6">A38+1</f>
        <v>2</v>
      </c>
      <c r="B39" s="947" t="s">
        <v>1544</v>
      </c>
      <c r="C39" s="946" t="s">
        <v>73</v>
      </c>
      <c r="D39" s="946">
        <f t="shared" ref="D39:D52" si="7">D38</f>
        <v>0</v>
      </c>
      <c r="E39" s="948">
        <f t="shared" si="5"/>
        <v>0</v>
      </c>
      <c r="F39" s="949">
        <f>(0.6*97.5+0.6*40)</f>
        <v>82.5</v>
      </c>
      <c r="G39" s="949">
        <f t="shared" si="4"/>
        <v>0</v>
      </c>
    </row>
    <row r="40" spans="1:7" s="932" customFormat="1" ht="18" customHeight="1">
      <c r="A40" s="946">
        <f t="shared" si="6"/>
        <v>3</v>
      </c>
      <c r="B40" s="947" t="s">
        <v>1550</v>
      </c>
      <c r="C40" s="946" t="s">
        <v>73</v>
      </c>
      <c r="D40" s="946">
        <f t="shared" si="7"/>
        <v>0</v>
      </c>
      <c r="E40" s="948">
        <f t="shared" si="5"/>
        <v>0</v>
      </c>
      <c r="F40" s="949">
        <f>(0.92*97.5+0.23*97.5+0.23*40)</f>
        <v>121.325</v>
      </c>
      <c r="G40" s="949">
        <f t="shared" si="4"/>
        <v>0</v>
      </c>
    </row>
    <row r="41" spans="1:7" s="932" customFormat="1" ht="18" customHeight="1">
      <c r="A41" s="946">
        <f t="shared" si="6"/>
        <v>4</v>
      </c>
      <c r="B41" s="947" t="s">
        <v>1545</v>
      </c>
      <c r="C41" s="946" t="s">
        <v>73</v>
      </c>
      <c r="D41" s="946">
        <f t="shared" si="7"/>
        <v>0</v>
      </c>
      <c r="E41" s="948">
        <f t="shared" si="5"/>
        <v>0</v>
      </c>
      <c r="F41" s="949">
        <f t="shared" ref="F41:F47" si="8">(0.9*97.5+0.225*97.5+0.225*40)</f>
        <v>118.6875</v>
      </c>
      <c r="G41" s="949">
        <f t="shared" si="4"/>
        <v>0</v>
      </c>
    </row>
    <row r="42" spans="1:7" s="932" customFormat="1" ht="18" customHeight="1">
      <c r="A42" s="946">
        <f t="shared" si="6"/>
        <v>5</v>
      </c>
      <c r="B42" s="947" t="s">
        <v>1546</v>
      </c>
      <c r="C42" s="946" t="s">
        <v>73</v>
      </c>
      <c r="D42" s="946">
        <f t="shared" si="7"/>
        <v>0</v>
      </c>
      <c r="E42" s="948">
        <f t="shared" si="5"/>
        <v>0</v>
      </c>
      <c r="F42" s="949">
        <f t="shared" si="8"/>
        <v>118.6875</v>
      </c>
      <c r="G42" s="949">
        <f t="shared" si="4"/>
        <v>0</v>
      </c>
    </row>
    <row r="43" spans="1:7" s="932" customFormat="1" ht="18" customHeight="1">
      <c r="A43" s="946">
        <f t="shared" si="6"/>
        <v>6</v>
      </c>
      <c r="B43" s="947" t="s">
        <v>1551</v>
      </c>
      <c r="C43" s="946" t="s">
        <v>73</v>
      </c>
      <c r="D43" s="946">
        <f t="shared" si="7"/>
        <v>0</v>
      </c>
      <c r="E43" s="948">
        <f t="shared" si="5"/>
        <v>0</v>
      </c>
      <c r="F43" s="949">
        <f t="shared" si="8"/>
        <v>118.6875</v>
      </c>
      <c r="G43" s="949">
        <f t="shared" si="4"/>
        <v>0</v>
      </c>
    </row>
    <row r="44" spans="1:7" s="932" customFormat="1" ht="18" customHeight="1">
      <c r="A44" s="946">
        <f t="shared" si="6"/>
        <v>7</v>
      </c>
      <c r="B44" s="947" t="s">
        <v>1552</v>
      </c>
      <c r="C44" s="946" t="s">
        <v>73</v>
      </c>
      <c r="D44" s="946">
        <f t="shared" si="7"/>
        <v>0</v>
      </c>
      <c r="E44" s="948">
        <f t="shared" si="5"/>
        <v>0</v>
      </c>
      <c r="F44" s="949">
        <f t="shared" si="8"/>
        <v>118.6875</v>
      </c>
      <c r="G44" s="949">
        <f t="shared" si="4"/>
        <v>0</v>
      </c>
    </row>
    <row r="45" spans="1:7" s="932" customFormat="1" ht="18" customHeight="1">
      <c r="A45" s="946">
        <f t="shared" si="6"/>
        <v>8</v>
      </c>
      <c r="B45" s="947" t="s">
        <v>1553</v>
      </c>
      <c r="C45" s="946" t="s">
        <v>73</v>
      </c>
      <c r="D45" s="946">
        <f t="shared" si="7"/>
        <v>0</v>
      </c>
      <c r="E45" s="948">
        <f t="shared" si="5"/>
        <v>0</v>
      </c>
      <c r="F45" s="949">
        <f t="shared" si="8"/>
        <v>118.6875</v>
      </c>
      <c r="G45" s="949">
        <f t="shared" si="4"/>
        <v>0</v>
      </c>
    </row>
    <row r="46" spans="1:7" s="932" customFormat="1" ht="18" customHeight="1">
      <c r="A46" s="946">
        <f t="shared" si="6"/>
        <v>9</v>
      </c>
      <c r="B46" s="947" t="s">
        <v>1554</v>
      </c>
      <c r="C46" s="946" t="s">
        <v>73</v>
      </c>
      <c r="D46" s="946">
        <f t="shared" si="7"/>
        <v>0</v>
      </c>
      <c r="E46" s="948">
        <f t="shared" si="5"/>
        <v>0</v>
      </c>
      <c r="F46" s="949">
        <f t="shared" si="8"/>
        <v>118.6875</v>
      </c>
      <c r="G46" s="949">
        <f t="shared" si="4"/>
        <v>0</v>
      </c>
    </row>
    <row r="47" spans="1:7" s="932" customFormat="1" ht="18" customHeight="1">
      <c r="A47" s="946">
        <f t="shared" si="6"/>
        <v>10</v>
      </c>
      <c r="B47" s="947" t="s">
        <v>1555</v>
      </c>
      <c r="C47" s="946" t="s">
        <v>73</v>
      </c>
      <c r="D47" s="946">
        <f t="shared" si="7"/>
        <v>0</v>
      </c>
      <c r="E47" s="948">
        <f t="shared" si="5"/>
        <v>0</v>
      </c>
      <c r="F47" s="949">
        <f t="shared" si="8"/>
        <v>118.6875</v>
      </c>
      <c r="G47" s="949">
        <f t="shared" si="4"/>
        <v>0</v>
      </c>
    </row>
    <row r="48" spans="1:7" s="932" customFormat="1" ht="18" customHeight="1">
      <c r="A48" s="946">
        <f t="shared" si="6"/>
        <v>11</v>
      </c>
      <c r="B48" s="947" t="s">
        <v>1556</v>
      </c>
      <c r="C48" s="946" t="s">
        <v>73</v>
      </c>
      <c r="D48" s="946">
        <f t="shared" si="7"/>
        <v>0</v>
      </c>
      <c r="E48" s="948">
        <f t="shared" si="5"/>
        <v>0</v>
      </c>
      <c r="F48" s="949">
        <f>1.2*40</f>
        <v>48</v>
      </c>
      <c r="G48" s="949">
        <f t="shared" si="4"/>
        <v>0</v>
      </c>
    </row>
    <row r="49" spans="1:7" s="932" customFormat="1" ht="18" customHeight="1">
      <c r="A49" s="946">
        <f t="shared" si="6"/>
        <v>12</v>
      </c>
      <c r="B49" s="947" t="s">
        <v>1557</v>
      </c>
      <c r="C49" s="946" t="s">
        <v>73</v>
      </c>
      <c r="D49" s="946">
        <f t="shared" si="7"/>
        <v>0</v>
      </c>
      <c r="E49" s="948">
        <f t="shared" si="5"/>
        <v>0</v>
      </c>
      <c r="F49" s="949">
        <v>30</v>
      </c>
      <c r="G49" s="949">
        <f t="shared" si="4"/>
        <v>0</v>
      </c>
    </row>
    <row r="50" spans="1:7" s="932" customFormat="1" ht="18" customHeight="1">
      <c r="A50" s="946">
        <f t="shared" si="6"/>
        <v>13</v>
      </c>
      <c r="B50" s="947" t="s">
        <v>1558</v>
      </c>
      <c r="C50" s="946" t="s">
        <v>73</v>
      </c>
      <c r="D50" s="946">
        <f t="shared" si="7"/>
        <v>0</v>
      </c>
      <c r="E50" s="948">
        <f t="shared" si="5"/>
        <v>0</v>
      </c>
      <c r="F50" s="949">
        <f>(0.9*97.5+0.225*97.5+0.225*40)</f>
        <v>118.6875</v>
      </c>
      <c r="G50" s="949">
        <f t="shared" si="4"/>
        <v>0</v>
      </c>
    </row>
    <row r="51" spans="1:7" s="932" customFormat="1" ht="18" customHeight="1">
      <c r="A51" s="946">
        <f t="shared" si="6"/>
        <v>14</v>
      </c>
      <c r="B51" s="947" t="s">
        <v>1559</v>
      </c>
      <c r="C51" s="946" t="s">
        <v>73</v>
      </c>
      <c r="D51" s="946">
        <f t="shared" si="7"/>
        <v>0</v>
      </c>
      <c r="E51" s="948">
        <f t="shared" si="5"/>
        <v>0</v>
      </c>
      <c r="F51" s="949">
        <f>(0.9*97.5+0.225*97.5+0.225*40)</f>
        <v>118.6875</v>
      </c>
      <c r="G51" s="949">
        <f t="shared" si="4"/>
        <v>0</v>
      </c>
    </row>
    <row r="52" spans="1:7" s="932" customFormat="1" ht="18" customHeight="1">
      <c r="A52" s="946">
        <f t="shared" si="6"/>
        <v>15</v>
      </c>
      <c r="B52" s="947" t="s">
        <v>1560</v>
      </c>
      <c r="C52" s="946" t="s">
        <v>73</v>
      </c>
      <c r="D52" s="946">
        <f t="shared" si="7"/>
        <v>0</v>
      </c>
      <c r="E52" s="948">
        <f t="shared" si="5"/>
        <v>0</v>
      </c>
      <c r="F52" s="949">
        <f>1.2*97.5</f>
        <v>117</v>
      </c>
      <c r="G52" s="949">
        <f t="shared" si="4"/>
        <v>0</v>
      </c>
    </row>
    <row r="53" spans="1:7" s="933" customFormat="1" ht="28.15" customHeight="1">
      <c r="A53" s="951"/>
      <c r="B53" s="3732" t="s">
        <v>1561</v>
      </c>
      <c r="C53" s="3732"/>
      <c r="D53" s="3732"/>
      <c r="E53" s="3732"/>
      <c r="F53" s="3732"/>
      <c r="G53" s="952"/>
    </row>
    <row r="54" spans="1:7" s="932" customFormat="1" ht="18" customHeight="1">
      <c r="A54" s="946">
        <v>1</v>
      </c>
      <c r="B54" s="947" t="s">
        <v>1543</v>
      </c>
      <c r="C54" s="946" t="s">
        <v>73</v>
      </c>
      <c r="D54" s="953">
        <f>'CD Abs'!C9</f>
        <v>0</v>
      </c>
      <c r="E54" s="948">
        <f>('Slab Culvert 1V 5m x 2m span'!I9)*D54</f>
        <v>0</v>
      </c>
      <c r="F54" s="949">
        <v>30</v>
      </c>
      <c r="G54" s="949">
        <f t="shared" si="4"/>
        <v>0</v>
      </c>
    </row>
    <row r="55" spans="1:7" s="932" customFormat="1" ht="18" customHeight="1">
      <c r="A55" s="946">
        <f t="shared" ref="A55:A67" si="9">A54+1</f>
        <v>2</v>
      </c>
      <c r="B55" s="947" t="s">
        <v>1544</v>
      </c>
      <c r="C55" s="946" t="s">
        <v>73</v>
      </c>
      <c r="D55" s="946">
        <f t="shared" ref="D55:D67" si="10">D54</f>
        <v>0</v>
      </c>
      <c r="E55" s="948"/>
      <c r="F55" s="949">
        <f>(0.6*97.5+0.6*40)</f>
        <v>82.5</v>
      </c>
      <c r="G55" s="949">
        <f t="shared" si="4"/>
        <v>0</v>
      </c>
    </row>
    <row r="56" spans="1:7" s="932" customFormat="1" ht="18" customHeight="1">
      <c r="A56" s="946">
        <f t="shared" si="9"/>
        <v>3</v>
      </c>
      <c r="B56" s="947" t="s">
        <v>1550</v>
      </c>
      <c r="C56" s="946" t="s">
        <v>73</v>
      </c>
      <c r="D56" s="946">
        <f t="shared" si="10"/>
        <v>0</v>
      </c>
      <c r="E56" s="948">
        <f>('Slab Culvert 1V 5m x 2m span'!I18)*D56</f>
        <v>0</v>
      </c>
      <c r="F56" s="949">
        <f>(0.92*97.5+0.23*97.5+0.23*40)</f>
        <v>121.325</v>
      </c>
      <c r="G56" s="949">
        <f t="shared" si="4"/>
        <v>0</v>
      </c>
    </row>
    <row r="57" spans="1:7" s="932" customFormat="1" ht="18" customHeight="1">
      <c r="A57" s="946">
        <f t="shared" si="9"/>
        <v>4</v>
      </c>
      <c r="B57" s="947" t="s">
        <v>1545</v>
      </c>
      <c r="C57" s="946" t="s">
        <v>73</v>
      </c>
      <c r="D57" s="946">
        <f t="shared" si="10"/>
        <v>0</v>
      </c>
      <c r="E57" s="948">
        <f>('Slab Culvert 1V 5m x 2m span'!I29)*D57</f>
        <v>0</v>
      </c>
      <c r="F57" s="949">
        <f t="shared" ref="F57:F63" si="11">(0.9*97.5+0.225*97.5+0.225*40)</f>
        <v>118.6875</v>
      </c>
      <c r="G57" s="949">
        <f t="shared" si="4"/>
        <v>0</v>
      </c>
    </row>
    <row r="58" spans="1:7" s="932" customFormat="1" ht="18" customHeight="1">
      <c r="A58" s="946">
        <f t="shared" si="9"/>
        <v>5</v>
      </c>
      <c r="B58" s="947" t="s">
        <v>1546</v>
      </c>
      <c r="C58" s="946" t="s">
        <v>73</v>
      </c>
      <c r="D58" s="946">
        <f t="shared" si="10"/>
        <v>0</v>
      </c>
      <c r="E58" s="948">
        <f>('Slab Culvert 1V 5m x 2m span'!I35)*D58</f>
        <v>0</v>
      </c>
      <c r="F58" s="949">
        <f t="shared" si="11"/>
        <v>118.6875</v>
      </c>
      <c r="G58" s="949">
        <f t="shared" si="4"/>
        <v>0</v>
      </c>
    </row>
    <row r="59" spans="1:7" s="932" customFormat="1" ht="18" customHeight="1">
      <c r="A59" s="946">
        <f t="shared" si="9"/>
        <v>6</v>
      </c>
      <c r="B59" s="947" t="s">
        <v>1551</v>
      </c>
      <c r="C59" s="946" t="s">
        <v>73</v>
      </c>
      <c r="D59" s="946">
        <f t="shared" si="10"/>
        <v>0</v>
      </c>
      <c r="E59" s="948">
        <f>('Slab Culvert 1V 5m x 2m span'!I39)*D59</f>
        <v>0</v>
      </c>
      <c r="F59" s="949">
        <f t="shared" si="11"/>
        <v>118.6875</v>
      </c>
      <c r="G59" s="949">
        <f t="shared" si="4"/>
        <v>0</v>
      </c>
    </row>
    <row r="60" spans="1:7" s="932" customFormat="1" ht="18" customHeight="1">
      <c r="A60" s="946">
        <f t="shared" si="9"/>
        <v>7</v>
      </c>
      <c r="B60" s="947" t="s">
        <v>1552</v>
      </c>
      <c r="C60" s="946" t="s">
        <v>73</v>
      </c>
      <c r="D60" s="946">
        <f t="shared" si="10"/>
        <v>0</v>
      </c>
      <c r="E60" s="948">
        <f>('Slab Culvert 1V 5m x 2m span'!I43-'Slab Culvert 1V 5m x 2m span'!I39)*D60</f>
        <v>0</v>
      </c>
      <c r="F60" s="949">
        <f t="shared" si="11"/>
        <v>118.6875</v>
      </c>
      <c r="G60" s="949">
        <f t="shared" si="4"/>
        <v>0</v>
      </c>
    </row>
    <row r="61" spans="1:7" s="932" customFormat="1" ht="18" customHeight="1">
      <c r="A61" s="946">
        <f t="shared" si="9"/>
        <v>8</v>
      </c>
      <c r="B61" s="947" t="s">
        <v>1553</v>
      </c>
      <c r="C61" s="946" t="s">
        <v>73</v>
      </c>
      <c r="D61" s="946">
        <f t="shared" si="10"/>
        <v>0</v>
      </c>
      <c r="E61" s="948"/>
      <c r="F61" s="949">
        <f t="shared" si="11"/>
        <v>118.6875</v>
      </c>
      <c r="G61" s="949">
        <f t="shared" si="4"/>
        <v>0</v>
      </c>
    </row>
    <row r="62" spans="1:7" s="932" customFormat="1" ht="18" customHeight="1">
      <c r="A62" s="946">
        <f t="shared" si="9"/>
        <v>9</v>
      </c>
      <c r="B62" s="947" t="s">
        <v>1554</v>
      </c>
      <c r="C62" s="946" t="s">
        <v>73</v>
      </c>
      <c r="D62" s="946">
        <f t="shared" si="10"/>
        <v>0</v>
      </c>
      <c r="E62" s="948">
        <f>('Slab Culvert 1V 5m x 2m span'!I57)*D62</f>
        <v>0</v>
      </c>
      <c r="F62" s="949">
        <f t="shared" si="11"/>
        <v>118.6875</v>
      </c>
      <c r="G62" s="949">
        <f t="shared" si="4"/>
        <v>0</v>
      </c>
    </row>
    <row r="63" spans="1:7" s="932" customFormat="1" ht="18" customHeight="1">
      <c r="A63" s="946">
        <f t="shared" si="9"/>
        <v>10</v>
      </c>
      <c r="B63" s="947" t="s">
        <v>1555</v>
      </c>
      <c r="C63" s="946" t="s">
        <v>73</v>
      </c>
      <c r="D63" s="946">
        <f t="shared" si="10"/>
        <v>0</v>
      </c>
      <c r="E63" s="948"/>
      <c r="F63" s="949">
        <f t="shared" si="11"/>
        <v>118.6875</v>
      </c>
      <c r="G63" s="949">
        <f t="shared" si="4"/>
        <v>0</v>
      </c>
    </row>
    <row r="64" spans="1:7" s="932" customFormat="1" ht="18" customHeight="1">
      <c r="A64" s="946">
        <f t="shared" si="9"/>
        <v>11</v>
      </c>
      <c r="B64" s="947" t="s">
        <v>1556</v>
      </c>
      <c r="C64" s="946" t="s">
        <v>73</v>
      </c>
      <c r="D64" s="946">
        <f t="shared" si="10"/>
        <v>0</v>
      </c>
      <c r="E64" s="948">
        <f>('Slab Culvert 1V 5m x 2m span'!I53)*D64</f>
        <v>0</v>
      </c>
      <c r="F64" s="949">
        <f>1.2*40</f>
        <v>48</v>
      </c>
      <c r="G64" s="949">
        <f t="shared" si="4"/>
        <v>0</v>
      </c>
    </row>
    <row r="65" spans="1:7" s="932" customFormat="1" ht="18" customHeight="1">
      <c r="A65" s="946">
        <f t="shared" si="9"/>
        <v>12</v>
      </c>
      <c r="B65" s="947" t="s">
        <v>1557</v>
      </c>
      <c r="C65" s="946" t="s">
        <v>73</v>
      </c>
      <c r="D65" s="946">
        <f t="shared" si="10"/>
        <v>0</v>
      </c>
      <c r="E65" s="948">
        <f>('Slab Culvert 1V 5m x 2m span'!I61)*D65</f>
        <v>0</v>
      </c>
      <c r="F65" s="949">
        <v>30</v>
      </c>
      <c r="G65" s="949">
        <f t="shared" si="4"/>
        <v>0</v>
      </c>
    </row>
    <row r="66" spans="1:7" s="932" customFormat="1" ht="18" customHeight="1">
      <c r="A66" s="946">
        <f t="shared" si="9"/>
        <v>13</v>
      </c>
      <c r="B66" s="947" t="s">
        <v>1558</v>
      </c>
      <c r="C66" s="946" t="s">
        <v>73</v>
      </c>
      <c r="D66" s="946">
        <f t="shared" si="10"/>
        <v>0</v>
      </c>
      <c r="E66" s="948">
        <f>('Slab Culvert 1V 5m x 2m span'!I65)*D66</f>
        <v>0</v>
      </c>
      <c r="F66" s="949">
        <f>(0.9*97.5+0.225*97.5+0.225*40)</f>
        <v>118.6875</v>
      </c>
      <c r="G66" s="949">
        <f t="shared" si="4"/>
        <v>0</v>
      </c>
    </row>
    <row r="67" spans="1:7" s="932" customFormat="1" ht="18" customHeight="1">
      <c r="A67" s="946">
        <f t="shared" si="9"/>
        <v>14</v>
      </c>
      <c r="B67" s="947" t="s">
        <v>1559</v>
      </c>
      <c r="C67" s="946" t="s">
        <v>73</v>
      </c>
      <c r="D67" s="946">
        <f t="shared" si="10"/>
        <v>0</v>
      </c>
      <c r="E67" s="948">
        <f>('Slab Culvert 1V 5m x 2m span'!I69)*D67</f>
        <v>0</v>
      </c>
      <c r="F67" s="949">
        <f>(0.9*97.5+0.225*97.5+0.225*40)</f>
        <v>118.6875</v>
      </c>
      <c r="G67" s="949">
        <f t="shared" si="4"/>
        <v>0</v>
      </c>
    </row>
    <row r="68" spans="1:7" s="932" customFormat="1" ht="18" customHeight="1">
      <c r="A68" s="946">
        <v>15</v>
      </c>
      <c r="B68" s="947" t="s">
        <v>1562</v>
      </c>
      <c r="C68" s="946" t="s">
        <v>73</v>
      </c>
      <c r="D68" s="946">
        <f>D66</f>
        <v>0</v>
      </c>
      <c r="E68" s="948">
        <f>('Slab Culvert 1V 5m x 2m span'!I81)*D68</f>
        <v>0</v>
      </c>
      <c r="F68" s="949">
        <f>1.2*97.5</f>
        <v>117</v>
      </c>
      <c r="G68" s="949">
        <f t="shared" si="4"/>
        <v>0</v>
      </c>
    </row>
    <row r="69" spans="1:7" s="932" customFormat="1" ht="18" customHeight="1">
      <c r="A69" s="946">
        <v>16</v>
      </c>
      <c r="B69" s="947" t="s">
        <v>1560</v>
      </c>
      <c r="C69" s="946" t="s">
        <v>73</v>
      </c>
      <c r="D69" s="946">
        <f>D67</f>
        <v>0</v>
      </c>
      <c r="E69" s="948">
        <f>('Slab Culvert 1V 5m x 2m span'!I87)*D69</f>
        <v>0</v>
      </c>
      <c r="F69" s="949">
        <f>1.2*97.5</f>
        <v>117</v>
      </c>
      <c r="G69" s="949">
        <f t="shared" si="4"/>
        <v>0</v>
      </c>
    </row>
    <row r="70" spans="1:7" s="933" customFormat="1" ht="18" customHeight="1">
      <c r="A70" s="951"/>
      <c r="B70" s="3732" t="s">
        <v>1563</v>
      </c>
      <c r="C70" s="3732"/>
      <c r="D70" s="3732"/>
      <c r="E70" s="3732"/>
      <c r="F70" s="3732"/>
      <c r="G70" s="952"/>
    </row>
    <row r="71" spans="1:7" s="932" customFormat="1" ht="18" customHeight="1">
      <c r="A71" s="946">
        <v>1</v>
      </c>
      <c r="B71" s="947" t="s">
        <v>1543</v>
      </c>
      <c r="C71" s="946" t="s">
        <v>73</v>
      </c>
      <c r="D71" s="953">
        <f>'CD Abs'!C10</f>
        <v>0</v>
      </c>
      <c r="E71" s="948">
        <f>('Slab Culvert 1V 6m x 2m spa'!I9)*D71</f>
        <v>0</v>
      </c>
      <c r="F71" s="949">
        <v>30</v>
      </c>
      <c r="G71" s="949">
        <f t="shared" si="4"/>
        <v>0</v>
      </c>
    </row>
    <row r="72" spans="1:7" s="932" customFormat="1" ht="18" customHeight="1">
      <c r="A72" s="946">
        <f t="shared" ref="A72:A84" si="12">A71+1</f>
        <v>2</v>
      </c>
      <c r="B72" s="947" t="s">
        <v>1544</v>
      </c>
      <c r="C72" s="946" t="s">
        <v>73</v>
      </c>
      <c r="D72" s="946">
        <f t="shared" ref="D72:D84" si="13">D71</f>
        <v>0</v>
      </c>
      <c r="E72" s="948"/>
      <c r="F72" s="949">
        <f>(0.6*97.5+0.6*40)</f>
        <v>82.5</v>
      </c>
      <c r="G72" s="949">
        <f t="shared" si="4"/>
        <v>0</v>
      </c>
    </row>
    <row r="73" spans="1:7" s="932" customFormat="1" ht="18" customHeight="1">
      <c r="A73" s="946">
        <f t="shared" si="12"/>
        <v>3</v>
      </c>
      <c r="B73" s="947" t="s">
        <v>1550</v>
      </c>
      <c r="C73" s="946" t="s">
        <v>73</v>
      </c>
      <c r="D73" s="946">
        <f t="shared" si="13"/>
        <v>0</v>
      </c>
      <c r="E73" s="948">
        <f>('Slab Culvert 1V 6m x 2m spa'!I18)*D73</f>
        <v>0</v>
      </c>
      <c r="F73" s="949">
        <f>(0.92*97.5+0.23*97.5+0.23*40)</f>
        <v>121.325</v>
      </c>
      <c r="G73" s="949">
        <f t="shared" si="4"/>
        <v>0</v>
      </c>
    </row>
    <row r="74" spans="1:7" s="932" customFormat="1" ht="18" customHeight="1">
      <c r="A74" s="946">
        <f t="shared" si="12"/>
        <v>4</v>
      </c>
      <c r="B74" s="947" t="s">
        <v>1545</v>
      </c>
      <c r="C74" s="946" t="s">
        <v>73</v>
      </c>
      <c r="D74" s="946">
        <f t="shared" si="13"/>
        <v>0</v>
      </c>
      <c r="E74" s="948">
        <f>('Slab Culvert 1V 6m x 2m spa'!I31)*D74</f>
        <v>0</v>
      </c>
      <c r="F74" s="949">
        <f t="shared" ref="F74:F80" si="14">(0.9*97.5+0.225*97.5+0.225*40)</f>
        <v>118.6875</v>
      </c>
      <c r="G74" s="949">
        <f t="shared" si="4"/>
        <v>0</v>
      </c>
    </row>
    <row r="75" spans="1:7" s="932" customFormat="1" ht="18" customHeight="1">
      <c r="A75" s="946">
        <f t="shared" si="12"/>
        <v>5</v>
      </c>
      <c r="B75" s="947" t="s">
        <v>1546</v>
      </c>
      <c r="C75" s="946" t="s">
        <v>73</v>
      </c>
      <c r="D75" s="946">
        <f t="shared" si="13"/>
        <v>0</v>
      </c>
      <c r="E75" s="948">
        <f>('Slab Culvert 1V 6m x 2m spa'!I37)*D75</f>
        <v>0</v>
      </c>
      <c r="F75" s="949">
        <f t="shared" si="14"/>
        <v>118.6875</v>
      </c>
      <c r="G75" s="949">
        <f t="shared" si="4"/>
        <v>0</v>
      </c>
    </row>
    <row r="76" spans="1:7" s="932" customFormat="1" ht="18" customHeight="1">
      <c r="A76" s="946">
        <f t="shared" si="12"/>
        <v>6</v>
      </c>
      <c r="B76" s="947" t="s">
        <v>1551</v>
      </c>
      <c r="C76" s="946" t="s">
        <v>73</v>
      </c>
      <c r="D76" s="946">
        <f t="shared" si="13"/>
        <v>0</v>
      </c>
      <c r="E76" s="948">
        <f>'Slab Culvert 1V 6m x 2m spa'!I45*D76</f>
        <v>0</v>
      </c>
      <c r="F76" s="949">
        <f t="shared" si="14"/>
        <v>118.6875</v>
      </c>
      <c r="G76" s="949">
        <f t="shared" si="4"/>
        <v>0</v>
      </c>
    </row>
    <row r="77" spans="1:7" s="932" customFormat="1" ht="18" customHeight="1">
      <c r="A77" s="946">
        <f t="shared" si="12"/>
        <v>7</v>
      </c>
      <c r="B77" s="947" t="s">
        <v>1552</v>
      </c>
      <c r="C77" s="946" t="s">
        <v>73</v>
      </c>
      <c r="D77" s="946">
        <f t="shared" si="13"/>
        <v>0</v>
      </c>
      <c r="E77" s="948">
        <f>'Slab Culvert 1V 6m x 2m spa'!I50*D77</f>
        <v>0</v>
      </c>
      <c r="F77" s="949">
        <f t="shared" si="14"/>
        <v>118.6875</v>
      </c>
      <c r="G77" s="949">
        <f t="shared" si="4"/>
        <v>0</v>
      </c>
    </row>
    <row r="78" spans="1:7" s="932" customFormat="1" ht="18" customHeight="1">
      <c r="A78" s="946">
        <f t="shared" si="12"/>
        <v>8</v>
      </c>
      <c r="B78" s="947" t="s">
        <v>1553</v>
      </c>
      <c r="C78" s="946" t="s">
        <v>73</v>
      </c>
      <c r="D78" s="946">
        <f t="shared" si="13"/>
        <v>0</v>
      </c>
      <c r="E78" s="948"/>
      <c r="F78" s="949">
        <f t="shared" si="14"/>
        <v>118.6875</v>
      </c>
      <c r="G78" s="949">
        <f t="shared" si="4"/>
        <v>0</v>
      </c>
    </row>
    <row r="79" spans="1:7" s="932" customFormat="1" ht="18" customHeight="1">
      <c r="A79" s="946">
        <f t="shared" si="12"/>
        <v>9</v>
      </c>
      <c r="B79" s="947" t="s">
        <v>1554</v>
      </c>
      <c r="C79" s="946" t="s">
        <v>73</v>
      </c>
      <c r="D79" s="946">
        <f t="shared" si="13"/>
        <v>0</v>
      </c>
      <c r="E79" s="948">
        <f>('Slab Culvert 1V 6m x 2m spa'!I65)*D79</f>
        <v>0</v>
      </c>
      <c r="F79" s="949">
        <f t="shared" si="14"/>
        <v>118.6875</v>
      </c>
      <c r="G79" s="949">
        <f t="shared" si="4"/>
        <v>0</v>
      </c>
    </row>
    <row r="80" spans="1:7" s="932" customFormat="1" ht="18" customHeight="1">
      <c r="A80" s="946">
        <f t="shared" si="12"/>
        <v>10</v>
      </c>
      <c r="B80" s="947" t="s">
        <v>1555</v>
      </c>
      <c r="C80" s="946" t="s">
        <v>73</v>
      </c>
      <c r="D80" s="946">
        <f t="shared" si="13"/>
        <v>0</v>
      </c>
      <c r="E80" s="948"/>
      <c r="F80" s="949">
        <f t="shared" si="14"/>
        <v>118.6875</v>
      </c>
      <c r="G80" s="949">
        <f t="shared" si="4"/>
        <v>0</v>
      </c>
    </row>
    <row r="81" spans="1:7" s="932" customFormat="1" ht="18" customHeight="1">
      <c r="A81" s="946">
        <f t="shared" si="12"/>
        <v>11</v>
      </c>
      <c r="B81" s="947" t="s">
        <v>1556</v>
      </c>
      <c r="C81" s="946" t="s">
        <v>73</v>
      </c>
      <c r="D81" s="946">
        <f t="shared" si="13"/>
        <v>0</v>
      </c>
      <c r="E81" s="948">
        <f>('Slab Culvert 1V 6m x 2m spa'!I60)*D81</f>
        <v>0</v>
      </c>
      <c r="F81" s="949">
        <f>1.2*40</f>
        <v>48</v>
      </c>
      <c r="G81" s="949">
        <f t="shared" si="4"/>
        <v>0</v>
      </c>
    </row>
    <row r="82" spans="1:7" s="932" customFormat="1" ht="18" customHeight="1">
      <c r="A82" s="946">
        <f t="shared" si="12"/>
        <v>12</v>
      </c>
      <c r="B82" s="947" t="s">
        <v>1557</v>
      </c>
      <c r="C82" s="946" t="s">
        <v>73</v>
      </c>
      <c r="D82" s="946">
        <f t="shared" si="13"/>
        <v>0</v>
      </c>
      <c r="E82" s="948">
        <f>('Slab Culvert 1V 6m x 2m spa'!I69)*D82</f>
        <v>0</v>
      </c>
      <c r="F82" s="949">
        <v>30</v>
      </c>
      <c r="G82" s="949">
        <f t="shared" si="4"/>
        <v>0</v>
      </c>
    </row>
    <row r="83" spans="1:7" s="932" customFormat="1" ht="18" customHeight="1">
      <c r="A83" s="946">
        <f t="shared" si="12"/>
        <v>13</v>
      </c>
      <c r="B83" s="947" t="s">
        <v>1558</v>
      </c>
      <c r="C83" s="946" t="s">
        <v>73</v>
      </c>
      <c r="D83" s="946">
        <f t="shared" si="13"/>
        <v>0</v>
      </c>
      <c r="E83" s="948">
        <f>('Slab Culvert 1V 6m x 2m spa'!I73)*D83</f>
        <v>0</v>
      </c>
      <c r="F83" s="949">
        <f>(0.9*97.5+0.225*97.5+0.225*40)</f>
        <v>118.6875</v>
      </c>
      <c r="G83" s="949">
        <f t="shared" si="4"/>
        <v>0</v>
      </c>
    </row>
    <row r="84" spans="1:7" s="932" customFormat="1" ht="18" customHeight="1">
      <c r="A84" s="946">
        <f t="shared" si="12"/>
        <v>14</v>
      </c>
      <c r="B84" s="947" t="s">
        <v>1559</v>
      </c>
      <c r="C84" s="946" t="s">
        <v>73</v>
      </c>
      <c r="D84" s="946">
        <f t="shared" si="13"/>
        <v>0</v>
      </c>
      <c r="E84" s="948">
        <f>('Slab Culvert 1V 6m x 2m spa'!I77)*D84</f>
        <v>0</v>
      </c>
      <c r="F84" s="949">
        <f>(0.9*97.5+0.225*97.5+0.225*40)</f>
        <v>118.6875</v>
      </c>
      <c r="G84" s="949">
        <f t="shared" si="4"/>
        <v>0</v>
      </c>
    </row>
    <row r="85" spans="1:7" s="932" customFormat="1" ht="18" customHeight="1">
      <c r="A85" s="946">
        <v>15</v>
      </c>
      <c r="B85" s="947" t="s">
        <v>1562</v>
      </c>
      <c r="C85" s="946" t="s">
        <v>73</v>
      </c>
      <c r="D85" s="946">
        <f>D83</f>
        <v>0</v>
      </c>
      <c r="E85" s="948">
        <f>('Slab Culvert 1V 6m x 2m spa'!I89)*D85</f>
        <v>0</v>
      </c>
      <c r="F85" s="949">
        <f>1.2*97.5</f>
        <v>117</v>
      </c>
      <c r="G85" s="949">
        <f t="shared" si="4"/>
        <v>0</v>
      </c>
    </row>
    <row r="86" spans="1:7" s="932" customFormat="1" ht="18" customHeight="1">
      <c r="A86" s="946">
        <v>16</v>
      </c>
      <c r="B86" s="947" t="s">
        <v>1560</v>
      </c>
      <c r="C86" s="946" t="s">
        <v>73</v>
      </c>
      <c r="D86" s="946">
        <f>D84</f>
        <v>0</v>
      </c>
      <c r="E86" s="948">
        <f>('Slab Culvert 1V 6m x 2m spa'!I95)*D86</f>
        <v>0</v>
      </c>
      <c r="F86" s="949">
        <f>1.2*97.5</f>
        <v>117</v>
      </c>
      <c r="G86" s="949">
        <f t="shared" si="4"/>
        <v>0</v>
      </c>
    </row>
    <row r="87" spans="1:7" s="933" customFormat="1" ht="28.15" customHeight="1">
      <c r="A87" s="951"/>
      <c r="B87" s="3732" t="s">
        <v>1564</v>
      </c>
      <c r="C87" s="3732"/>
      <c r="D87" s="3732"/>
      <c r="E87" s="3732"/>
      <c r="F87" s="3732"/>
      <c r="G87" s="952"/>
    </row>
    <row r="88" spans="1:7" s="932" customFormat="1" ht="18" customHeight="1">
      <c r="A88" s="946">
        <v>1</v>
      </c>
      <c r="B88" s="947" t="s">
        <v>1543</v>
      </c>
      <c r="C88" s="946" t="s">
        <v>73</v>
      </c>
      <c r="D88" s="953">
        <f>'CD Abs'!C11</f>
        <v>0</v>
      </c>
      <c r="E88" s="948">
        <f>('Slab Culvert 2V 6m x 2m spa'!I10)*D88</f>
        <v>0</v>
      </c>
      <c r="F88" s="949">
        <v>30</v>
      </c>
      <c r="G88" s="949">
        <f t="shared" si="4"/>
        <v>0</v>
      </c>
    </row>
    <row r="89" spans="1:7" s="932" customFormat="1" ht="18" customHeight="1">
      <c r="A89" s="946">
        <f t="shared" ref="A89:A101" si="15">A88+1</f>
        <v>2</v>
      </c>
      <c r="B89" s="947" t="s">
        <v>1544</v>
      </c>
      <c r="C89" s="946" t="s">
        <v>73</v>
      </c>
      <c r="D89" s="946">
        <f t="shared" ref="D89:D101" si="16">D88</f>
        <v>0</v>
      </c>
      <c r="E89" s="948"/>
      <c r="F89" s="949">
        <f>(0.6*97.5+0.6*40)</f>
        <v>82.5</v>
      </c>
      <c r="G89" s="949">
        <f t="shared" si="4"/>
        <v>0</v>
      </c>
    </row>
    <row r="90" spans="1:7" s="932" customFormat="1" ht="18" customHeight="1">
      <c r="A90" s="946">
        <f t="shared" si="15"/>
        <v>3</v>
      </c>
      <c r="B90" s="947" t="s">
        <v>1550</v>
      </c>
      <c r="C90" s="946" t="s">
        <v>73</v>
      </c>
      <c r="D90" s="946">
        <f t="shared" si="16"/>
        <v>0</v>
      </c>
      <c r="E90" s="948">
        <f>('Slab Culvert 2V 6m x 2m spa'!I20)*D90</f>
        <v>0</v>
      </c>
      <c r="F90" s="949">
        <f>(0.92*97.5+0.23*97.5+0.23*40)</f>
        <v>121.325</v>
      </c>
      <c r="G90" s="949">
        <f t="shared" ref="G90:G103" si="17">ROUND(F90*E90,0)</f>
        <v>0</v>
      </c>
    </row>
    <row r="91" spans="1:7" s="932" customFormat="1" ht="18" customHeight="1">
      <c r="A91" s="946">
        <f t="shared" si="15"/>
        <v>4</v>
      </c>
      <c r="B91" s="947" t="s">
        <v>1545</v>
      </c>
      <c r="C91" s="946" t="s">
        <v>73</v>
      </c>
      <c r="D91" s="946">
        <f t="shared" si="16"/>
        <v>0</v>
      </c>
      <c r="E91" s="948">
        <f>('Slab Culvert 2V 6m x 2m spa'!I34)*D91</f>
        <v>0</v>
      </c>
      <c r="F91" s="949">
        <f t="shared" ref="F91:F97" si="18">(0.9*97.5+0.225*97.5+0.225*40)</f>
        <v>118.6875</v>
      </c>
      <c r="G91" s="949">
        <f t="shared" si="17"/>
        <v>0</v>
      </c>
    </row>
    <row r="92" spans="1:7" s="932" customFormat="1" ht="18" customHeight="1">
      <c r="A92" s="946">
        <f t="shared" si="15"/>
        <v>5</v>
      </c>
      <c r="B92" s="947" t="s">
        <v>1546</v>
      </c>
      <c r="C92" s="946" t="s">
        <v>73</v>
      </c>
      <c r="D92" s="946">
        <f t="shared" si="16"/>
        <v>0</v>
      </c>
      <c r="E92" s="948">
        <f>('Slab Culvert 2V 6m x 2m spa'!I42)*D92</f>
        <v>0</v>
      </c>
      <c r="F92" s="949">
        <f t="shared" si="18"/>
        <v>118.6875</v>
      </c>
      <c r="G92" s="949">
        <f t="shared" si="17"/>
        <v>0</v>
      </c>
    </row>
    <row r="93" spans="1:7" s="932" customFormat="1" ht="18" customHeight="1">
      <c r="A93" s="946">
        <f t="shared" si="15"/>
        <v>6</v>
      </c>
      <c r="B93" s="947" t="s">
        <v>1551</v>
      </c>
      <c r="C93" s="946" t="s">
        <v>73</v>
      </c>
      <c r="D93" s="946">
        <f t="shared" si="16"/>
        <v>0</v>
      </c>
      <c r="E93" s="948">
        <f>('Slab Culvert 2V 6m x 2m spa'!I46)*D93</f>
        <v>0</v>
      </c>
      <c r="F93" s="949">
        <f t="shared" si="18"/>
        <v>118.6875</v>
      </c>
      <c r="G93" s="949">
        <f t="shared" si="17"/>
        <v>0</v>
      </c>
    </row>
    <row r="94" spans="1:7" s="932" customFormat="1" ht="18" customHeight="1">
      <c r="A94" s="946">
        <f t="shared" si="15"/>
        <v>7</v>
      </c>
      <c r="B94" s="947" t="s">
        <v>1552</v>
      </c>
      <c r="C94" s="946" t="s">
        <v>73</v>
      </c>
      <c r="D94" s="946">
        <f t="shared" si="16"/>
        <v>0</v>
      </c>
      <c r="E94" s="948">
        <f>('Slab Culvert 2V 6m x 2m spa'!I51-'Slab Culvert 2V 6m x 2m spa'!I46)*D94</f>
        <v>0</v>
      </c>
      <c r="F94" s="949">
        <f t="shared" si="18"/>
        <v>118.6875</v>
      </c>
      <c r="G94" s="949">
        <f t="shared" si="17"/>
        <v>0</v>
      </c>
    </row>
    <row r="95" spans="1:7" s="932" customFormat="1" ht="18" customHeight="1">
      <c r="A95" s="946">
        <f t="shared" si="15"/>
        <v>8</v>
      </c>
      <c r="B95" s="947" t="s">
        <v>1553</v>
      </c>
      <c r="C95" s="946" t="s">
        <v>73</v>
      </c>
      <c r="D95" s="946">
        <f t="shared" si="16"/>
        <v>0</v>
      </c>
      <c r="E95" s="948"/>
      <c r="F95" s="949">
        <f t="shared" si="18"/>
        <v>118.6875</v>
      </c>
      <c r="G95" s="949">
        <f t="shared" si="17"/>
        <v>0</v>
      </c>
    </row>
    <row r="96" spans="1:7" s="932" customFormat="1" ht="18" customHeight="1">
      <c r="A96" s="946">
        <f t="shared" si="15"/>
        <v>9</v>
      </c>
      <c r="B96" s="947" t="s">
        <v>1554</v>
      </c>
      <c r="C96" s="946" t="s">
        <v>73</v>
      </c>
      <c r="D96" s="946">
        <f t="shared" si="16"/>
        <v>0</v>
      </c>
      <c r="E96" s="948">
        <f>('Slab Culvert 2V 6m x 2m spa'!I65)*D96</f>
        <v>0</v>
      </c>
      <c r="F96" s="949">
        <f t="shared" si="18"/>
        <v>118.6875</v>
      </c>
      <c r="G96" s="949">
        <f t="shared" si="17"/>
        <v>0</v>
      </c>
    </row>
    <row r="97" spans="1:7" s="932" customFormat="1" ht="18" customHeight="1">
      <c r="A97" s="946">
        <f t="shared" si="15"/>
        <v>10</v>
      </c>
      <c r="B97" s="947" t="s">
        <v>1555</v>
      </c>
      <c r="C97" s="946" t="s">
        <v>73</v>
      </c>
      <c r="D97" s="946">
        <f t="shared" si="16"/>
        <v>0</v>
      </c>
      <c r="E97" s="948"/>
      <c r="F97" s="949">
        <f t="shared" si="18"/>
        <v>118.6875</v>
      </c>
      <c r="G97" s="949">
        <f t="shared" si="17"/>
        <v>0</v>
      </c>
    </row>
    <row r="98" spans="1:7" s="932" customFormat="1" ht="18" customHeight="1">
      <c r="A98" s="946">
        <f t="shared" si="15"/>
        <v>11</v>
      </c>
      <c r="B98" s="947" t="s">
        <v>1556</v>
      </c>
      <c r="C98" s="946" t="s">
        <v>73</v>
      </c>
      <c r="D98" s="946">
        <f t="shared" si="16"/>
        <v>0</v>
      </c>
      <c r="E98" s="948">
        <f>('Slab Culvert 2V 6m x 2m spa'!I61)*D98</f>
        <v>0</v>
      </c>
      <c r="F98" s="949">
        <f>1.2*40</f>
        <v>48</v>
      </c>
      <c r="G98" s="949">
        <f t="shared" si="17"/>
        <v>0</v>
      </c>
    </row>
    <row r="99" spans="1:7" s="932" customFormat="1" ht="18" customHeight="1">
      <c r="A99" s="946">
        <f t="shared" si="15"/>
        <v>12</v>
      </c>
      <c r="B99" s="947" t="s">
        <v>1557</v>
      </c>
      <c r="C99" s="946" t="s">
        <v>73</v>
      </c>
      <c r="D99" s="946">
        <f t="shared" si="16"/>
        <v>0</v>
      </c>
      <c r="E99" s="948">
        <f>('Slab Culvert 2V 6m x 2m spa'!I69)*D99</f>
        <v>0</v>
      </c>
      <c r="F99" s="949">
        <v>30</v>
      </c>
      <c r="G99" s="949">
        <f t="shared" si="17"/>
        <v>0</v>
      </c>
    </row>
    <row r="100" spans="1:7" s="932" customFormat="1" ht="18" customHeight="1">
      <c r="A100" s="946">
        <f t="shared" si="15"/>
        <v>13</v>
      </c>
      <c r="B100" s="947" t="s">
        <v>1558</v>
      </c>
      <c r="C100" s="946" t="s">
        <v>73</v>
      </c>
      <c r="D100" s="946">
        <f t="shared" si="16"/>
        <v>0</v>
      </c>
      <c r="E100" s="948">
        <f>('Slab Culvert 2V 6m x 2m spa'!I77)*D100</f>
        <v>0</v>
      </c>
      <c r="F100" s="949">
        <f t="shared" ref="F100:F101" si="19">(0.9*97.5+0.225*97.5+0.225*40)</f>
        <v>118.6875</v>
      </c>
      <c r="G100" s="949">
        <f t="shared" si="17"/>
        <v>0</v>
      </c>
    </row>
    <row r="101" spans="1:7" s="932" customFormat="1" ht="18" customHeight="1">
      <c r="A101" s="946">
        <f t="shared" si="15"/>
        <v>14</v>
      </c>
      <c r="B101" s="947" t="s">
        <v>1559</v>
      </c>
      <c r="C101" s="946" t="s">
        <v>73</v>
      </c>
      <c r="D101" s="946">
        <f t="shared" si="16"/>
        <v>0</v>
      </c>
      <c r="E101" s="948">
        <f>('Slab Culvert 2V 6m x 2m spa'!I77)*D101</f>
        <v>0</v>
      </c>
      <c r="F101" s="949">
        <f t="shared" si="19"/>
        <v>118.6875</v>
      </c>
      <c r="G101" s="949">
        <f t="shared" si="17"/>
        <v>0</v>
      </c>
    </row>
    <row r="102" spans="1:7" s="932" customFormat="1" ht="18" customHeight="1">
      <c r="A102" s="946">
        <v>15</v>
      </c>
      <c r="B102" s="947" t="s">
        <v>1562</v>
      </c>
      <c r="C102" s="946" t="s">
        <v>73</v>
      </c>
      <c r="D102" s="946">
        <f>D100</f>
        <v>0</v>
      </c>
      <c r="E102" s="948">
        <f>('Slab Culvert 2V 6m x 2m spa'!I89)*D102</f>
        <v>0</v>
      </c>
      <c r="F102" s="949">
        <f>1.2*97.5</f>
        <v>117</v>
      </c>
      <c r="G102" s="949">
        <f t="shared" si="17"/>
        <v>0</v>
      </c>
    </row>
    <row r="103" spans="1:7" s="932" customFormat="1" ht="18" customHeight="1">
      <c r="A103" s="946">
        <v>16</v>
      </c>
      <c r="B103" s="947" t="s">
        <v>1560</v>
      </c>
      <c r="C103" s="946" t="s">
        <v>73</v>
      </c>
      <c r="D103" s="946">
        <f>D101</f>
        <v>0</v>
      </c>
      <c r="E103" s="948">
        <f>('Slab Culvert 2V 6m x 2m spa'!I95)*D103</f>
        <v>0</v>
      </c>
      <c r="F103" s="949">
        <f>1.2*97.5</f>
        <v>117</v>
      </c>
      <c r="G103" s="949">
        <f t="shared" si="17"/>
        <v>0</v>
      </c>
    </row>
    <row r="104" spans="1:7" s="933" customFormat="1" ht="28.15" customHeight="1">
      <c r="A104" s="951"/>
      <c r="B104" s="3732" t="s">
        <v>1565</v>
      </c>
      <c r="C104" s="3732"/>
      <c r="D104" s="3732"/>
      <c r="E104" s="3732"/>
      <c r="F104" s="3732"/>
      <c r="G104" s="952"/>
    </row>
    <row r="105" spans="1:7" s="932" customFormat="1" ht="18" customHeight="1">
      <c r="A105" s="946">
        <v>1</v>
      </c>
      <c r="B105" s="947" t="s">
        <v>1543</v>
      </c>
      <c r="C105" s="946" t="s">
        <v>73</v>
      </c>
      <c r="D105" s="953">
        <f>'CD Abs'!C12</f>
        <v>0</v>
      </c>
      <c r="E105" s="948">
        <v>0</v>
      </c>
      <c r="F105" s="949">
        <v>30</v>
      </c>
      <c r="G105" s="949">
        <f t="shared" ref="G105:G119" si="20">ROUND(F105*E105,0)</f>
        <v>0</v>
      </c>
    </row>
    <row r="106" spans="1:7" s="932" customFormat="1" ht="18" customHeight="1">
      <c r="A106" s="946">
        <f t="shared" ref="A106:A119" si="21">A105+1</f>
        <v>2</v>
      </c>
      <c r="B106" s="947" t="s">
        <v>1544</v>
      </c>
      <c r="C106" s="946" t="s">
        <v>73</v>
      </c>
      <c r="D106" s="946">
        <f t="shared" ref="D106:D119" si="22">D105</f>
        <v>0</v>
      </c>
      <c r="E106" s="948"/>
      <c r="F106" s="949">
        <f>(0.6*97.5+0.6*40)</f>
        <v>82.5</v>
      </c>
      <c r="G106" s="949">
        <f t="shared" si="20"/>
        <v>0</v>
      </c>
    </row>
    <row r="107" spans="1:7" s="932" customFormat="1" ht="18" customHeight="1">
      <c r="A107" s="946">
        <f t="shared" si="21"/>
        <v>3</v>
      </c>
      <c r="B107" s="947" t="s">
        <v>1550</v>
      </c>
      <c r="C107" s="946" t="s">
        <v>73</v>
      </c>
      <c r="D107" s="946">
        <f t="shared" si="22"/>
        <v>0</v>
      </c>
      <c r="E107" s="948">
        <v>0</v>
      </c>
      <c r="F107" s="949">
        <f>(0.92*97.5+0.23*97.5+0.23*40)</f>
        <v>121.325</v>
      </c>
      <c r="G107" s="949">
        <f t="shared" si="20"/>
        <v>0</v>
      </c>
    </row>
    <row r="108" spans="1:7" s="932" customFormat="1" ht="18" customHeight="1">
      <c r="A108" s="946">
        <f t="shared" si="21"/>
        <v>4</v>
      </c>
      <c r="B108" s="947" t="s">
        <v>1545</v>
      </c>
      <c r="C108" s="946" t="s">
        <v>73</v>
      </c>
      <c r="D108" s="946">
        <f t="shared" si="22"/>
        <v>0</v>
      </c>
      <c r="E108" s="948">
        <v>0</v>
      </c>
      <c r="F108" s="949">
        <f t="shared" ref="F108:F114" si="23">(0.9*97.5+0.225*97.5+0.225*40)</f>
        <v>118.6875</v>
      </c>
      <c r="G108" s="949">
        <f t="shared" si="20"/>
        <v>0</v>
      </c>
    </row>
    <row r="109" spans="1:7" s="932" customFormat="1" ht="18" customHeight="1">
      <c r="A109" s="946">
        <f t="shared" si="21"/>
        <v>5</v>
      </c>
      <c r="B109" s="947" t="s">
        <v>1546</v>
      </c>
      <c r="C109" s="946" t="s">
        <v>73</v>
      </c>
      <c r="D109" s="946">
        <f t="shared" si="22"/>
        <v>0</v>
      </c>
      <c r="E109" s="948">
        <v>0</v>
      </c>
      <c r="F109" s="949">
        <f t="shared" si="23"/>
        <v>118.6875</v>
      </c>
      <c r="G109" s="949">
        <f t="shared" si="20"/>
        <v>0</v>
      </c>
    </row>
    <row r="110" spans="1:7" s="932" customFormat="1" ht="18" customHeight="1">
      <c r="A110" s="946">
        <f t="shared" si="21"/>
        <v>6</v>
      </c>
      <c r="B110" s="947" t="s">
        <v>1551</v>
      </c>
      <c r="C110" s="946" t="s">
        <v>73</v>
      </c>
      <c r="D110" s="946">
        <f t="shared" si="22"/>
        <v>0</v>
      </c>
      <c r="E110" s="948">
        <v>0</v>
      </c>
      <c r="F110" s="949">
        <f t="shared" si="23"/>
        <v>118.6875</v>
      </c>
      <c r="G110" s="949">
        <f t="shared" si="20"/>
        <v>0</v>
      </c>
    </row>
    <row r="111" spans="1:7" s="932" customFormat="1" ht="18" customHeight="1">
      <c r="A111" s="946">
        <f t="shared" si="21"/>
        <v>7</v>
      </c>
      <c r="B111" s="947" t="s">
        <v>1552</v>
      </c>
      <c r="C111" s="946" t="s">
        <v>73</v>
      </c>
      <c r="D111" s="946">
        <f t="shared" si="22"/>
        <v>0</v>
      </c>
      <c r="E111" s="948">
        <v>0</v>
      </c>
      <c r="F111" s="949">
        <f t="shared" si="23"/>
        <v>118.6875</v>
      </c>
      <c r="G111" s="949">
        <f t="shared" si="20"/>
        <v>0</v>
      </c>
    </row>
    <row r="112" spans="1:7" s="932" customFormat="1" ht="18" customHeight="1">
      <c r="A112" s="946">
        <f t="shared" si="21"/>
        <v>8</v>
      </c>
      <c r="B112" s="947" t="s">
        <v>1553</v>
      </c>
      <c r="C112" s="946" t="s">
        <v>73</v>
      </c>
      <c r="D112" s="946">
        <f t="shared" si="22"/>
        <v>0</v>
      </c>
      <c r="E112" s="948"/>
      <c r="F112" s="949">
        <f t="shared" si="23"/>
        <v>118.6875</v>
      </c>
      <c r="G112" s="949">
        <f t="shared" si="20"/>
        <v>0</v>
      </c>
    </row>
    <row r="113" spans="1:7" s="932" customFormat="1" ht="18" customHeight="1">
      <c r="A113" s="946">
        <f t="shared" si="21"/>
        <v>9</v>
      </c>
      <c r="B113" s="947" t="s">
        <v>1554</v>
      </c>
      <c r="C113" s="946" t="s">
        <v>73</v>
      </c>
      <c r="D113" s="946">
        <f t="shared" si="22"/>
        <v>0</v>
      </c>
      <c r="E113" s="948">
        <v>0</v>
      </c>
      <c r="F113" s="949">
        <f t="shared" si="23"/>
        <v>118.6875</v>
      </c>
      <c r="G113" s="949">
        <f t="shared" si="20"/>
        <v>0</v>
      </c>
    </row>
    <row r="114" spans="1:7" s="932" customFormat="1" ht="18" customHeight="1">
      <c r="A114" s="946">
        <f t="shared" si="21"/>
        <v>10</v>
      </c>
      <c r="B114" s="947" t="s">
        <v>1555</v>
      </c>
      <c r="C114" s="946" t="s">
        <v>73</v>
      </c>
      <c r="D114" s="946">
        <f t="shared" si="22"/>
        <v>0</v>
      </c>
      <c r="E114" s="948"/>
      <c r="F114" s="949">
        <f t="shared" si="23"/>
        <v>118.6875</v>
      </c>
      <c r="G114" s="949">
        <f t="shared" si="20"/>
        <v>0</v>
      </c>
    </row>
    <row r="115" spans="1:7" s="932" customFormat="1" ht="18" customHeight="1">
      <c r="A115" s="946">
        <f t="shared" si="21"/>
        <v>11</v>
      </c>
      <c r="B115" s="947" t="s">
        <v>1556</v>
      </c>
      <c r="C115" s="946" t="s">
        <v>73</v>
      </c>
      <c r="D115" s="946">
        <f t="shared" si="22"/>
        <v>0</v>
      </c>
      <c r="E115" s="948">
        <v>0</v>
      </c>
      <c r="F115" s="949">
        <f>1.2*40</f>
        <v>48</v>
      </c>
      <c r="G115" s="949">
        <f t="shared" si="20"/>
        <v>0</v>
      </c>
    </row>
    <row r="116" spans="1:7" s="932" customFormat="1" ht="18" customHeight="1">
      <c r="A116" s="946">
        <f t="shared" si="21"/>
        <v>12</v>
      </c>
      <c r="B116" s="947" t="s">
        <v>1557</v>
      </c>
      <c r="C116" s="946" t="s">
        <v>73</v>
      </c>
      <c r="D116" s="946">
        <f t="shared" si="22"/>
        <v>0</v>
      </c>
      <c r="E116" s="948">
        <v>0</v>
      </c>
      <c r="F116" s="949">
        <v>30</v>
      </c>
      <c r="G116" s="949">
        <f t="shared" si="20"/>
        <v>0</v>
      </c>
    </row>
    <row r="117" spans="1:7" s="932" customFormat="1" ht="18" customHeight="1">
      <c r="A117" s="946">
        <f t="shared" si="21"/>
        <v>13</v>
      </c>
      <c r="B117" s="947" t="s">
        <v>1558</v>
      </c>
      <c r="C117" s="946" t="s">
        <v>73</v>
      </c>
      <c r="D117" s="946">
        <f t="shared" si="22"/>
        <v>0</v>
      </c>
      <c r="E117" s="948">
        <v>0</v>
      </c>
      <c r="F117" s="949">
        <f t="shared" ref="F117:F118" si="24">(0.9*97.5+0.225*97.5+0.225*40)</f>
        <v>118.6875</v>
      </c>
      <c r="G117" s="949">
        <f t="shared" si="20"/>
        <v>0</v>
      </c>
    </row>
    <row r="118" spans="1:7" s="932" customFormat="1" ht="18" customHeight="1">
      <c r="A118" s="946">
        <f t="shared" si="21"/>
        <v>14</v>
      </c>
      <c r="B118" s="947" t="s">
        <v>1559</v>
      </c>
      <c r="C118" s="946" t="s">
        <v>73</v>
      </c>
      <c r="D118" s="946">
        <f t="shared" si="22"/>
        <v>0</v>
      </c>
      <c r="E118" s="948">
        <v>0</v>
      </c>
      <c r="F118" s="949">
        <f t="shared" si="24"/>
        <v>118.6875</v>
      </c>
      <c r="G118" s="949">
        <f t="shared" si="20"/>
        <v>0</v>
      </c>
    </row>
    <row r="119" spans="1:7" s="932" customFormat="1" ht="18" customHeight="1">
      <c r="A119" s="946">
        <f t="shared" si="21"/>
        <v>15</v>
      </c>
      <c r="B119" s="947" t="s">
        <v>1560</v>
      </c>
      <c r="C119" s="946" t="s">
        <v>73</v>
      </c>
      <c r="D119" s="946">
        <f t="shared" si="22"/>
        <v>0</v>
      </c>
      <c r="E119" s="948">
        <v>0</v>
      </c>
      <c r="F119" s="949">
        <f>1.2*97.5</f>
        <v>117</v>
      </c>
      <c r="G119" s="949">
        <f t="shared" si="20"/>
        <v>0</v>
      </c>
    </row>
    <row r="120" spans="1:7" s="933" customFormat="1">
      <c r="A120" s="951"/>
      <c r="B120" s="3732" t="s">
        <v>1566</v>
      </c>
      <c r="C120" s="3732"/>
      <c r="D120" s="3732"/>
      <c r="E120" s="3732"/>
      <c r="F120" s="3732"/>
      <c r="G120" s="952"/>
    </row>
    <row r="121" spans="1:7" s="932" customFormat="1" ht="18" customHeight="1">
      <c r="A121" s="946">
        <v>1</v>
      </c>
      <c r="B121" s="947" t="s">
        <v>1543</v>
      </c>
      <c r="C121" s="946" t="s">
        <v>73</v>
      </c>
      <c r="D121" s="953">
        <f>'CD Abs'!C14</f>
        <v>0</v>
      </c>
      <c r="E121" s="948">
        <f>('Road dam 30m'!I10)*D121</f>
        <v>0</v>
      </c>
      <c r="F121" s="949">
        <v>30</v>
      </c>
      <c r="G121" s="949">
        <f t="shared" ref="G121:G129" si="25">ROUND(F121*E121,0)</f>
        <v>0</v>
      </c>
    </row>
    <row r="122" spans="1:7" s="932" customFormat="1" ht="18" customHeight="1">
      <c r="A122" s="946">
        <f t="shared" ref="A122:A128" si="26">A121+1</f>
        <v>2</v>
      </c>
      <c r="B122" s="947" t="s">
        <v>1544</v>
      </c>
      <c r="C122" s="946" t="s">
        <v>73</v>
      </c>
      <c r="D122" s="946">
        <f t="shared" ref="D122:D128" si="27">D121</f>
        <v>0</v>
      </c>
      <c r="E122" s="948">
        <f>('Road dam 30m'!I17)*D122</f>
        <v>0</v>
      </c>
      <c r="F122" s="949">
        <f>(0.6*97.5+0.6*40)</f>
        <v>82.5</v>
      </c>
      <c r="G122" s="949">
        <f t="shared" si="25"/>
        <v>0</v>
      </c>
    </row>
    <row r="123" spans="1:7" s="932" customFormat="1" ht="18" customHeight="1">
      <c r="A123" s="946">
        <f t="shared" si="26"/>
        <v>3</v>
      </c>
      <c r="B123" s="947" t="s">
        <v>1567</v>
      </c>
      <c r="C123" s="946" t="s">
        <v>73</v>
      </c>
      <c r="D123" s="946">
        <f t="shared" si="27"/>
        <v>0</v>
      </c>
      <c r="E123" s="948">
        <f>('Road dam 30m'!I29)*D123</f>
        <v>0</v>
      </c>
      <c r="F123" s="949">
        <f>(0.92*97.5+0.23*97.5+0.23*40)</f>
        <v>121.325</v>
      </c>
      <c r="G123" s="949">
        <f t="shared" si="25"/>
        <v>0</v>
      </c>
    </row>
    <row r="124" spans="1:7" s="932" customFormat="1" ht="18" customHeight="1">
      <c r="A124" s="946">
        <f t="shared" si="26"/>
        <v>4</v>
      </c>
      <c r="B124" s="947" t="s">
        <v>1545</v>
      </c>
      <c r="C124" s="946" t="s">
        <v>73</v>
      </c>
      <c r="D124" s="946">
        <f t="shared" si="27"/>
        <v>0</v>
      </c>
      <c r="E124" s="948">
        <f>('Road dam 30m'!I41)*D124</f>
        <v>0</v>
      </c>
      <c r="F124" s="949">
        <f>(0.9*97.5+0.225*97.5+0.225*40)</f>
        <v>118.6875</v>
      </c>
      <c r="G124" s="949">
        <f t="shared" si="25"/>
        <v>0</v>
      </c>
    </row>
    <row r="125" spans="1:7" s="932" customFormat="1" ht="18" customHeight="1">
      <c r="A125" s="946">
        <f t="shared" si="26"/>
        <v>5</v>
      </c>
      <c r="B125" s="947" t="s">
        <v>1546</v>
      </c>
      <c r="C125" s="946" t="s">
        <v>73</v>
      </c>
      <c r="D125" s="946">
        <f t="shared" si="27"/>
        <v>0</v>
      </c>
      <c r="E125" s="948">
        <v>0</v>
      </c>
      <c r="F125" s="949">
        <f>(0.9*97.5+0.225*97.5+0.225*40)</f>
        <v>118.6875</v>
      </c>
      <c r="G125" s="949">
        <f t="shared" si="25"/>
        <v>0</v>
      </c>
    </row>
    <row r="126" spans="1:7" s="932" customFormat="1" ht="18" customHeight="1">
      <c r="A126" s="946">
        <f t="shared" si="26"/>
        <v>6</v>
      </c>
      <c r="B126" s="947" t="s">
        <v>1568</v>
      </c>
      <c r="C126" s="946" t="s">
        <v>73</v>
      </c>
      <c r="D126" s="946">
        <f t="shared" si="27"/>
        <v>0</v>
      </c>
      <c r="E126" s="948">
        <v>0</v>
      </c>
      <c r="F126" s="949">
        <f>(0.9*97.5+0.225*97.5+0.225*40)</f>
        <v>118.6875</v>
      </c>
      <c r="G126" s="949">
        <f t="shared" si="25"/>
        <v>0</v>
      </c>
    </row>
    <row r="127" spans="1:7" s="932" customFormat="1" ht="18" customHeight="1">
      <c r="A127" s="946">
        <f t="shared" si="26"/>
        <v>7</v>
      </c>
      <c r="B127" s="947" t="s">
        <v>1554</v>
      </c>
      <c r="C127" s="946" t="s">
        <v>73</v>
      </c>
      <c r="D127" s="946">
        <f t="shared" si="27"/>
        <v>0</v>
      </c>
      <c r="E127" s="948">
        <f>('Road dam 30m'!I62)*D127</f>
        <v>0</v>
      </c>
      <c r="F127" s="949">
        <f>(0.9*97.5+0.225*97.5+0.225*40)</f>
        <v>118.6875</v>
      </c>
      <c r="G127" s="949">
        <f t="shared" si="25"/>
        <v>0</v>
      </c>
    </row>
    <row r="128" spans="1:7" s="932" customFormat="1" ht="18" customHeight="1">
      <c r="A128" s="946">
        <f t="shared" si="26"/>
        <v>8</v>
      </c>
      <c r="B128" s="947" t="s">
        <v>1556</v>
      </c>
      <c r="C128" s="946" t="s">
        <v>73</v>
      </c>
      <c r="D128" s="946">
        <f t="shared" si="27"/>
        <v>0</v>
      </c>
      <c r="E128" s="948">
        <f>('Road dam 30m'!I51)*D128</f>
        <v>0</v>
      </c>
      <c r="F128" s="949">
        <f>1.2*40</f>
        <v>48</v>
      </c>
      <c r="G128" s="949">
        <f t="shared" si="25"/>
        <v>0</v>
      </c>
    </row>
    <row r="129" spans="1:7" s="932" customFormat="1" ht="18" customHeight="1">
      <c r="A129" s="946">
        <v>9</v>
      </c>
      <c r="B129" s="947" t="s">
        <v>1560</v>
      </c>
      <c r="C129" s="946" t="s">
        <v>73</v>
      </c>
      <c r="D129" s="946">
        <f>D127</f>
        <v>0</v>
      </c>
      <c r="E129" s="948">
        <f>('Road dam 30m'!I57)*D129</f>
        <v>0</v>
      </c>
      <c r="F129" s="949">
        <f>1.2*97.5</f>
        <v>117</v>
      </c>
      <c r="G129" s="949">
        <f t="shared" si="25"/>
        <v>0</v>
      </c>
    </row>
    <row r="130" spans="1:7" s="933" customFormat="1" ht="21" customHeight="1">
      <c r="A130" s="951"/>
      <c r="B130" s="3732" t="s">
        <v>1569</v>
      </c>
      <c r="C130" s="3732"/>
      <c r="D130" s="3732"/>
      <c r="E130" s="3732"/>
      <c r="F130" s="3732"/>
      <c r="G130" s="952"/>
    </row>
    <row r="131" spans="1:7" s="932" customFormat="1" ht="18" customHeight="1">
      <c r="A131" s="946">
        <v>1</v>
      </c>
      <c r="B131" s="947" t="s">
        <v>1543</v>
      </c>
      <c r="C131" s="946" t="s">
        <v>73</v>
      </c>
      <c r="D131" s="953">
        <f>'CD Abs'!C15</f>
        <v>2</v>
      </c>
      <c r="E131" s="954">
        <f>('Ret wall'!I8)*D131</f>
        <v>40.5</v>
      </c>
      <c r="F131" s="949">
        <v>30</v>
      </c>
      <c r="G131" s="949">
        <f t="shared" ref="G131:G134" si="28">ROUND(F131*E131,0)</f>
        <v>1215</v>
      </c>
    </row>
    <row r="132" spans="1:7" s="932" customFormat="1" ht="18" customHeight="1">
      <c r="A132" s="946">
        <f>A131+1</f>
        <v>2</v>
      </c>
      <c r="B132" s="947" t="s">
        <v>1570</v>
      </c>
      <c r="C132" s="946" t="s">
        <v>73</v>
      </c>
      <c r="D132" s="946">
        <f>D131</f>
        <v>2</v>
      </c>
      <c r="E132" s="954">
        <f>('Ret wall'!I18)*D132</f>
        <v>13.5</v>
      </c>
      <c r="F132" s="949">
        <f>(0.92*97.5+0.23*97.5+0.23*40)</f>
        <v>121.325</v>
      </c>
      <c r="G132" s="949">
        <f t="shared" si="28"/>
        <v>1638</v>
      </c>
    </row>
    <row r="133" spans="1:7" s="932" customFormat="1" ht="18" customHeight="1">
      <c r="A133" s="946">
        <f>A132+1</f>
        <v>3</v>
      </c>
      <c r="B133" s="947" t="s">
        <v>1545</v>
      </c>
      <c r="C133" s="946" t="s">
        <v>73</v>
      </c>
      <c r="D133" s="946">
        <f>D132</f>
        <v>2</v>
      </c>
      <c r="E133" s="954">
        <f>('Ret wall'!I23)*D133</f>
        <v>19.8</v>
      </c>
      <c r="F133" s="949">
        <f>(0.9*97.5+0.225*97.5+0.225*40)</f>
        <v>118.6875</v>
      </c>
      <c r="G133" s="949">
        <f t="shared" si="28"/>
        <v>2350</v>
      </c>
    </row>
    <row r="134" spans="1:7" s="932" customFormat="1" ht="18" customHeight="1">
      <c r="A134" s="946">
        <f>A133+1</f>
        <v>4</v>
      </c>
      <c r="B134" s="947" t="s">
        <v>1546</v>
      </c>
      <c r="C134" s="946" t="s">
        <v>73</v>
      </c>
      <c r="D134" s="946">
        <f>D133</f>
        <v>2</v>
      </c>
      <c r="E134" s="954">
        <f>('Ret wall'!I27)*D134</f>
        <v>29.25</v>
      </c>
      <c r="F134" s="949">
        <f>(0.9*97.5+0.225*97.5+0.225*40)</f>
        <v>118.6875</v>
      </c>
      <c r="G134" s="949">
        <f t="shared" si="28"/>
        <v>3472</v>
      </c>
    </row>
    <row r="135" spans="1:7" s="932" customFormat="1">
      <c r="A135" s="939"/>
      <c r="B135" s="3734" t="s">
        <v>1571</v>
      </c>
      <c r="C135" s="3734"/>
      <c r="D135" s="3734"/>
      <c r="E135" s="3734"/>
      <c r="F135" s="3734"/>
      <c r="G135" s="955"/>
    </row>
    <row r="136" spans="1:7" s="932" customFormat="1" ht="18" customHeight="1">
      <c r="A136" s="946">
        <v>1</v>
      </c>
      <c r="B136" s="947" t="s">
        <v>1543</v>
      </c>
      <c r="C136" s="946" t="s">
        <v>73</v>
      </c>
      <c r="D136" s="953">
        <f>'CD Abs'!C16</f>
        <v>0</v>
      </c>
      <c r="E136" s="948">
        <f>('Drain '!I10)*D136</f>
        <v>0</v>
      </c>
      <c r="F136" s="949">
        <v>30</v>
      </c>
      <c r="G136" s="949">
        <f t="shared" ref="G136:G138" si="29">ROUND(F136*E136,0)</f>
        <v>0</v>
      </c>
    </row>
    <row r="137" spans="1:7" s="932" customFormat="1" ht="18" customHeight="1">
      <c r="A137" s="946">
        <f>A136+1</f>
        <v>2</v>
      </c>
      <c r="B137" s="947" t="s">
        <v>1572</v>
      </c>
      <c r="C137" s="946" t="s">
        <v>73</v>
      </c>
      <c r="D137" s="946">
        <f>D136</f>
        <v>0</v>
      </c>
      <c r="E137" s="948">
        <f>('Drain '!I16)*D137</f>
        <v>0</v>
      </c>
      <c r="F137" s="949">
        <f>(0.6*97.5+0.6*40)</f>
        <v>82.5</v>
      </c>
      <c r="G137" s="949">
        <f t="shared" si="29"/>
        <v>0</v>
      </c>
    </row>
    <row r="138" spans="1:7" s="932" customFormat="1" ht="18" customHeight="1">
      <c r="A138" s="946">
        <f>A137+1</f>
        <v>3</v>
      </c>
      <c r="B138" s="947" t="s">
        <v>1573</v>
      </c>
      <c r="C138" s="946" t="s">
        <v>73</v>
      </c>
      <c r="D138" s="946">
        <f>D137</f>
        <v>0</v>
      </c>
      <c r="E138" s="948">
        <f>('Drain '!I24)*D138</f>
        <v>0</v>
      </c>
      <c r="F138" s="949">
        <f>(0.9*97.5+0.225*97.5+0.225*40)</f>
        <v>118.6875</v>
      </c>
      <c r="G138" s="949">
        <f t="shared" si="29"/>
        <v>0</v>
      </c>
    </row>
    <row r="139" spans="1:7" s="932" customFormat="1" ht="18" customHeight="1">
      <c r="A139" s="946"/>
      <c r="B139" s="947"/>
      <c r="C139" s="946"/>
      <c r="D139" s="946"/>
      <c r="E139" s="948"/>
      <c r="F139" s="956"/>
      <c r="G139" s="949"/>
    </row>
    <row r="140" spans="1:7" s="932" customFormat="1" ht="18" customHeight="1">
      <c r="A140" s="946"/>
      <c r="B140" s="947"/>
      <c r="C140" s="946"/>
      <c r="D140" s="946"/>
      <c r="E140" s="948"/>
      <c r="F140" s="956"/>
      <c r="G140" s="949"/>
    </row>
    <row r="141" spans="1:7" s="932" customFormat="1" ht="18.75" customHeight="1">
      <c r="A141" s="946"/>
      <c r="B141" s="3735" t="s">
        <v>1574</v>
      </c>
      <c r="C141" s="3735"/>
      <c r="D141" s="3735"/>
      <c r="E141" s="3735"/>
      <c r="F141" s="3735"/>
      <c r="G141" s="957">
        <f>SUM(G8:G138)</f>
        <v>297019</v>
      </c>
    </row>
    <row r="142" spans="1:7" s="934" customFormat="1">
      <c r="A142" s="958"/>
      <c r="B142" s="959"/>
      <c r="C142" s="958"/>
      <c r="D142" s="958"/>
    </row>
    <row r="143" spans="1:7" s="934" customFormat="1">
      <c r="A143" s="958"/>
      <c r="B143" s="960"/>
      <c r="C143" s="961"/>
      <c r="D143" s="961"/>
      <c r="E143" s="962"/>
      <c r="F143" s="963"/>
      <c r="G143" s="963"/>
    </row>
    <row r="144" spans="1:7" s="934" customFormat="1">
      <c r="A144" s="958"/>
      <c r="B144" s="959"/>
      <c r="C144" s="958"/>
      <c r="D144" s="958"/>
    </row>
    <row r="145" spans="1:10" s="935" customFormat="1" hidden="1">
      <c r="A145" s="935" t="s">
        <v>1575</v>
      </c>
      <c r="B145" s="964"/>
      <c r="C145" s="965"/>
      <c r="D145" s="965"/>
      <c r="E145" s="964"/>
      <c r="F145" s="964"/>
      <c r="J145" s="969"/>
    </row>
    <row r="146" spans="1:10" s="935" customFormat="1" hidden="1">
      <c r="A146" s="935" t="s">
        <v>1576</v>
      </c>
      <c r="B146" s="964"/>
      <c r="C146" s="965"/>
      <c r="D146" s="965"/>
      <c r="E146" s="964"/>
      <c r="F146" s="964"/>
      <c r="J146" s="969"/>
    </row>
    <row r="147" spans="1:10" s="931" customFormat="1" hidden="1">
      <c r="B147" s="960"/>
      <c r="C147" s="961"/>
      <c r="D147" s="961"/>
    </row>
    <row r="148" spans="1:10" s="931" customFormat="1" hidden="1">
      <c r="B148" s="960"/>
      <c r="C148" s="961"/>
      <c r="D148" s="961"/>
    </row>
    <row r="149" spans="1:10" s="932" customFormat="1" ht="15.95" customHeight="1">
      <c r="B149" s="966" t="str">
        <f>'Pipe data'!D252</f>
        <v>Assistant Engineer,</v>
      </c>
      <c r="C149" s="3733" t="str">
        <f>'Pipe data'!E252</f>
        <v>Dy. Exe. Engineer</v>
      </c>
      <c r="D149" s="3733"/>
      <c r="E149" s="3733"/>
      <c r="F149" s="3733"/>
    </row>
    <row r="150" spans="1:10" s="932" customFormat="1" ht="15.95" customHeight="1">
      <c r="B150" s="966" t="str">
        <f>'Pipe data'!D274</f>
        <v>PRSD, Wanaparthy</v>
      </c>
      <c r="C150" s="3733" t="str">
        <f>'Pipe data'!E274</f>
        <v>PRSD, Wanaparthy</v>
      </c>
      <c r="D150" s="3733"/>
      <c r="E150" s="3733"/>
      <c r="F150" s="3733"/>
    </row>
    <row r="151" spans="1:10" s="932" customFormat="1">
      <c r="B151" s="968"/>
      <c r="C151" s="967"/>
      <c r="D151" s="967"/>
    </row>
    <row r="152" spans="1:10" s="932" customFormat="1">
      <c r="B152" s="968"/>
      <c r="C152" s="967"/>
      <c r="D152" s="967"/>
    </row>
    <row r="153" spans="1:10" s="932" customFormat="1">
      <c r="B153" s="968"/>
      <c r="C153" s="967"/>
      <c r="D153" s="967"/>
    </row>
    <row r="154" spans="1:10" s="932" customFormat="1" ht="15.95" customHeight="1">
      <c r="B154" s="966" t="str">
        <f>'Pipe data'!D399</f>
        <v>District Panchayat Raj Engineer,</v>
      </c>
      <c r="C154" s="3733" t="str">
        <f>'Pipe data'!E399</f>
        <v>Superintending Engineer</v>
      </c>
      <c r="D154" s="3733"/>
      <c r="E154" s="3733"/>
      <c r="F154" s="3733"/>
    </row>
    <row r="155" spans="1:10" s="932" customFormat="1" ht="15.95" customHeight="1">
      <c r="B155" s="966" t="str">
        <f>'Pipe data'!D400</f>
        <v>PIU, Wanaparthy</v>
      </c>
      <c r="C155" s="3733" t="str">
        <f>GA!C38</f>
        <v>PR, Circle, Warangal</v>
      </c>
      <c r="D155" s="3733"/>
      <c r="E155" s="3733"/>
      <c r="F155" s="3733"/>
    </row>
    <row r="156" spans="1:10">
      <c r="B156" s="960"/>
    </row>
    <row r="157" spans="1:10">
      <c r="B157" s="960"/>
    </row>
    <row r="158" spans="1:10">
      <c r="B158" s="960"/>
    </row>
    <row r="159" spans="1:10">
      <c r="B159" s="960"/>
    </row>
  </sheetData>
  <protectedRanges>
    <protectedRange sqref="G145:G146" name="Range4_1_2"/>
    <protectedRange sqref="J145:K146" name="Range4_1_1_1"/>
  </protectedRanges>
  <mergeCells count="18">
    <mergeCell ref="C150:F150"/>
    <mergeCell ref="C154:F154"/>
    <mergeCell ref="C155:F155"/>
    <mergeCell ref="B120:F120"/>
    <mergeCell ref="B130:F130"/>
    <mergeCell ref="B135:F135"/>
    <mergeCell ref="B141:F141"/>
    <mergeCell ref="C149:F149"/>
    <mergeCell ref="B37:F37"/>
    <mergeCell ref="B53:F53"/>
    <mergeCell ref="B70:F70"/>
    <mergeCell ref="B87:F87"/>
    <mergeCell ref="B104:F104"/>
    <mergeCell ref="A1:G1"/>
    <mergeCell ref="A2:G2"/>
    <mergeCell ref="B18:F18"/>
    <mergeCell ref="B25:F25"/>
    <mergeCell ref="B31:F31"/>
  </mergeCells>
  <printOptions horizontalCentered="1"/>
  <pageMargins left="0.59055118110236204" right="0.196850393700787" top="0.59055118110236204" bottom="0.39370078740157499" header="0.511811023622047" footer="0.23622047244094499"/>
  <pageSetup paperSize="9" scale="90" orientation="portrait"/>
  <headerFooter alignWithMargins="0"/>
</worksheet>
</file>

<file path=xl/worksheets/sheet33.xml><?xml version="1.0" encoding="utf-8"?>
<worksheet xmlns="http://schemas.openxmlformats.org/spreadsheetml/2006/main" xmlns:r="http://schemas.openxmlformats.org/officeDocument/2006/relationships">
  <sheetPr codeName="Sheet4"/>
  <dimension ref="A1:M68"/>
  <sheetViews>
    <sheetView tabSelected="1" view="pageBreakPreview" topLeftCell="B1" zoomScale="70" zoomScaleSheetLayoutView="70" workbookViewId="0">
      <selection activeCell="I12" sqref="I12"/>
    </sheetView>
  </sheetViews>
  <sheetFormatPr defaultColWidth="9.140625" defaultRowHeight="20.100000000000001" customHeight="1"/>
  <cols>
    <col min="1" max="1" width="11.28515625" style="861" customWidth="1"/>
    <col min="2" max="2" width="47.140625" style="861" customWidth="1"/>
    <col min="3" max="3" width="16.7109375" style="861" customWidth="1"/>
    <col min="4" max="4" width="8.28515625" style="861" customWidth="1"/>
    <col min="5" max="5" width="11.5703125" style="861" customWidth="1"/>
    <col min="6" max="6" width="12" style="861" customWidth="1"/>
    <col min="7" max="7" width="9.28515625" style="861" customWidth="1"/>
    <col min="8" max="8" width="11.7109375" style="861" customWidth="1"/>
    <col min="9" max="9" width="14.7109375" style="861" customWidth="1"/>
    <col min="10" max="10" width="10.5703125" style="861" customWidth="1"/>
    <col min="11" max="11" width="10" style="861" customWidth="1"/>
    <col min="12" max="16384" width="9.140625" style="861"/>
  </cols>
  <sheetData>
    <row r="1" spans="1:13" ht="17.45" customHeight="1">
      <c r="A1" s="3736" t="s">
        <v>1577</v>
      </c>
      <c r="B1" s="3736"/>
      <c r="C1" s="3736"/>
      <c r="D1" s="3736"/>
      <c r="E1" s="3736"/>
      <c r="F1" s="3736"/>
      <c r="G1" s="3736"/>
      <c r="H1" s="3736"/>
      <c r="I1" s="3736"/>
      <c r="J1" s="3736"/>
      <c r="K1" s="913" t="s">
        <v>1578</v>
      </c>
    </row>
    <row r="2" spans="1:13" ht="15.75">
      <c r="A2" s="3737" t="s">
        <v>1579</v>
      </c>
      <c r="B2" s="3737"/>
      <c r="C2" s="3738" t="str">
        <f>'Input Data'!E1</f>
        <v>R/F A to B in Wanaparthy Mandal of Wanaparthy District</v>
      </c>
      <c r="D2" s="3739"/>
      <c r="E2" s="3739"/>
      <c r="F2" s="3739"/>
      <c r="G2" s="3739"/>
      <c r="H2" s="3739"/>
      <c r="I2" s="3739"/>
      <c r="J2" s="3740"/>
    </row>
    <row r="3" spans="1:13" s="858" customFormat="1" ht="51" customHeight="1">
      <c r="A3" s="862" t="s">
        <v>460</v>
      </c>
      <c r="B3" s="862" t="s">
        <v>1580</v>
      </c>
      <c r="C3" s="862" t="s">
        <v>1581</v>
      </c>
      <c r="D3" s="862" t="s">
        <v>1582</v>
      </c>
      <c r="E3" s="862" t="s">
        <v>1583</v>
      </c>
      <c r="F3" s="862" t="s">
        <v>1584</v>
      </c>
      <c r="G3" s="862" t="s">
        <v>1585</v>
      </c>
      <c r="H3" s="862" t="s">
        <v>1586</v>
      </c>
      <c r="I3" s="862" t="s">
        <v>1587</v>
      </c>
      <c r="J3" s="862" t="s">
        <v>1588</v>
      </c>
    </row>
    <row r="4" spans="1:13" s="858" customFormat="1" ht="31.5">
      <c r="A4" s="863">
        <v>1</v>
      </c>
      <c r="B4" s="864" t="s">
        <v>1589</v>
      </c>
      <c r="C4" s="865" t="str">
        <f>+'Input Data'!$D$11</f>
        <v>Wanaparthy</v>
      </c>
      <c r="D4" s="866">
        <f>'Input Data'!$E$11</f>
        <v>57</v>
      </c>
      <c r="E4" s="867">
        <f>VLOOKUP(D4,'SSR-rates'!$B$8:$D$239,3,0)</f>
        <v>797.5179333714741</v>
      </c>
      <c r="F4" s="867">
        <f>'SSR-rates'!L5-'SSR-rates'!$D$5</f>
        <v>655</v>
      </c>
      <c r="G4" s="867">
        <f>$G$5</f>
        <v>0</v>
      </c>
      <c r="H4" s="867">
        <f>ROUND((0.25*F4),2)</f>
        <v>163.75</v>
      </c>
      <c r="I4" s="867">
        <f>('SSR-rates'!D5)*-1</f>
        <v>0</v>
      </c>
      <c r="J4" s="867">
        <f>SUM(E4:I4)</f>
        <v>1616.2679333714741</v>
      </c>
      <c r="L4" s="914"/>
    </row>
    <row r="5" spans="1:13" s="859" customFormat="1" ht="31.5">
      <c r="A5" s="863">
        <v>2</v>
      </c>
      <c r="B5" s="864" t="s">
        <v>1590</v>
      </c>
      <c r="C5" s="868" t="str">
        <f>+C4</f>
        <v>Wanaparthy</v>
      </c>
      <c r="D5" s="866">
        <f>'Input Data'!$E$11</f>
        <v>57</v>
      </c>
      <c r="E5" s="867">
        <f>VLOOKUP(D5,'SSR-rates'!$B$8:$D$239,3,0)</f>
        <v>797.5179333714741</v>
      </c>
      <c r="F5" s="867">
        <f>'SSR-rates'!L17-'SSR-rates'!$D$5</f>
        <v>909</v>
      </c>
      <c r="G5" s="867">
        <v>0</v>
      </c>
      <c r="H5" s="867">
        <v>0</v>
      </c>
      <c r="I5" s="867">
        <f>$I$4</f>
        <v>0</v>
      </c>
      <c r="J5" s="867">
        <f t="shared" ref="J5:J31" si="0">SUM(E5:I5)</f>
        <v>1706.5179333714741</v>
      </c>
      <c r="L5" s="914"/>
      <c r="M5" s="915"/>
    </row>
    <row r="6" spans="1:13" s="859" customFormat="1" ht="31.5">
      <c r="A6" s="863">
        <v>3</v>
      </c>
      <c r="B6" s="864" t="s">
        <v>1591</v>
      </c>
      <c r="C6" s="868" t="str">
        <f>+C5</f>
        <v>Wanaparthy</v>
      </c>
      <c r="D6" s="866">
        <f>'Input Data'!$E$11</f>
        <v>57</v>
      </c>
      <c r="E6" s="867">
        <f>VLOOKUP(D6,'SSR-rates'!$B$8:$D$239,3,0)</f>
        <v>797.5179333714741</v>
      </c>
      <c r="F6" s="867">
        <f>'SSR-rates'!L18-'SSR-rates'!$D$5</f>
        <v>1098</v>
      </c>
      <c r="G6" s="867">
        <v>0</v>
      </c>
      <c r="H6" s="867">
        <v>0</v>
      </c>
      <c r="I6" s="867">
        <f>$I$4</f>
        <v>0</v>
      </c>
      <c r="J6" s="867">
        <f t="shared" si="0"/>
        <v>1895.5179333714741</v>
      </c>
      <c r="L6" s="914"/>
    </row>
    <row r="7" spans="1:13" s="859" customFormat="1" ht="31.5">
      <c r="A7" s="863">
        <v>4</v>
      </c>
      <c r="B7" s="864" t="s">
        <v>1592</v>
      </c>
      <c r="C7" s="868" t="str">
        <f t="shared" ref="C7:C12" si="1">+C6</f>
        <v>Wanaparthy</v>
      </c>
      <c r="D7" s="866">
        <f>'Input Data'!$E$11</f>
        <v>57</v>
      </c>
      <c r="E7" s="867">
        <f>VLOOKUP(D7,'SSR-rates'!$B$8:$D$239,3,0)</f>
        <v>797.5179333714741</v>
      </c>
      <c r="F7" s="867">
        <f>'SSR-rates'!L19-'SSR-rates'!$D$5</f>
        <v>1208</v>
      </c>
      <c r="G7" s="867">
        <v>0</v>
      </c>
      <c r="H7" s="867">
        <v>0</v>
      </c>
      <c r="I7" s="867">
        <f t="shared" ref="I7:I24" si="2">$I$4</f>
        <v>0</v>
      </c>
      <c r="J7" s="867">
        <f t="shared" si="0"/>
        <v>2005.5179333714741</v>
      </c>
      <c r="L7" s="914"/>
    </row>
    <row r="8" spans="1:13" s="859" customFormat="1" ht="31.5">
      <c r="A8" s="863">
        <v>5</v>
      </c>
      <c r="B8" s="864" t="s">
        <v>1593</v>
      </c>
      <c r="C8" s="868" t="str">
        <f t="shared" si="1"/>
        <v>Wanaparthy</v>
      </c>
      <c r="D8" s="866">
        <f>'Input Data'!$E$11</f>
        <v>57</v>
      </c>
      <c r="E8" s="867">
        <f>VLOOKUP(D8,'SSR-rates'!$B$8:$D$239,3,0)</f>
        <v>797.5179333714741</v>
      </c>
      <c r="F8" s="867">
        <f>'SSR-rates'!L20-'SSR-rates'!$D$5</f>
        <v>1057</v>
      </c>
      <c r="G8" s="867">
        <v>0</v>
      </c>
      <c r="H8" s="867">
        <v>0</v>
      </c>
      <c r="I8" s="867">
        <f t="shared" si="2"/>
        <v>0</v>
      </c>
      <c r="J8" s="867">
        <f t="shared" si="0"/>
        <v>1854.5179333714741</v>
      </c>
      <c r="L8" s="914"/>
    </row>
    <row r="9" spans="1:13" s="859" customFormat="1" ht="31.5">
      <c r="A9" s="863">
        <v>6</v>
      </c>
      <c r="B9" s="864" t="s">
        <v>1594</v>
      </c>
      <c r="C9" s="868" t="str">
        <f t="shared" si="1"/>
        <v>Wanaparthy</v>
      </c>
      <c r="D9" s="866">
        <f>'Input Data'!$E$11</f>
        <v>57</v>
      </c>
      <c r="E9" s="867">
        <f>VLOOKUP(D9,'SSR-rates'!$B$8:$D$239,3,0)</f>
        <v>797.5179333714741</v>
      </c>
      <c r="F9" s="867">
        <f>'SSR-rates'!L21-'SSR-rates'!$D$5</f>
        <v>957</v>
      </c>
      <c r="G9" s="867">
        <v>0</v>
      </c>
      <c r="H9" s="867">
        <v>0</v>
      </c>
      <c r="I9" s="867">
        <f t="shared" si="2"/>
        <v>0</v>
      </c>
      <c r="J9" s="867">
        <f t="shared" si="0"/>
        <v>1754.5179333714741</v>
      </c>
      <c r="L9" s="914"/>
      <c r="M9" s="915"/>
    </row>
    <row r="10" spans="1:13" s="859" customFormat="1" ht="31.5">
      <c r="A10" s="863">
        <v>7</v>
      </c>
      <c r="B10" s="864" t="s">
        <v>1595</v>
      </c>
      <c r="C10" s="868" t="str">
        <f t="shared" si="1"/>
        <v>Wanaparthy</v>
      </c>
      <c r="D10" s="866">
        <f>'Input Data'!$E$11</f>
        <v>57</v>
      </c>
      <c r="E10" s="867">
        <f>VLOOKUP(D10,'SSR-rates'!$B$8:$D$239,3,0)</f>
        <v>797.5179333714741</v>
      </c>
      <c r="F10" s="867">
        <f>'SSR-rates'!L22-'SSR-rates'!$D$5</f>
        <v>900</v>
      </c>
      <c r="G10" s="867">
        <f>$G$9</f>
        <v>0</v>
      </c>
      <c r="H10" s="867">
        <v>0</v>
      </c>
      <c r="I10" s="867">
        <f t="shared" si="2"/>
        <v>0</v>
      </c>
      <c r="J10" s="867">
        <f t="shared" si="0"/>
        <v>1697.5179333714741</v>
      </c>
      <c r="L10" s="914"/>
    </row>
    <row r="11" spans="1:13" s="859" customFormat="1" ht="31.5">
      <c r="A11" s="863">
        <v>8</v>
      </c>
      <c r="B11" s="864" t="s">
        <v>1596</v>
      </c>
      <c r="C11" s="868" t="str">
        <f t="shared" si="1"/>
        <v>Wanaparthy</v>
      </c>
      <c r="D11" s="866">
        <f>'Input Data'!$E$11</f>
        <v>57</v>
      </c>
      <c r="E11" s="867">
        <f>VLOOKUP(D11,'SSR-rates'!$B$8:$D$239,3,0)</f>
        <v>797.5179333714741</v>
      </c>
      <c r="F11" s="867">
        <f>'SSR-rates'!L23-'SSR-rates'!D5</f>
        <v>883</v>
      </c>
      <c r="G11" s="867">
        <f>$G$10</f>
        <v>0</v>
      </c>
      <c r="H11" s="867">
        <v>0</v>
      </c>
      <c r="I11" s="867">
        <f t="shared" si="2"/>
        <v>0</v>
      </c>
      <c r="J11" s="867">
        <f t="shared" si="0"/>
        <v>1680.5179333714741</v>
      </c>
      <c r="L11" s="914"/>
    </row>
    <row r="12" spans="1:13" s="859" customFormat="1" ht="31.5">
      <c r="A12" s="863">
        <v>9</v>
      </c>
      <c r="B12" s="864" t="s">
        <v>1597</v>
      </c>
      <c r="C12" s="868" t="str">
        <f t="shared" si="1"/>
        <v>Wanaparthy</v>
      </c>
      <c r="D12" s="866">
        <f>'Input Data'!$E$11</f>
        <v>57</v>
      </c>
      <c r="E12" s="867">
        <f>VLOOKUP(D12,'SSR-rates'!$B$8:$D$239,3,0)</f>
        <v>797.5179333714741</v>
      </c>
      <c r="F12" s="867">
        <f>'SSR-rates'!L24-'SSR-rates'!D5</f>
        <v>709</v>
      </c>
      <c r="G12" s="867">
        <v>0</v>
      </c>
      <c r="H12" s="867">
        <f>ROUND((0.25*(F12-100)),2)</f>
        <v>152.25</v>
      </c>
      <c r="I12" s="867">
        <f t="shared" si="2"/>
        <v>0</v>
      </c>
      <c r="J12" s="867">
        <f t="shared" si="0"/>
        <v>1658.7679333714741</v>
      </c>
      <c r="L12" s="914"/>
    </row>
    <row r="13" spans="1:13" s="859" customFormat="1" ht="17.25" customHeight="1">
      <c r="A13" s="863"/>
      <c r="B13" s="869" t="s">
        <v>1598</v>
      </c>
      <c r="C13" s="870"/>
      <c r="D13" s="866"/>
      <c r="E13" s="867"/>
      <c r="F13" s="871"/>
      <c r="G13" s="871"/>
      <c r="H13" s="871"/>
      <c r="I13" s="871"/>
      <c r="J13" s="867">
        <f t="shared" si="0"/>
        <v>0</v>
      </c>
      <c r="L13" s="914"/>
    </row>
    <row r="14" spans="1:13" s="859" customFormat="1" ht="20.45" customHeight="1">
      <c r="A14" s="863">
        <v>10</v>
      </c>
      <c r="B14" s="872" t="s">
        <v>1599</v>
      </c>
      <c r="C14" s="868" t="str">
        <f>+C4</f>
        <v>Wanaparthy</v>
      </c>
      <c r="D14" s="866">
        <f>'Input Data'!$E$11</f>
        <v>57</v>
      </c>
      <c r="E14" s="867">
        <f>VLOOKUP(D14,'SSR-rates'!$B$8:$D$239,3,0)</f>
        <v>797.5179333714741</v>
      </c>
      <c r="F14" s="867">
        <f>'SSR-rates'!L26</f>
        <v>909</v>
      </c>
      <c r="G14" s="867">
        <v>0</v>
      </c>
      <c r="H14" s="867">
        <v>0</v>
      </c>
      <c r="I14" s="867">
        <f t="shared" si="2"/>
        <v>0</v>
      </c>
      <c r="J14" s="867">
        <f t="shared" si="0"/>
        <v>1706.5179333714741</v>
      </c>
      <c r="L14" s="914"/>
    </row>
    <row r="15" spans="1:13" s="859" customFormat="1" ht="20.45" customHeight="1">
      <c r="A15" s="863">
        <v>11</v>
      </c>
      <c r="B15" s="872" t="s">
        <v>1600</v>
      </c>
      <c r="C15" s="868" t="str">
        <f>+C5</f>
        <v>Wanaparthy</v>
      </c>
      <c r="D15" s="866">
        <f>'Input Data'!$E$11</f>
        <v>57</v>
      </c>
      <c r="E15" s="867">
        <f>VLOOKUP(D15,'SSR-rates'!$B$8:$D$239,3,0)</f>
        <v>797.5179333714741</v>
      </c>
      <c r="F15" s="867">
        <f>'SSR-rates'!L27</f>
        <v>1098</v>
      </c>
      <c r="G15" s="867">
        <v>0</v>
      </c>
      <c r="H15" s="867">
        <v>0</v>
      </c>
      <c r="I15" s="867">
        <f t="shared" si="2"/>
        <v>0</v>
      </c>
      <c r="J15" s="867">
        <f t="shared" si="0"/>
        <v>1895.5179333714741</v>
      </c>
      <c r="L15" s="914"/>
    </row>
    <row r="16" spans="1:13" s="859" customFormat="1" ht="20.45" customHeight="1">
      <c r="A16" s="863">
        <v>12</v>
      </c>
      <c r="B16" s="872" t="s">
        <v>1601</v>
      </c>
      <c r="C16" s="868" t="str">
        <f t="shared" ref="C16:C29" si="3">+C14</f>
        <v>Wanaparthy</v>
      </c>
      <c r="D16" s="866">
        <f>'Input Data'!$E$11</f>
        <v>57</v>
      </c>
      <c r="E16" s="867">
        <f>VLOOKUP(D16,'SSR-rates'!$B$8:$D$239,3,0)</f>
        <v>797.5179333714741</v>
      </c>
      <c r="F16" s="867">
        <f>'SSR-rates'!L28</f>
        <v>1208</v>
      </c>
      <c r="G16" s="867">
        <v>0</v>
      </c>
      <c r="H16" s="867">
        <v>0</v>
      </c>
      <c r="I16" s="867">
        <f t="shared" si="2"/>
        <v>0</v>
      </c>
      <c r="J16" s="867">
        <f t="shared" si="0"/>
        <v>2005.5179333714741</v>
      </c>
      <c r="L16" s="914"/>
    </row>
    <row r="17" spans="1:12" s="859" customFormat="1" ht="20.45" customHeight="1">
      <c r="A17" s="863">
        <v>13</v>
      </c>
      <c r="B17" s="872" t="s">
        <v>1602</v>
      </c>
      <c r="C17" s="868" t="str">
        <f t="shared" si="3"/>
        <v>Wanaparthy</v>
      </c>
      <c r="D17" s="866">
        <f>'Input Data'!$E$11</f>
        <v>57</v>
      </c>
      <c r="E17" s="867">
        <f>VLOOKUP(D17,'SSR-rates'!$B$8:$D$239,3,0)</f>
        <v>797.5179333714741</v>
      </c>
      <c r="F17" s="867">
        <f>'SSR-rates'!L29</f>
        <v>1057</v>
      </c>
      <c r="G17" s="867">
        <v>0</v>
      </c>
      <c r="H17" s="867">
        <v>0</v>
      </c>
      <c r="I17" s="867">
        <f t="shared" si="2"/>
        <v>0</v>
      </c>
      <c r="J17" s="867">
        <f t="shared" si="0"/>
        <v>1854.5179333714741</v>
      </c>
      <c r="L17" s="914"/>
    </row>
    <row r="18" spans="1:12" s="859" customFormat="1" ht="20.45" customHeight="1">
      <c r="A18" s="863">
        <v>14</v>
      </c>
      <c r="B18" s="872" t="s">
        <v>1603</v>
      </c>
      <c r="C18" s="868" t="str">
        <f t="shared" si="3"/>
        <v>Wanaparthy</v>
      </c>
      <c r="D18" s="866">
        <f>'Input Data'!$E$11</f>
        <v>57</v>
      </c>
      <c r="E18" s="867">
        <f>VLOOKUP(D18,'SSR-rates'!$B$8:$D$239,3,0)</f>
        <v>797.5179333714741</v>
      </c>
      <c r="F18" s="867">
        <f>'SSR-rates'!L30</f>
        <v>957</v>
      </c>
      <c r="G18" s="867">
        <v>0</v>
      </c>
      <c r="H18" s="867">
        <v>0</v>
      </c>
      <c r="I18" s="867">
        <f t="shared" si="2"/>
        <v>0</v>
      </c>
      <c r="J18" s="867">
        <f t="shared" si="0"/>
        <v>1754.5179333714741</v>
      </c>
      <c r="L18" s="914"/>
    </row>
    <row r="19" spans="1:12" s="859" customFormat="1" ht="20.45" customHeight="1">
      <c r="A19" s="863">
        <v>15</v>
      </c>
      <c r="B19" s="872" t="s">
        <v>1604</v>
      </c>
      <c r="C19" s="868" t="str">
        <f t="shared" si="3"/>
        <v>Wanaparthy</v>
      </c>
      <c r="D19" s="866">
        <f>'Input Data'!$E$11</f>
        <v>57</v>
      </c>
      <c r="E19" s="867">
        <f>VLOOKUP(D19,'SSR-rates'!$B$8:$D$239,3,0)</f>
        <v>797.5179333714741</v>
      </c>
      <c r="F19" s="867">
        <f>'SSR-rates'!L31</f>
        <v>910</v>
      </c>
      <c r="G19" s="867">
        <v>0</v>
      </c>
      <c r="H19" s="867">
        <v>0</v>
      </c>
      <c r="I19" s="867">
        <f t="shared" si="2"/>
        <v>0</v>
      </c>
      <c r="J19" s="867">
        <f t="shared" si="0"/>
        <v>1707.5179333714741</v>
      </c>
      <c r="L19" s="914"/>
    </row>
    <row r="20" spans="1:12" s="859" customFormat="1" ht="31.5">
      <c r="A20" s="863">
        <v>16</v>
      </c>
      <c r="B20" s="864" t="s">
        <v>1605</v>
      </c>
      <c r="C20" s="873" t="str">
        <f>'Input Data'!D21</f>
        <v>Wanaparthy</v>
      </c>
      <c r="D20" s="866">
        <f>'Input Data'!E21</f>
        <v>57</v>
      </c>
      <c r="E20" s="867">
        <f>VLOOKUP(D20,'SSR-rates'!$B$8:$D$239,3,0)</f>
        <v>797.5179333714741</v>
      </c>
      <c r="F20" s="867">
        <f>'SSR-rates'!L6</f>
        <v>909</v>
      </c>
      <c r="G20" s="867">
        <v>0</v>
      </c>
      <c r="H20" s="867">
        <v>0</v>
      </c>
      <c r="I20" s="867">
        <f t="shared" si="2"/>
        <v>0</v>
      </c>
      <c r="J20" s="867">
        <f t="shared" si="0"/>
        <v>1706.5179333714741</v>
      </c>
      <c r="L20" s="914"/>
    </row>
    <row r="21" spans="1:12" s="859" customFormat="1" ht="32.25" customHeight="1">
      <c r="A21" s="863">
        <v>17</v>
      </c>
      <c r="B21" s="864" t="s">
        <v>1606</v>
      </c>
      <c r="C21" s="868" t="str">
        <f t="shared" si="3"/>
        <v>Wanaparthy</v>
      </c>
      <c r="D21" s="866">
        <f>D20</f>
        <v>57</v>
      </c>
      <c r="E21" s="867">
        <f>VLOOKUP(D21,'SSR-rates'!$B$8:$D$239,3,0)</f>
        <v>797.5179333714741</v>
      </c>
      <c r="F21" s="867">
        <f>'SSR-rates'!L5</f>
        <v>655</v>
      </c>
      <c r="G21" s="867">
        <v>0</v>
      </c>
      <c r="H21" s="867">
        <f>ROUND((0.25*F21),2)</f>
        <v>163.75</v>
      </c>
      <c r="I21" s="867">
        <f t="shared" si="2"/>
        <v>0</v>
      </c>
      <c r="J21" s="867">
        <f t="shared" si="0"/>
        <v>1616.2679333714741</v>
      </c>
      <c r="L21" s="914"/>
    </row>
    <row r="22" spans="1:12" s="859" customFormat="1" ht="32.25" customHeight="1">
      <c r="A22" s="863">
        <v>18</v>
      </c>
      <c r="B22" s="864" t="s">
        <v>1607</v>
      </c>
      <c r="C22" s="868" t="str">
        <f>C21</f>
        <v>Wanaparthy</v>
      </c>
      <c r="D22" s="866">
        <f>D21</f>
        <v>57</v>
      </c>
      <c r="E22" s="867">
        <f>VLOOKUP(D22,'SSR-rates'!$B$8:$D$239,3,0)</f>
        <v>797.5179333714741</v>
      </c>
      <c r="F22" s="867">
        <f>'SSR-rates'!L4</f>
        <v>544</v>
      </c>
      <c r="G22" s="867">
        <v>0</v>
      </c>
      <c r="H22" s="867">
        <f>ROUND((0.25*F22),2)</f>
        <v>136</v>
      </c>
      <c r="I22" s="867">
        <f t="shared" si="2"/>
        <v>0</v>
      </c>
      <c r="J22" s="867">
        <f t="shared" si="0"/>
        <v>1477.5179333714741</v>
      </c>
      <c r="L22" s="914"/>
    </row>
    <row r="23" spans="1:12" s="859" customFormat="1" ht="17.25" customHeight="1">
      <c r="A23" s="863">
        <v>19</v>
      </c>
      <c r="B23" s="864" t="s">
        <v>1608</v>
      </c>
      <c r="C23" s="868" t="str">
        <f>C22</f>
        <v>Wanaparthy</v>
      </c>
      <c r="D23" s="866">
        <f>D22</f>
        <v>57</v>
      </c>
      <c r="E23" s="867">
        <f>VLOOKUP(D23,'SSR-rates'!$B$8:$D$239,3,0)</f>
        <v>797.5179333714741</v>
      </c>
      <c r="F23" s="867">
        <f>'SSR-rates'!L10</f>
        <v>173</v>
      </c>
      <c r="G23" s="867">
        <f>'SSR-rates'!L$46</f>
        <v>100</v>
      </c>
      <c r="H23" s="867">
        <v>0</v>
      </c>
      <c r="I23" s="867">
        <f t="shared" si="2"/>
        <v>0</v>
      </c>
      <c r="J23" s="867">
        <f t="shared" si="0"/>
        <v>1070.5179333714741</v>
      </c>
      <c r="L23" s="914"/>
    </row>
    <row r="24" spans="1:12" s="860" customFormat="1" ht="18.600000000000001" customHeight="1">
      <c r="A24" s="863">
        <v>20</v>
      </c>
      <c r="B24" s="864" t="s">
        <v>1609</v>
      </c>
      <c r="C24" s="868" t="str">
        <f t="shared" si="3"/>
        <v>Wanaparthy</v>
      </c>
      <c r="D24" s="874">
        <f>D23</f>
        <v>57</v>
      </c>
      <c r="E24" s="867">
        <f>VLOOKUP(D24,'SSR-rates'!$B$8:$D$239,3,0)</f>
        <v>797.5179333714741</v>
      </c>
      <c r="F24" s="875">
        <f>'SSR-rates'!L11</f>
        <v>143</v>
      </c>
      <c r="G24" s="875">
        <f>'SSR-rates'!L$46</f>
        <v>100</v>
      </c>
      <c r="H24" s="875">
        <v>0</v>
      </c>
      <c r="I24" s="867">
        <f t="shared" si="2"/>
        <v>0</v>
      </c>
      <c r="J24" s="875">
        <f t="shared" si="0"/>
        <v>1040.5179333714741</v>
      </c>
      <c r="L24" s="914"/>
    </row>
    <row r="25" spans="1:12" s="860" customFormat="1" ht="17.25" customHeight="1">
      <c r="A25" s="863">
        <v>21</v>
      </c>
      <c r="B25" s="876" t="s">
        <v>1610</v>
      </c>
      <c r="C25" s="868" t="str">
        <f t="shared" si="3"/>
        <v>Wanaparthy</v>
      </c>
      <c r="D25" s="874">
        <f t="shared" ref="D25:D26" si="4">D24</f>
        <v>57</v>
      </c>
      <c r="E25" s="867">
        <f>VLOOKUP(D25,'SSR-rates'!$B$8:$D$239,3,0)</f>
        <v>797.5179333714741</v>
      </c>
      <c r="F25" s="875">
        <f>'SSR-rates'!L15</f>
        <v>44</v>
      </c>
      <c r="G25" s="875">
        <v>0</v>
      </c>
      <c r="H25" s="875">
        <v>0</v>
      </c>
      <c r="I25" s="875">
        <v>0</v>
      </c>
      <c r="J25" s="875">
        <f t="shared" si="0"/>
        <v>841.5179333714741</v>
      </c>
      <c r="L25" s="914"/>
    </row>
    <row r="26" spans="1:12" s="859" customFormat="1" ht="17.25" customHeight="1">
      <c r="A26" s="863">
        <v>22</v>
      </c>
      <c r="B26" s="864" t="s">
        <v>1611</v>
      </c>
      <c r="C26" s="868" t="str">
        <f t="shared" si="3"/>
        <v>Wanaparthy</v>
      </c>
      <c r="D26" s="874">
        <f t="shared" si="4"/>
        <v>57</v>
      </c>
      <c r="E26" s="867">
        <f>VLOOKUP(D26,'SSR-rates'!$B$8:$D$239,3,0)</f>
        <v>797.5179333714741</v>
      </c>
      <c r="F26" s="867">
        <f>'SSR-rates'!L16</f>
        <v>100</v>
      </c>
      <c r="G26" s="867">
        <f>'SSR-rates'!L$46</f>
        <v>100</v>
      </c>
      <c r="H26" s="867">
        <v>0</v>
      </c>
      <c r="I26" s="867">
        <v>0</v>
      </c>
      <c r="J26" s="867">
        <f t="shared" si="0"/>
        <v>997.5179333714741</v>
      </c>
      <c r="L26" s="914"/>
    </row>
    <row r="27" spans="1:12" s="859" customFormat="1" ht="31.5">
      <c r="A27" s="863">
        <v>23</v>
      </c>
      <c r="B27" s="864" t="s">
        <v>1612</v>
      </c>
      <c r="C27" s="868" t="str">
        <f t="shared" si="3"/>
        <v>Wanaparthy</v>
      </c>
      <c r="D27" s="866">
        <f>'Input Data'!$E$11</f>
        <v>57</v>
      </c>
      <c r="E27" s="867">
        <f>VLOOKUP(D27,'SSR-rates'!$B$8:$D$239,3,0)</f>
        <v>797.5179333714741</v>
      </c>
      <c r="F27" s="867">
        <f>'SSR-rates'!L95</f>
        <v>709</v>
      </c>
      <c r="G27" s="867">
        <v>0</v>
      </c>
      <c r="H27" s="867">
        <v>0</v>
      </c>
      <c r="I27" s="867">
        <v>0</v>
      </c>
      <c r="J27" s="867">
        <f t="shared" si="0"/>
        <v>1506.5179333714741</v>
      </c>
      <c r="L27" s="914"/>
    </row>
    <row r="28" spans="1:12" s="859" customFormat="1" ht="15.75">
      <c r="A28" s="863">
        <v>24</v>
      </c>
      <c r="B28" s="864" t="s">
        <v>1613</v>
      </c>
      <c r="C28" s="868" t="str">
        <f t="shared" si="3"/>
        <v>Wanaparthy</v>
      </c>
      <c r="D28" s="866">
        <f>'Input Data'!$E$11</f>
        <v>57</v>
      </c>
      <c r="E28" s="867">
        <f>VLOOKUP(D28,'SSR-rates'!$B$8:$D$239,3,0)</f>
        <v>797.5179333714741</v>
      </c>
      <c r="F28" s="875">
        <v>276</v>
      </c>
      <c r="G28" s="867">
        <f>G26</f>
        <v>100</v>
      </c>
      <c r="H28" s="867">
        <v>0</v>
      </c>
      <c r="I28" s="867">
        <v>0</v>
      </c>
      <c r="J28" s="867">
        <f t="shared" si="0"/>
        <v>1173.5179333714741</v>
      </c>
      <c r="L28" s="914"/>
    </row>
    <row r="29" spans="1:12" s="859" customFormat="1" ht="18.600000000000001" customHeight="1">
      <c r="A29" s="863">
        <v>25</v>
      </c>
      <c r="B29" s="864" t="s">
        <v>1614</v>
      </c>
      <c r="C29" s="868" t="str">
        <f t="shared" si="3"/>
        <v>Wanaparthy</v>
      </c>
      <c r="D29" s="866">
        <f>'Input Data'!$E$11</f>
        <v>57</v>
      </c>
      <c r="E29" s="867">
        <f>VLOOKUP(D29,'SSR-rates'!$B$8:$D$239,3,0)</f>
        <v>797.5179333714741</v>
      </c>
      <c r="F29" s="867">
        <f>'SSR-rates'!L129</f>
        <v>1333.3333333333333</v>
      </c>
      <c r="G29" s="867">
        <v>0</v>
      </c>
      <c r="H29" s="867">
        <v>0</v>
      </c>
      <c r="I29" s="867">
        <v>0</v>
      </c>
      <c r="J29" s="867">
        <f t="shared" si="0"/>
        <v>2130.8512667048071</v>
      </c>
      <c r="L29" s="914"/>
    </row>
    <row r="30" spans="1:12" s="859" customFormat="1" ht="18.600000000000001" customHeight="1">
      <c r="A30" s="863">
        <v>26</v>
      </c>
      <c r="B30" s="872" t="s">
        <v>1615</v>
      </c>
      <c r="C30" s="877" t="str">
        <f>+'Input Data'!D13</f>
        <v>Wanaparthy</v>
      </c>
      <c r="D30" s="866">
        <f>'Input Data'!E13</f>
        <v>82</v>
      </c>
      <c r="E30" s="867">
        <f>VLOOKUP(D30,'SSR-rates'!$B$8:$D$500,2,FALSE)</f>
        <v>1117.3700655723276</v>
      </c>
      <c r="F30" s="867">
        <f>'SSR-rates'!L32</f>
        <v>915</v>
      </c>
      <c r="G30" s="867">
        <v>0</v>
      </c>
      <c r="H30" s="867">
        <v>0</v>
      </c>
      <c r="I30" s="867">
        <v>0</v>
      </c>
      <c r="J30" s="867">
        <f t="shared" si="0"/>
        <v>2032.3700655723276</v>
      </c>
      <c r="L30" s="914"/>
    </row>
    <row r="31" spans="1:12" s="859" customFormat="1" ht="18.600000000000001" customHeight="1">
      <c r="A31" s="863">
        <v>27</v>
      </c>
      <c r="B31" s="872" t="s">
        <v>1616</v>
      </c>
      <c r="C31" s="877" t="str">
        <f>+C30</f>
        <v>Wanaparthy</v>
      </c>
      <c r="D31" s="866">
        <f>D30</f>
        <v>82</v>
      </c>
      <c r="E31" s="867">
        <f>VLOOKUP(D31,'SSR-rates'!B8:D500,2,FALSE)</f>
        <v>1117.3700655723276</v>
      </c>
      <c r="F31" s="867">
        <f>'SSR-rates'!L33</f>
        <v>695</v>
      </c>
      <c r="G31" s="867">
        <v>0</v>
      </c>
      <c r="H31" s="867">
        <v>0</v>
      </c>
      <c r="I31" s="867">
        <v>0</v>
      </c>
      <c r="J31" s="916">
        <f t="shared" si="0"/>
        <v>1812.3700655723276</v>
      </c>
      <c r="L31" s="914"/>
    </row>
    <row r="32" spans="1:12" s="859" customFormat="1" ht="18.600000000000001" customHeight="1">
      <c r="A32" s="863">
        <v>28</v>
      </c>
      <c r="B32" s="872" t="s">
        <v>597</v>
      </c>
      <c r="C32" s="870" t="str">
        <f>+'Input Data'!D14</f>
        <v>Local</v>
      </c>
      <c r="D32" s="866">
        <f>+'Input Data'!E14</f>
        <v>5</v>
      </c>
      <c r="E32" s="867">
        <f>VLOOKUP(D32,'SSR-rates'!B8:D237,2,FALSE)</f>
        <v>64.07604629670378</v>
      </c>
      <c r="F32" s="867">
        <f>'SSR-rates'!L34</f>
        <v>695</v>
      </c>
      <c r="G32" s="867">
        <v>0</v>
      </c>
      <c r="H32" s="867">
        <v>0</v>
      </c>
      <c r="I32" s="867">
        <v>0</v>
      </c>
      <c r="J32" s="867">
        <f t="shared" ref="J32:J35" si="5">SUM(E32:I32)</f>
        <v>759.07604629670379</v>
      </c>
      <c r="L32" s="914"/>
    </row>
    <row r="33" spans="1:13" s="859" customFormat="1" ht="18.600000000000001" customHeight="1">
      <c r="A33" s="863">
        <v>29</v>
      </c>
      <c r="B33" s="878" t="s">
        <v>400</v>
      </c>
      <c r="C33" s="870" t="str">
        <f>'Input Data'!D12</f>
        <v>Wanaparthy</v>
      </c>
      <c r="D33" s="866">
        <f>'Input Data'!E12</f>
        <v>57</v>
      </c>
      <c r="E33" s="867">
        <f>VLOOKUP(D33,'SSR-rates'!$B$8:$D$239,3,0)</f>
        <v>797.5179333714741</v>
      </c>
      <c r="F33" s="867">
        <f>'SSR-rates'!$L$123</f>
        <v>650</v>
      </c>
      <c r="G33" s="867">
        <v>0</v>
      </c>
      <c r="H33" s="867">
        <v>0</v>
      </c>
      <c r="I33" s="867">
        <f t="shared" ref="I33" si="6">$I$4</f>
        <v>0</v>
      </c>
      <c r="J33" s="916">
        <f t="shared" si="5"/>
        <v>1447.5179333714741</v>
      </c>
      <c r="L33" s="914"/>
    </row>
    <row r="34" spans="1:13" s="859" customFormat="1" ht="18.600000000000001" customHeight="1">
      <c r="A34" s="863">
        <v>30</v>
      </c>
      <c r="B34" s="872" t="s">
        <v>405</v>
      </c>
      <c r="C34" s="870" t="str">
        <f>'Input Data'!D15</f>
        <v>Local</v>
      </c>
      <c r="D34" s="866">
        <f>'Input Data'!$E$15</f>
        <v>5</v>
      </c>
      <c r="E34" s="867">
        <f>VLOOKUP(D34,'SSR-rates'!B8:D239,2,FALSE)</f>
        <v>64.07604629670378</v>
      </c>
      <c r="F34" s="867">
        <f>'SSR-rates'!L25</f>
        <v>109</v>
      </c>
      <c r="G34" s="867">
        <v>0</v>
      </c>
      <c r="H34" s="867">
        <v>0</v>
      </c>
      <c r="I34" s="867">
        <v>0</v>
      </c>
      <c r="J34" s="867">
        <f t="shared" si="5"/>
        <v>173.07604629670379</v>
      </c>
      <c r="L34" s="914"/>
    </row>
    <row r="35" spans="1:13" s="860" customFormat="1" ht="18.600000000000001" customHeight="1">
      <c r="A35" s="863">
        <v>31</v>
      </c>
      <c r="B35" s="879" t="s">
        <v>584</v>
      </c>
      <c r="C35" s="880" t="str">
        <f>'Input Data'!D19</f>
        <v>Local</v>
      </c>
      <c r="D35" s="874">
        <f>'Input Data'!$E$19</f>
        <v>5</v>
      </c>
      <c r="E35" s="875">
        <f>VLOOKUP(D35,'SSR-rates'!B8:D240,2,FALSE)</f>
        <v>64.07604629670378</v>
      </c>
      <c r="F35" s="867">
        <f>'SSR-rates'!L122</f>
        <v>79</v>
      </c>
      <c r="G35" s="875">
        <v>0</v>
      </c>
      <c r="H35" s="875">
        <v>0</v>
      </c>
      <c r="I35" s="875">
        <v>0</v>
      </c>
      <c r="J35" s="875">
        <f t="shared" si="5"/>
        <v>143.07604629670379</v>
      </c>
      <c r="L35" s="914"/>
    </row>
    <row r="36" spans="1:13" s="859" customFormat="1" ht="18.600000000000001" customHeight="1">
      <c r="A36" s="863">
        <v>32</v>
      </c>
      <c r="B36" s="872" t="str">
        <f>'Input Data'!H24</f>
        <v>Cement, sep' 2024</v>
      </c>
      <c r="C36" s="863"/>
      <c r="D36" s="872"/>
      <c r="E36" s="881"/>
      <c r="F36" s="867">
        <f>'Input Data'!I24</f>
        <v>5000</v>
      </c>
      <c r="G36" s="867"/>
      <c r="H36" s="867"/>
      <c r="I36" s="867"/>
      <c r="J36" s="867">
        <f>F36</f>
        <v>5000</v>
      </c>
      <c r="L36" s="914"/>
    </row>
    <row r="37" spans="1:13" ht="18.600000000000001" customHeight="1">
      <c r="A37" s="863">
        <v>33</v>
      </c>
      <c r="B37" s="882" t="str">
        <f>'Input Data'!H25</f>
        <v>Steel HYSD-Fe-500 Bars, sep' 2024</v>
      </c>
      <c r="C37" s="882"/>
      <c r="D37" s="882"/>
      <c r="E37" s="883"/>
      <c r="F37" s="867">
        <f>'Input Data'!I25</f>
        <v>49000</v>
      </c>
      <c r="G37" s="883"/>
      <c r="H37" s="883"/>
      <c r="I37" s="883"/>
      <c r="J37" s="867">
        <f>F37</f>
        <v>49000</v>
      </c>
      <c r="L37" s="914"/>
    </row>
    <row r="38" spans="1:13" ht="18.600000000000001" customHeight="1">
      <c r="A38" s="863">
        <v>34</v>
      </c>
      <c r="B38" s="884" t="str">
        <f>'Input Data'!H26</f>
        <v>Mild Steel Bars, sep' 2024</v>
      </c>
      <c r="C38" s="882"/>
      <c r="D38" s="882"/>
      <c r="E38" s="883"/>
      <c r="F38" s="867">
        <f>'Input Data'!I26</f>
        <v>60000</v>
      </c>
      <c r="G38" s="883"/>
      <c r="H38" s="883"/>
      <c r="I38" s="883"/>
      <c r="J38" s="867">
        <f>F38</f>
        <v>60000</v>
      </c>
      <c r="K38" s="917">
        <v>61</v>
      </c>
      <c r="L38" s="914"/>
    </row>
    <row r="39" spans="1:13" ht="18.600000000000001" customHeight="1">
      <c r="A39" s="863">
        <v>35</v>
      </c>
      <c r="B39" s="885" t="str">
        <f>'Input Data'!H27</f>
        <v>6mm M.S. Rods, sep' 2024</v>
      </c>
      <c r="C39" s="886"/>
      <c r="D39" s="886"/>
      <c r="E39" s="887"/>
      <c r="F39" s="867">
        <f>'Input Data'!I27</f>
        <v>55000</v>
      </c>
      <c r="G39" s="887"/>
      <c r="H39" s="883"/>
      <c r="I39" s="883"/>
      <c r="J39" s="867">
        <f>F39</f>
        <v>55000</v>
      </c>
      <c r="K39" s="917">
        <v>60</v>
      </c>
      <c r="L39" s="914"/>
    </row>
    <row r="40" spans="1:13" s="859" customFormat="1" ht="35.450000000000003" customHeight="1">
      <c r="A40" s="863">
        <v>36</v>
      </c>
      <c r="B40" s="888" t="str">
        <f>"Bulk VG30 Grade (Bulk)60/70"&amp;"- as on "&amp;'Input Data'!H14</f>
        <v>Bulk VG30 Grade (Bulk)60/70- as on 45536</v>
      </c>
      <c r="C40" s="880" t="str">
        <f>'Input Data'!D20</f>
        <v>chennai</v>
      </c>
      <c r="D40" s="874">
        <f>'Input Data'!E20</f>
        <v>665</v>
      </c>
      <c r="E40" s="875">
        <f>ROUND(2*D40*'SSR-rates'!$Q$21,2)/1.13615</f>
        <v>3511.8602297231878</v>
      </c>
      <c r="F40" s="867">
        <f>'Input Data'!J14</f>
        <v>40352</v>
      </c>
      <c r="G40" s="889"/>
      <c r="H40" s="881"/>
      <c r="I40" s="881"/>
      <c r="J40" s="867">
        <f>E40+F40</f>
        <v>43863.860229723185</v>
      </c>
      <c r="K40" s="918"/>
      <c r="L40" s="914"/>
      <c r="M40" s="489"/>
    </row>
    <row r="41" spans="1:13" s="859" customFormat="1" ht="15.75">
      <c r="A41" s="863">
        <v>37</v>
      </c>
      <c r="B41" s="890" t="s">
        <v>1617</v>
      </c>
      <c r="C41" s="880" t="str">
        <f t="shared" ref="C41:E42" si="7">C40</f>
        <v>chennai</v>
      </c>
      <c r="D41" s="874">
        <f t="shared" si="7"/>
        <v>665</v>
      </c>
      <c r="E41" s="875">
        <f t="shared" si="7"/>
        <v>3511.8602297231878</v>
      </c>
      <c r="F41" s="867">
        <f>'Input Data'!J15</f>
        <v>73459</v>
      </c>
      <c r="G41" s="889"/>
      <c r="H41" s="881"/>
      <c r="I41" s="881"/>
      <c r="J41" s="867">
        <f t="shared" ref="J41:J42" si="8">E41+F41</f>
        <v>76970.860229723185</v>
      </c>
      <c r="L41" s="914"/>
    </row>
    <row r="42" spans="1:13" s="859" customFormat="1" ht="15.75">
      <c r="A42" s="863">
        <v>38</v>
      </c>
      <c r="B42" s="890" t="s">
        <v>1618</v>
      </c>
      <c r="C42" s="880" t="str">
        <f t="shared" si="7"/>
        <v>chennai</v>
      </c>
      <c r="D42" s="874">
        <f t="shared" si="7"/>
        <v>665</v>
      </c>
      <c r="E42" s="875">
        <f t="shared" si="7"/>
        <v>3511.8602297231878</v>
      </c>
      <c r="F42" s="867">
        <f>'Input Data'!J16</f>
        <v>39765</v>
      </c>
      <c r="G42" s="889"/>
      <c r="H42" s="881"/>
      <c r="I42" s="881"/>
      <c r="J42" s="867">
        <f t="shared" si="8"/>
        <v>43276.860229723185</v>
      </c>
      <c r="L42" s="914"/>
    </row>
    <row r="43" spans="1:13" ht="15.75">
      <c r="A43" s="863">
        <v>39</v>
      </c>
      <c r="B43" s="891" t="s">
        <v>1619</v>
      </c>
      <c r="C43" s="892" t="str">
        <f>+'Input Data'!$D$16</f>
        <v>Wanaparthy</v>
      </c>
      <c r="D43" s="893">
        <f>'Input Data'!$E$16</f>
        <v>102</v>
      </c>
      <c r="E43" s="894">
        <f>((D43-5)*14.66+338.95)/1.13615</f>
        <v>1549.9449896580556</v>
      </c>
      <c r="F43" s="895">
        <f>+'NP4 pipes'!L17</f>
        <v>13785.26</v>
      </c>
      <c r="G43" s="896"/>
      <c r="H43" s="896"/>
      <c r="I43" s="896"/>
      <c r="J43" s="867">
        <f>SUM(E43:I43)</f>
        <v>15335.204989658056</v>
      </c>
      <c r="L43" s="914"/>
    </row>
    <row r="44" spans="1:13" ht="15.75">
      <c r="A44" s="863">
        <v>40</v>
      </c>
      <c r="B44" s="882" t="s">
        <v>1620</v>
      </c>
      <c r="C44" s="897" t="str">
        <f>+$C$43</f>
        <v>Wanaparthy</v>
      </c>
      <c r="D44" s="893">
        <f>'Input Data'!$E$16</f>
        <v>102</v>
      </c>
      <c r="E44" s="898">
        <f>((D44-5)*13.47+279.47)/1.13615</f>
        <v>1395.9952471064562</v>
      </c>
      <c r="F44" s="895">
        <f>+'NP4 pipes'!L19</f>
        <v>10147.49</v>
      </c>
      <c r="G44" s="899"/>
      <c r="H44" s="893"/>
      <c r="I44" s="893"/>
      <c r="J44" s="867">
        <f>SUM(E44:I44)</f>
        <v>11543.485247106455</v>
      </c>
      <c r="L44" s="914"/>
    </row>
    <row r="45" spans="1:13" ht="15.75">
      <c r="A45" s="863">
        <v>41</v>
      </c>
      <c r="B45" s="882" t="s">
        <v>1621</v>
      </c>
      <c r="C45" s="897" t="str">
        <f>+$C$44</f>
        <v>Wanaparthy</v>
      </c>
      <c r="D45" s="893">
        <f>'Input Data'!$E$16</f>
        <v>102</v>
      </c>
      <c r="E45" s="898">
        <f>((D45-5)*13.47+231.99)/1.13615</f>
        <v>1354.2049905382214</v>
      </c>
      <c r="F45" s="895">
        <f>+'NP4 pipes'!L21</f>
        <v>7438.07</v>
      </c>
      <c r="G45" s="899"/>
      <c r="H45" s="893"/>
      <c r="I45" s="893"/>
      <c r="J45" s="867">
        <f t="shared" ref="J45:J52" si="9">SUM(E45:I45)</f>
        <v>8792.2749905382207</v>
      </c>
      <c r="L45" s="914"/>
    </row>
    <row r="46" spans="1:13" ht="15.75">
      <c r="A46" s="863">
        <v>42</v>
      </c>
      <c r="B46" s="882" t="s">
        <v>1622</v>
      </c>
      <c r="C46" s="897" t="str">
        <f>+$C$45</f>
        <v>Wanaparthy</v>
      </c>
      <c r="D46" s="893">
        <f>'Input Data'!$E$16</f>
        <v>102</v>
      </c>
      <c r="E46" s="898">
        <f>((D46-5)*7.15+176.89)/1.13615</f>
        <v>766.1312326717424</v>
      </c>
      <c r="F46" s="895">
        <f>+'NP4 pipes'!L23</f>
        <v>5978.15</v>
      </c>
      <c r="G46" s="899"/>
      <c r="H46" s="893"/>
      <c r="I46" s="893"/>
      <c r="J46" s="867">
        <f t="shared" si="9"/>
        <v>6744.2812326717421</v>
      </c>
      <c r="L46" s="914"/>
    </row>
    <row r="47" spans="1:13" ht="15.75">
      <c r="A47" s="863">
        <v>43</v>
      </c>
      <c r="B47" s="882" t="s">
        <v>1623</v>
      </c>
      <c r="C47" s="897" t="str">
        <f>+$C$46</f>
        <v>Wanaparthy</v>
      </c>
      <c r="D47" s="893">
        <f>'Input Data'!$E$16</f>
        <v>102</v>
      </c>
      <c r="E47" s="898">
        <f>((D47-5)*7.15+147.15)/1.13615</f>
        <v>739.95511156097348</v>
      </c>
      <c r="F47" s="895">
        <f>+'NP4 pipes'!L25</f>
        <v>4558.3599999999997</v>
      </c>
      <c r="G47" s="899"/>
      <c r="H47" s="893"/>
      <c r="I47" s="893"/>
      <c r="J47" s="867">
        <f t="shared" si="9"/>
        <v>5298.3151115609735</v>
      </c>
      <c r="L47" s="914"/>
    </row>
    <row r="48" spans="1:13" ht="15.75">
      <c r="A48" s="863">
        <v>44</v>
      </c>
      <c r="B48" s="882" t="s">
        <v>1624</v>
      </c>
      <c r="C48" s="897" t="str">
        <f>+$C$47</f>
        <v>Wanaparthy</v>
      </c>
      <c r="D48" s="893">
        <f>'Input Data'!$E$16</f>
        <v>102</v>
      </c>
      <c r="E48" s="898">
        <f>((D48-5)*6.14+132.33)/1.13615</f>
        <v>640.68124807463801</v>
      </c>
      <c r="F48" s="895">
        <f>+'NP4 pipes'!L27</f>
        <v>3393.24</v>
      </c>
      <c r="G48" s="899"/>
      <c r="H48" s="893"/>
      <c r="I48" s="893"/>
      <c r="J48" s="867">
        <f t="shared" si="9"/>
        <v>4033.9212480746378</v>
      </c>
      <c r="L48" s="914"/>
    </row>
    <row r="49" spans="1:12" ht="15.75">
      <c r="A49" s="863">
        <v>45</v>
      </c>
      <c r="B49" s="900" t="s">
        <v>1625</v>
      </c>
      <c r="C49" s="897" t="str">
        <f>+$C$48</f>
        <v>Wanaparthy</v>
      </c>
      <c r="D49" s="893">
        <f>'Input Data'!$E$16</f>
        <v>102</v>
      </c>
      <c r="E49" s="898">
        <f>((D49-5)*2.76+80.32)/1.13615</f>
        <v>306.33279056462612</v>
      </c>
      <c r="F49" s="895">
        <f>+'NP4 pipes'!L29</f>
        <v>1754.64</v>
      </c>
      <c r="G49" s="899"/>
      <c r="H49" s="893"/>
      <c r="I49" s="893"/>
      <c r="J49" s="867">
        <f t="shared" si="9"/>
        <v>2060.9727905646264</v>
      </c>
      <c r="L49" s="914"/>
    </row>
    <row r="50" spans="1:12" ht="15.75">
      <c r="A50" s="863">
        <v>46</v>
      </c>
      <c r="B50" s="882" t="s">
        <v>1626</v>
      </c>
      <c r="C50" s="897" t="str">
        <f>+$C$49</f>
        <v>Wanaparthy</v>
      </c>
      <c r="D50" s="893">
        <f>'Input Data'!$E$16</f>
        <v>102</v>
      </c>
      <c r="E50" s="898">
        <f>((D50-5)*1.6+57.93)/1.13615</f>
        <v>187.5896668573692</v>
      </c>
      <c r="F50" s="895">
        <f>+'NP4 pipes'!L31</f>
        <v>1128.3900000000001</v>
      </c>
      <c r="G50" s="899"/>
      <c r="H50" s="893"/>
      <c r="I50" s="893"/>
      <c r="J50" s="867">
        <f t="shared" si="9"/>
        <v>1315.9796668573692</v>
      </c>
      <c r="L50" s="914"/>
    </row>
    <row r="51" spans="1:12" ht="15.75">
      <c r="A51" s="863">
        <v>47</v>
      </c>
      <c r="B51" s="882" t="s">
        <v>1627</v>
      </c>
      <c r="C51" s="892" t="str">
        <f>+'Input Data'!$D$16</f>
        <v>Wanaparthy</v>
      </c>
      <c r="D51" s="893">
        <f>'Input Data'!$E$16</f>
        <v>102</v>
      </c>
      <c r="E51" s="901"/>
      <c r="F51" s="895">
        <f>+'NP4 pipes'!L18</f>
        <v>1982.51</v>
      </c>
      <c r="G51" s="902"/>
      <c r="H51" s="902"/>
      <c r="I51" s="902"/>
      <c r="J51" s="867">
        <f t="shared" si="9"/>
        <v>1982.51</v>
      </c>
      <c r="L51" s="914"/>
    </row>
    <row r="52" spans="1:12" ht="15.75">
      <c r="A52" s="863">
        <v>48</v>
      </c>
      <c r="B52" s="882" t="s">
        <v>1628</v>
      </c>
      <c r="C52" s="897" t="str">
        <f>+$C$43</f>
        <v>Wanaparthy</v>
      </c>
      <c r="D52" s="893">
        <f>'Input Data'!$E$16</f>
        <v>102</v>
      </c>
      <c r="E52" s="901"/>
      <c r="F52" s="895">
        <f>+'NP4 pipes'!L20</f>
        <v>1252.68</v>
      </c>
      <c r="G52" s="899"/>
      <c r="H52" s="893"/>
      <c r="I52" s="893"/>
      <c r="J52" s="867">
        <f t="shared" si="9"/>
        <v>1252.68</v>
      </c>
      <c r="L52" s="914"/>
    </row>
    <row r="53" spans="1:12" ht="15.75">
      <c r="A53" s="863">
        <v>49</v>
      </c>
      <c r="B53" s="882" t="s">
        <v>1629</v>
      </c>
      <c r="C53" s="897" t="str">
        <f>+$C$44</f>
        <v>Wanaparthy</v>
      </c>
      <c r="D53" s="893">
        <f>'Input Data'!$E$16</f>
        <v>102</v>
      </c>
      <c r="E53" s="901"/>
      <c r="F53" s="895">
        <f>+'NP4 pipes'!L22</f>
        <v>996.44</v>
      </c>
      <c r="G53" s="899"/>
      <c r="H53" s="893"/>
      <c r="I53" s="893"/>
      <c r="J53" s="867">
        <f t="shared" ref="J53:J58" si="10">SUM(E53:I53)</f>
        <v>996.44</v>
      </c>
      <c r="L53" s="914"/>
    </row>
    <row r="54" spans="1:12" ht="15.75">
      <c r="A54" s="863">
        <v>50</v>
      </c>
      <c r="B54" s="882" t="s">
        <v>1630</v>
      </c>
      <c r="C54" s="897" t="str">
        <f>+$C$45</f>
        <v>Wanaparthy</v>
      </c>
      <c r="D54" s="893">
        <f>'Input Data'!$E$16</f>
        <v>102</v>
      </c>
      <c r="E54" s="901"/>
      <c r="F54" s="895">
        <f>+'NP4 pipes'!L24</f>
        <v>857.12</v>
      </c>
      <c r="G54" s="899"/>
      <c r="H54" s="893"/>
      <c r="I54" s="893"/>
      <c r="J54" s="867">
        <f t="shared" si="10"/>
        <v>857.12</v>
      </c>
      <c r="L54" s="914"/>
    </row>
    <row r="55" spans="1:12" ht="15.75">
      <c r="A55" s="863">
        <v>51</v>
      </c>
      <c r="B55" s="882" t="s">
        <v>1631</v>
      </c>
      <c r="C55" s="897" t="str">
        <f>+$C$46</f>
        <v>Wanaparthy</v>
      </c>
      <c r="D55" s="893">
        <f>'Input Data'!$E$16</f>
        <v>102</v>
      </c>
      <c r="E55" s="901"/>
      <c r="F55" s="895">
        <f>+'NP4 pipes'!L26</f>
        <v>679.73</v>
      </c>
      <c r="G55" s="899"/>
      <c r="H55" s="893"/>
      <c r="I55" s="893"/>
      <c r="J55" s="867">
        <f t="shared" si="10"/>
        <v>679.73</v>
      </c>
      <c r="L55" s="914"/>
    </row>
    <row r="56" spans="1:12" ht="15.75">
      <c r="A56" s="863">
        <v>52</v>
      </c>
      <c r="B56" s="882" t="s">
        <v>1632</v>
      </c>
      <c r="C56" s="897" t="str">
        <f>+$C$47</f>
        <v>Wanaparthy</v>
      </c>
      <c r="D56" s="893">
        <f>'Input Data'!$E$16</f>
        <v>102</v>
      </c>
      <c r="E56" s="901"/>
      <c r="F56" s="895">
        <f>+'NP4 pipes'!L28</f>
        <v>500.26</v>
      </c>
      <c r="G56" s="899"/>
      <c r="H56" s="893"/>
      <c r="I56" s="893"/>
      <c r="J56" s="867">
        <f t="shared" si="10"/>
        <v>500.26</v>
      </c>
      <c r="L56" s="914"/>
    </row>
    <row r="57" spans="1:12" ht="15.75">
      <c r="A57" s="863">
        <v>53</v>
      </c>
      <c r="B57" s="900" t="s">
        <v>1633</v>
      </c>
      <c r="C57" s="897" t="str">
        <f>+$C$48</f>
        <v>Wanaparthy</v>
      </c>
      <c r="D57" s="893">
        <f>'Input Data'!$E$16</f>
        <v>102</v>
      </c>
      <c r="E57" s="901"/>
      <c r="F57" s="895">
        <f>+'NP4 pipes'!L30</f>
        <v>318.85000000000002</v>
      </c>
      <c r="G57" s="899"/>
      <c r="H57" s="893"/>
      <c r="I57" s="893"/>
      <c r="J57" s="867">
        <f t="shared" si="10"/>
        <v>318.85000000000002</v>
      </c>
      <c r="L57" s="914"/>
    </row>
    <row r="58" spans="1:12" ht="15.75">
      <c r="A58" s="863">
        <v>54</v>
      </c>
      <c r="B58" s="882" t="s">
        <v>1634</v>
      </c>
      <c r="C58" s="897" t="str">
        <f>+$C$49</f>
        <v>Wanaparthy</v>
      </c>
      <c r="D58" s="893">
        <f>'Input Data'!$E$16</f>
        <v>102</v>
      </c>
      <c r="E58" s="901"/>
      <c r="F58" s="895">
        <f>+'NP4 pipes'!L32</f>
        <v>173.5</v>
      </c>
      <c r="G58" s="899"/>
      <c r="H58" s="893"/>
      <c r="I58" s="893"/>
      <c r="J58" s="867">
        <f t="shared" si="10"/>
        <v>173.5</v>
      </c>
      <c r="L58" s="914"/>
    </row>
    <row r="59" spans="1:12" s="483" customFormat="1" ht="15.75">
      <c r="A59" s="486"/>
      <c r="B59" s="903" t="s">
        <v>1635</v>
      </c>
      <c r="C59" s="904"/>
      <c r="D59" s="904"/>
      <c r="E59" s="904"/>
      <c r="F59" s="905"/>
      <c r="G59" s="906"/>
      <c r="H59" s="907"/>
      <c r="I59" s="907"/>
      <c r="J59" s="919"/>
    </row>
    <row r="60" spans="1:12" s="484" customFormat="1" ht="15.75">
      <c r="A60" s="484">
        <v>1</v>
      </c>
      <c r="B60" s="484" t="s">
        <v>1636</v>
      </c>
      <c r="D60" s="908"/>
      <c r="E60" s="908"/>
    </row>
    <row r="61" spans="1:12" s="484" customFormat="1" ht="15.75">
      <c r="A61" s="484">
        <v>2</v>
      </c>
      <c r="B61" s="484" t="s">
        <v>1637</v>
      </c>
      <c r="D61" s="908"/>
      <c r="E61" s="908"/>
    </row>
    <row r="62" spans="1:12" s="483" customFormat="1" ht="21.6" customHeight="1">
      <c r="A62" s="483">
        <v>3</v>
      </c>
      <c r="B62" s="484" t="s">
        <v>1638</v>
      </c>
      <c r="C62" s="909"/>
      <c r="D62" s="904"/>
      <c r="E62" s="904"/>
    </row>
    <row r="63" spans="1:12" ht="19.149999999999999" customHeight="1">
      <c r="A63" s="483">
        <v>4</v>
      </c>
      <c r="B63" s="498" t="s">
        <v>1639</v>
      </c>
      <c r="C63" s="910" t="str">
        <f>'Input Data'!D26</f>
        <v>N</v>
      </c>
      <c r="D63" s="911"/>
      <c r="E63" s="912"/>
    </row>
    <row r="64" spans="1:12" ht="20.100000000000001" customHeight="1">
      <c r="A64" s="483">
        <v>5</v>
      </c>
      <c r="B64" s="498" t="s">
        <v>1640</v>
      </c>
      <c r="C64" s="911" t="s">
        <v>1641</v>
      </c>
      <c r="D64" s="910">
        <f>'Input Data'!D23</f>
        <v>0</v>
      </c>
      <c r="E64" s="912"/>
    </row>
    <row r="65" spans="1:11" ht="20.100000000000001" customHeight="1">
      <c r="A65" s="483"/>
      <c r="B65" s="484"/>
      <c r="C65" s="920"/>
      <c r="D65" s="921"/>
      <c r="E65" s="912"/>
    </row>
    <row r="66" spans="1:11" ht="39" customHeight="1">
      <c r="A66" s="922"/>
      <c r="B66" s="923" t="s">
        <v>1642</v>
      </c>
      <c r="C66" s="924"/>
      <c r="D66" s="925" t="str">
        <f>+GA!$C$34</f>
        <v>Dy. Exe. Engineer</v>
      </c>
      <c r="E66" s="925"/>
      <c r="G66" s="926" t="str">
        <f>+GA!$B$37</f>
        <v>District Panchayat Raj Engineer,</v>
      </c>
      <c r="I66" s="3741" t="s">
        <v>685</v>
      </c>
      <c r="J66" s="3741"/>
      <c r="K66" s="3741"/>
    </row>
    <row r="67" spans="1:11" ht="15.75">
      <c r="A67" s="927"/>
      <c r="B67" s="928" t="str">
        <f>+GA!$B$35</f>
        <v>PRSD, Wanaparthy</v>
      </c>
      <c r="C67" s="912"/>
      <c r="D67" s="3742" t="str">
        <f>+GA!$C$35</f>
        <v>PRSD, Wanaparthy</v>
      </c>
      <c r="E67" s="3742"/>
      <c r="G67" s="929" t="str">
        <f>+GA!$B$38</f>
        <v>PIU, Wanaparthy</v>
      </c>
      <c r="I67" s="3743" t="str">
        <f>"PR, Circle, "&amp;'Input Data'!D3&amp;""</f>
        <v>PR, Circle, Warangal</v>
      </c>
      <c r="J67" s="3743"/>
      <c r="K67" s="3743"/>
    </row>
    <row r="68" spans="1:11" ht="20.100000000000001" customHeight="1">
      <c r="B68" s="912"/>
      <c r="C68" s="912"/>
      <c r="D68" s="912"/>
      <c r="E68" s="912"/>
    </row>
  </sheetData>
  <sheetProtection selectLockedCells="1" selectUnlockedCells="1"/>
  <mergeCells count="6">
    <mergeCell ref="A1:J1"/>
    <mergeCell ref="A2:B2"/>
    <mergeCell ref="C2:J2"/>
    <mergeCell ref="I66:K66"/>
    <mergeCell ref="D67:E67"/>
    <mergeCell ref="I67:K67"/>
  </mergeCells>
  <printOptions horizontalCentered="1"/>
  <pageMargins left="0.75" right="0.25" top="0.5" bottom="0.25" header="0.5" footer="0"/>
  <pageSetup paperSize="9" scale="83" orientation="landscape" r:id="rId1"/>
  <headerFooter alignWithMargins="0"/>
  <rowBreaks count="2" manualBreakCount="2">
    <brk id="25" max="9" man="1"/>
    <brk id="58" max="9" man="1"/>
  </rowBreaks>
</worksheet>
</file>

<file path=xl/worksheets/sheet34.xml><?xml version="1.0" encoding="utf-8"?>
<worksheet xmlns="http://schemas.openxmlformats.org/spreadsheetml/2006/main" xmlns:r="http://schemas.openxmlformats.org/officeDocument/2006/relationships">
  <sheetPr codeName="Sheet6"/>
  <dimension ref="B1:V507"/>
  <sheetViews>
    <sheetView zoomScale="60" zoomScaleNormal="60" zoomScaleSheetLayoutView="70" workbookViewId="0">
      <selection activeCell="E59" sqref="E59"/>
    </sheetView>
  </sheetViews>
  <sheetFormatPr defaultColWidth="8.85546875" defaultRowHeight="25.15" customHeight="1"/>
  <cols>
    <col min="1" max="1" width="8.85546875" customWidth="1"/>
    <col min="2" max="2" width="12.140625" style="88" customWidth="1"/>
    <col min="3" max="3" width="16.140625" style="89" customWidth="1"/>
    <col min="4" max="5" width="14.7109375" style="89" customWidth="1"/>
    <col min="6" max="6" width="7" style="90" customWidth="1"/>
    <col min="7" max="7" width="56" style="91" customWidth="1"/>
    <col min="8" max="8" width="10.42578125" style="91" hidden="1" customWidth="1"/>
    <col min="9" max="9" width="15.28515625" style="92" hidden="1" customWidth="1"/>
    <col min="10" max="12" width="15.28515625" style="92" customWidth="1"/>
    <col min="13" max="13" width="16.42578125" style="88" customWidth="1"/>
    <col min="14" max="14" width="7.42578125" customWidth="1"/>
    <col min="15" max="15" width="19.140625" style="90" customWidth="1"/>
    <col min="16" max="16" width="23" customWidth="1"/>
    <col min="17" max="17" width="22" customWidth="1"/>
    <col min="18" max="18" width="19.5703125" customWidth="1"/>
    <col min="19" max="19" width="8.85546875" customWidth="1"/>
  </cols>
  <sheetData>
    <row r="1" spans="2:22" ht="25.15" customHeight="1">
      <c r="B1" s="3748" t="s">
        <v>2473</v>
      </c>
      <c r="C1" s="3748"/>
      <c r="D1" s="3749"/>
      <c r="E1" s="4026"/>
      <c r="F1" s="94"/>
      <c r="G1" s="3750" t="s">
        <v>2474</v>
      </c>
      <c r="H1" s="3750"/>
      <c r="I1" s="3750"/>
      <c r="J1" s="95"/>
      <c r="K1" s="2957"/>
      <c r="L1" s="95"/>
      <c r="M1" s="119" t="s">
        <v>2475</v>
      </c>
      <c r="O1" s="96" t="s">
        <v>2476</v>
      </c>
      <c r="P1" s="96" t="s">
        <v>2477</v>
      </c>
      <c r="Q1" t="s">
        <v>2816</v>
      </c>
    </row>
    <row r="2" spans="2:22" ht="33.6" customHeight="1">
      <c r="B2" s="93"/>
      <c r="C2" s="96" t="s">
        <v>2476</v>
      </c>
      <c r="D2" s="96" t="s">
        <v>2477</v>
      </c>
      <c r="E2" s="4027" t="s">
        <v>2816</v>
      </c>
      <c r="F2" s="94"/>
      <c r="G2" s="97"/>
      <c r="H2" s="98" t="s">
        <v>2478</v>
      </c>
      <c r="I2" s="99" t="s">
        <v>2479</v>
      </c>
      <c r="J2" s="99" t="s">
        <v>2480</v>
      </c>
      <c r="K2" s="99" t="s">
        <v>2481</v>
      </c>
      <c r="L2" s="99" t="s">
        <v>2782</v>
      </c>
      <c r="M2" s="97" t="s">
        <v>2482</v>
      </c>
      <c r="O2" s="100">
        <f>Q7/$Q$19</f>
        <v>38.463231087444441</v>
      </c>
      <c r="P2" s="100">
        <f>R7/$Q$19</f>
        <v>37.054966333670734</v>
      </c>
      <c r="Q2" s="100">
        <f>S7/$Q$19</f>
        <v>61.787616071821503</v>
      </c>
      <c r="R2" s="120"/>
      <c r="S2" s="120"/>
      <c r="T2" s="120"/>
      <c r="U2" s="120"/>
      <c r="V2" s="120"/>
    </row>
    <row r="3" spans="2:22" ht="25.15" customHeight="1">
      <c r="B3" s="93" t="s">
        <v>2483</v>
      </c>
      <c r="C3" s="100">
        <f>Q16/$Q$19</f>
        <v>63.283897372706072</v>
      </c>
      <c r="D3" s="100">
        <f>R16/$Q$19</f>
        <v>119.17440478810016</v>
      </c>
      <c r="E3" s="4028"/>
      <c r="F3" s="94"/>
      <c r="G3" s="101" t="s">
        <v>2484</v>
      </c>
      <c r="H3" s="102"/>
      <c r="I3" s="103"/>
      <c r="J3" s="103"/>
      <c r="K3" s="103"/>
      <c r="L3" s="103"/>
      <c r="M3" s="121"/>
      <c r="O3" s="3745" t="s">
        <v>2</v>
      </c>
      <c r="P3" s="3745" t="s">
        <v>2485</v>
      </c>
      <c r="Q3" s="3746" t="s">
        <v>2486</v>
      </c>
      <c r="R3" s="3746" t="s">
        <v>2487</v>
      </c>
      <c r="S3" s="3747"/>
      <c r="T3" s="3747"/>
      <c r="U3" s="3747"/>
    </row>
    <row r="4" spans="2:22" ht="25.15" customHeight="1">
      <c r="B4" s="93" t="s">
        <v>2488</v>
      </c>
      <c r="C4" s="100">
        <f>Q17/$Q$19</f>
        <v>19.363640364388505</v>
      </c>
      <c r="D4" s="104">
        <f>R17/$Q$19</f>
        <v>19.363640364388505</v>
      </c>
      <c r="E4" s="104"/>
      <c r="F4" s="105">
        <v>1</v>
      </c>
      <c r="G4" s="106" t="s">
        <v>2489</v>
      </c>
      <c r="H4" s="107">
        <v>398</v>
      </c>
      <c r="I4" s="108">
        <v>400</v>
      </c>
      <c r="J4" s="108">
        <v>540</v>
      </c>
      <c r="K4" s="108">
        <v>544</v>
      </c>
      <c r="L4" s="2959">
        <v>544</v>
      </c>
      <c r="M4" s="122" t="s">
        <v>2490</v>
      </c>
      <c r="O4" s="3745"/>
      <c r="P4" s="3745"/>
      <c r="Q4" s="3746"/>
      <c r="R4" s="3746"/>
      <c r="S4" s="3747"/>
      <c r="T4" s="3747"/>
      <c r="U4" s="3747"/>
    </row>
    <row r="5" spans="2:22" ht="25.15" customHeight="1">
      <c r="B5" s="93" t="s">
        <v>2491</v>
      </c>
      <c r="C5" s="100">
        <v>0</v>
      </c>
      <c r="D5" s="104">
        <v>0</v>
      </c>
      <c r="E5" s="104"/>
      <c r="F5" s="105">
        <v>2</v>
      </c>
      <c r="G5" s="106" t="s">
        <v>2492</v>
      </c>
      <c r="H5" s="107">
        <v>433</v>
      </c>
      <c r="I5" s="108">
        <v>440</v>
      </c>
      <c r="J5" s="108">
        <v>650</v>
      </c>
      <c r="K5" s="108">
        <v>655</v>
      </c>
      <c r="L5" s="2959">
        <v>655</v>
      </c>
      <c r="M5" s="122" t="s">
        <v>2493</v>
      </c>
      <c r="O5" s="3745"/>
      <c r="P5" s="3745"/>
      <c r="Q5" s="3746"/>
      <c r="R5" s="3746"/>
    </row>
    <row r="6" spans="2:22" ht="25.15" customHeight="1">
      <c r="B6" s="93">
        <v>0.25</v>
      </c>
      <c r="C6" s="100">
        <v>0</v>
      </c>
      <c r="D6" s="104">
        <v>0</v>
      </c>
      <c r="E6" s="104"/>
      <c r="F6" s="105">
        <v>3</v>
      </c>
      <c r="G6" s="106" t="s">
        <v>2494</v>
      </c>
      <c r="H6" s="107">
        <v>475</v>
      </c>
      <c r="I6" s="108">
        <v>520</v>
      </c>
      <c r="J6" s="108">
        <v>903</v>
      </c>
      <c r="K6" s="108">
        <v>909</v>
      </c>
      <c r="L6" s="2959">
        <v>909</v>
      </c>
      <c r="M6" s="122" t="s">
        <v>2495</v>
      </c>
      <c r="O6" s="3745"/>
      <c r="P6" s="3745"/>
      <c r="Q6" s="3746"/>
      <c r="R6" s="3746"/>
      <c r="S6" s="89" t="s">
        <v>2816</v>
      </c>
    </row>
    <row r="7" spans="2:22" ht="25.15" customHeight="1">
      <c r="B7" s="93">
        <v>0.5</v>
      </c>
      <c r="C7" s="100">
        <v>0</v>
      </c>
      <c r="D7" s="104">
        <v>0</v>
      </c>
      <c r="E7" s="104"/>
      <c r="F7" s="105">
        <v>4</v>
      </c>
      <c r="G7" s="106" t="s">
        <v>2496</v>
      </c>
      <c r="H7" s="109">
        <v>156</v>
      </c>
      <c r="I7" s="108">
        <v>156</v>
      </c>
      <c r="J7" s="108">
        <v>163</v>
      </c>
      <c r="K7" s="108">
        <v>164</v>
      </c>
      <c r="L7" s="2959">
        <v>164</v>
      </c>
      <c r="M7" s="122" t="s">
        <v>2497</v>
      </c>
      <c r="O7" s="95">
        <v>1</v>
      </c>
      <c r="P7" s="123" t="s">
        <v>2498</v>
      </c>
      <c r="Q7" s="2980">
        <v>43.7</v>
      </c>
      <c r="R7" s="2980">
        <v>42.1</v>
      </c>
      <c r="S7" s="4029">
        <v>70.2</v>
      </c>
    </row>
    <row r="8" spans="2:22" ht="25.15" customHeight="1">
      <c r="B8" s="93">
        <v>1</v>
      </c>
      <c r="C8" s="100">
        <v>0</v>
      </c>
      <c r="D8" s="100">
        <v>0</v>
      </c>
      <c r="E8" s="104">
        <v>0</v>
      </c>
      <c r="F8" s="105">
        <v>5</v>
      </c>
      <c r="G8" s="106" t="s">
        <v>2499</v>
      </c>
      <c r="H8" s="109">
        <v>152</v>
      </c>
      <c r="I8" s="108">
        <v>152</v>
      </c>
      <c r="J8" s="108">
        <v>161</v>
      </c>
      <c r="K8" s="108">
        <v>162</v>
      </c>
      <c r="L8" s="2959">
        <v>162</v>
      </c>
      <c r="M8" s="122" t="s">
        <v>2500</v>
      </c>
      <c r="O8" s="95">
        <v>2</v>
      </c>
      <c r="P8" s="123" t="s">
        <v>2501</v>
      </c>
      <c r="Q8" s="2967">
        <v>61.1</v>
      </c>
      <c r="R8" s="2967">
        <v>59</v>
      </c>
      <c r="S8">
        <v>98.3</v>
      </c>
    </row>
    <row r="9" spans="2:22" ht="25.15" customHeight="1">
      <c r="B9" s="93">
        <v>2</v>
      </c>
      <c r="C9" s="100">
        <f>Q8/$Q$19-O2</f>
        <v>15.314879197289088</v>
      </c>
      <c r="D9" s="100">
        <f>R8/$Q$19-P2</f>
        <v>14.874796461734803</v>
      </c>
      <c r="E9" s="100">
        <f>S8/$Q$19-Q2</f>
        <v>24.732649738150769</v>
      </c>
      <c r="F9" s="105">
        <v>6</v>
      </c>
      <c r="G9" s="106" t="s">
        <v>2502</v>
      </c>
      <c r="H9" s="109">
        <v>146</v>
      </c>
      <c r="I9" s="108">
        <v>146</v>
      </c>
      <c r="J9" s="108">
        <v>167</v>
      </c>
      <c r="K9" s="108">
        <v>168</v>
      </c>
      <c r="L9" s="2959">
        <v>168</v>
      </c>
      <c r="M9" s="122" t="s">
        <v>2503</v>
      </c>
      <c r="O9" s="95">
        <v>3</v>
      </c>
      <c r="P9" s="123" t="s">
        <v>2504</v>
      </c>
      <c r="Q9" s="2967">
        <v>81.5</v>
      </c>
      <c r="R9" s="2967">
        <v>81.5</v>
      </c>
      <c r="S9">
        <v>131</v>
      </c>
    </row>
    <row r="10" spans="2:22" ht="25.15" customHeight="1">
      <c r="B10" s="93">
        <v>3</v>
      </c>
      <c r="C10" s="100">
        <f>Q9/$Q$19-O2</f>
        <v>33.270254807903882</v>
      </c>
      <c r="D10" s="100">
        <f>R9/$Q$19-P2</f>
        <v>34.678519561677589</v>
      </c>
      <c r="E10" s="100">
        <f>S9/$Q$19-Q2</f>
        <v>53.514060643400953</v>
      </c>
      <c r="F10" s="105">
        <v>7</v>
      </c>
      <c r="G10" s="106" t="s">
        <v>2505</v>
      </c>
      <c r="H10" s="109">
        <v>148</v>
      </c>
      <c r="I10" s="108">
        <v>156</v>
      </c>
      <c r="J10" s="108">
        <v>172</v>
      </c>
      <c r="K10" s="108">
        <v>173</v>
      </c>
      <c r="L10" s="2959">
        <v>173</v>
      </c>
      <c r="M10" s="122" t="s">
        <v>2506</v>
      </c>
      <c r="O10" s="95">
        <v>4</v>
      </c>
      <c r="P10" s="123" t="s">
        <v>2507</v>
      </c>
      <c r="Q10" s="2967">
        <v>99</v>
      </c>
      <c r="R10" s="2967">
        <v>99</v>
      </c>
      <c r="S10">
        <v>159.1</v>
      </c>
    </row>
    <row r="11" spans="2:22" ht="25.15" customHeight="1">
      <c r="B11" s="93">
        <v>4</v>
      </c>
      <c r="C11" s="100">
        <f>Q10/$Q$19-O2</f>
        <v>48.673150552303838</v>
      </c>
      <c r="D11" s="100">
        <f>R10/$Q$19-P2</f>
        <v>50.081415306077545</v>
      </c>
      <c r="E11" s="100">
        <f>S10/$Q$19-Q2</f>
        <v>78.246710381551736</v>
      </c>
      <c r="F11" s="105">
        <v>8</v>
      </c>
      <c r="G11" s="106" t="s">
        <v>2508</v>
      </c>
      <c r="H11" s="109">
        <v>129</v>
      </c>
      <c r="I11" s="108">
        <v>129</v>
      </c>
      <c r="J11" s="108">
        <v>142</v>
      </c>
      <c r="K11" s="108">
        <v>143</v>
      </c>
      <c r="L11" s="2959">
        <v>143</v>
      </c>
      <c r="M11" s="122" t="s">
        <v>2509</v>
      </c>
      <c r="O11" s="95">
        <v>5</v>
      </c>
      <c r="P11" s="123" t="s">
        <v>2510</v>
      </c>
      <c r="Q11" s="2967">
        <v>116.5</v>
      </c>
      <c r="R11" s="2967">
        <v>116.5</v>
      </c>
      <c r="S11" s="4030">
        <v>187.2</v>
      </c>
    </row>
    <row r="12" spans="2:22" ht="30.75">
      <c r="B12" s="93">
        <v>5</v>
      </c>
      <c r="C12" s="100">
        <f>Q11/$Q$19-O2</f>
        <v>64.07604629670378</v>
      </c>
      <c r="D12" s="100">
        <f>R11/$Q$19-P2</f>
        <v>65.484311050477487</v>
      </c>
      <c r="E12" s="100">
        <f>S11/$Q$19-Q2</f>
        <v>102.97936011970251</v>
      </c>
      <c r="F12" s="105">
        <v>9</v>
      </c>
      <c r="G12" s="106" t="s">
        <v>2511</v>
      </c>
      <c r="H12" s="109">
        <v>112</v>
      </c>
      <c r="I12" s="108">
        <v>112</v>
      </c>
      <c r="J12" s="108">
        <v>123</v>
      </c>
      <c r="K12" s="108">
        <v>124</v>
      </c>
      <c r="L12" s="2959">
        <v>124</v>
      </c>
      <c r="M12" s="122" t="s">
        <v>2512</v>
      </c>
      <c r="O12" s="95">
        <v>6</v>
      </c>
      <c r="P12" s="106" t="s">
        <v>2513</v>
      </c>
      <c r="Q12" s="2967">
        <v>17.5</v>
      </c>
      <c r="R12" s="2967">
        <v>17.5</v>
      </c>
      <c r="S12" s="4030">
        <v>28.1</v>
      </c>
    </row>
    <row r="13" spans="2:22" ht="25.15" customHeight="1">
      <c r="B13" s="93">
        <v>6</v>
      </c>
      <c r="C13" s="100">
        <f>C12+($Q$12/$Q$19)</f>
        <v>79.478942041103721</v>
      </c>
      <c r="D13" s="100">
        <f>D12+($R$12/$Q$19)</f>
        <v>80.887206794877429</v>
      </c>
      <c r="E13" s="100">
        <f>E12+($S$12/$Q$19)</f>
        <v>127.71200985785327</v>
      </c>
      <c r="F13" s="105">
        <v>10</v>
      </c>
      <c r="G13" s="106" t="s">
        <v>2514</v>
      </c>
      <c r="H13" s="109">
        <v>131</v>
      </c>
      <c r="I13" s="108">
        <v>131</v>
      </c>
      <c r="J13" s="108">
        <v>144</v>
      </c>
      <c r="K13" s="108">
        <v>145</v>
      </c>
      <c r="L13" s="2959">
        <v>145</v>
      </c>
      <c r="M13" s="122" t="s">
        <v>2515</v>
      </c>
      <c r="O13" s="95">
        <v>7</v>
      </c>
      <c r="P13" s="106" t="s">
        <v>2516</v>
      </c>
      <c r="Q13" s="2967">
        <v>14.6</v>
      </c>
      <c r="R13" s="2967">
        <v>14.6</v>
      </c>
      <c r="S13" s="4030">
        <v>23.4</v>
      </c>
    </row>
    <row r="14" spans="2:22" ht="25.15" customHeight="1">
      <c r="B14" s="93">
        <v>7</v>
      </c>
      <c r="C14" s="100">
        <f t="shared" ref="C14:C37" si="0">C13+($Q$12/$Q$19)</f>
        <v>94.881837785503663</v>
      </c>
      <c r="D14" s="100">
        <f t="shared" ref="D14:E37" si="1">D13+($R$12/$Q$19)</f>
        <v>96.29010253927737</v>
      </c>
      <c r="E14" s="100">
        <f t="shared" ref="E14:E77" si="2">E13+($S$12/$Q$19)</f>
        <v>152.44465959600404</v>
      </c>
      <c r="F14" s="105">
        <v>11</v>
      </c>
      <c r="G14" s="106" t="s">
        <v>2517</v>
      </c>
      <c r="H14" s="109">
        <v>179</v>
      </c>
      <c r="I14" s="108">
        <v>179</v>
      </c>
      <c r="J14" s="108">
        <v>197</v>
      </c>
      <c r="K14" s="108">
        <v>198</v>
      </c>
      <c r="L14" s="2959">
        <v>198</v>
      </c>
      <c r="M14" s="122" t="s">
        <v>2518</v>
      </c>
      <c r="O14" s="124"/>
      <c r="P14" s="125"/>
      <c r="Q14" s="126"/>
      <c r="R14" s="126"/>
    </row>
    <row r="15" spans="2:22" ht="25.15" customHeight="1">
      <c r="B15" s="93">
        <v>8</v>
      </c>
      <c r="C15" s="100">
        <f t="shared" si="0"/>
        <v>110.2847335299036</v>
      </c>
      <c r="D15" s="100">
        <f t="shared" si="1"/>
        <v>111.69299828367731</v>
      </c>
      <c r="E15" s="100">
        <f t="shared" si="2"/>
        <v>177.17730933415481</v>
      </c>
      <c r="F15" s="105">
        <v>12</v>
      </c>
      <c r="G15" s="110" t="s">
        <v>2519</v>
      </c>
      <c r="H15" s="107">
        <v>52</v>
      </c>
      <c r="I15" s="108">
        <v>40</v>
      </c>
      <c r="J15" s="108">
        <v>44</v>
      </c>
      <c r="K15" s="108">
        <v>44</v>
      </c>
      <c r="L15" s="2959">
        <v>44</v>
      </c>
      <c r="M15" s="122" t="s">
        <v>2520</v>
      </c>
      <c r="O15" s="3744" t="s">
        <v>2521</v>
      </c>
      <c r="P15" s="3744"/>
      <c r="Q15" s="3744"/>
      <c r="R15" s="3744"/>
    </row>
    <row r="16" spans="2:22" ht="25.15" customHeight="1">
      <c r="B16" s="93">
        <v>9</v>
      </c>
      <c r="C16" s="100">
        <f t="shared" si="0"/>
        <v>125.68762927430355</v>
      </c>
      <c r="D16" s="100">
        <f t="shared" si="1"/>
        <v>127.09589402807725</v>
      </c>
      <c r="E16" s="100">
        <f t="shared" si="2"/>
        <v>201.90995907230558</v>
      </c>
      <c r="F16" s="105">
        <v>13</v>
      </c>
      <c r="G16" s="106" t="s">
        <v>1611</v>
      </c>
      <c r="H16" s="107">
        <v>90</v>
      </c>
      <c r="I16" s="108">
        <v>90</v>
      </c>
      <c r="J16" s="108">
        <v>99</v>
      </c>
      <c r="K16" s="108">
        <v>100</v>
      </c>
      <c r="L16" s="2959">
        <v>100</v>
      </c>
      <c r="M16" s="122" t="s">
        <v>2522</v>
      </c>
      <c r="O16" s="124"/>
      <c r="P16" s="127" t="s">
        <v>2523</v>
      </c>
      <c r="Q16" s="2981">
        <v>71.900000000000006</v>
      </c>
      <c r="R16" s="2981">
        <v>135.4</v>
      </c>
    </row>
    <row r="17" spans="2:21" ht="25.15" customHeight="1">
      <c r="B17" s="93">
        <v>10</v>
      </c>
      <c r="C17" s="100">
        <f t="shared" si="0"/>
        <v>141.09052501870349</v>
      </c>
      <c r="D17" s="100">
        <f t="shared" si="1"/>
        <v>142.49878977247721</v>
      </c>
      <c r="E17" s="100">
        <f t="shared" si="2"/>
        <v>226.64260881045635</v>
      </c>
      <c r="F17" s="105">
        <v>14</v>
      </c>
      <c r="G17" s="106" t="s">
        <v>2524</v>
      </c>
      <c r="H17" s="107">
        <v>475</v>
      </c>
      <c r="I17" s="108">
        <v>520</v>
      </c>
      <c r="J17" s="108">
        <v>903</v>
      </c>
      <c r="K17" s="108">
        <v>909</v>
      </c>
      <c r="L17" s="2959">
        <v>909</v>
      </c>
      <c r="M17" s="122" t="s">
        <v>2495</v>
      </c>
      <c r="O17" s="124"/>
      <c r="P17" s="127" t="s">
        <v>2525</v>
      </c>
      <c r="Q17" s="2981">
        <v>22</v>
      </c>
      <c r="R17" s="2981">
        <v>22</v>
      </c>
    </row>
    <row r="18" spans="2:21" ht="25.15" customHeight="1">
      <c r="B18" s="93">
        <v>11</v>
      </c>
      <c r="C18" s="100">
        <f t="shared" si="0"/>
        <v>156.49342076310344</v>
      </c>
      <c r="D18" s="100">
        <f t="shared" si="1"/>
        <v>157.90168551687717</v>
      </c>
      <c r="E18" s="100">
        <f t="shared" si="2"/>
        <v>251.37525854860712</v>
      </c>
      <c r="F18" s="105">
        <v>15</v>
      </c>
      <c r="G18" s="106" t="s">
        <v>2526</v>
      </c>
      <c r="H18" s="107">
        <v>783</v>
      </c>
      <c r="I18" s="108">
        <v>790</v>
      </c>
      <c r="J18" s="108">
        <v>1090</v>
      </c>
      <c r="K18" s="108">
        <v>1098</v>
      </c>
      <c r="L18" s="2959">
        <v>1098</v>
      </c>
      <c r="M18" s="122" t="s">
        <v>2527</v>
      </c>
      <c r="O18" s="124"/>
      <c r="P18" s="128"/>
      <c r="Q18" s="128"/>
      <c r="R18" s="128"/>
      <c r="U18" s="145"/>
    </row>
    <row r="19" spans="2:21" ht="25.15" customHeight="1">
      <c r="B19" s="93">
        <v>12</v>
      </c>
      <c r="C19" s="100">
        <f t="shared" si="0"/>
        <v>171.8963165075034</v>
      </c>
      <c r="D19" s="100">
        <f t="shared" si="1"/>
        <v>173.30458126127712</v>
      </c>
      <c r="E19" s="100">
        <f t="shared" si="2"/>
        <v>276.10790828675789</v>
      </c>
      <c r="F19" s="105">
        <v>16</v>
      </c>
      <c r="G19" s="106" t="s">
        <v>2528</v>
      </c>
      <c r="H19" s="107">
        <v>821</v>
      </c>
      <c r="I19" s="108">
        <v>821</v>
      </c>
      <c r="J19" s="108">
        <v>1100</v>
      </c>
      <c r="K19" s="108">
        <v>1108</v>
      </c>
      <c r="L19" s="2959">
        <v>1208</v>
      </c>
      <c r="M19" s="122" t="s">
        <v>2529</v>
      </c>
      <c r="O19" s="124"/>
      <c r="P19" s="129" t="s">
        <v>2530</v>
      </c>
      <c r="Q19" s="130">
        <v>1.13615</v>
      </c>
      <c r="R19" s="131"/>
      <c r="U19" s="145"/>
    </row>
    <row r="20" spans="2:21" ht="25.15" customHeight="1">
      <c r="B20" s="93">
        <v>13</v>
      </c>
      <c r="C20" s="100">
        <f t="shared" si="0"/>
        <v>187.29921225190336</v>
      </c>
      <c r="D20" s="100">
        <f t="shared" si="1"/>
        <v>188.70747700567708</v>
      </c>
      <c r="E20" s="100">
        <f t="shared" si="2"/>
        <v>300.84055802490866</v>
      </c>
      <c r="F20" s="105">
        <v>17</v>
      </c>
      <c r="G20" s="106" t="s">
        <v>2531</v>
      </c>
      <c r="H20" s="107">
        <v>681</v>
      </c>
      <c r="I20" s="108">
        <v>700</v>
      </c>
      <c r="J20" s="108">
        <v>1050</v>
      </c>
      <c r="K20" s="108">
        <v>1057</v>
      </c>
      <c r="L20" s="2959">
        <v>1057</v>
      </c>
      <c r="M20" s="122" t="s">
        <v>2532</v>
      </c>
      <c r="O20" s="88"/>
      <c r="P20" s="132"/>
      <c r="Q20" s="133"/>
      <c r="R20" s="133"/>
      <c r="U20" s="145"/>
    </row>
    <row r="21" spans="2:21" ht="25.15" customHeight="1">
      <c r="B21" s="93">
        <v>14</v>
      </c>
      <c r="C21" s="100">
        <f t="shared" si="0"/>
        <v>202.70210799630331</v>
      </c>
      <c r="D21" s="100">
        <f t="shared" si="1"/>
        <v>204.11037275007703</v>
      </c>
      <c r="E21" s="100">
        <f t="shared" si="2"/>
        <v>325.57320776305943</v>
      </c>
      <c r="F21" s="105">
        <v>18</v>
      </c>
      <c r="G21" s="106" t="s">
        <v>2533</v>
      </c>
      <c r="H21" s="107">
        <v>623</v>
      </c>
      <c r="I21" s="108">
        <v>620</v>
      </c>
      <c r="J21" s="108">
        <v>950</v>
      </c>
      <c r="K21" s="108">
        <v>957</v>
      </c>
      <c r="L21" s="2959">
        <v>957</v>
      </c>
      <c r="M21" s="122" t="s">
        <v>2534</v>
      </c>
      <c r="O21" s="88"/>
      <c r="P21" s="134" t="s">
        <v>2535</v>
      </c>
      <c r="Q21" s="135">
        <v>3</v>
      </c>
      <c r="R21" s="136" t="s">
        <v>2536</v>
      </c>
    </row>
    <row r="22" spans="2:21" ht="25.15" customHeight="1">
      <c r="B22" s="93">
        <v>15</v>
      </c>
      <c r="C22" s="100">
        <f t="shared" si="0"/>
        <v>218.10500374070327</v>
      </c>
      <c r="D22" s="100">
        <f t="shared" si="1"/>
        <v>219.51326849447699</v>
      </c>
      <c r="E22" s="100">
        <f t="shared" si="2"/>
        <v>350.3058575012102</v>
      </c>
      <c r="F22" s="105">
        <v>19</v>
      </c>
      <c r="G22" s="106" t="s">
        <v>2537</v>
      </c>
      <c r="H22" s="107">
        <v>479</v>
      </c>
      <c r="I22" s="108">
        <v>485</v>
      </c>
      <c r="J22" s="108">
        <v>800</v>
      </c>
      <c r="K22" s="108">
        <v>806</v>
      </c>
      <c r="L22" s="2959">
        <v>900</v>
      </c>
      <c r="M22" s="122" t="s">
        <v>2538</v>
      </c>
      <c r="O22" s="88"/>
      <c r="P22" s="132"/>
      <c r="Q22" s="133"/>
      <c r="R22" s="133"/>
    </row>
    <row r="23" spans="2:21" ht="25.15" customHeight="1">
      <c r="B23" s="93">
        <v>16</v>
      </c>
      <c r="C23" s="100">
        <f t="shared" si="0"/>
        <v>233.50789948510322</v>
      </c>
      <c r="D23" s="100">
        <f t="shared" si="1"/>
        <v>234.91616423887695</v>
      </c>
      <c r="E23" s="100">
        <f t="shared" si="2"/>
        <v>375.03850723936097</v>
      </c>
      <c r="F23" s="105">
        <v>20</v>
      </c>
      <c r="G23" s="106" t="s">
        <v>2539</v>
      </c>
      <c r="H23" s="107">
        <v>304</v>
      </c>
      <c r="I23" s="108">
        <v>485</v>
      </c>
      <c r="J23" s="108">
        <v>700</v>
      </c>
      <c r="K23" s="108">
        <v>705</v>
      </c>
      <c r="L23" s="2959">
        <v>883</v>
      </c>
      <c r="M23" s="122" t="s">
        <v>2540</v>
      </c>
      <c r="O23" s="88"/>
      <c r="P23" s="132"/>
      <c r="Q23" s="133"/>
      <c r="R23" s="133"/>
    </row>
    <row r="24" spans="2:21" ht="25.15" customHeight="1">
      <c r="B24" s="93">
        <v>17</v>
      </c>
      <c r="C24" s="100">
        <f t="shared" si="0"/>
        <v>248.91079522950318</v>
      </c>
      <c r="D24" s="100">
        <f t="shared" si="1"/>
        <v>250.3190599832769</v>
      </c>
      <c r="E24" s="100">
        <f t="shared" si="2"/>
        <v>399.77115697751174</v>
      </c>
      <c r="F24" s="105">
        <v>21</v>
      </c>
      <c r="G24" s="106" t="s">
        <v>2541</v>
      </c>
      <c r="H24" s="107">
        <v>456</v>
      </c>
      <c r="I24" s="108">
        <v>524</v>
      </c>
      <c r="J24" s="108">
        <v>540</v>
      </c>
      <c r="K24" s="108">
        <v>567</v>
      </c>
      <c r="L24" s="2959">
        <v>709</v>
      </c>
      <c r="M24" s="122" t="s">
        <v>2542</v>
      </c>
      <c r="O24" s="94"/>
      <c r="P24" s="137"/>
      <c r="Q24" s="138"/>
      <c r="R24" s="138"/>
    </row>
    <row r="25" spans="2:21" ht="25.15" customHeight="1">
      <c r="B25" s="93">
        <v>18</v>
      </c>
      <c r="C25" s="100">
        <f t="shared" si="0"/>
        <v>264.31369097390314</v>
      </c>
      <c r="D25" s="100">
        <f t="shared" si="1"/>
        <v>265.72195572767686</v>
      </c>
      <c r="E25" s="100">
        <f t="shared" si="2"/>
        <v>424.50380671566251</v>
      </c>
      <c r="F25" s="105">
        <v>22</v>
      </c>
      <c r="G25" s="106" t="s">
        <v>599</v>
      </c>
      <c r="H25" s="109">
        <v>98</v>
      </c>
      <c r="I25" s="108">
        <v>98</v>
      </c>
      <c r="J25" s="108">
        <v>108</v>
      </c>
      <c r="K25" s="108">
        <v>109</v>
      </c>
      <c r="L25" s="2959">
        <v>109</v>
      </c>
      <c r="M25" s="122" t="s">
        <v>2543</v>
      </c>
      <c r="O25" s="94"/>
      <c r="P25" s="137"/>
      <c r="Q25" s="138"/>
      <c r="R25" s="138"/>
    </row>
    <row r="26" spans="2:21" ht="25.15" customHeight="1">
      <c r="B26" s="93">
        <v>19</v>
      </c>
      <c r="C26" s="100">
        <f t="shared" si="0"/>
        <v>279.71658671830306</v>
      </c>
      <c r="D26" s="100">
        <f t="shared" si="1"/>
        <v>281.12485147207678</v>
      </c>
      <c r="E26" s="100">
        <f t="shared" si="2"/>
        <v>449.23645645381328</v>
      </c>
      <c r="F26" s="105">
        <v>23</v>
      </c>
      <c r="G26" s="106" t="s">
        <v>2544</v>
      </c>
      <c r="H26" s="107">
        <v>505</v>
      </c>
      <c r="I26" s="108">
        <v>505</v>
      </c>
      <c r="J26" s="108">
        <v>903</v>
      </c>
      <c r="K26" s="108">
        <v>909</v>
      </c>
      <c r="L26" s="2959">
        <v>909</v>
      </c>
      <c r="M26" s="122" t="s">
        <v>2545</v>
      </c>
      <c r="O26" s="94"/>
      <c r="P26" s="137"/>
      <c r="Q26" s="138"/>
      <c r="R26" s="138"/>
    </row>
    <row r="27" spans="2:21" ht="25.15" customHeight="1">
      <c r="B27" s="93">
        <v>20</v>
      </c>
      <c r="C27" s="100">
        <f t="shared" si="0"/>
        <v>295.11948246270299</v>
      </c>
      <c r="D27" s="100">
        <f t="shared" si="1"/>
        <v>296.52774721647671</v>
      </c>
      <c r="E27" s="100">
        <f t="shared" si="2"/>
        <v>473.96910619196404</v>
      </c>
      <c r="F27" s="105">
        <v>24</v>
      </c>
      <c r="G27" s="106" t="s">
        <v>2546</v>
      </c>
      <c r="H27" s="107">
        <v>830</v>
      </c>
      <c r="I27" s="108">
        <v>830</v>
      </c>
      <c r="J27" s="108">
        <v>1090</v>
      </c>
      <c r="K27" s="108">
        <v>1098</v>
      </c>
      <c r="L27" s="2959">
        <v>1098</v>
      </c>
      <c r="M27" s="122" t="s">
        <v>2547</v>
      </c>
      <c r="O27" s="94"/>
      <c r="P27" s="137"/>
      <c r="Q27" s="138"/>
      <c r="R27" s="138"/>
    </row>
    <row r="28" spans="2:21" ht="25.15" customHeight="1">
      <c r="B28" s="93">
        <v>21</v>
      </c>
      <c r="C28" s="100">
        <f t="shared" si="0"/>
        <v>310.52237820710292</v>
      </c>
      <c r="D28" s="100">
        <f t="shared" si="1"/>
        <v>311.93064296087664</v>
      </c>
      <c r="E28" s="100">
        <f t="shared" si="2"/>
        <v>498.70175593011481</v>
      </c>
      <c r="F28" s="105">
        <v>25</v>
      </c>
      <c r="G28" s="106" t="s">
        <v>2548</v>
      </c>
      <c r="H28" s="107">
        <v>870</v>
      </c>
      <c r="I28" s="108">
        <v>870</v>
      </c>
      <c r="J28" s="108">
        <v>1100</v>
      </c>
      <c r="K28" s="108">
        <v>1108</v>
      </c>
      <c r="L28" s="2959">
        <v>1208</v>
      </c>
      <c r="M28" s="122" t="s">
        <v>2549</v>
      </c>
      <c r="O28" s="94"/>
      <c r="P28" s="137"/>
      <c r="Q28" s="138"/>
      <c r="R28" s="138"/>
    </row>
    <row r="29" spans="2:21" ht="25.15" customHeight="1">
      <c r="B29" s="93">
        <v>22</v>
      </c>
      <c r="C29" s="100">
        <f t="shared" si="0"/>
        <v>325.92527395150285</v>
      </c>
      <c r="D29" s="100">
        <f t="shared" si="1"/>
        <v>327.33353870527657</v>
      </c>
      <c r="E29" s="100">
        <f t="shared" si="2"/>
        <v>523.43440566826564</v>
      </c>
      <c r="F29" s="105">
        <v>26</v>
      </c>
      <c r="G29" s="106" t="s">
        <v>2550</v>
      </c>
      <c r="H29" s="107">
        <v>781</v>
      </c>
      <c r="I29" s="108">
        <v>781</v>
      </c>
      <c r="J29" s="108">
        <v>1050</v>
      </c>
      <c r="K29" s="108">
        <v>1057</v>
      </c>
      <c r="L29" s="2959">
        <v>1057</v>
      </c>
      <c r="M29" s="122" t="s">
        <v>2551</v>
      </c>
      <c r="O29" s="94"/>
      <c r="P29" s="137"/>
      <c r="Q29" s="138"/>
      <c r="R29" s="138"/>
    </row>
    <row r="30" spans="2:21" ht="25.15" customHeight="1">
      <c r="B30" s="93">
        <v>23</v>
      </c>
      <c r="C30" s="100">
        <f t="shared" si="0"/>
        <v>341.32816969590277</v>
      </c>
      <c r="D30" s="100">
        <f t="shared" si="1"/>
        <v>342.73643444967649</v>
      </c>
      <c r="E30" s="100">
        <f t="shared" si="2"/>
        <v>548.16705540641647</v>
      </c>
      <c r="F30" s="105">
        <v>27</v>
      </c>
      <c r="G30" s="106" t="s">
        <v>2552</v>
      </c>
      <c r="H30" s="107">
        <v>657</v>
      </c>
      <c r="I30" s="108">
        <v>657</v>
      </c>
      <c r="J30" s="108">
        <v>950</v>
      </c>
      <c r="K30" s="108">
        <v>957</v>
      </c>
      <c r="L30" s="2959">
        <v>957</v>
      </c>
      <c r="M30" s="122" t="s">
        <v>2553</v>
      </c>
      <c r="O30" s="94"/>
      <c r="P30" s="137"/>
      <c r="Q30" s="138"/>
      <c r="R30" s="138"/>
    </row>
    <row r="31" spans="2:21" ht="25.15" customHeight="1">
      <c r="B31" s="93">
        <v>24</v>
      </c>
      <c r="C31" s="100">
        <f t="shared" si="0"/>
        <v>356.7310654403027</v>
      </c>
      <c r="D31" s="100">
        <f t="shared" si="1"/>
        <v>358.13933019407642</v>
      </c>
      <c r="E31" s="100">
        <f t="shared" si="2"/>
        <v>572.89970514456729</v>
      </c>
      <c r="F31" s="105">
        <v>28</v>
      </c>
      <c r="G31" s="106" t="s">
        <v>2554</v>
      </c>
      <c r="H31" s="107">
        <v>505</v>
      </c>
      <c r="I31" s="108">
        <v>505</v>
      </c>
      <c r="J31" s="108">
        <v>800</v>
      </c>
      <c r="K31" s="108">
        <v>806</v>
      </c>
      <c r="L31" s="2960">
        <v>910</v>
      </c>
      <c r="M31" s="122" t="s">
        <v>2555</v>
      </c>
      <c r="P31" s="89"/>
    </row>
    <row r="32" spans="2:21" ht="25.15" customHeight="1">
      <c r="B32" s="93">
        <v>25</v>
      </c>
      <c r="C32" s="100">
        <f t="shared" si="0"/>
        <v>372.13396118470263</v>
      </c>
      <c r="D32" s="100">
        <f t="shared" si="1"/>
        <v>373.54222593847635</v>
      </c>
      <c r="E32" s="100">
        <f t="shared" si="2"/>
        <v>597.63235488271812</v>
      </c>
      <c r="F32" s="105">
        <v>29</v>
      </c>
      <c r="G32" s="106" t="s">
        <v>2556</v>
      </c>
      <c r="H32" s="109">
        <v>760</v>
      </c>
      <c r="I32" s="108">
        <v>800</v>
      </c>
      <c r="J32" s="108">
        <v>830</v>
      </c>
      <c r="K32" s="108">
        <v>872</v>
      </c>
      <c r="L32" s="2960">
        <v>915</v>
      </c>
      <c r="M32" s="122" t="s">
        <v>2557</v>
      </c>
      <c r="O32" s="88"/>
      <c r="P32" s="132"/>
      <c r="Q32" s="132"/>
      <c r="R32" s="132"/>
    </row>
    <row r="33" spans="2:18" ht="25.15" customHeight="1">
      <c r="B33" s="93">
        <v>26</v>
      </c>
      <c r="C33" s="100">
        <f t="shared" si="0"/>
        <v>387.53685692910256</v>
      </c>
      <c r="D33" s="100">
        <f t="shared" si="1"/>
        <v>388.94512168287628</v>
      </c>
      <c r="E33" s="100">
        <f t="shared" si="2"/>
        <v>622.36500462086894</v>
      </c>
      <c r="F33" s="105">
        <v>30</v>
      </c>
      <c r="G33" s="106" t="s">
        <v>1616</v>
      </c>
      <c r="H33" s="109">
        <v>570</v>
      </c>
      <c r="I33" s="108">
        <v>600</v>
      </c>
      <c r="J33" s="108">
        <v>630</v>
      </c>
      <c r="K33" s="108">
        <v>662</v>
      </c>
      <c r="L33" s="2960">
        <v>695</v>
      </c>
      <c r="M33" s="122" t="s">
        <v>2558</v>
      </c>
      <c r="O33" s="88"/>
      <c r="P33" s="132"/>
      <c r="Q33" s="132"/>
      <c r="R33" s="132"/>
    </row>
    <row r="34" spans="2:18" ht="25.15" customHeight="1">
      <c r="B34" s="93">
        <v>27</v>
      </c>
      <c r="C34" s="100">
        <f t="shared" si="0"/>
        <v>402.93975267350248</v>
      </c>
      <c r="D34" s="100">
        <f t="shared" si="1"/>
        <v>404.3480174272762</v>
      </c>
      <c r="E34" s="100">
        <f t="shared" si="2"/>
        <v>647.09765435901977</v>
      </c>
      <c r="F34" s="105">
        <v>31</v>
      </c>
      <c r="G34" s="106" t="s">
        <v>597</v>
      </c>
      <c r="H34" s="109">
        <v>570</v>
      </c>
      <c r="I34" s="108">
        <v>600</v>
      </c>
      <c r="J34" s="108">
        <v>630</v>
      </c>
      <c r="K34" s="108">
        <v>662</v>
      </c>
      <c r="L34" s="2960">
        <v>695</v>
      </c>
      <c r="M34" s="122" t="s">
        <v>2559</v>
      </c>
      <c r="O34" s="92"/>
      <c r="P34" s="139"/>
    </row>
    <row r="35" spans="2:18" ht="25.15" customHeight="1">
      <c r="B35" s="93">
        <v>28</v>
      </c>
      <c r="C35" s="100">
        <f t="shared" si="0"/>
        <v>418.34264841790241</v>
      </c>
      <c r="D35" s="100">
        <f t="shared" si="1"/>
        <v>419.75091317167613</v>
      </c>
      <c r="E35" s="100">
        <f t="shared" si="2"/>
        <v>671.8303040971706</v>
      </c>
      <c r="F35" s="105">
        <v>32</v>
      </c>
      <c r="G35" s="106" t="str">
        <f>+'[4]Input Data'!$H$24</f>
        <v>Steel HYSD Primary producers, JUN,2022</v>
      </c>
      <c r="H35" s="109">
        <f>'[4]Input Data'!$I$24</f>
        <v>67000</v>
      </c>
      <c r="I35" s="111">
        <f>'[4]Input Data'!I24</f>
        <v>67000</v>
      </c>
      <c r="J35" s="111"/>
      <c r="K35" s="111"/>
      <c r="L35" s="2961"/>
      <c r="M35" s="122"/>
      <c r="O35" s="92"/>
      <c r="P35" s="139"/>
    </row>
    <row r="36" spans="2:18" ht="25.15" customHeight="1">
      <c r="B36" s="93">
        <v>29</v>
      </c>
      <c r="C36" s="100">
        <f t="shared" si="0"/>
        <v>433.74554416230234</v>
      </c>
      <c r="D36" s="100">
        <f t="shared" si="1"/>
        <v>435.15380891607606</v>
      </c>
      <c r="E36" s="100">
        <f t="shared" si="2"/>
        <v>696.56295383532142</v>
      </c>
      <c r="F36" s="105">
        <v>33</v>
      </c>
      <c r="G36" s="106" t="str">
        <f>+'[4]Input Data'!$H$25</f>
        <v>Mild Steel Bars, JUN,2022</v>
      </c>
      <c r="H36" s="109">
        <f>'[4]Input Data'!$I$25</f>
        <v>65000</v>
      </c>
      <c r="I36" s="111">
        <f>'[4]Input Data'!I25</f>
        <v>65000</v>
      </c>
      <c r="J36" s="111"/>
      <c r="K36" s="111"/>
      <c r="L36" s="2961"/>
      <c r="M36" s="122"/>
      <c r="O36" s="92"/>
      <c r="P36" s="139"/>
    </row>
    <row r="37" spans="2:18" ht="25.15" customHeight="1">
      <c r="B37" s="93">
        <v>30</v>
      </c>
      <c r="C37" s="100">
        <f t="shared" si="0"/>
        <v>449.14843990670227</v>
      </c>
      <c r="D37" s="100">
        <f t="shared" si="1"/>
        <v>450.55670466047599</v>
      </c>
      <c r="E37" s="100">
        <f t="shared" si="2"/>
        <v>721.29560357347225</v>
      </c>
      <c r="F37" s="105">
        <v>34</v>
      </c>
      <c r="G37" s="106" t="str">
        <f>+'[4]Input Data'!$H$23</f>
        <v>Cement, JUN,2022</v>
      </c>
      <c r="H37" s="109">
        <f>'[4]Input Data'!$I$23</f>
        <v>5600</v>
      </c>
      <c r="I37" s="111">
        <f>'[4]Input Data'!I23</f>
        <v>5600</v>
      </c>
      <c r="J37" s="111"/>
      <c r="K37" s="111"/>
      <c r="L37" s="2961"/>
      <c r="M37" s="122"/>
      <c r="O37" s="92"/>
      <c r="P37" s="139"/>
    </row>
    <row r="38" spans="2:18" ht="25.15" customHeight="1">
      <c r="B38" s="93">
        <f>B37+1</f>
        <v>31</v>
      </c>
      <c r="C38" s="100">
        <f>C37+($Q$13/$Q$19)</f>
        <v>461.99885578488738</v>
      </c>
      <c r="D38" s="100">
        <f>D37+($R$13/$Q$19)</f>
        <v>463.4071205386611</v>
      </c>
      <c r="E38" s="100">
        <f>E37+($S$13/$Q$19)</f>
        <v>741.89147559741275</v>
      </c>
      <c r="F38" s="105">
        <v>35</v>
      </c>
      <c r="G38" s="106" t="str">
        <f>+'[4]Input Data'!$H$26</f>
        <v>6mm M.S. Rods, JUN,2022</v>
      </c>
      <c r="H38" s="109">
        <f>'[4]Input Data'!$I$26</f>
        <v>70000</v>
      </c>
      <c r="I38" s="111">
        <f>'[4]Input Data'!I26</f>
        <v>70000</v>
      </c>
      <c r="J38" s="111"/>
      <c r="K38" s="111"/>
      <c r="L38" s="2961"/>
      <c r="M38" s="140"/>
      <c r="N38" s="141"/>
      <c r="O38" s="92"/>
      <c r="P38" s="139"/>
    </row>
    <row r="39" spans="2:18" ht="25.15" customHeight="1">
      <c r="B39" s="93">
        <f t="shared" ref="B39:B102" si="3">B38+1</f>
        <v>32</v>
      </c>
      <c r="C39" s="100">
        <f t="shared" ref="C39:C102" si="4">C38+($Q$13/$Q$19)</f>
        <v>474.8492716630725</v>
      </c>
      <c r="D39" s="100">
        <f t="shared" ref="D39:D102" si="5">D38+($R$13/$Q$19)</f>
        <v>476.25753641684622</v>
      </c>
      <c r="E39" s="100">
        <f t="shared" ref="E39:E102" si="6">E38+($S$13/$Q$19)</f>
        <v>762.48734762135325</v>
      </c>
      <c r="F39" s="105">
        <v>36</v>
      </c>
      <c r="G39" s="106" t="s">
        <v>2560</v>
      </c>
      <c r="H39" s="107">
        <v>17</v>
      </c>
      <c r="I39" s="108">
        <v>17</v>
      </c>
      <c r="J39" s="108">
        <v>19</v>
      </c>
      <c r="K39" s="108">
        <v>19</v>
      </c>
      <c r="L39" s="2960">
        <v>19</v>
      </c>
      <c r="M39" s="122" t="s">
        <v>2561</v>
      </c>
      <c r="N39" s="141"/>
      <c r="O39" s="92"/>
      <c r="P39" s="139"/>
    </row>
    <row r="40" spans="2:18" ht="25.15" customHeight="1">
      <c r="B40" s="93">
        <f t="shared" si="3"/>
        <v>33</v>
      </c>
      <c r="C40" s="100">
        <f t="shared" si="4"/>
        <v>487.69968754125762</v>
      </c>
      <c r="D40" s="100">
        <f t="shared" si="5"/>
        <v>489.10795229503134</v>
      </c>
      <c r="E40" s="100">
        <f t="shared" si="6"/>
        <v>783.08321964529375</v>
      </c>
      <c r="F40" s="105">
        <v>37</v>
      </c>
      <c r="G40" s="106" t="s">
        <v>2562</v>
      </c>
      <c r="H40" s="107">
        <v>66</v>
      </c>
      <c r="I40" s="108">
        <v>66</v>
      </c>
      <c r="J40" s="108">
        <v>73</v>
      </c>
      <c r="K40" s="108">
        <v>73</v>
      </c>
      <c r="L40" s="2960">
        <v>73</v>
      </c>
      <c r="M40" s="122" t="s">
        <v>2563</v>
      </c>
      <c r="N40" s="141"/>
      <c r="O40" s="92"/>
      <c r="P40" s="139"/>
    </row>
    <row r="41" spans="2:18" ht="25.15" customHeight="1">
      <c r="B41" s="93">
        <f t="shared" si="3"/>
        <v>34</v>
      </c>
      <c r="C41" s="100">
        <f t="shared" si="4"/>
        <v>500.55010341944273</v>
      </c>
      <c r="D41" s="100">
        <f t="shared" si="5"/>
        <v>501.95836817321646</v>
      </c>
      <c r="E41" s="100">
        <f t="shared" si="6"/>
        <v>803.67909166923425</v>
      </c>
      <c r="F41" s="105">
        <v>38</v>
      </c>
      <c r="G41" s="106" t="s">
        <v>2564</v>
      </c>
      <c r="H41" s="107">
        <v>8.3000000000000007</v>
      </c>
      <c r="I41" s="108">
        <v>8.3000000000000007</v>
      </c>
      <c r="J41" s="108">
        <v>9</v>
      </c>
      <c r="K41" s="108">
        <v>9</v>
      </c>
      <c r="L41" s="2960">
        <v>9</v>
      </c>
      <c r="M41" s="122" t="s">
        <v>2565</v>
      </c>
      <c r="N41" s="141"/>
      <c r="O41" s="92"/>
      <c r="P41" s="139"/>
    </row>
    <row r="42" spans="2:18" ht="25.15" customHeight="1">
      <c r="B42" s="93">
        <f t="shared" si="3"/>
        <v>35</v>
      </c>
      <c r="C42" s="100">
        <f t="shared" si="4"/>
        <v>513.40051929762785</v>
      </c>
      <c r="D42" s="100">
        <f t="shared" si="5"/>
        <v>514.80878405140152</v>
      </c>
      <c r="E42" s="100">
        <f t="shared" si="6"/>
        <v>824.27496369317475</v>
      </c>
      <c r="F42" s="105">
        <v>39</v>
      </c>
      <c r="G42" s="106" t="s">
        <v>2566</v>
      </c>
      <c r="H42" s="107">
        <v>10</v>
      </c>
      <c r="I42" s="108">
        <v>10</v>
      </c>
      <c r="J42" s="108">
        <v>11</v>
      </c>
      <c r="K42" s="108">
        <v>11</v>
      </c>
      <c r="L42" s="2960">
        <v>11</v>
      </c>
      <c r="M42" s="140" t="s">
        <v>2567</v>
      </c>
      <c r="N42" s="141"/>
      <c r="O42" s="92"/>
      <c r="P42" s="139"/>
    </row>
    <row r="43" spans="2:18" ht="25.15" customHeight="1">
      <c r="B43" s="93">
        <f t="shared" si="3"/>
        <v>36</v>
      </c>
      <c r="C43" s="100">
        <f t="shared" si="4"/>
        <v>526.25093517581297</v>
      </c>
      <c r="D43" s="100">
        <f t="shared" si="5"/>
        <v>527.65919992958663</v>
      </c>
      <c r="E43" s="100">
        <f t="shared" si="6"/>
        <v>844.87083571711526</v>
      </c>
      <c r="F43" s="105">
        <v>40</v>
      </c>
      <c r="G43" s="106" t="s">
        <v>2568</v>
      </c>
      <c r="H43" s="107">
        <v>818</v>
      </c>
      <c r="I43" s="108">
        <v>580</v>
      </c>
      <c r="J43" s="108">
        <v>597</v>
      </c>
      <c r="K43" s="108">
        <v>627</v>
      </c>
      <c r="L43" s="2960">
        <v>650</v>
      </c>
      <c r="M43" s="140" t="s">
        <v>2569</v>
      </c>
      <c r="N43" s="141"/>
      <c r="O43" s="92"/>
      <c r="P43" s="139"/>
    </row>
    <row r="44" spans="2:18" ht="21.6" customHeight="1">
      <c r="B44" s="93">
        <f t="shared" si="3"/>
        <v>37</v>
      </c>
      <c r="C44" s="100">
        <f t="shared" si="4"/>
        <v>539.10135105399809</v>
      </c>
      <c r="D44" s="100">
        <f t="shared" si="5"/>
        <v>540.50961580777175</v>
      </c>
      <c r="E44" s="100">
        <f t="shared" si="6"/>
        <v>865.46670774105576</v>
      </c>
      <c r="F44" s="105">
        <v>41</v>
      </c>
      <c r="G44" s="106" t="s">
        <v>2570</v>
      </c>
      <c r="H44" s="107">
        <v>35</v>
      </c>
      <c r="I44" s="108">
        <v>61</v>
      </c>
      <c r="J44" s="108">
        <v>64</v>
      </c>
      <c r="K44" s="108">
        <v>67</v>
      </c>
      <c r="L44" s="2960">
        <v>70</v>
      </c>
      <c r="M44" s="140" t="s">
        <v>2571</v>
      </c>
      <c r="N44" s="141"/>
      <c r="O44" s="92"/>
      <c r="P44" s="139"/>
    </row>
    <row r="45" spans="2:18" ht="21.6" customHeight="1">
      <c r="B45" s="93">
        <f t="shared" si="3"/>
        <v>38</v>
      </c>
      <c r="C45" s="100">
        <f t="shared" si="4"/>
        <v>551.9517669321832</v>
      </c>
      <c r="D45" s="100">
        <f t="shared" si="5"/>
        <v>553.36003168595687</v>
      </c>
      <c r="E45" s="100">
        <f t="shared" si="6"/>
        <v>886.06257976499626</v>
      </c>
      <c r="F45" s="105">
        <v>42</v>
      </c>
      <c r="G45" s="102" t="s">
        <v>1585</v>
      </c>
      <c r="H45" s="112"/>
      <c r="I45" s="113"/>
      <c r="J45" s="113"/>
      <c r="K45" s="113"/>
      <c r="L45" s="2962"/>
      <c r="M45" s="122"/>
      <c r="N45" s="141"/>
      <c r="O45" s="92"/>
      <c r="P45" s="139"/>
    </row>
    <row r="46" spans="2:18" ht="21.6" customHeight="1">
      <c r="B46" s="93">
        <f t="shared" si="3"/>
        <v>39</v>
      </c>
      <c r="C46" s="100">
        <f t="shared" si="4"/>
        <v>564.80218281036832</v>
      </c>
      <c r="D46" s="100">
        <f t="shared" si="5"/>
        <v>566.21044756414199</v>
      </c>
      <c r="E46" s="100">
        <f t="shared" si="6"/>
        <v>906.65845178893676</v>
      </c>
      <c r="F46" s="105">
        <v>43</v>
      </c>
      <c r="G46" s="106" t="s">
        <v>1585</v>
      </c>
      <c r="H46" s="109">
        <v>67</v>
      </c>
      <c r="I46" s="108">
        <v>70</v>
      </c>
      <c r="J46" s="108">
        <v>90</v>
      </c>
      <c r="K46" s="108">
        <v>100</v>
      </c>
      <c r="L46" s="2960">
        <v>100</v>
      </c>
      <c r="M46" s="122" t="s">
        <v>2572</v>
      </c>
      <c r="N46" s="141"/>
      <c r="O46" s="92"/>
      <c r="P46" s="139"/>
    </row>
    <row r="47" spans="2:18" ht="21.6" customHeight="1">
      <c r="B47" s="93">
        <f t="shared" si="3"/>
        <v>40</v>
      </c>
      <c r="C47" s="100">
        <f t="shared" si="4"/>
        <v>577.65259868855344</v>
      </c>
      <c r="D47" s="100">
        <f t="shared" si="5"/>
        <v>579.0608634423271</v>
      </c>
      <c r="E47" s="100">
        <f t="shared" si="6"/>
        <v>927.25432381287726</v>
      </c>
      <c r="F47" s="105">
        <v>44</v>
      </c>
      <c r="G47" s="106" t="s">
        <v>2573</v>
      </c>
      <c r="H47" s="109">
        <v>67</v>
      </c>
      <c r="I47" s="108">
        <v>70</v>
      </c>
      <c r="J47" s="108">
        <v>90</v>
      </c>
      <c r="K47" s="108">
        <v>100</v>
      </c>
      <c r="L47" s="2960">
        <v>100</v>
      </c>
      <c r="M47" s="140" t="s">
        <v>2574</v>
      </c>
      <c r="N47" s="141"/>
      <c r="O47" s="92"/>
      <c r="P47" s="139"/>
    </row>
    <row r="48" spans="2:18" ht="21.6" customHeight="1">
      <c r="B48" s="93">
        <f t="shared" si="3"/>
        <v>41</v>
      </c>
      <c r="C48" s="100">
        <f t="shared" si="4"/>
        <v>590.50301456673856</v>
      </c>
      <c r="D48" s="100">
        <f t="shared" si="5"/>
        <v>591.91127932051222</v>
      </c>
      <c r="E48" s="100">
        <f t="shared" si="6"/>
        <v>947.85019583681776</v>
      </c>
      <c r="F48" s="105">
        <v>45</v>
      </c>
      <c r="G48" s="102" t="s">
        <v>2575</v>
      </c>
      <c r="H48" s="112"/>
      <c r="I48" s="113"/>
      <c r="J48" s="113"/>
      <c r="K48" s="113"/>
      <c r="L48" s="2962"/>
      <c r="M48" s="142"/>
      <c r="N48" s="141"/>
      <c r="O48" s="92"/>
      <c r="P48" s="139"/>
    </row>
    <row r="49" spans="2:17" ht="21.6" customHeight="1">
      <c r="B49" s="93">
        <f t="shared" si="3"/>
        <v>42</v>
      </c>
      <c r="C49" s="100">
        <f t="shared" si="4"/>
        <v>603.35343044492367</v>
      </c>
      <c r="D49" s="100">
        <f t="shared" si="5"/>
        <v>604.76169519869734</v>
      </c>
      <c r="E49" s="100">
        <f t="shared" si="6"/>
        <v>968.44606786075826</v>
      </c>
      <c r="F49" s="105">
        <v>46</v>
      </c>
      <c r="G49" s="106" t="s">
        <v>2477</v>
      </c>
      <c r="H49" s="113">
        <v>75</v>
      </c>
      <c r="I49" s="114">
        <v>75</v>
      </c>
      <c r="J49" s="143">
        <v>97.5</v>
      </c>
      <c r="K49" s="143">
        <v>97.5</v>
      </c>
      <c r="L49" s="2963">
        <v>97.5</v>
      </c>
      <c r="M49" s="142"/>
      <c r="N49" s="141"/>
      <c r="O49" s="92"/>
      <c r="P49" s="139"/>
    </row>
    <row r="50" spans="2:17" ht="21.6" customHeight="1">
      <c r="B50" s="93">
        <f t="shared" si="3"/>
        <v>43</v>
      </c>
      <c r="C50" s="100">
        <f t="shared" si="4"/>
        <v>616.20384632310879</v>
      </c>
      <c r="D50" s="100">
        <f t="shared" si="5"/>
        <v>617.61211107688246</v>
      </c>
      <c r="E50" s="100">
        <f t="shared" si="6"/>
        <v>989.04193988469876</v>
      </c>
      <c r="F50" s="105">
        <v>47</v>
      </c>
      <c r="G50" s="106" t="s">
        <v>2576</v>
      </c>
      <c r="H50" s="113">
        <v>30</v>
      </c>
      <c r="I50" s="114">
        <v>30</v>
      </c>
      <c r="J50" s="143">
        <v>30</v>
      </c>
      <c r="K50" s="143">
        <v>30</v>
      </c>
      <c r="L50" s="2963">
        <v>30</v>
      </c>
      <c r="M50" s="142"/>
      <c r="N50" s="141"/>
      <c r="O50" s="92"/>
      <c r="P50" s="139"/>
    </row>
    <row r="51" spans="2:17" ht="21.6" customHeight="1">
      <c r="B51" s="93">
        <f t="shared" si="3"/>
        <v>44</v>
      </c>
      <c r="C51" s="100">
        <f t="shared" si="4"/>
        <v>629.05426220129391</v>
      </c>
      <c r="D51" s="100">
        <f t="shared" si="5"/>
        <v>630.46252695506757</v>
      </c>
      <c r="E51" s="100">
        <f t="shared" si="6"/>
        <v>1009.6378119086393</v>
      </c>
      <c r="F51" s="105">
        <v>48</v>
      </c>
      <c r="G51" s="106" t="s">
        <v>2577</v>
      </c>
      <c r="H51" s="113">
        <v>40</v>
      </c>
      <c r="I51" s="114">
        <v>40</v>
      </c>
      <c r="J51" s="143">
        <v>40</v>
      </c>
      <c r="K51" s="143">
        <v>40</v>
      </c>
      <c r="L51" s="2963">
        <v>40</v>
      </c>
      <c r="M51" s="140"/>
      <c r="N51" s="141"/>
      <c r="O51" s="92"/>
      <c r="P51" s="139"/>
    </row>
    <row r="52" spans="2:17" ht="21.6" customHeight="1">
      <c r="B52" s="93">
        <f t="shared" si="3"/>
        <v>45</v>
      </c>
      <c r="C52" s="100">
        <f t="shared" si="4"/>
        <v>641.90467807947903</v>
      </c>
      <c r="D52" s="100">
        <f t="shared" si="5"/>
        <v>643.31294283325269</v>
      </c>
      <c r="E52" s="100">
        <f t="shared" si="6"/>
        <v>1030.2336839325799</v>
      </c>
      <c r="F52" s="105">
        <v>49</v>
      </c>
      <c r="G52" s="102" t="s">
        <v>2578</v>
      </c>
      <c r="H52" s="112"/>
      <c r="I52" s="113"/>
      <c r="J52" s="113"/>
      <c r="K52" s="113"/>
      <c r="L52" s="2962"/>
      <c r="M52" s="142"/>
      <c r="N52" s="141"/>
      <c r="O52" s="92"/>
      <c r="P52" s="139"/>
    </row>
    <row r="53" spans="2:17" ht="21.6" customHeight="1">
      <c r="B53" s="93">
        <f t="shared" si="3"/>
        <v>46</v>
      </c>
      <c r="C53" s="100">
        <f t="shared" si="4"/>
        <v>654.75509395766414</v>
      </c>
      <c r="D53" s="100">
        <f t="shared" si="5"/>
        <v>656.16335871143781</v>
      </c>
      <c r="E53" s="100">
        <f t="shared" si="6"/>
        <v>1050.8295559565204</v>
      </c>
      <c r="F53" s="105">
        <v>50</v>
      </c>
      <c r="G53" s="106" t="s">
        <v>1835</v>
      </c>
      <c r="H53" s="115">
        <v>470</v>
      </c>
      <c r="I53" s="114">
        <v>545</v>
      </c>
      <c r="J53" s="114">
        <v>580</v>
      </c>
      <c r="K53" s="114">
        <v>610</v>
      </c>
      <c r="L53" s="2964">
        <v>645</v>
      </c>
      <c r="M53" s="142" t="s">
        <v>2579</v>
      </c>
      <c r="N53" s="141"/>
      <c r="O53" s="92"/>
      <c r="P53" s="139"/>
    </row>
    <row r="54" spans="2:17" ht="21.6" customHeight="1">
      <c r="B54" s="93">
        <f t="shared" si="3"/>
        <v>47</v>
      </c>
      <c r="C54" s="100">
        <f t="shared" si="4"/>
        <v>667.60550983584926</v>
      </c>
      <c r="D54" s="100">
        <f t="shared" si="5"/>
        <v>669.01377458962293</v>
      </c>
      <c r="E54" s="100">
        <f t="shared" si="6"/>
        <v>1071.4254279804609</v>
      </c>
      <c r="F54" s="105">
        <v>51</v>
      </c>
      <c r="G54" s="106" t="s">
        <v>1836</v>
      </c>
      <c r="H54" s="115">
        <v>425</v>
      </c>
      <c r="I54" s="114">
        <v>515</v>
      </c>
      <c r="J54" s="114">
        <v>550</v>
      </c>
      <c r="K54" s="114">
        <v>580</v>
      </c>
      <c r="L54" s="2964">
        <v>615</v>
      </c>
      <c r="M54" s="142" t="s">
        <v>2580</v>
      </c>
      <c r="N54" s="141"/>
      <c r="O54" s="92"/>
      <c r="P54" s="139"/>
    </row>
    <row r="55" spans="2:17" ht="21.6" customHeight="1">
      <c r="B55" s="93">
        <f t="shared" si="3"/>
        <v>48</v>
      </c>
      <c r="C55" s="100">
        <f t="shared" si="4"/>
        <v>680.45592571403438</v>
      </c>
      <c r="D55" s="100">
        <f t="shared" si="5"/>
        <v>681.86419046780804</v>
      </c>
      <c r="E55" s="100">
        <f t="shared" si="6"/>
        <v>1092.0213000044014</v>
      </c>
      <c r="F55" s="105">
        <v>52</v>
      </c>
      <c r="G55" s="106" t="s">
        <v>1839</v>
      </c>
      <c r="H55" s="115">
        <v>750</v>
      </c>
      <c r="I55" s="114">
        <v>925</v>
      </c>
      <c r="J55" s="114">
        <v>985</v>
      </c>
      <c r="K55" s="114">
        <v>1035</v>
      </c>
      <c r="L55" s="2964">
        <v>1095</v>
      </c>
      <c r="M55" s="142" t="s">
        <v>2581</v>
      </c>
      <c r="N55" s="141"/>
      <c r="O55" s="92"/>
      <c r="P55" s="139"/>
    </row>
    <row r="56" spans="2:17" ht="21.6" customHeight="1">
      <c r="B56" s="93">
        <f t="shared" si="3"/>
        <v>49</v>
      </c>
      <c r="C56" s="100">
        <f t="shared" si="4"/>
        <v>693.3063415922195</v>
      </c>
      <c r="D56" s="100">
        <f t="shared" si="5"/>
        <v>694.71460634599316</v>
      </c>
      <c r="E56" s="100">
        <f t="shared" si="6"/>
        <v>1112.6171720283419</v>
      </c>
      <c r="F56" s="105">
        <v>53</v>
      </c>
      <c r="G56" s="106" t="s">
        <v>188</v>
      </c>
      <c r="H56" s="115">
        <v>470</v>
      </c>
      <c r="I56" s="114">
        <v>540</v>
      </c>
      <c r="J56" s="114">
        <v>575</v>
      </c>
      <c r="K56" s="114">
        <v>605</v>
      </c>
      <c r="L56" s="2964">
        <v>640</v>
      </c>
      <c r="M56" s="142" t="s">
        <v>2582</v>
      </c>
      <c r="N56" s="141"/>
      <c r="O56" s="92"/>
      <c r="P56" s="139"/>
    </row>
    <row r="57" spans="2:17" ht="21.6" customHeight="1">
      <c r="B57" s="93">
        <f t="shared" si="3"/>
        <v>50</v>
      </c>
      <c r="C57" s="100">
        <f t="shared" si="4"/>
        <v>706.15675747040461</v>
      </c>
      <c r="D57" s="100">
        <f t="shared" si="5"/>
        <v>707.56502222417828</v>
      </c>
      <c r="E57" s="100">
        <f t="shared" si="6"/>
        <v>1133.2130440522824</v>
      </c>
      <c r="F57" s="105">
        <v>54</v>
      </c>
      <c r="G57" s="106"/>
      <c r="H57" s="112"/>
      <c r="I57" s="113"/>
      <c r="J57" s="113"/>
      <c r="K57" s="113"/>
      <c r="L57" s="2962"/>
      <c r="M57" s="142" t="s">
        <v>2583</v>
      </c>
      <c r="N57" s="141"/>
      <c r="O57" s="92"/>
      <c r="P57" s="139"/>
    </row>
    <row r="58" spans="2:17" ht="25.15" customHeight="1">
      <c r="B58" s="93">
        <f t="shared" si="3"/>
        <v>51</v>
      </c>
      <c r="C58" s="100">
        <f t="shared" si="4"/>
        <v>719.00717334858973</v>
      </c>
      <c r="D58" s="100">
        <f t="shared" si="5"/>
        <v>720.4154381023634</v>
      </c>
      <c r="E58" s="100">
        <f t="shared" si="6"/>
        <v>1153.8089160762229</v>
      </c>
      <c r="F58" s="105">
        <v>55</v>
      </c>
      <c r="G58" s="106" t="s">
        <v>14</v>
      </c>
      <c r="H58" s="115">
        <v>400</v>
      </c>
      <c r="I58" s="114">
        <v>490</v>
      </c>
      <c r="J58" s="114">
        <v>520</v>
      </c>
      <c r="K58" s="114">
        <v>545</v>
      </c>
      <c r="L58" s="2964">
        <v>575</v>
      </c>
      <c r="M58" s="142" t="s">
        <v>2581</v>
      </c>
      <c r="N58" s="141"/>
      <c r="O58" s="92"/>
      <c r="P58" s="139"/>
    </row>
    <row r="59" spans="2:17" ht="25.15" customHeight="1">
      <c r="B59" s="93">
        <f t="shared" si="3"/>
        <v>52</v>
      </c>
      <c r="C59" s="100">
        <f t="shared" si="4"/>
        <v>731.85758922677485</v>
      </c>
      <c r="D59" s="100">
        <f t="shared" si="5"/>
        <v>733.26585398054851</v>
      </c>
      <c r="E59" s="100">
        <f t="shared" si="6"/>
        <v>1174.4047881001634</v>
      </c>
      <c r="F59" s="105">
        <v>56</v>
      </c>
      <c r="G59" s="116" t="s">
        <v>15</v>
      </c>
      <c r="H59" s="115">
        <v>400</v>
      </c>
      <c r="I59" s="103">
        <v>524</v>
      </c>
      <c r="J59" s="103">
        <v>550</v>
      </c>
      <c r="K59" s="103">
        <v>580</v>
      </c>
      <c r="L59" s="2965">
        <v>575</v>
      </c>
      <c r="M59" s="142" t="s">
        <v>2580</v>
      </c>
      <c r="N59" s="141" t="s">
        <v>2584</v>
      </c>
      <c r="O59" s="92"/>
      <c r="P59" s="139"/>
      <c r="Q59">
        <f>70%*515+30%*545</f>
        <v>524</v>
      </c>
    </row>
    <row r="60" spans="2:17" ht="25.15" customHeight="1">
      <c r="B60" s="93">
        <f t="shared" si="3"/>
        <v>53</v>
      </c>
      <c r="C60" s="100">
        <f t="shared" si="4"/>
        <v>744.70800510495997</v>
      </c>
      <c r="D60" s="100">
        <f t="shared" si="5"/>
        <v>746.11626985873363</v>
      </c>
      <c r="E60" s="100">
        <f t="shared" si="6"/>
        <v>1195.0006601241039</v>
      </c>
      <c r="F60" s="105">
        <v>57</v>
      </c>
      <c r="G60" s="116" t="s">
        <v>16</v>
      </c>
      <c r="H60" s="115">
        <v>400</v>
      </c>
      <c r="I60" s="114">
        <v>490</v>
      </c>
      <c r="J60" s="114">
        <v>520</v>
      </c>
      <c r="K60" s="114">
        <v>545</v>
      </c>
      <c r="L60" s="2964">
        <v>575</v>
      </c>
      <c r="M60" s="142" t="s">
        <v>2581</v>
      </c>
      <c r="N60" s="141"/>
      <c r="O60" s="92"/>
      <c r="P60" s="144"/>
      <c r="Q60">
        <f>70%*550+30%*580</f>
        <v>559</v>
      </c>
    </row>
    <row r="61" spans="2:17" ht="25.15" customHeight="1">
      <c r="B61" s="93">
        <f t="shared" si="3"/>
        <v>54</v>
      </c>
      <c r="C61" s="100">
        <f t="shared" si="4"/>
        <v>757.55842098314508</v>
      </c>
      <c r="D61" s="100">
        <f t="shared" si="5"/>
        <v>758.96668573691875</v>
      </c>
      <c r="E61" s="100">
        <f t="shared" si="6"/>
        <v>1215.5965321480444</v>
      </c>
      <c r="F61" s="105">
        <v>58</v>
      </c>
      <c r="G61" s="102" t="s">
        <v>2585</v>
      </c>
      <c r="H61" s="117"/>
      <c r="I61" s="118"/>
      <c r="J61" s="118"/>
      <c r="K61" s="118"/>
      <c r="L61" s="2966"/>
      <c r="M61" s="142"/>
      <c r="N61" s="141"/>
      <c r="O61" s="92"/>
      <c r="P61" s="139"/>
      <c r="Q61">
        <f>70%*580+30%*610</f>
        <v>589</v>
      </c>
    </row>
    <row r="62" spans="2:17" ht="25.15" customHeight="1">
      <c r="B62" s="93">
        <f t="shared" si="3"/>
        <v>55</v>
      </c>
      <c r="C62" s="100">
        <f t="shared" si="4"/>
        <v>770.4088368613302</v>
      </c>
      <c r="D62" s="100">
        <f t="shared" si="5"/>
        <v>771.81710161510387</v>
      </c>
      <c r="E62" s="100">
        <f t="shared" si="6"/>
        <v>1236.1924041719849</v>
      </c>
      <c r="F62" s="105">
        <v>59</v>
      </c>
      <c r="G62" s="116" t="s">
        <v>2586</v>
      </c>
      <c r="H62" s="115">
        <v>2561.8000000000002</v>
      </c>
      <c r="I62" s="114">
        <v>2956.9</v>
      </c>
      <c r="J62" s="114">
        <v>3099</v>
      </c>
      <c r="K62" s="114">
        <v>3168.3</v>
      </c>
      <c r="L62" s="2967">
        <v>3164.8</v>
      </c>
      <c r="M62" s="142" t="s">
        <v>2587</v>
      </c>
      <c r="N62" s="141"/>
      <c r="O62" s="92"/>
      <c r="P62" s="139"/>
    </row>
    <row r="63" spans="2:17" ht="15.75">
      <c r="B63" s="93">
        <f t="shared" si="3"/>
        <v>56</v>
      </c>
      <c r="C63" s="100">
        <f t="shared" si="4"/>
        <v>783.25925273951532</v>
      </c>
      <c r="D63" s="100">
        <f t="shared" si="5"/>
        <v>784.66751749328898</v>
      </c>
      <c r="E63" s="100">
        <f t="shared" si="6"/>
        <v>1256.7882761959254</v>
      </c>
      <c r="F63" s="105">
        <v>60</v>
      </c>
      <c r="G63" s="116" t="s">
        <v>2588</v>
      </c>
      <c r="H63" s="115">
        <v>3216</v>
      </c>
      <c r="I63" s="114">
        <v>3602</v>
      </c>
      <c r="J63" s="114">
        <v>3962</v>
      </c>
      <c r="K63" s="114">
        <v>3962</v>
      </c>
      <c r="L63" s="2964">
        <v>3962</v>
      </c>
      <c r="M63" s="142" t="s">
        <v>2589</v>
      </c>
      <c r="N63" s="141"/>
      <c r="O63" s="92"/>
      <c r="P63" s="139"/>
    </row>
    <row r="64" spans="2:17" ht="15.75">
      <c r="B64" s="93">
        <f t="shared" si="3"/>
        <v>57</v>
      </c>
      <c r="C64" s="100">
        <f t="shared" si="4"/>
        <v>796.10966861770044</v>
      </c>
      <c r="D64" s="100">
        <f t="shared" si="5"/>
        <v>797.5179333714741</v>
      </c>
      <c r="E64" s="100">
        <f t="shared" si="6"/>
        <v>1277.3841482198659</v>
      </c>
      <c r="F64" s="105">
        <v>61</v>
      </c>
      <c r="G64" s="106" t="s">
        <v>2590</v>
      </c>
      <c r="H64" s="115">
        <v>2821.5</v>
      </c>
      <c r="I64" s="114">
        <v>3331.2</v>
      </c>
      <c r="J64" s="114">
        <v>3502.9</v>
      </c>
      <c r="K64" s="114">
        <v>3571</v>
      </c>
      <c r="L64" s="2964">
        <v>3557.7</v>
      </c>
      <c r="M64" s="142" t="s">
        <v>2591</v>
      </c>
      <c r="N64" s="141"/>
      <c r="O64" s="92"/>
      <c r="P64" s="139"/>
    </row>
    <row r="65" spans="2:17" ht="25.15" customHeight="1">
      <c r="B65" s="93">
        <f t="shared" si="3"/>
        <v>58</v>
      </c>
      <c r="C65" s="100">
        <f t="shared" si="4"/>
        <v>808.96008449588555</v>
      </c>
      <c r="D65" s="100">
        <f t="shared" si="5"/>
        <v>810.36834924965922</v>
      </c>
      <c r="E65" s="100">
        <f t="shared" si="6"/>
        <v>1297.9800202438064</v>
      </c>
      <c r="F65" s="105">
        <v>62</v>
      </c>
      <c r="G65" s="116" t="s">
        <v>1882</v>
      </c>
      <c r="H65" s="115">
        <v>1646</v>
      </c>
      <c r="I65" s="114">
        <v>1844</v>
      </c>
      <c r="J65" s="114">
        <v>2028</v>
      </c>
      <c r="K65" s="114">
        <v>2028</v>
      </c>
      <c r="L65" s="2964">
        <v>2028</v>
      </c>
      <c r="M65" s="142" t="s">
        <v>2592</v>
      </c>
      <c r="N65" s="141"/>
      <c r="O65" s="92"/>
      <c r="P65" s="139"/>
    </row>
    <row r="66" spans="2:17" ht="25.15" customHeight="1">
      <c r="B66" s="93">
        <f t="shared" si="3"/>
        <v>59</v>
      </c>
      <c r="C66" s="100">
        <f t="shared" si="4"/>
        <v>821.81050037407067</v>
      </c>
      <c r="D66" s="100">
        <f t="shared" si="5"/>
        <v>823.21876512784434</v>
      </c>
      <c r="E66" s="100">
        <f t="shared" si="6"/>
        <v>1318.5758922677469</v>
      </c>
      <c r="F66" s="105">
        <v>63</v>
      </c>
      <c r="G66" s="116" t="s">
        <v>2593</v>
      </c>
      <c r="H66" s="115">
        <v>924.1</v>
      </c>
      <c r="I66" s="114">
        <v>1185.5999999999999</v>
      </c>
      <c r="J66" s="114">
        <v>1250.0999999999999</v>
      </c>
      <c r="K66" s="114">
        <v>1278</v>
      </c>
      <c r="L66" s="2967">
        <v>1280.4000000000001</v>
      </c>
      <c r="M66" s="142" t="s">
        <v>2594</v>
      </c>
      <c r="N66" s="141"/>
      <c r="O66" s="92"/>
      <c r="P66" s="139"/>
    </row>
    <row r="67" spans="2:17" ht="25.15" customHeight="1">
      <c r="B67" s="93">
        <f t="shared" si="3"/>
        <v>60</v>
      </c>
      <c r="C67" s="100">
        <f t="shared" si="4"/>
        <v>834.66091625225579</v>
      </c>
      <c r="D67" s="100">
        <f t="shared" si="5"/>
        <v>836.06918100602945</v>
      </c>
      <c r="E67" s="100">
        <f t="shared" si="6"/>
        <v>1339.1717642916874</v>
      </c>
      <c r="F67" s="105">
        <v>64</v>
      </c>
      <c r="G67" s="116" t="s">
        <v>214</v>
      </c>
      <c r="H67" s="115">
        <v>2638.9</v>
      </c>
      <c r="I67" s="114">
        <v>3292.4</v>
      </c>
      <c r="J67" s="114">
        <v>3475.2</v>
      </c>
      <c r="K67" s="114">
        <v>3535</v>
      </c>
      <c r="L67" s="2964">
        <v>3517.9</v>
      </c>
      <c r="M67" s="142" t="s">
        <v>2595</v>
      </c>
      <c r="N67" s="141"/>
      <c r="O67" s="92"/>
      <c r="P67" s="139"/>
    </row>
    <row r="68" spans="2:17" ht="25.15" customHeight="1">
      <c r="B68" s="93">
        <f t="shared" si="3"/>
        <v>61</v>
      </c>
      <c r="C68" s="100">
        <f t="shared" si="4"/>
        <v>847.51133213044091</v>
      </c>
      <c r="D68" s="100">
        <f t="shared" si="5"/>
        <v>848.91959688421457</v>
      </c>
      <c r="E68" s="100">
        <f t="shared" si="6"/>
        <v>1359.7676363156279</v>
      </c>
      <c r="F68" s="105">
        <v>65</v>
      </c>
      <c r="G68" s="116" t="s">
        <v>2596</v>
      </c>
      <c r="H68" s="115">
        <v>1131</v>
      </c>
      <c r="I68" s="114">
        <v>1625.8</v>
      </c>
      <c r="J68" s="114">
        <v>1734.8</v>
      </c>
      <c r="K68" s="114">
        <v>1758</v>
      </c>
      <c r="L68" s="2964">
        <v>1749.6</v>
      </c>
      <c r="M68" s="142" t="s">
        <v>2587</v>
      </c>
      <c r="N68" s="141"/>
      <c r="O68" s="92"/>
      <c r="P68" s="139"/>
    </row>
    <row r="69" spans="2:17" ht="25.15" customHeight="1">
      <c r="B69" s="93">
        <f t="shared" si="3"/>
        <v>62</v>
      </c>
      <c r="C69" s="100">
        <f t="shared" si="4"/>
        <v>860.36174800862602</v>
      </c>
      <c r="D69" s="100">
        <f t="shared" si="5"/>
        <v>861.77001276239969</v>
      </c>
      <c r="E69" s="100">
        <f t="shared" si="6"/>
        <v>1380.3635083395684</v>
      </c>
      <c r="F69" s="105">
        <v>66</v>
      </c>
      <c r="G69" s="116" t="s">
        <v>213</v>
      </c>
      <c r="H69" s="115">
        <v>624</v>
      </c>
      <c r="I69" s="114">
        <v>699</v>
      </c>
      <c r="J69" s="114">
        <v>769</v>
      </c>
      <c r="K69" s="114">
        <v>769</v>
      </c>
      <c r="L69" s="2964">
        <v>769</v>
      </c>
      <c r="M69" s="142" t="s">
        <v>2597</v>
      </c>
      <c r="N69" s="162"/>
      <c r="O69" s="92"/>
      <c r="P69" s="139"/>
    </row>
    <row r="70" spans="2:17" ht="25.15" customHeight="1">
      <c r="B70" s="93">
        <f t="shared" si="3"/>
        <v>63</v>
      </c>
      <c r="C70" s="100">
        <f t="shared" si="4"/>
        <v>873.21216388681114</v>
      </c>
      <c r="D70" s="100">
        <f t="shared" si="5"/>
        <v>874.62042864058481</v>
      </c>
      <c r="E70" s="100">
        <f t="shared" si="6"/>
        <v>1400.9593803635089</v>
      </c>
      <c r="F70" s="105">
        <v>67</v>
      </c>
      <c r="G70" s="116" t="s">
        <v>2598</v>
      </c>
      <c r="H70" s="115">
        <v>415</v>
      </c>
      <c r="I70" s="114">
        <v>465</v>
      </c>
      <c r="J70" s="114">
        <v>512</v>
      </c>
      <c r="K70" s="114">
        <v>512</v>
      </c>
      <c r="L70" s="2964">
        <v>512</v>
      </c>
      <c r="M70" s="142" t="s">
        <v>2599</v>
      </c>
      <c r="N70" s="162"/>
      <c r="O70" s="92"/>
      <c r="P70" s="139"/>
    </row>
    <row r="71" spans="2:17" ht="25.15" customHeight="1">
      <c r="B71" s="93">
        <f t="shared" si="3"/>
        <v>64</v>
      </c>
      <c r="C71" s="100">
        <f t="shared" si="4"/>
        <v>886.06257976499626</v>
      </c>
      <c r="D71" s="100">
        <f t="shared" si="5"/>
        <v>887.47084451876992</v>
      </c>
      <c r="E71" s="100">
        <f t="shared" si="6"/>
        <v>1421.5552523874494</v>
      </c>
      <c r="F71" s="105">
        <v>68</v>
      </c>
      <c r="G71" s="116" t="s">
        <v>2600</v>
      </c>
      <c r="H71" s="115">
        <v>422</v>
      </c>
      <c r="I71" s="114">
        <v>473</v>
      </c>
      <c r="J71" s="114">
        <v>520</v>
      </c>
      <c r="K71" s="114">
        <v>520</v>
      </c>
      <c r="L71" s="2964">
        <v>520</v>
      </c>
      <c r="M71" s="142" t="s">
        <v>2601</v>
      </c>
      <c r="N71" s="162"/>
      <c r="O71" s="92"/>
      <c r="P71" s="139"/>
    </row>
    <row r="72" spans="2:17" ht="25.15" customHeight="1">
      <c r="B72" s="93">
        <f t="shared" si="3"/>
        <v>65</v>
      </c>
      <c r="C72" s="100">
        <f t="shared" si="4"/>
        <v>898.91299564318138</v>
      </c>
      <c r="D72" s="100">
        <f t="shared" si="5"/>
        <v>900.32126039695504</v>
      </c>
      <c r="E72" s="100">
        <f t="shared" si="6"/>
        <v>1442.1511244113899</v>
      </c>
      <c r="F72" s="105">
        <v>69</v>
      </c>
      <c r="G72" s="146" t="s">
        <v>2602</v>
      </c>
      <c r="H72" s="115">
        <v>507.5</v>
      </c>
      <c r="I72" s="114">
        <v>568</v>
      </c>
      <c r="J72" s="114">
        <v>625</v>
      </c>
      <c r="K72" s="114">
        <v>625</v>
      </c>
      <c r="L72" s="2964">
        <v>625</v>
      </c>
      <c r="M72" s="142" t="s">
        <v>2603</v>
      </c>
      <c r="N72" s="162"/>
      <c r="O72" s="92"/>
      <c r="P72" s="139"/>
    </row>
    <row r="73" spans="2:17" ht="25.15" customHeight="1">
      <c r="B73" s="93">
        <f t="shared" si="3"/>
        <v>66</v>
      </c>
      <c r="C73" s="100">
        <f t="shared" si="4"/>
        <v>911.76341152136649</v>
      </c>
      <c r="D73" s="100">
        <f t="shared" si="5"/>
        <v>913.17167627514016</v>
      </c>
      <c r="E73" s="100">
        <f t="shared" si="6"/>
        <v>1462.7469964353304</v>
      </c>
      <c r="F73" s="105">
        <v>70</v>
      </c>
      <c r="G73" s="116" t="s">
        <v>2604</v>
      </c>
      <c r="H73" s="115">
        <v>521.20000000000005</v>
      </c>
      <c r="I73" s="114">
        <v>619.5</v>
      </c>
      <c r="J73" s="114">
        <v>668.6</v>
      </c>
      <c r="K73" s="114">
        <v>714</v>
      </c>
      <c r="L73" s="2964">
        <v>727.6</v>
      </c>
      <c r="M73" s="142" t="s">
        <v>2605</v>
      </c>
      <c r="N73" s="162"/>
      <c r="O73" s="92"/>
      <c r="P73" s="139"/>
    </row>
    <row r="74" spans="2:17" ht="25.15" customHeight="1">
      <c r="B74" s="93">
        <f t="shared" si="3"/>
        <v>67</v>
      </c>
      <c r="C74" s="100">
        <f t="shared" si="4"/>
        <v>924.61382739955161</v>
      </c>
      <c r="D74" s="100">
        <f t="shared" si="5"/>
        <v>926.02209215332527</v>
      </c>
      <c r="E74" s="100">
        <f t="shared" si="6"/>
        <v>1483.3428684592709</v>
      </c>
      <c r="F74" s="105">
        <v>71</v>
      </c>
      <c r="G74" s="116" t="s">
        <v>2606</v>
      </c>
      <c r="H74" s="115">
        <v>1646</v>
      </c>
      <c r="I74" s="114">
        <v>1844</v>
      </c>
      <c r="J74" s="114">
        <v>2028</v>
      </c>
      <c r="K74" s="114">
        <v>2028</v>
      </c>
      <c r="L74" s="2964">
        <v>2028</v>
      </c>
      <c r="M74" s="142" t="s">
        <v>2607</v>
      </c>
      <c r="N74" s="162"/>
      <c r="O74" s="92"/>
      <c r="P74" s="139"/>
    </row>
    <row r="75" spans="2:17" ht="25.15" customHeight="1">
      <c r="B75" s="93">
        <f t="shared" si="3"/>
        <v>68</v>
      </c>
      <c r="C75" s="100">
        <f t="shared" si="4"/>
        <v>937.46424327773673</v>
      </c>
      <c r="D75" s="100">
        <f t="shared" si="5"/>
        <v>938.87250803151039</v>
      </c>
      <c r="E75" s="100">
        <f t="shared" si="6"/>
        <v>1503.9387404832114</v>
      </c>
      <c r="F75" s="105">
        <v>72</v>
      </c>
      <c r="G75" s="116" t="s">
        <v>2608</v>
      </c>
      <c r="H75" s="115">
        <v>357</v>
      </c>
      <c r="I75" s="114">
        <v>400</v>
      </c>
      <c r="J75" s="114">
        <v>440</v>
      </c>
      <c r="K75" s="114">
        <v>440</v>
      </c>
      <c r="L75" s="2964">
        <v>440</v>
      </c>
      <c r="M75" s="142" t="s">
        <v>2609</v>
      </c>
      <c r="N75" s="162"/>
      <c r="O75" s="92"/>
      <c r="P75" s="139"/>
    </row>
    <row r="76" spans="2:17" ht="25.15" customHeight="1">
      <c r="B76" s="93">
        <f t="shared" si="3"/>
        <v>69</v>
      </c>
      <c r="C76" s="100">
        <f t="shared" si="4"/>
        <v>950.31465915592185</v>
      </c>
      <c r="D76" s="100">
        <f t="shared" si="5"/>
        <v>951.72292390969551</v>
      </c>
      <c r="E76" s="100">
        <f t="shared" si="6"/>
        <v>1524.5346125071519</v>
      </c>
      <c r="F76" s="105">
        <v>73</v>
      </c>
      <c r="G76" s="116" t="s">
        <v>1213</v>
      </c>
      <c r="H76" s="115">
        <v>1498</v>
      </c>
      <c r="I76" s="114">
        <v>1678</v>
      </c>
      <c r="J76" s="114">
        <v>1846</v>
      </c>
      <c r="K76" s="114">
        <v>1846</v>
      </c>
      <c r="L76" s="2964">
        <v>1846</v>
      </c>
      <c r="M76" s="142" t="s">
        <v>2610</v>
      </c>
      <c r="N76" s="162"/>
      <c r="O76" s="92"/>
      <c r="P76" s="139"/>
    </row>
    <row r="77" spans="2:17" ht="25.15" customHeight="1">
      <c r="B77" s="93">
        <f t="shared" si="3"/>
        <v>70</v>
      </c>
      <c r="C77" s="100">
        <f t="shared" si="4"/>
        <v>963.16507503410696</v>
      </c>
      <c r="D77" s="100">
        <f t="shared" si="5"/>
        <v>964.57333978788063</v>
      </c>
      <c r="E77" s="100">
        <f t="shared" si="6"/>
        <v>1545.1304845310924</v>
      </c>
      <c r="F77" s="105">
        <v>74</v>
      </c>
      <c r="G77" s="116" t="s">
        <v>1295</v>
      </c>
      <c r="H77" s="115">
        <v>860</v>
      </c>
      <c r="I77" s="114">
        <v>963</v>
      </c>
      <c r="J77" s="114">
        <v>1059</v>
      </c>
      <c r="K77" s="114">
        <v>1059</v>
      </c>
      <c r="L77" s="2964">
        <v>1059</v>
      </c>
      <c r="M77" s="142" t="s">
        <v>2611</v>
      </c>
      <c r="N77" s="162"/>
      <c r="O77" s="92"/>
      <c r="P77" s="139"/>
    </row>
    <row r="78" spans="2:17" ht="25.15" customHeight="1">
      <c r="B78" s="93">
        <f t="shared" si="3"/>
        <v>71</v>
      </c>
      <c r="C78" s="100">
        <f t="shared" si="4"/>
        <v>976.01549091229208</v>
      </c>
      <c r="D78" s="100">
        <f t="shared" si="5"/>
        <v>977.42375566606574</v>
      </c>
      <c r="E78" s="100">
        <f t="shared" si="6"/>
        <v>1565.7263565550329</v>
      </c>
      <c r="F78" s="105">
        <v>75</v>
      </c>
      <c r="G78" s="116" t="s">
        <v>2612</v>
      </c>
      <c r="H78" s="115">
        <v>24171</v>
      </c>
      <c r="I78" s="114">
        <v>27072</v>
      </c>
      <c r="J78" s="114">
        <v>38683</v>
      </c>
      <c r="K78" s="114">
        <v>38683</v>
      </c>
      <c r="L78" s="2964">
        <v>38683</v>
      </c>
      <c r="M78" s="142" t="s">
        <v>2613</v>
      </c>
      <c r="N78" s="163"/>
      <c r="O78" s="164" t="s">
        <v>2614</v>
      </c>
      <c r="P78" s="165">
        <f>ROUND(I79+((75-60)*(I78-I79))/(100-60),)</f>
        <v>25320</v>
      </c>
      <c r="Q78" s="165">
        <f>ROUND(J79+((75-60)*(J78-J79))/(100-60),)</f>
        <v>33344</v>
      </c>
    </row>
    <row r="79" spans="2:17" ht="25.15" customHeight="1">
      <c r="B79" s="93">
        <f t="shared" si="3"/>
        <v>72</v>
      </c>
      <c r="C79" s="100">
        <f t="shared" si="4"/>
        <v>988.8659067904772</v>
      </c>
      <c r="D79" s="100">
        <f t="shared" si="5"/>
        <v>990.27417154425086</v>
      </c>
      <c r="E79" s="100">
        <f t="shared" si="6"/>
        <v>1586.3222285789734</v>
      </c>
      <c r="F79" s="105">
        <v>76</v>
      </c>
      <c r="G79" s="116" t="s">
        <v>2615</v>
      </c>
      <c r="H79" s="115">
        <v>21668</v>
      </c>
      <c r="I79" s="114">
        <v>24268</v>
      </c>
      <c r="J79" s="114">
        <v>30141</v>
      </c>
      <c r="K79" s="114">
        <v>30141</v>
      </c>
      <c r="L79" s="2964">
        <v>30141</v>
      </c>
      <c r="M79" s="142" t="s">
        <v>2616</v>
      </c>
      <c r="N79" s="162"/>
      <c r="O79" s="92"/>
      <c r="P79" s="139"/>
    </row>
    <row r="80" spans="2:17" ht="25.15" customHeight="1">
      <c r="B80" s="93">
        <f t="shared" si="3"/>
        <v>73</v>
      </c>
      <c r="C80" s="100">
        <f t="shared" si="4"/>
        <v>1001.7163226686623</v>
      </c>
      <c r="D80" s="100">
        <f t="shared" si="5"/>
        <v>1003.124587422436</v>
      </c>
      <c r="E80" s="100">
        <f t="shared" si="6"/>
        <v>1606.9181006029139</v>
      </c>
      <c r="F80" s="105">
        <v>77</v>
      </c>
      <c r="G80" s="116" t="s">
        <v>1827</v>
      </c>
      <c r="H80" s="115">
        <v>2249</v>
      </c>
      <c r="I80" s="114">
        <v>2519</v>
      </c>
      <c r="J80" s="114">
        <v>2771</v>
      </c>
      <c r="K80" s="114">
        <v>2771</v>
      </c>
      <c r="L80" s="2964">
        <v>2771</v>
      </c>
      <c r="M80" s="142" t="s">
        <v>2617</v>
      </c>
      <c r="N80" s="162"/>
      <c r="O80" s="92"/>
      <c r="P80" s="139"/>
    </row>
    <row r="81" spans="2:16" ht="25.15" customHeight="1">
      <c r="B81" s="93">
        <f t="shared" si="3"/>
        <v>74</v>
      </c>
      <c r="C81" s="100">
        <f t="shared" si="4"/>
        <v>1014.5667385468474</v>
      </c>
      <c r="D81" s="100">
        <f t="shared" si="5"/>
        <v>1015.9750033006211</v>
      </c>
      <c r="E81" s="100">
        <f t="shared" si="6"/>
        <v>1627.5139726268544</v>
      </c>
      <c r="F81" s="105">
        <v>78</v>
      </c>
      <c r="G81" s="116" t="s">
        <v>2618</v>
      </c>
      <c r="H81" s="115">
        <v>2567</v>
      </c>
      <c r="I81" s="114">
        <v>2875</v>
      </c>
      <c r="J81" s="114">
        <v>3163</v>
      </c>
      <c r="K81" s="114">
        <v>3163</v>
      </c>
      <c r="L81" s="2964">
        <v>3163</v>
      </c>
      <c r="M81" s="142" t="s">
        <v>2619</v>
      </c>
      <c r="N81" s="162"/>
      <c r="O81" s="92"/>
      <c r="P81" s="139"/>
    </row>
    <row r="82" spans="2:16" ht="25.15" customHeight="1">
      <c r="B82" s="93">
        <f t="shared" si="3"/>
        <v>75</v>
      </c>
      <c r="C82" s="100">
        <f t="shared" si="4"/>
        <v>1027.4171544250325</v>
      </c>
      <c r="D82" s="100">
        <f t="shared" si="5"/>
        <v>1028.8254191788062</v>
      </c>
      <c r="E82" s="100">
        <f t="shared" si="6"/>
        <v>1648.1098446507949</v>
      </c>
      <c r="F82" s="105">
        <v>79</v>
      </c>
      <c r="G82" s="116" t="s">
        <v>2620</v>
      </c>
      <c r="H82" s="115">
        <v>1646</v>
      </c>
      <c r="I82" s="114">
        <v>1844</v>
      </c>
      <c r="J82" s="114">
        <v>2028</v>
      </c>
      <c r="K82" s="114">
        <v>2028</v>
      </c>
      <c r="L82" s="2964">
        <v>2028</v>
      </c>
      <c r="M82" s="142" t="s">
        <v>2619</v>
      </c>
      <c r="N82" s="162"/>
      <c r="O82" s="92"/>
      <c r="P82" s="139"/>
    </row>
    <row r="83" spans="2:16" ht="25.15" customHeight="1">
      <c r="B83" s="93">
        <f t="shared" si="3"/>
        <v>76</v>
      </c>
      <c r="C83" s="100">
        <f t="shared" si="4"/>
        <v>1040.2675703032176</v>
      </c>
      <c r="D83" s="100">
        <f t="shared" si="5"/>
        <v>1041.6758350569912</v>
      </c>
      <c r="E83" s="100">
        <f t="shared" si="6"/>
        <v>1668.7057166747354</v>
      </c>
      <c r="F83" s="105">
        <v>80</v>
      </c>
      <c r="G83" s="116" t="s">
        <v>2621</v>
      </c>
      <c r="H83" s="115">
        <v>1283</v>
      </c>
      <c r="I83" s="114">
        <v>1437</v>
      </c>
      <c r="J83" s="114">
        <v>1581</v>
      </c>
      <c r="K83" s="114">
        <v>1581</v>
      </c>
      <c r="L83" s="2964">
        <v>1581</v>
      </c>
      <c r="M83" s="142" t="s">
        <v>2622</v>
      </c>
      <c r="N83" s="162"/>
      <c r="O83" s="92"/>
      <c r="P83" s="139"/>
    </row>
    <row r="84" spans="2:16" ht="25.15" customHeight="1">
      <c r="B84" s="93">
        <f t="shared" si="3"/>
        <v>77</v>
      </c>
      <c r="C84" s="100">
        <f t="shared" si="4"/>
        <v>1053.1179861814026</v>
      </c>
      <c r="D84" s="100">
        <f t="shared" si="5"/>
        <v>1054.5262509351762</v>
      </c>
      <c r="E84" s="100">
        <f t="shared" si="6"/>
        <v>1689.3015886986759</v>
      </c>
      <c r="F84" s="105">
        <v>81</v>
      </c>
      <c r="G84" s="116" t="s">
        <v>2623</v>
      </c>
      <c r="H84" s="115">
        <v>1143</v>
      </c>
      <c r="I84" s="114">
        <v>1280</v>
      </c>
      <c r="J84" s="114">
        <v>1408</v>
      </c>
      <c r="K84" s="114">
        <v>1408</v>
      </c>
      <c r="L84" s="2964">
        <v>1408</v>
      </c>
      <c r="M84" s="142" t="s">
        <v>2624</v>
      </c>
      <c r="N84" s="162"/>
      <c r="O84" s="92"/>
      <c r="P84" s="139"/>
    </row>
    <row r="85" spans="2:16" ht="25.15" customHeight="1">
      <c r="B85" s="93">
        <f t="shared" si="3"/>
        <v>78</v>
      </c>
      <c r="C85" s="100">
        <f t="shared" si="4"/>
        <v>1065.9684020595876</v>
      </c>
      <c r="D85" s="100">
        <f t="shared" si="5"/>
        <v>1067.3766668133612</v>
      </c>
      <c r="E85" s="100">
        <f t="shared" si="6"/>
        <v>1709.8974607226164</v>
      </c>
      <c r="F85" s="105">
        <v>82</v>
      </c>
      <c r="G85" s="116" t="s">
        <v>1893</v>
      </c>
      <c r="H85" s="115">
        <v>1850</v>
      </c>
      <c r="I85" s="114">
        <v>2072</v>
      </c>
      <c r="J85" s="114">
        <v>2279</v>
      </c>
      <c r="K85" s="114">
        <v>2279</v>
      </c>
      <c r="L85" s="2964">
        <v>2279</v>
      </c>
      <c r="M85" s="142" t="s">
        <v>2625</v>
      </c>
      <c r="N85" s="162"/>
      <c r="O85" s="92"/>
      <c r="P85" s="139"/>
    </row>
    <row r="86" spans="2:16" ht="25.15" customHeight="1">
      <c r="B86" s="93">
        <f t="shared" si="3"/>
        <v>79</v>
      </c>
      <c r="C86" s="100">
        <f t="shared" si="4"/>
        <v>1078.8188179377726</v>
      </c>
      <c r="D86" s="100">
        <f t="shared" si="5"/>
        <v>1080.2270826915462</v>
      </c>
      <c r="E86" s="100">
        <f t="shared" si="6"/>
        <v>1730.4933327465569</v>
      </c>
      <c r="F86" s="105">
        <v>83</v>
      </c>
      <c r="G86" s="116" t="s">
        <v>2626</v>
      </c>
      <c r="H86" s="115">
        <v>1320</v>
      </c>
      <c r="I86" s="114">
        <v>1478</v>
      </c>
      <c r="J86" s="114">
        <v>1626</v>
      </c>
      <c r="K86" s="114">
        <v>1626</v>
      </c>
      <c r="L86" s="2964">
        <v>1626</v>
      </c>
      <c r="M86" s="142" t="s">
        <v>2627</v>
      </c>
      <c r="N86" s="162"/>
      <c r="O86" s="92"/>
      <c r="P86" s="139"/>
    </row>
    <row r="87" spans="2:16" ht="25.15" customHeight="1">
      <c r="B87" s="93">
        <f t="shared" si="3"/>
        <v>80</v>
      </c>
      <c r="C87" s="100">
        <f t="shared" si="4"/>
        <v>1091.6692338159576</v>
      </c>
      <c r="D87" s="100">
        <f t="shared" si="5"/>
        <v>1093.0774985697312</v>
      </c>
      <c r="E87" s="100">
        <f t="shared" si="6"/>
        <v>1751.0892047704974</v>
      </c>
      <c r="F87" s="105">
        <v>84</v>
      </c>
      <c r="G87" s="116" t="s">
        <v>2628</v>
      </c>
      <c r="H87" s="115">
        <v>842.2</v>
      </c>
      <c r="I87" s="114">
        <v>1237.4000000000001</v>
      </c>
      <c r="J87" s="114">
        <v>1324.9</v>
      </c>
      <c r="K87" s="114">
        <v>1336</v>
      </c>
      <c r="L87" s="2964">
        <v>1323.5</v>
      </c>
      <c r="M87" s="142" t="s">
        <v>2627</v>
      </c>
      <c r="N87" s="162"/>
      <c r="O87" s="92"/>
      <c r="P87" s="139"/>
    </row>
    <row r="88" spans="2:16" ht="25.15" customHeight="1">
      <c r="B88" s="93">
        <f t="shared" si="3"/>
        <v>81</v>
      </c>
      <c r="C88" s="100">
        <f t="shared" si="4"/>
        <v>1104.5196496941426</v>
      </c>
      <c r="D88" s="100">
        <f t="shared" si="5"/>
        <v>1105.9279144479162</v>
      </c>
      <c r="E88" s="100">
        <f t="shared" si="6"/>
        <v>1771.6850767944379</v>
      </c>
      <c r="F88" s="105">
        <v>85</v>
      </c>
      <c r="G88" s="116" t="s">
        <v>2629</v>
      </c>
      <c r="H88" s="115">
        <v>472.6</v>
      </c>
      <c r="I88" s="114">
        <v>627.6</v>
      </c>
      <c r="J88" s="114">
        <v>667.2</v>
      </c>
      <c r="K88" s="114">
        <v>686</v>
      </c>
      <c r="L88" s="2964">
        <v>697.9</v>
      </c>
      <c r="M88" s="142" t="s">
        <v>2630</v>
      </c>
      <c r="N88" s="162"/>
      <c r="O88" s="92"/>
      <c r="P88" s="139"/>
    </row>
    <row r="89" spans="2:16" ht="25.15" customHeight="1">
      <c r="B89" s="93">
        <f t="shared" si="3"/>
        <v>82</v>
      </c>
      <c r="C89" s="100">
        <f t="shared" si="4"/>
        <v>1117.3700655723276</v>
      </c>
      <c r="D89" s="100">
        <f t="shared" si="5"/>
        <v>1118.7783303261012</v>
      </c>
      <c r="E89" s="100">
        <f t="shared" si="6"/>
        <v>1792.2809488183784</v>
      </c>
      <c r="F89" s="105">
        <v>86</v>
      </c>
      <c r="G89" s="116" t="s">
        <v>2631</v>
      </c>
      <c r="H89" s="115">
        <v>6</v>
      </c>
      <c r="I89" s="103">
        <v>1142.5999999999999</v>
      </c>
      <c r="J89" s="103">
        <v>1205.7</v>
      </c>
      <c r="K89" s="103">
        <v>1232</v>
      </c>
      <c r="L89" s="2965">
        <v>9</v>
      </c>
      <c r="M89" s="142" t="s">
        <v>2632</v>
      </c>
      <c r="N89" s="162"/>
      <c r="O89" s="92"/>
      <c r="P89" s="139"/>
    </row>
    <row r="90" spans="2:16" ht="25.15" customHeight="1">
      <c r="B90" s="93">
        <f t="shared" si="3"/>
        <v>83</v>
      </c>
      <c r="C90" s="100">
        <f t="shared" si="4"/>
        <v>1130.2204814505126</v>
      </c>
      <c r="D90" s="100">
        <f t="shared" si="5"/>
        <v>1131.6287462042862</v>
      </c>
      <c r="E90" s="100">
        <f t="shared" si="6"/>
        <v>1812.8768208423189</v>
      </c>
      <c r="F90" s="105">
        <v>87</v>
      </c>
      <c r="G90" s="116" t="s">
        <v>2633</v>
      </c>
      <c r="H90" s="113">
        <v>89.19</v>
      </c>
      <c r="I90" s="143">
        <v>1142.5999999999999</v>
      </c>
      <c r="J90" s="143">
        <v>1205.7</v>
      </c>
      <c r="K90" s="103">
        <v>1232</v>
      </c>
      <c r="L90" s="2963">
        <v>1250.0999999999999</v>
      </c>
      <c r="M90" s="142" t="s">
        <v>2632</v>
      </c>
      <c r="N90" s="162"/>
      <c r="O90" s="92"/>
      <c r="P90" s="139"/>
    </row>
    <row r="91" spans="2:16" ht="25.15" customHeight="1">
      <c r="B91" s="93">
        <f t="shared" si="3"/>
        <v>84</v>
      </c>
      <c r="C91" s="100">
        <f t="shared" si="4"/>
        <v>1143.0708973286976</v>
      </c>
      <c r="D91" s="100">
        <f t="shared" si="5"/>
        <v>1144.4791620824712</v>
      </c>
      <c r="E91" s="100">
        <f t="shared" si="6"/>
        <v>1833.4726928662594</v>
      </c>
      <c r="F91" s="105">
        <v>88</v>
      </c>
      <c r="G91" s="110" t="s">
        <v>2634</v>
      </c>
      <c r="H91" s="115">
        <v>48</v>
      </c>
      <c r="I91" s="114">
        <v>54</v>
      </c>
      <c r="J91" s="114">
        <v>59</v>
      </c>
      <c r="K91" s="114">
        <v>59</v>
      </c>
      <c r="L91" s="2964">
        <v>59</v>
      </c>
      <c r="M91" s="142" t="s">
        <v>2635</v>
      </c>
      <c r="N91" s="162"/>
      <c r="O91" s="92"/>
      <c r="P91" s="139"/>
    </row>
    <row r="92" spans="2:16" ht="25.15" customHeight="1">
      <c r="B92" s="93">
        <f t="shared" si="3"/>
        <v>85</v>
      </c>
      <c r="C92" s="100">
        <f t="shared" si="4"/>
        <v>1155.9213132068826</v>
      </c>
      <c r="D92" s="100">
        <f t="shared" si="5"/>
        <v>1157.3295779606563</v>
      </c>
      <c r="E92" s="100">
        <f t="shared" si="6"/>
        <v>1854.0685648901999</v>
      </c>
      <c r="F92" s="105">
        <v>89</v>
      </c>
      <c r="G92" s="147" t="s">
        <v>2636</v>
      </c>
      <c r="H92" s="148">
        <v>470</v>
      </c>
      <c r="I92" s="114">
        <v>540</v>
      </c>
      <c r="J92" s="114">
        <v>575</v>
      </c>
      <c r="K92" s="114">
        <v>605</v>
      </c>
      <c r="L92" s="2964">
        <v>640</v>
      </c>
      <c r="M92" s="142" t="s">
        <v>2503</v>
      </c>
      <c r="N92" s="162"/>
      <c r="O92" s="92"/>
      <c r="P92" s="139"/>
    </row>
    <row r="93" spans="2:16" ht="25.15" customHeight="1">
      <c r="B93" s="93">
        <f t="shared" si="3"/>
        <v>86</v>
      </c>
      <c r="C93" s="100">
        <f t="shared" si="4"/>
        <v>1168.7717290850676</v>
      </c>
      <c r="D93" s="100">
        <f t="shared" si="5"/>
        <v>1170.1799938388413</v>
      </c>
      <c r="E93" s="100">
        <f t="shared" si="6"/>
        <v>1874.6644369141404</v>
      </c>
      <c r="F93" s="105">
        <v>90</v>
      </c>
      <c r="G93" s="147" t="s">
        <v>2637</v>
      </c>
      <c r="H93" s="148">
        <v>58</v>
      </c>
      <c r="I93" s="114">
        <v>66</v>
      </c>
      <c r="J93" s="114">
        <v>71</v>
      </c>
      <c r="K93" s="114">
        <v>75</v>
      </c>
      <c r="L93" s="2964">
        <v>83</v>
      </c>
      <c r="M93" s="142" t="s">
        <v>2638</v>
      </c>
      <c r="N93" s="162"/>
      <c r="O93" s="92"/>
      <c r="P93" s="139"/>
    </row>
    <row r="94" spans="2:16" ht="25.15" customHeight="1">
      <c r="B94" s="93">
        <f t="shared" si="3"/>
        <v>87</v>
      </c>
      <c r="C94" s="100">
        <f t="shared" si="4"/>
        <v>1181.6221449632526</v>
      </c>
      <c r="D94" s="100">
        <f t="shared" si="5"/>
        <v>1183.0304097170263</v>
      </c>
      <c r="E94" s="100">
        <f t="shared" si="6"/>
        <v>1895.2603089380809</v>
      </c>
      <c r="F94" s="105">
        <v>91</v>
      </c>
      <c r="G94" s="149" t="s">
        <v>2639</v>
      </c>
      <c r="H94" s="118">
        <v>3059.51</v>
      </c>
      <c r="I94" s="150">
        <v>3427</v>
      </c>
      <c r="J94" s="150">
        <v>3770</v>
      </c>
      <c r="K94" s="150">
        <v>3770</v>
      </c>
      <c r="L94" s="2968">
        <v>3770</v>
      </c>
      <c r="M94" s="142" t="s">
        <v>2616</v>
      </c>
      <c r="N94" s="166"/>
      <c r="P94" s="139"/>
    </row>
    <row r="95" spans="2:16" ht="31.5">
      <c r="B95" s="93">
        <f t="shared" si="3"/>
        <v>88</v>
      </c>
      <c r="C95" s="100">
        <f t="shared" si="4"/>
        <v>1194.4725608414376</v>
      </c>
      <c r="D95" s="100">
        <f t="shared" si="5"/>
        <v>1195.8808255952113</v>
      </c>
      <c r="E95" s="100">
        <f t="shared" si="6"/>
        <v>1915.8561809620214</v>
      </c>
      <c r="F95" s="105">
        <v>92</v>
      </c>
      <c r="G95" s="106" t="s">
        <v>1612</v>
      </c>
      <c r="H95" s="151">
        <v>456</v>
      </c>
      <c r="I95" s="152">
        <v>456</v>
      </c>
      <c r="J95" s="152">
        <v>540</v>
      </c>
      <c r="K95" s="167">
        <v>567</v>
      </c>
      <c r="L95" s="2969">
        <f>L24</f>
        <v>709</v>
      </c>
      <c r="M95" s="168" t="s">
        <v>2542</v>
      </c>
      <c r="N95" s="166"/>
      <c r="P95" s="139"/>
    </row>
    <row r="96" spans="2:16" ht="25.15" customHeight="1">
      <c r="B96" s="93">
        <f t="shared" si="3"/>
        <v>89</v>
      </c>
      <c r="C96" s="100">
        <f t="shared" si="4"/>
        <v>1207.3229767196226</v>
      </c>
      <c r="D96" s="100">
        <f t="shared" si="5"/>
        <v>1208.7312414733963</v>
      </c>
      <c r="E96" s="100">
        <f t="shared" si="6"/>
        <v>1936.4520529859619</v>
      </c>
      <c r="F96" s="105">
        <v>93</v>
      </c>
      <c r="G96" s="116" t="s">
        <v>58</v>
      </c>
      <c r="H96" s="113">
        <v>425</v>
      </c>
      <c r="I96" s="114">
        <v>515</v>
      </c>
      <c r="J96" s="114">
        <v>550</v>
      </c>
      <c r="K96" s="114">
        <v>580</v>
      </c>
      <c r="L96" s="2964">
        <v>645</v>
      </c>
      <c r="M96" s="142" t="s">
        <v>2640</v>
      </c>
      <c r="N96" s="166"/>
      <c r="P96" s="139"/>
    </row>
    <row r="97" spans="2:16" ht="25.15" customHeight="1">
      <c r="B97" s="93">
        <f t="shared" si="3"/>
        <v>90</v>
      </c>
      <c r="C97" s="100">
        <f t="shared" si="4"/>
        <v>1220.1733925978076</v>
      </c>
      <c r="D97" s="100">
        <f t="shared" si="5"/>
        <v>1221.5816573515813</v>
      </c>
      <c r="E97" s="100">
        <f t="shared" si="6"/>
        <v>1957.0479250099024</v>
      </c>
      <c r="F97" s="105">
        <v>94</v>
      </c>
      <c r="G97" s="116" t="s">
        <v>236</v>
      </c>
      <c r="H97" s="113">
        <v>470</v>
      </c>
      <c r="I97" s="114">
        <v>545</v>
      </c>
      <c r="J97" s="114">
        <v>580</v>
      </c>
      <c r="K97" s="114">
        <v>610</v>
      </c>
      <c r="L97" s="2964">
        <v>575</v>
      </c>
      <c r="M97" s="142" t="s">
        <v>2579</v>
      </c>
      <c r="N97" s="166"/>
      <c r="P97" s="139"/>
    </row>
    <row r="98" spans="2:16" ht="25.15" customHeight="1">
      <c r="B98" s="93">
        <f t="shared" si="3"/>
        <v>91</v>
      </c>
      <c r="C98" s="100">
        <f t="shared" si="4"/>
        <v>1233.0238084759926</v>
      </c>
      <c r="D98" s="100">
        <f t="shared" si="5"/>
        <v>1234.4320732297663</v>
      </c>
      <c r="E98" s="100">
        <f t="shared" si="6"/>
        <v>1977.6437970338429</v>
      </c>
      <c r="F98" s="105">
        <v>95</v>
      </c>
      <c r="G98" s="106" t="s">
        <v>2641</v>
      </c>
      <c r="H98" s="112"/>
      <c r="I98" s="113"/>
      <c r="J98" s="113"/>
      <c r="K98" s="113"/>
      <c r="L98" s="2962"/>
      <c r="M98" s="142"/>
      <c r="N98" s="166"/>
      <c r="P98" s="139"/>
    </row>
    <row r="99" spans="2:16" ht="25.15" customHeight="1">
      <c r="B99" s="93">
        <f t="shared" si="3"/>
        <v>92</v>
      </c>
      <c r="C99" s="100">
        <f t="shared" si="4"/>
        <v>1245.8742243541776</v>
      </c>
      <c r="D99" s="100">
        <f t="shared" si="5"/>
        <v>1247.2824891079513</v>
      </c>
      <c r="E99" s="100">
        <f t="shared" si="6"/>
        <v>1998.2396690577834</v>
      </c>
      <c r="F99" s="105">
        <v>96</v>
      </c>
      <c r="G99" s="106" t="s">
        <v>2642</v>
      </c>
      <c r="H99" s="153">
        <v>1231.9000000000001</v>
      </c>
      <c r="I99" s="114">
        <v>1380</v>
      </c>
      <c r="J99" s="114">
        <v>1518</v>
      </c>
      <c r="K99" s="114">
        <v>1518</v>
      </c>
      <c r="L99" s="2964">
        <v>1518</v>
      </c>
      <c r="M99" s="142" t="s">
        <v>2643</v>
      </c>
      <c r="N99" s="166"/>
      <c r="P99" s="139"/>
    </row>
    <row r="100" spans="2:16" ht="25.15" customHeight="1">
      <c r="B100" s="93">
        <f t="shared" si="3"/>
        <v>93</v>
      </c>
      <c r="C100" s="100">
        <f t="shared" si="4"/>
        <v>1258.7246402323626</v>
      </c>
      <c r="D100" s="100">
        <f t="shared" si="5"/>
        <v>1260.1329049861363</v>
      </c>
      <c r="E100" s="100">
        <f t="shared" si="6"/>
        <v>2018.8355410817239</v>
      </c>
      <c r="F100" s="105">
        <v>97</v>
      </c>
      <c r="G100" s="106" t="s">
        <v>2644</v>
      </c>
      <c r="H100" s="153">
        <v>1080.9000000000001</v>
      </c>
      <c r="I100" s="114">
        <v>1205.8</v>
      </c>
      <c r="J100" s="114">
        <v>1293</v>
      </c>
      <c r="K100" s="114">
        <v>1370</v>
      </c>
      <c r="L100" s="2964">
        <v>1395.7</v>
      </c>
      <c r="M100" s="142" t="s">
        <v>2643</v>
      </c>
      <c r="N100" s="166"/>
      <c r="P100" s="139"/>
    </row>
    <row r="101" spans="2:16" ht="25.15" customHeight="1">
      <c r="B101" s="93">
        <f t="shared" si="3"/>
        <v>94</v>
      </c>
      <c r="C101" s="100">
        <f t="shared" si="4"/>
        <v>1271.5750561105476</v>
      </c>
      <c r="D101" s="100">
        <f t="shared" si="5"/>
        <v>1272.9833208643213</v>
      </c>
      <c r="E101" s="100">
        <f t="shared" si="6"/>
        <v>2039.4314131056644</v>
      </c>
      <c r="F101" s="105">
        <v>98</v>
      </c>
      <c r="G101" s="106" t="s">
        <v>2645</v>
      </c>
      <c r="H101" s="153">
        <f>H99*6</f>
        <v>7391.4000000000005</v>
      </c>
      <c r="I101" s="113"/>
      <c r="J101" s="113"/>
      <c r="K101" s="113"/>
      <c r="L101" s="2962"/>
      <c r="M101" s="142"/>
      <c r="N101" s="166"/>
      <c r="P101" s="139"/>
    </row>
    <row r="102" spans="2:16" ht="25.15" customHeight="1">
      <c r="B102" s="93">
        <f t="shared" si="3"/>
        <v>95</v>
      </c>
      <c r="C102" s="100">
        <f t="shared" si="4"/>
        <v>1284.4254719887326</v>
      </c>
      <c r="D102" s="100">
        <f t="shared" si="5"/>
        <v>1285.8337367425063</v>
      </c>
      <c r="E102" s="100">
        <f t="shared" si="6"/>
        <v>2060.0272851296049</v>
      </c>
      <c r="F102" s="105">
        <v>99</v>
      </c>
      <c r="G102" s="106" t="s">
        <v>2646</v>
      </c>
      <c r="H102" s="154">
        <v>1126</v>
      </c>
      <c r="I102" s="114">
        <v>1261</v>
      </c>
      <c r="J102" s="114">
        <v>1387</v>
      </c>
      <c r="K102" s="114">
        <v>1387</v>
      </c>
      <c r="L102" s="2964">
        <v>1387</v>
      </c>
      <c r="M102" s="142"/>
      <c r="N102" s="166"/>
      <c r="P102" s="139"/>
    </row>
    <row r="103" spans="2:16" ht="25.15" customHeight="1">
      <c r="B103" s="93">
        <f t="shared" ref="B103:B166" si="7">B102+1</f>
        <v>96</v>
      </c>
      <c r="C103" s="100">
        <f t="shared" ref="C103:C166" si="8">C102+($Q$13/$Q$19)</f>
        <v>1297.2758878669176</v>
      </c>
      <c r="D103" s="100">
        <f t="shared" ref="D103:D166" si="9">D102+($R$13/$Q$19)</f>
        <v>1298.6841526206913</v>
      </c>
      <c r="E103" s="100">
        <f t="shared" ref="E103:E166" si="10">E102+($S$13/$Q$19)</f>
        <v>2080.6231571535454</v>
      </c>
      <c r="F103" s="105">
        <v>100</v>
      </c>
      <c r="G103" s="106" t="s">
        <v>2647</v>
      </c>
      <c r="H103" s="154">
        <v>1850</v>
      </c>
      <c r="I103" s="114">
        <v>2072</v>
      </c>
      <c r="J103" s="114">
        <v>2279</v>
      </c>
      <c r="K103" s="114">
        <v>2279</v>
      </c>
      <c r="L103" s="2964">
        <v>2279</v>
      </c>
      <c r="M103" s="142"/>
      <c r="N103" s="166"/>
      <c r="P103" s="139"/>
    </row>
    <row r="104" spans="2:16" ht="25.15" customHeight="1">
      <c r="B104" s="93">
        <f t="shared" si="7"/>
        <v>97</v>
      </c>
      <c r="C104" s="100">
        <f t="shared" si="8"/>
        <v>1310.1263037451026</v>
      </c>
      <c r="D104" s="100">
        <f t="shared" si="9"/>
        <v>1311.5345684988763</v>
      </c>
      <c r="E104" s="100">
        <f t="shared" si="10"/>
        <v>2101.2190291774859</v>
      </c>
      <c r="F104" s="105">
        <v>101</v>
      </c>
      <c r="G104" s="106" t="s">
        <v>2648</v>
      </c>
      <c r="H104" s="153">
        <v>1917.5</v>
      </c>
      <c r="I104" s="114">
        <v>2532.4</v>
      </c>
      <c r="J104" s="114">
        <v>2685.4</v>
      </c>
      <c r="K104" s="114">
        <v>2731</v>
      </c>
      <c r="L104" s="2964">
        <v>2719.6</v>
      </c>
      <c r="M104" s="142" t="s">
        <v>2649</v>
      </c>
      <c r="N104" s="166"/>
      <c r="P104" s="139"/>
    </row>
    <row r="105" spans="2:16" ht="25.15" customHeight="1">
      <c r="B105" s="93">
        <f t="shared" si="7"/>
        <v>98</v>
      </c>
      <c r="C105" s="100">
        <f t="shared" si="8"/>
        <v>1322.9767196232876</v>
      </c>
      <c r="D105" s="100">
        <f t="shared" si="9"/>
        <v>1324.3849843770613</v>
      </c>
      <c r="E105" s="100">
        <f t="shared" si="10"/>
        <v>2121.8149012014264</v>
      </c>
      <c r="F105" s="105">
        <v>102</v>
      </c>
      <c r="G105" s="106" t="s">
        <v>2650</v>
      </c>
      <c r="H105" s="153"/>
      <c r="I105" s="113"/>
      <c r="J105" s="113"/>
      <c r="K105" s="113"/>
      <c r="L105" s="2962"/>
      <c r="M105" s="142"/>
      <c r="N105" s="162"/>
      <c r="O105" s="92"/>
      <c r="P105" s="139"/>
    </row>
    <row r="106" spans="2:16" ht="25.15" customHeight="1">
      <c r="B106" s="93">
        <f t="shared" si="7"/>
        <v>99</v>
      </c>
      <c r="C106" s="100">
        <f t="shared" si="8"/>
        <v>1335.8271355014726</v>
      </c>
      <c r="D106" s="100">
        <f t="shared" si="9"/>
        <v>1337.2354002552463</v>
      </c>
      <c r="E106" s="100">
        <f t="shared" si="10"/>
        <v>2142.4107732253669</v>
      </c>
      <c r="F106" s="105">
        <v>103</v>
      </c>
      <c r="G106" s="106" t="s">
        <v>2651</v>
      </c>
      <c r="H106" s="154">
        <v>803</v>
      </c>
      <c r="I106" s="114">
        <v>899</v>
      </c>
      <c r="J106" s="114">
        <v>989</v>
      </c>
      <c r="K106" s="114">
        <v>989</v>
      </c>
      <c r="L106" s="2964">
        <v>989</v>
      </c>
      <c r="M106" s="142" t="s">
        <v>2630</v>
      </c>
      <c r="N106" s="162"/>
      <c r="O106" s="92"/>
      <c r="P106" s="139"/>
    </row>
    <row r="107" spans="2:16" ht="25.15" customHeight="1">
      <c r="B107" s="93">
        <f t="shared" si="7"/>
        <v>100</v>
      </c>
      <c r="C107" s="100">
        <f t="shared" si="8"/>
        <v>1348.6775513796576</v>
      </c>
      <c r="D107" s="100">
        <f t="shared" si="9"/>
        <v>1350.0858161334313</v>
      </c>
      <c r="E107" s="100">
        <f t="shared" si="10"/>
        <v>2163.0066452493074</v>
      </c>
      <c r="F107" s="105">
        <v>104</v>
      </c>
      <c r="G107" s="106" t="s">
        <v>2652</v>
      </c>
      <c r="H107" s="154">
        <v>2900</v>
      </c>
      <c r="I107" s="114">
        <v>3248</v>
      </c>
      <c r="J107" s="114">
        <v>3573</v>
      </c>
      <c r="K107" s="114">
        <v>3573</v>
      </c>
      <c r="L107" s="2964">
        <v>3573</v>
      </c>
      <c r="M107" s="142" t="s">
        <v>2653</v>
      </c>
      <c r="N107" s="162"/>
      <c r="O107" s="92"/>
      <c r="P107" s="139"/>
    </row>
    <row r="108" spans="2:16" ht="25.15" customHeight="1">
      <c r="B108" s="93">
        <f t="shared" si="7"/>
        <v>101</v>
      </c>
      <c r="C108" s="100">
        <f t="shared" si="8"/>
        <v>1361.5279672578426</v>
      </c>
      <c r="D108" s="100">
        <f t="shared" si="9"/>
        <v>1362.9362320116163</v>
      </c>
      <c r="E108" s="100">
        <f t="shared" si="10"/>
        <v>2183.6025172732479</v>
      </c>
      <c r="F108" s="105">
        <v>105</v>
      </c>
      <c r="G108" s="106" t="s">
        <v>2654</v>
      </c>
      <c r="H108" s="115">
        <v>119</v>
      </c>
      <c r="I108" s="114">
        <v>132</v>
      </c>
      <c r="J108" s="114">
        <v>143</v>
      </c>
      <c r="K108" s="114">
        <v>150</v>
      </c>
      <c r="L108" s="2964">
        <v>157</v>
      </c>
      <c r="M108" s="142" t="s">
        <v>2655</v>
      </c>
      <c r="N108" s="162"/>
      <c r="O108" s="92"/>
      <c r="P108" s="139"/>
    </row>
    <row r="109" spans="2:16" ht="25.15" customHeight="1">
      <c r="B109" s="93">
        <f t="shared" si="7"/>
        <v>102</v>
      </c>
      <c r="C109" s="100">
        <f t="shared" si="8"/>
        <v>1374.3783831360277</v>
      </c>
      <c r="D109" s="100">
        <f t="shared" si="9"/>
        <v>1375.7866478898013</v>
      </c>
      <c r="E109" s="100">
        <f t="shared" si="10"/>
        <v>2204.1983892971884</v>
      </c>
      <c r="F109" s="105">
        <v>106</v>
      </c>
      <c r="G109" s="116" t="s">
        <v>2656</v>
      </c>
      <c r="H109" s="113">
        <v>587</v>
      </c>
      <c r="I109" s="114">
        <v>643</v>
      </c>
      <c r="J109" s="114">
        <v>662</v>
      </c>
      <c r="K109" s="114">
        <v>696</v>
      </c>
      <c r="L109" s="2970">
        <v>730</v>
      </c>
      <c r="M109" s="142" t="s">
        <v>2657</v>
      </c>
      <c r="N109" s="162"/>
      <c r="O109" s="92"/>
      <c r="P109" s="139"/>
    </row>
    <row r="110" spans="2:16" ht="25.15" customHeight="1">
      <c r="B110" s="93">
        <f t="shared" si="7"/>
        <v>103</v>
      </c>
      <c r="C110" s="100">
        <f t="shared" si="8"/>
        <v>1387.2287990142127</v>
      </c>
      <c r="D110" s="100">
        <f t="shared" si="9"/>
        <v>1388.6370637679863</v>
      </c>
      <c r="E110" s="100">
        <f t="shared" si="10"/>
        <v>2224.7942613211289</v>
      </c>
      <c r="F110" s="105">
        <v>107</v>
      </c>
      <c r="G110" s="116" t="s">
        <v>2658</v>
      </c>
      <c r="H110" s="113">
        <v>96</v>
      </c>
      <c r="I110" s="114">
        <v>101</v>
      </c>
      <c r="J110" s="114">
        <v>108</v>
      </c>
      <c r="K110" s="114">
        <v>112</v>
      </c>
      <c r="L110" s="2970">
        <v>101</v>
      </c>
      <c r="M110" s="142" t="s">
        <v>2659</v>
      </c>
      <c r="N110" s="162"/>
      <c r="O110" s="92"/>
      <c r="P110" s="139"/>
    </row>
    <row r="111" spans="2:16" ht="15.75">
      <c r="B111" s="93">
        <f t="shared" si="7"/>
        <v>104</v>
      </c>
      <c r="C111" s="100">
        <f t="shared" si="8"/>
        <v>1400.0792148923977</v>
      </c>
      <c r="D111" s="100">
        <f t="shared" si="9"/>
        <v>1401.4874796461713</v>
      </c>
      <c r="E111" s="100">
        <f t="shared" si="10"/>
        <v>2245.3901333450694</v>
      </c>
      <c r="F111" s="105">
        <v>108</v>
      </c>
      <c r="G111" s="106" t="s">
        <v>2660</v>
      </c>
      <c r="H111" s="113">
        <v>98</v>
      </c>
      <c r="I111" s="114">
        <v>98</v>
      </c>
      <c r="J111" s="114">
        <v>108</v>
      </c>
      <c r="K111" s="114">
        <v>109</v>
      </c>
      <c r="L111" s="2964">
        <v>108</v>
      </c>
      <c r="M111" s="142" t="s">
        <v>2661</v>
      </c>
      <c r="N111" s="162"/>
      <c r="O111" s="92"/>
      <c r="P111" s="139"/>
    </row>
    <row r="112" spans="2:16" ht="15.75">
      <c r="B112" s="93">
        <f t="shared" si="7"/>
        <v>105</v>
      </c>
      <c r="C112" s="100">
        <f t="shared" si="8"/>
        <v>1412.9296307705827</v>
      </c>
      <c r="D112" s="100">
        <f t="shared" si="9"/>
        <v>1414.3378955243563</v>
      </c>
      <c r="E112" s="100">
        <f t="shared" si="10"/>
        <v>2265.9860053690099</v>
      </c>
      <c r="F112" s="105">
        <v>109</v>
      </c>
      <c r="G112" s="106" t="s">
        <v>2662</v>
      </c>
      <c r="H112" s="113">
        <v>73</v>
      </c>
      <c r="I112" s="114">
        <v>73</v>
      </c>
      <c r="J112" s="114">
        <v>80</v>
      </c>
      <c r="K112" s="114">
        <v>81</v>
      </c>
      <c r="L112" s="2964">
        <v>80</v>
      </c>
      <c r="M112" s="142" t="s">
        <v>2663</v>
      </c>
      <c r="N112" s="162"/>
      <c r="O112" s="92"/>
      <c r="P112" s="139"/>
    </row>
    <row r="113" spans="2:16" ht="25.15" customHeight="1">
      <c r="B113" s="93">
        <f t="shared" si="7"/>
        <v>106</v>
      </c>
      <c r="C113" s="100">
        <f t="shared" si="8"/>
        <v>1425.7800466487677</v>
      </c>
      <c r="D113" s="100">
        <f t="shared" si="9"/>
        <v>1427.1883114025413</v>
      </c>
      <c r="E113" s="100">
        <f t="shared" si="10"/>
        <v>2286.5818773929504</v>
      </c>
      <c r="F113" s="105">
        <v>110</v>
      </c>
      <c r="G113" s="106" t="s">
        <v>133</v>
      </c>
      <c r="H113" s="113">
        <v>540</v>
      </c>
      <c r="I113" s="114">
        <v>625</v>
      </c>
      <c r="J113" s="114">
        <v>665</v>
      </c>
      <c r="K113" s="114">
        <v>700</v>
      </c>
      <c r="L113" s="2964">
        <v>740</v>
      </c>
      <c r="M113" s="142" t="s">
        <v>2664</v>
      </c>
      <c r="N113" s="162"/>
      <c r="O113" s="92"/>
      <c r="P113" s="139"/>
    </row>
    <row r="114" spans="2:16" ht="25.15" customHeight="1">
      <c r="B114" s="93">
        <f t="shared" si="7"/>
        <v>107</v>
      </c>
      <c r="C114" s="100">
        <f t="shared" si="8"/>
        <v>1438.6304625269527</v>
      </c>
      <c r="D114" s="100">
        <f t="shared" si="9"/>
        <v>1440.0387272807263</v>
      </c>
      <c r="E114" s="100">
        <f t="shared" si="10"/>
        <v>2307.1777494168909</v>
      </c>
      <c r="F114" s="105">
        <v>111</v>
      </c>
      <c r="G114" s="106" t="s">
        <v>2665</v>
      </c>
      <c r="H114" s="113">
        <v>311</v>
      </c>
      <c r="I114" s="113">
        <v>348</v>
      </c>
      <c r="J114" s="113">
        <v>383</v>
      </c>
      <c r="K114" s="113">
        <v>383</v>
      </c>
      <c r="L114" s="2962">
        <v>383</v>
      </c>
      <c r="M114" s="142" t="s">
        <v>2666</v>
      </c>
      <c r="N114" s="162"/>
      <c r="O114" s="92"/>
      <c r="P114" s="139"/>
    </row>
    <row r="115" spans="2:16" ht="25.15" customHeight="1">
      <c r="B115" s="93">
        <f t="shared" si="7"/>
        <v>108</v>
      </c>
      <c r="C115" s="100">
        <f t="shared" si="8"/>
        <v>1451.4808784051377</v>
      </c>
      <c r="D115" s="100">
        <f t="shared" si="9"/>
        <v>1452.8891431589113</v>
      </c>
      <c r="E115" s="100">
        <f t="shared" si="10"/>
        <v>2327.7736214408314</v>
      </c>
      <c r="F115" s="105">
        <v>112</v>
      </c>
      <c r="G115" s="106" t="s">
        <v>2667</v>
      </c>
      <c r="H115" s="113">
        <v>1080.9000000000001</v>
      </c>
      <c r="I115" s="114">
        <v>1205.8</v>
      </c>
      <c r="J115" s="114">
        <v>1293</v>
      </c>
      <c r="K115" s="114">
        <v>1369.5</v>
      </c>
      <c r="L115" s="2970">
        <v>1397.6</v>
      </c>
      <c r="M115" s="142" t="s">
        <v>2668</v>
      </c>
      <c r="N115" s="162"/>
      <c r="O115" s="92"/>
      <c r="P115" s="139"/>
    </row>
    <row r="116" spans="2:16" ht="25.15" customHeight="1">
      <c r="B116" s="93">
        <f t="shared" si="7"/>
        <v>109</v>
      </c>
      <c r="C116" s="100">
        <f t="shared" si="8"/>
        <v>1464.3312942833227</v>
      </c>
      <c r="D116" s="100">
        <f t="shared" si="9"/>
        <v>1465.7395590370963</v>
      </c>
      <c r="E116" s="100">
        <f t="shared" si="10"/>
        <v>2348.3694934647719</v>
      </c>
      <c r="F116" s="105">
        <v>113</v>
      </c>
      <c r="G116" s="106" t="s">
        <v>2669</v>
      </c>
      <c r="H116" s="113">
        <v>274</v>
      </c>
      <c r="I116" s="113">
        <v>275</v>
      </c>
      <c r="J116" s="113">
        <v>275</v>
      </c>
      <c r="K116" s="113">
        <v>275</v>
      </c>
      <c r="L116" s="2971">
        <v>275</v>
      </c>
      <c r="M116" s="142" t="s">
        <v>2670</v>
      </c>
      <c r="N116" s="162"/>
      <c r="O116" s="92"/>
      <c r="P116" s="139"/>
    </row>
    <row r="117" spans="2:16" ht="15.75">
      <c r="B117" s="93">
        <f t="shared" si="7"/>
        <v>110</v>
      </c>
      <c r="C117" s="100">
        <f t="shared" si="8"/>
        <v>1477.1817101615077</v>
      </c>
      <c r="D117" s="100">
        <f t="shared" si="9"/>
        <v>1478.5899749152813</v>
      </c>
      <c r="E117" s="100">
        <f t="shared" si="10"/>
        <v>2368.9653654887125</v>
      </c>
      <c r="F117" s="105">
        <v>114</v>
      </c>
      <c r="G117" s="106" t="s">
        <v>2671</v>
      </c>
      <c r="H117" s="113">
        <v>540</v>
      </c>
      <c r="I117" s="114">
        <v>635</v>
      </c>
      <c r="J117" s="114">
        <v>675</v>
      </c>
      <c r="K117" s="114">
        <v>710</v>
      </c>
      <c r="L117" s="2970">
        <v>750</v>
      </c>
      <c r="M117" s="142" t="s">
        <v>2672</v>
      </c>
      <c r="N117" s="162"/>
      <c r="O117" s="92"/>
      <c r="P117" s="139"/>
    </row>
    <row r="118" spans="2:16" ht="25.15" customHeight="1">
      <c r="B118" s="93">
        <f t="shared" si="7"/>
        <v>111</v>
      </c>
      <c r="C118" s="100">
        <f t="shared" si="8"/>
        <v>1490.0321260396927</v>
      </c>
      <c r="D118" s="100">
        <f t="shared" si="9"/>
        <v>1491.4403907934663</v>
      </c>
      <c r="E118" s="100">
        <f t="shared" si="10"/>
        <v>2389.561237512653</v>
      </c>
      <c r="F118" s="105">
        <v>115</v>
      </c>
      <c r="G118" s="106" t="s">
        <v>2673</v>
      </c>
      <c r="H118" s="113">
        <v>2616</v>
      </c>
      <c r="I118" s="155">
        <v>893</v>
      </c>
      <c r="J118" s="155">
        <v>982</v>
      </c>
      <c r="K118" s="155">
        <v>989</v>
      </c>
      <c r="L118" s="2970">
        <v>893</v>
      </c>
      <c r="M118" s="142" t="s">
        <v>2674</v>
      </c>
      <c r="N118" s="162"/>
      <c r="O118" s="92"/>
      <c r="P118" s="139"/>
    </row>
    <row r="119" spans="2:16" ht="15.75">
      <c r="B119" s="93">
        <f t="shared" si="7"/>
        <v>112</v>
      </c>
      <c r="C119" s="100">
        <f t="shared" si="8"/>
        <v>1502.8825419178777</v>
      </c>
      <c r="D119" s="100">
        <f t="shared" si="9"/>
        <v>1504.2908066716514</v>
      </c>
      <c r="E119" s="100">
        <f t="shared" si="10"/>
        <v>2410.1571095365935</v>
      </c>
      <c r="F119" s="105">
        <v>116</v>
      </c>
      <c r="G119" s="106" t="s">
        <v>2675</v>
      </c>
      <c r="H119" s="113">
        <v>77</v>
      </c>
      <c r="I119" s="114">
        <v>77</v>
      </c>
      <c r="J119" s="114">
        <v>85</v>
      </c>
      <c r="K119" s="114">
        <v>85</v>
      </c>
      <c r="L119" s="2970">
        <v>85</v>
      </c>
      <c r="M119" s="142" t="s">
        <v>2676</v>
      </c>
      <c r="N119" s="162"/>
      <c r="O119" s="92"/>
      <c r="P119" s="139"/>
    </row>
    <row r="120" spans="2:16" ht="25.15" customHeight="1">
      <c r="B120" s="93">
        <f t="shared" si="7"/>
        <v>113</v>
      </c>
      <c r="C120" s="100">
        <f t="shared" si="8"/>
        <v>1515.7329577960627</v>
      </c>
      <c r="D120" s="100">
        <f t="shared" si="9"/>
        <v>1517.1412225498364</v>
      </c>
      <c r="E120" s="100">
        <f t="shared" si="10"/>
        <v>2430.752981560534</v>
      </c>
      <c r="F120" s="105">
        <v>117</v>
      </c>
      <c r="G120" s="156" t="s">
        <v>2405</v>
      </c>
      <c r="H120" s="112">
        <v>129</v>
      </c>
      <c r="I120" s="155">
        <v>129</v>
      </c>
      <c r="J120" s="155">
        <v>149</v>
      </c>
      <c r="K120" s="155">
        <v>149</v>
      </c>
      <c r="L120" s="2964">
        <v>149</v>
      </c>
      <c r="M120" s="142" t="s">
        <v>2677</v>
      </c>
      <c r="N120" s="162"/>
      <c r="O120" s="92"/>
      <c r="P120" s="139"/>
    </row>
    <row r="121" spans="2:16" ht="25.15" customHeight="1">
      <c r="B121" s="93">
        <f t="shared" si="7"/>
        <v>114</v>
      </c>
      <c r="C121" s="100">
        <f t="shared" si="8"/>
        <v>1528.5833736742477</v>
      </c>
      <c r="D121" s="100">
        <f t="shared" si="9"/>
        <v>1529.9916384280214</v>
      </c>
      <c r="E121" s="100">
        <f t="shared" si="10"/>
        <v>2451.3488535844745</v>
      </c>
      <c r="F121" s="105">
        <v>118</v>
      </c>
      <c r="G121" s="156" t="s">
        <v>2406</v>
      </c>
      <c r="H121" s="112">
        <v>191</v>
      </c>
      <c r="I121" s="155">
        <v>206</v>
      </c>
      <c r="J121" s="155">
        <v>230</v>
      </c>
      <c r="K121" s="155">
        <v>242</v>
      </c>
      <c r="L121" s="2964">
        <v>250</v>
      </c>
      <c r="M121" s="142" t="s">
        <v>2678</v>
      </c>
      <c r="N121" s="162"/>
      <c r="O121" s="92"/>
      <c r="P121" s="139"/>
    </row>
    <row r="122" spans="2:16" ht="25.15" customHeight="1">
      <c r="B122" s="93">
        <f t="shared" si="7"/>
        <v>115</v>
      </c>
      <c r="C122" s="100">
        <f t="shared" si="8"/>
        <v>1541.4337895524327</v>
      </c>
      <c r="D122" s="100">
        <f t="shared" si="9"/>
        <v>1542.8420543062064</v>
      </c>
      <c r="E122" s="100">
        <f t="shared" si="10"/>
        <v>2471.944725608415</v>
      </c>
      <c r="F122" s="105">
        <v>119</v>
      </c>
      <c r="G122" s="156" t="s">
        <v>2679</v>
      </c>
      <c r="H122" s="112">
        <v>191</v>
      </c>
      <c r="I122" s="103">
        <v>71</v>
      </c>
      <c r="J122" s="103">
        <v>72</v>
      </c>
      <c r="K122" s="103">
        <v>76</v>
      </c>
      <c r="L122" s="2972">
        <v>79</v>
      </c>
      <c r="M122" s="142" t="s">
        <v>2680</v>
      </c>
      <c r="N122" s="162"/>
      <c r="O122" s="92"/>
      <c r="P122" s="139"/>
    </row>
    <row r="123" spans="2:16" ht="25.15" customHeight="1">
      <c r="B123" s="93">
        <f t="shared" si="7"/>
        <v>116</v>
      </c>
      <c r="C123" s="100">
        <f t="shared" si="8"/>
        <v>1554.2842054306177</v>
      </c>
      <c r="D123" s="100">
        <f t="shared" si="9"/>
        <v>1555.6924701843914</v>
      </c>
      <c r="E123" s="100">
        <f t="shared" si="10"/>
        <v>2492.5405976323555</v>
      </c>
      <c r="F123" s="105">
        <v>120</v>
      </c>
      <c r="G123" s="156" t="s">
        <v>400</v>
      </c>
      <c r="H123" s="112">
        <v>191</v>
      </c>
      <c r="I123" s="155">
        <v>590</v>
      </c>
      <c r="J123" s="155">
        <v>596</v>
      </c>
      <c r="K123" s="155">
        <v>626</v>
      </c>
      <c r="L123" s="2973">
        <v>650</v>
      </c>
      <c r="M123" s="142" t="s">
        <v>2681</v>
      </c>
      <c r="N123" s="162"/>
      <c r="O123" s="92"/>
      <c r="P123" s="139"/>
    </row>
    <row r="124" spans="2:16" ht="25.15" customHeight="1">
      <c r="B124" s="93">
        <f t="shared" si="7"/>
        <v>117</v>
      </c>
      <c r="C124" s="100">
        <f t="shared" si="8"/>
        <v>1567.1346213088027</v>
      </c>
      <c r="D124" s="100">
        <f t="shared" si="9"/>
        <v>1568.5428860625764</v>
      </c>
      <c r="E124" s="100">
        <f t="shared" si="10"/>
        <v>2513.136469656296</v>
      </c>
      <c r="F124" s="95"/>
      <c r="G124" s="157" t="s">
        <v>2682</v>
      </c>
      <c r="H124" s="157"/>
      <c r="I124" s="158">
        <v>750</v>
      </c>
      <c r="J124" s="158">
        <v>850</v>
      </c>
      <c r="K124" s="158">
        <v>893</v>
      </c>
      <c r="L124" s="2974">
        <v>935</v>
      </c>
      <c r="M124" s="168" t="s">
        <v>2683</v>
      </c>
      <c r="N124" s="162"/>
      <c r="O124" s="92"/>
      <c r="P124" s="139"/>
    </row>
    <row r="125" spans="2:16" ht="25.15" customHeight="1">
      <c r="B125" s="93">
        <f t="shared" si="7"/>
        <v>118</v>
      </c>
      <c r="C125" s="100">
        <f t="shared" si="8"/>
        <v>1579.9850371869877</v>
      </c>
      <c r="D125" s="100">
        <f t="shared" si="9"/>
        <v>1581.3933019407614</v>
      </c>
      <c r="E125" s="100">
        <f t="shared" si="10"/>
        <v>2533.7323416802365</v>
      </c>
      <c r="F125" s="95"/>
      <c r="G125" s="157" t="s">
        <v>2035</v>
      </c>
      <c r="H125" s="157"/>
      <c r="I125" s="159">
        <v>267</v>
      </c>
      <c r="J125" s="159"/>
      <c r="K125" s="158">
        <v>285</v>
      </c>
      <c r="L125" s="2975">
        <v>267</v>
      </c>
      <c r="M125" s="169"/>
      <c r="N125" s="162"/>
      <c r="O125" s="92"/>
      <c r="P125" s="139"/>
    </row>
    <row r="126" spans="2:16" ht="25.15" customHeight="1">
      <c r="B126" s="93">
        <f t="shared" si="7"/>
        <v>119</v>
      </c>
      <c r="C126" s="100">
        <f t="shared" si="8"/>
        <v>1592.8354530651727</v>
      </c>
      <c r="D126" s="100">
        <f t="shared" si="9"/>
        <v>1594.2437178189464</v>
      </c>
      <c r="E126" s="100">
        <f t="shared" si="10"/>
        <v>2554.328213704177</v>
      </c>
      <c r="F126" s="95"/>
      <c r="G126" s="160" t="s">
        <v>2036</v>
      </c>
      <c r="H126" s="157"/>
      <c r="I126" s="159">
        <v>195</v>
      </c>
      <c r="J126" s="159"/>
      <c r="K126" s="159"/>
      <c r="L126" s="2976"/>
      <c r="M126" s="169"/>
      <c r="N126" s="162"/>
      <c r="O126" s="92"/>
      <c r="P126" s="139"/>
    </row>
    <row r="127" spans="2:16" ht="25.15" customHeight="1">
      <c r="B127" s="93">
        <f t="shared" si="7"/>
        <v>120</v>
      </c>
      <c r="C127" s="100">
        <f t="shared" si="8"/>
        <v>1605.6858689433577</v>
      </c>
      <c r="D127" s="100">
        <f t="shared" si="9"/>
        <v>1607.0941336971314</v>
      </c>
      <c r="E127" s="100">
        <f t="shared" si="10"/>
        <v>2574.9240857281175</v>
      </c>
      <c r="F127" s="95"/>
      <c r="G127" s="161" t="s">
        <v>2037</v>
      </c>
      <c r="H127" s="157"/>
      <c r="I127" s="159">
        <v>123</v>
      </c>
      <c r="J127" s="159"/>
      <c r="K127" s="159"/>
      <c r="L127" s="2976"/>
      <c r="M127" s="169"/>
      <c r="N127" s="162"/>
      <c r="O127" s="92"/>
      <c r="P127" s="139"/>
    </row>
    <row r="128" spans="2:16" ht="25.15" customHeight="1">
      <c r="B128" s="93">
        <f t="shared" si="7"/>
        <v>121</v>
      </c>
      <c r="C128" s="100">
        <f t="shared" si="8"/>
        <v>1618.5362848215427</v>
      </c>
      <c r="D128" s="100">
        <f t="shared" si="9"/>
        <v>1619.9445495753164</v>
      </c>
      <c r="E128" s="100">
        <f t="shared" si="10"/>
        <v>2595.519957752058</v>
      </c>
      <c r="F128" s="95"/>
      <c r="G128" s="157" t="s">
        <v>2684</v>
      </c>
      <c r="H128" s="157"/>
      <c r="I128" s="159">
        <v>22</v>
      </c>
      <c r="J128" s="159"/>
      <c r="K128" s="159"/>
      <c r="L128" s="2976"/>
      <c r="M128" s="169"/>
      <c r="N128" s="162"/>
      <c r="O128" s="92"/>
      <c r="P128" s="139"/>
    </row>
    <row r="129" spans="2:16" ht="25.15" customHeight="1">
      <c r="B129" s="93">
        <f t="shared" si="7"/>
        <v>122</v>
      </c>
      <c r="C129" s="100">
        <f t="shared" si="8"/>
        <v>1631.3867006997277</v>
      </c>
      <c r="D129" s="100">
        <f t="shared" si="9"/>
        <v>1632.7949654535014</v>
      </c>
      <c r="E129" s="100">
        <f t="shared" si="10"/>
        <v>2616.1158297759985</v>
      </c>
      <c r="F129" s="95"/>
      <c r="G129" s="157" t="s">
        <v>2685</v>
      </c>
      <c r="H129" s="157"/>
      <c r="I129" s="170">
        <f>29/(0.6*0.2*0.2)</f>
        <v>1208.3333333333333</v>
      </c>
      <c r="J129" s="170">
        <f>32/(0.6*0.2*0.2)</f>
        <v>1333.3333333333333</v>
      </c>
      <c r="K129" s="170">
        <f>32/(0.6*0.2*0.2)</f>
        <v>1333.3333333333333</v>
      </c>
      <c r="L129" s="2977">
        <f>32/(0.6*0.2*0.2)</f>
        <v>1333.3333333333333</v>
      </c>
      <c r="N129" s="162"/>
      <c r="O129" s="92"/>
      <c r="P129" s="139"/>
    </row>
    <row r="130" spans="2:16" ht="25.15" customHeight="1">
      <c r="B130" s="93">
        <f t="shared" si="7"/>
        <v>123</v>
      </c>
      <c r="C130" s="100">
        <f t="shared" si="8"/>
        <v>1644.2371165779127</v>
      </c>
      <c r="D130" s="100">
        <f t="shared" si="9"/>
        <v>1645.6453813316864</v>
      </c>
      <c r="E130" s="100">
        <f t="shared" si="10"/>
        <v>2636.711701799939</v>
      </c>
      <c r="F130" s="95"/>
      <c r="G130" s="157"/>
      <c r="H130" s="157"/>
      <c r="I130" s="171"/>
      <c r="J130" s="171"/>
      <c r="K130" s="171"/>
      <c r="L130" s="171"/>
      <c r="N130" s="162"/>
      <c r="O130" s="92"/>
      <c r="P130" s="139"/>
    </row>
    <row r="131" spans="2:16" ht="25.15" customHeight="1">
      <c r="B131" s="93">
        <f t="shared" si="7"/>
        <v>124</v>
      </c>
      <c r="C131" s="100">
        <f t="shared" si="8"/>
        <v>1657.0875324560977</v>
      </c>
      <c r="D131" s="100">
        <f t="shared" si="9"/>
        <v>1658.4957972098714</v>
      </c>
      <c r="E131" s="100">
        <f t="shared" si="10"/>
        <v>2657.3075738238795</v>
      </c>
      <c r="F131" s="95"/>
      <c r="G131" s="157"/>
      <c r="H131" s="157"/>
      <c r="I131" s="171"/>
      <c r="J131" s="171"/>
      <c r="K131" s="171"/>
      <c r="L131" s="171"/>
      <c r="N131" s="162"/>
      <c r="O131" s="92"/>
      <c r="P131" s="139"/>
    </row>
    <row r="132" spans="2:16" ht="25.15" customHeight="1">
      <c r="B132" s="93">
        <f t="shared" si="7"/>
        <v>125</v>
      </c>
      <c r="C132" s="100">
        <f t="shared" si="8"/>
        <v>1669.9379483342827</v>
      </c>
      <c r="D132" s="100">
        <f t="shared" si="9"/>
        <v>1671.3462130880564</v>
      </c>
      <c r="E132" s="100">
        <f t="shared" si="10"/>
        <v>2677.90344584782</v>
      </c>
      <c r="F132" s="95"/>
      <c r="G132" s="157"/>
      <c r="H132" s="157"/>
      <c r="I132" s="171"/>
      <c r="J132" s="171"/>
      <c r="K132" s="171"/>
      <c r="L132" s="171"/>
      <c r="N132" s="162"/>
      <c r="O132" s="92"/>
      <c r="P132" s="139"/>
    </row>
    <row r="133" spans="2:16" ht="25.15" customHeight="1">
      <c r="B133" s="93">
        <f t="shared" si="7"/>
        <v>126</v>
      </c>
      <c r="C133" s="100">
        <f t="shared" si="8"/>
        <v>1682.7883642124677</v>
      </c>
      <c r="D133" s="100">
        <f t="shared" si="9"/>
        <v>1684.1966289662414</v>
      </c>
      <c r="E133" s="100">
        <f t="shared" si="10"/>
        <v>2698.4993178717605</v>
      </c>
      <c r="F133" s="95"/>
      <c r="G133" s="157"/>
      <c r="H133" s="157"/>
      <c r="I133" s="171"/>
      <c r="J133" s="171"/>
      <c r="K133" s="171"/>
      <c r="L133" s="171"/>
      <c r="N133" s="162"/>
      <c r="O133" s="92"/>
      <c r="P133" s="139"/>
    </row>
    <row r="134" spans="2:16" ht="25.15" customHeight="1">
      <c r="B134" s="93">
        <f t="shared" si="7"/>
        <v>127</v>
      </c>
      <c r="C134" s="100">
        <f t="shared" si="8"/>
        <v>1695.6387800906527</v>
      </c>
      <c r="D134" s="100">
        <f t="shared" si="9"/>
        <v>1697.0470448444264</v>
      </c>
      <c r="E134" s="100">
        <f t="shared" si="10"/>
        <v>2719.095189895701</v>
      </c>
      <c r="F134" s="95"/>
      <c r="G134" s="157"/>
      <c r="H134" s="157"/>
      <c r="I134" s="171"/>
      <c r="J134" s="171"/>
      <c r="K134" s="171"/>
      <c r="L134" s="171"/>
      <c r="N134" s="162"/>
      <c r="O134" s="92"/>
      <c r="P134" s="139"/>
    </row>
    <row r="135" spans="2:16" ht="25.15" customHeight="1">
      <c r="B135" s="93">
        <f t="shared" si="7"/>
        <v>128</v>
      </c>
      <c r="C135" s="100">
        <f t="shared" si="8"/>
        <v>1708.4891959688377</v>
      </c>
      <c r="D135" s="100">
        <f t="shared" si="9"/>
        <v>1709.8974607226114</v>
      </c>
      <c r="E135" s="100">
        <f t="shared" si="10"/>
        <v>2739.6910619196415</v>
      </c>
      <c r="F135" s="95"/>
      <c r="G135" s="157"/>
      <c r="H135" s="157"/>
      <c r="I135" s="171"/>
      <c r="J135" s="171"/>
      <c r="K135" s="171"/>
      <c r="L135" s="171"/>
      <c r="N135" s="162"/>
      <c r="O135" s="92"/>
      <c r="P135" s="139"/>
    </row>
    <row r="136" spans="2:16" ht="25.15" customHeight="1">
      <c r="B136" s="93">
        <f t="shared" si="7"/>
        <v>129</v>
      </c>
      <c r="C136" s="100">
        <f t="shared" si="8"/>
        <v>1721.3396118470228</v>
      </c>
      <c r="D136" s="100">
        <f t="shared" si="9"/>
        <v>1722.7478766007964</v>
      </c>
      <c r="E136" s="100">
        <f t="shared" si="10"/>
        <v>2760.286933943582</v>
      </c>
      <c r="F136" s="95"/>
      <c r="G136" s="157"/>
      <c r="H136" s="157"/>
      <c r="I136" s="171"/>
      <c r="J136" s="171"/>
      <c r="K136" s="171"/>
      <c r="L136" s="171"/>
      <c r="N136" s="162"/>
      <c r="O136" s="92"/>
      <c r="P136" s="139"/>
    </row>
    <row r="137" spans="2:16" ht="25.15" customHeight="1">
      <c r="B137" s="93">
        <f t="shared" si="7"/>
        <v>130</v>
      </c>
      <c r="C137" s="100">
        <f t="shared" si="8"/>
        <v>1734.1900277252078</v>
      </c>
      <c r="D137" s="100">
        <f t="shared" si="9"/>
        <v>1735.5982924789814</v>
      </c>
      <c r="E137" s="100">
        <f t="shared" si="10"/>
        <v>2780.8828059675225</v>
      </c>
      <c r="F137" s="95"/>
      <c r="G137" s="157"/>
      <c r="H137" s="157"/>
      <c r="I137" s="171"/>
      <c r="J137" s="171"/>
      <c r="K137" s="171"/>
      <c r="L137" s="171"/>
      <c r="N137" s="162"/>
      <c r="O137" s="92"/>
      <c r="P137" s="139"/>
    </row>
    <row r="138" spans="2:16" ht="25.15" customHeight="1">
      <c r="B138" s="93">
        <f t="shared" si="7"/>
        <v>131</v>
      </c>
      <c r="C138" s="100">
        <f t="shared" si="8"/>
        <v>1747.0404436033928</v>
      </c>
      <c r="D138" s="100">
        <f t="shared" si="9"/>
        <v>1748.4487083571664</v>
      </c>
      <c r="E138" s="100">
        <f t="shared" si="10"/>
        <v>2801.478677991463</v>
      </c>
      <c r="F138" s="95"/>
      <c r="G138" s="157"/>
      <c r="H138" s="157"/>
      <c r="I138" s="171"/>
      <c r="J138" s="171"/>
      <c r="K138" s="171"/>
      <c r="L138" s="171"/>
      <c r="N138" s="162"/>
      <c r="O138" s="92"/>
      <c r="P138" s="139"/>
    </row>
    <row r="139" spans="2:16" ht="25.15" customHeight="1">
      <c r="B139" s="93">
        <f t="shared" si="7"/>
        <v>132</v>
      </c>
      <c r="C139" s="100">
        <f t="shared" si="8"/>
        <v>1759.8908594815778</v>
      </c>
      <c r="D139" s="100">
        <f t="shared" si="9"/>
        <v>1761.2991242353514</v>
      </c>
      <c r="E139" s="100">
        <f t="shared" si="10"/>
        <v>2822.0745500154035</v>
      </c>
      <c r="F139" s="95"/>
      <c r="G139" s="157"/>
      <c r="H139" s="157"/>
      <c r="I139" s="171"/>
      <c r="J139" s="171"/>
      <c r="K139" s="171"/>
      <c r="L139" s="171"/>
      <c r="N139" s="162"/>
      <c r="O139" s="92"/>
      <c r="P139" s="139"/>
    </row>
    <row r="140" spans="2:16" ht="25.15" customHeight="1">
      <c r="B140" s="93">
        <f t="shared" si="7"/>
        <v>133</v>
      </c>
      <c r="C140" s="100">
        <f t="shared" si="8"/>
        <v>1772.7412753597628</v>
      </c>
      <c r="D140" s="100">
        <f t="shared" si="9"/>
        <v>1774.1495401135364</v>
      </c>
      <c r="E140" s="100">
        <f t="shared" si="10"/>
        <v>2842.670422039344</v>
      </c>
      <c r="F140" s="95"/>
      <c r="G140" s="157"/>
      <c r="H140" s="157"/>
      <c r="I140" s="171"/>
      <c r="J140" s="171"/>
      <c r="K140" s="171"/>
      <c r="L140" s="171"/>
      <c r="N140" s="162"/>
      <c r="O140" s="92"/>
      <c r="P140" s="139"/>
    </row>
    <row r="141" spans="2:16" ht="25.15" customHeight="1">
      <c r="B141" s="93">
        <f t="shared" si="7"/>
        <v>134</v>
      </c>
      <c r="C141" s="100">
        <f t="shared" si="8"/>
        <v>1785.5916912379478</v>
      </c>
      <c r="D141" s="100">
        <f t="shared" si="9"/>
        <v>1786.9999559917214</v>
      </c>
      <c r="E141" s="100">
        <f t="shared" si="10"/>
        <v>2863.2662940632845</v>
      </c>
      <c r="F141" s="95"/>
      <c r="G141" s="157"/>
      <c r="H141" s="157"/>
      <c r="I141" s="171"/>
      <c r="J141" s="171"/>
      <c r="K141" s="171"/>
      <c r="L141" s="171"/>
      <c r="N141" s="162"/>
      <c r="O141" s="92"/>
      <c r="P141" s="139"/>
    </row>
    <row r="142" spans="2:16" ht="25.15" customHeight="1">
      <c r="B142" s="93">
        <f t="shared" si="7"/>
        <v>135</v>
      </c>
      <c r="C142" s="100">
        <f t="shared" si="8"/>
        <v>1798.4421071161328</v>
      </c>
      <c r="D142" s="100">
        <f t="shared" si="9"/>
        <v>1799.8503718699064</v>
      </c>
      <c r="E142" s="100">
        <f t="shared" si="10"/>
        <v>2883.862166087225</v>
      </c>
      <c r="F142" s="95"/>
      <c r="G142" s="157"/>
      <c r="H142" s="157"/>
      <c r="I142" s="171"/>
      <c r="J142" s="171"/>
      <c r="K142" s="171"/>
      <c r="L142" s="171"/>
      <c r="N142" s="162"/>
      <c r="O142" s="92"/>
      <c r="P142" s="139"/>
    </row>
    <row r="143" spans="2:16" ht="25.15" customHeight="1">
      <c r="B143" s="93">
        <f t="shared" si="7"/>
        <v>136</v>
      </c>
      <c r="C143" s="100">
        <f t="shared" si="8"/>
        <v>1811.2925229943178</v>
      </c>
      <c r="D143" s="100">
        <f t="shared" si="9"/>
        <v>1812.7007877480914</v>
      </c>
      <c r="E143" s="100">
        <f t="shared" si="10"/>
        <v>2904.4580381111655</v>
      </c>
      <c r="F143" s="95"/>
      <c r="G143" s="157"/>
      <c r="H143" s="157"/>
      <c r="I143" s="171"/>
      <c r="J143" s="171"/>
      <c r="K143" s="171"/>
      <c r="L143" s="171"/>
      <c r="N143" s="162"/>
      <c r="O143" s="92"/>
      <c r="P143" s="139"/>
    </row>
    <row r="144" spans="2:16" ht="25.15" customHeight="1">
      <c r="B144" s="93">
        <f t="shared" si="7"/>
        <v>137</v>
      </c>
      <c r="C144" s="100">
        <f t="shared" si="8"/>
        <v>1824.1429388725028</v>
      </c>
      <c r="D144" s="100">
        <f t="shared" si="9"/>
        <v>1825.5512036262764</v>
      </c>
      <c r="E144" s="100">
        <f t="shared" si="10"/>
        <v>2925.053910135106</v>
      </c>
      <c r="F144" s="95"/>
      <c r="G144" s="157"/>
      <c r="H144" s="157"/>
      <c r="I144" s="171"/>
      <c r="J144" s="171"/>
      <c r="K144" s="171"/>
      <c r="L144" s="171"/>
      <c r="N144" s="162"/>
      <c r="O144" s="92"/>
      <c r="P144" s="139"/>
    </row>
    <row r="145" spans="2:16" ht="25.15" customHeight="1">
      <c r="B145" s="93">
        <f t="shared" si="7"/>
        <v>138</v>
      </c>
      <c r="C145" s="100">
        <f t="shared" si="8"/>
        <v>1836.9933547506878</v>
      </c>
      <c r="D145" s="100">
        <f t="shared" si="9"/>
        <v>1838.4016195044615</v>
      </c>
      <c r="E145" s="100">
        <f t="shared" si="10"/>
        <v>2945.6497821590465</v>
      </c>
      <c r="F145" s="95"/>
      <c r="G145" s="157"/>
      <c r="H145" s="157"/>
      <c r="I145" s="171"/>
      <c r="J145" s="171"/>
      <c r="K145" s="171"/>
      <c r="L145" s="171"/>
      <c r="N145" s="162"/>
      <c r="O145" s="92"/>
      <c r="P145" s="139"/>
    </row>
    <row r="146" spans="2:16" ht="25.15" customHeight="1">
      <c r="B146" s="93">
        <f t="shared" si="7"/>
        <v>139</v>
      </c>
      <c r="C146" s="100">
        <f t="shared" si="8"/>
        <v>1849.8437706288728</v>
      </c>
      <c r="D146" s="100">
        <f t="shared" si="9"/>
        <v>1851.2520353826465</v>
      </c>
      <c r="E146" s="100">
        <f t="shared" si="10"/>
        <v>2966.245654182987</v>
      </c>
      <c r="F146" s="95"/>
      <c r="G146" s="157"/>
      <c r="H146" s="157"/>
      <c r="I146" s="171"/>
      <c r="J146" s="171"/>
      <c r="K146" s="171"/>
      <c r="L146" s="171"/>
      <c r="N146" s="162"/>
      <c r="O146" s="92"/>
      <c r="P146" s="139"/>
    </row>
    <row r="147" spans="2:16" ht="25.15" customHeight="1">
      <c r="B147" s="93">
        <f t="shared" si="7"/>
        <v>140</v>
      </c>
      <c r="C147" s="100">
        <f t="shared" si="8"/>
        <v>1862.6941865070578</v>
      </c>
      <c r="D147" s="100">
        <f t="shared" si="9"/>
        <v>1864.1024512608315</v>
      </c>
      <c r="E147" s="100">
        <f t="shared" si="10"/>
        <v>2986.8415262069275</v>
      </c>
      <c r="F147" s="95"/>
      <c r="G147" s="157"/>
      <c r="H147" s="157"/>
      <c r="I147" s="171"/>
      <c r="J147" s="171"/>
      <c r="K147" s="171"/>
      <c r="L147" s="171"/>
      <c r="N147" s="162"/>
      <c r="O147" s="92"/>
      <c r="P147" s="139"/>
    </row>
    <row r="148" spans="2:16" ht="25.15" customHeight="1">
      <c r="B148" s="93">
        <f t="shared" si="7"/>
        <v>141</v>
      </c>
      <c r="C148" s="100">
        <f t="shared" si="8"/>
        <v>1875.5446023852428</v>
      </c>
      <c r="D148" s="100">
        <f t="shared" si="9"/>
        <v>1876.9528671390165</v>
      </c>
      <c r="E148" s="100">
        <f t="shared" si="10"/>
        <v>3007.437398230868</v>
      </c>
      <c r="F148" s="95"/>
      <c r="G148" s="157"/>
      <c r="H148" s="157"/>
      <c r="I148" s="171"/>
      <c r="J148" s="171"/>
      <c r="K148" s="171"/>
      <c r="L148" s="171"/>
      <c r="N148" s="162"/>
      <c r="O148" s="92"/>
      <c r="P148" s="139"/>
    </row>
    <row r="149" spans="2:16" ht="25.15" customHeight="1">
      <c r="B149" s="93">
        <f t="shared" si="7"/>
        <v>142</v>
      </c>
      <c r="C149" s="100">
        <f t="shared" si="8"/>
        <v>1888.3950182634278</v>
      </c>
      <c r="D149" s="100">
        <f t="shared" si="9"/>
        <v>1889.8032830172015</v>
      </c>
      <c r="E149" s="100">
        <f t="shared" si="10"/>
        <v>3028.0332702548085</v>
      </c>
      <c r="F149" s="95"/>
      <c r="G149" s="157"/>
      <c r="H149" s="157"/>
      <c r="I149" s="171"/>
      <c r="J149" s="171"/>
      <c r="K149" s="171"/>
      <c r="L149" s="171"/>
      <c r="N149" s="162"/>
      <c r="O149" s="92"/>
      <c r="P149" s="139"/>
    </row>
    <row r="150" spans="2:16" ht="25.15" customHeight="1">
      <c r="B150" s="93">
        <f t="shared" si="7"/>
        <v>143</v>
      </c>
      <c r="C150" s="100">
        <f t="shared" si="8"/>
        <v>1901.2454341416128</v>
      </c>
      <c r="D150" s="100">
        <f t="shared" si="9"/>
        <v>1902.6536988953865</v>
      </c>
      <c r="E150" s="100">
        <f t="shared" si="10"/>
        <v>3048.629142278749</v>
      </c>
      <c r="F150" s="95"/>
      <c r="G150" s="157"/>
      <c r="H150" s="157"/>
      <c r="I150" s="171"/>
      <c r="J150" s="171"/>
      <c r="K150" s="171"/>
      <c r="L150" s="171"/>
      <c r="N150" s="162"/>
      <c r="O150" s="92"/>
      <c r="P150" s="139"/>
    </row>
    <row r="151" spans="2:16" ht="25.15" customHeight="1">
      <c r="B151" s="93">
        <f t="shared" si="7"/>
        <v>144</v>
      </c>
      <c r="C151" s="100">
        <f t="shared" si="8"/>
        <v>1914.0958500197978</v>
      </c>
      <c r="D151" s="100">
        <f t="shared" si="9"/>
        <v>1915.5041147735715</v>
      </c>
      <c r="E151" s="100">
        <f t="shared" si="10"/>
        <v>3069.2250143026895</v>
      </c>
      <c r="F151" s="95"/>
      <c r="G151" s="157"/>
      <c r="H151" s="157"/>
      <c r="I151" s="171"/>
      <c r="J151" s="171"/>
      <c r="K151" s="171"/>
      <c r="L151" s="171"/>
      <c r="N151" s="162"/>
      <c r="O151" s="92"/>
      <c r="P151" s="139"/>
    </row>
    <row r="152" spans="2:16" ht="25.15" customHeight="1">
      <c r="B152" s="93">
        <f t="shared" si="7"/>
        <v>145</v>
      </c>
      <c r="C152" s="100">
        <f t="shared" si="8"/>
        <v>1926.9462658979828</v>
      </c>
      <c r="D152" s="100">
        <f t="shared" si="9"/>
        <v>1928.3545306517565</v>
      </c>
      <c r="E152" s="100">
        <f t="shared" si="10"/>
        <v>3089.82088632663</v>
      </c>
      <c r="F152" s="95"/>
      <c r="G152" s="157"/>
      <c r="H152" s="157"/>
      <c r="I152" s="171"/>
      <c r="J152" s="171"/>
      <c r="K152" s="171"/>
      <c r="L152" s="171"/>
      <c r="N152" s="162"/>
      <c r="O152" s="92"/>
      <c r="P152" s="139"/>
    </row>
    <row r="153" spans="2:16" ht="25.15" customHeight="1">
      <c r="B153" s="93">
        <f t="shared" si="7"/>
        <v>146</v>
      </c>
      <c r="C153" s="100">
        <f t="shared" si="8"/>
        <v>1939.7966817761678</v>
      </c>
      <c r="D153" s="100">
        <f t="shared" si="9"/>
        <v>1941.2049465299415</v>
      </c>
      <c r="E153" s="100">
        <f t="shared" si="10"/>
        <v>3110.4167583505705</v>
      </c>
      <c r="F153" s="95"/>
      <c r="G153" s="157"/>
      <c r="H153" s="157"/>
      <c r="I153" s="171"/>
      <c r="J153" s="171"/>
      <c r="K153" s="171"/>
      <c r="L153" s="171"/>
      <c r="N153" s="162"/>
      <c r="O153" s="92"/>
      <c r="P153" s="139"/>
    </row>
    <row r="154" spans="2:16" ht="25.15" customHeight="1">
      <c r="B154" s="93">
        <f t="shared" si="7"/>
        <v>147</v>
      </c>
      <c r="C154" s="100">
        <f t="shared" si="8"/>
        <v>1952.6470976543528</v>
      </c>
      <c r="D154" s="100">
        <f t="shared" si="9"/>
        <v>1954.0553624081265</v>
      </c>
      <c r="E154" s="100">
        <f t="shared" si="10"/>
        <v>3131.012630374511</v>
      </c>
      <c r="F154" s="95"/>
      <c r="G154" s="157"/>
      <c r="H154" s="157"/>
      <c r="I154" s="171"/>
      <c r="J154" s="171"/>
      <c r="K154" s="171"/>
      <c r="L154" s="171"/>
      <c r="N154" s="162"/>
      <c r="O154" s="92"/>
      <c r="P154" s="139"/>
    </row>
    <row r="155" spans="2:16" ht="25.15" customHeight="1">
      <c r="B155" s="93">
        <f t="shared" si="7"/>
        <v>148</v>
      </c>
      <c r="C155" s="100">
        <f t="shared" si="8"/>
        <v>1965.4975135325378</v>
      </c>
      <c r="D155" s="100">
        <f t="shared" si="9"/>
        <v>1966.9057782863115</v>
      </c>
      <c r="E155" s="100">
        <f t="shared" si="10"/>
        <v>3151.6085023984515</v>
      </c>
      <c r="F155" s="95"/>
      <c r="G155" s="157"/>
      <c r="H155" s="157"/>
      <c r="I155" s="171"/>
      <c r="J155" s="171"/>
      <c r="K155" s="171"/>
      <c r="L155" s="171"/>
      <c r="N155" s="162"/>
      <c r="O155" s="92"/>
      <c r="P155" s="139"/>
    </row>
    <row r="156" spans="2:16" ht="25.15" customHeight="1">
      <c r="B156" s="93">
        <f t="shared" si="7"/>
        <v>149</v>
      </c>
      <c r="C156" s="100">
        <f t="shared" si="8"/>
        <v>1978.3479294107228</v>
      </c>
      <c r="D156" s="100">
        <f t="shared" si="9"/>
        <v>1979.7561941644965</v>
      </c>
      <c r="E156" s="100">
        <f t="shared" si="10"/>
        <v>3172.204374422392</v>
      </c>
      <c r="F156" s="95"/>
      <c r="G156" s="157"/>
      <c r="H156" s="157"/>
      <c r="I156" s="171"/>
      <c r="J156" s="171"/>
      <c r="K156" s="171"/>
      <c r="L156" s="171"/>
      <c r="N156" s="162"/>
      <c r="O156" s="92"/>
      <c r="P156" s="139"/>
    </row>
    <row r="157" spans="2:16" ht="25.15" customHeight="1">
      <c r="B157" s="93">
        <f t="shared" si="7"/>
        <v>150</v>
      </c>
      <c r="C157" s="100">
        <f t="shared" si="8"/>
        <v>1991.1983452889078</v>
      </c>
      <c r="D157" s="100">
        <f t="shared" si="9"/>
        <v>1992.6066100426815</v>
      </c>
      <c r="E157" s="100">
        <f t="shared" si="10"/>
        <v>3192.8002464463325</v>
      </c>
      <c r="F157" s="95"/>
      <c r="G157" s="157"/>
      <c r="H157" s="157"/>
      <c r="I157" s="171"/>
      <c r="J157" s="171"/>
      <c r="K157" s="171"/>
      <c r="L157" s="171"/>
      <c r="N157" s="162"/>
      <c r="O157" s="92"/>
      <c r="P157" s="139"/>
    </row>
    <row r="158" spans="2:16" ht="25.15" customHeight="1">
      <c r="B158" s="93">
        <f t="shared" si="7"/>
        <v>151</v>
      </c>
      <c r="C158" s="100">
        <f t="shared" si="8"/>
        <v>2004.0487611670928</v>
      </c>
      <c r="D158" s="100">
        <f t="shared" si="9"/>
        <v>2005.4570259208665</v>
      </c>
      <c r="E158" s="100">
        <f t="shared" si="10"/>
        <v>3213.396118470273</v>
      </c>
      <c r="F158" s="95"/>
      <c r="G158" s="157"/>
      <c r="H158" s="157"/>
      <c r="I158" s="171"/>
      <c r="J158" s="171"/>
      <c r="K158" s="171"/>
      <c r="L158" s="171"/>
      <c r="N158" s="162"/>
      <c r="O158" s="92"/>
      <c r="P158" s="139"/>
    </row>
    <row r="159" spans="2:16" ht="25.15" customHeight="1">
      <c r="B159" s="93">
        <f t="shared" si="7"/>
        <v>152</v>
      </c>
      <c r="C159" s="100">
        <f t="shared" si="8"/>
        <v>2016.8991770452778</v>
      </c>
      <c r="D159" s="100">
        <f t="shared" si="9"/>
        <v>2018.3074417990515</v>
      </c>
      <c r="E159" s="100">
        <f t="shared" si="10"/>
        <v>3233.9919904942135</v>
      </c>
      <c r="F159" s="95"/>
      <c r="G159" s="157"/>
      <c r="H159" s="157"/>
      <c r="I159" s="171"/>
      <c r="J159" s="171"/>
      <c r="K159" s="171"/>
      <c r="L159" s="171"/>
      <c r="N159" s="162"/>
      <c r="O159" s="92"/>
      <c r="P159" s="139"/>
    </row>
    <row r="160" spans="2:16" ht="25.15" customHeight="1">
      <c r="B160" s="93">
        <f t="shared" si="7"/>
        <v>153</v>
      </c>
      <c r="C160" s="100">
        <f t="shared" si="8"/>
        <v>2029.7495929234628</v>
      </c>
      <c r="D160" s="100">
        <f t="shared" si="9"/>
        <v>2031.1578576772365</v>
      </c>
      <c r="E160" s="100">
        <f t="shared" si="10"/>
        <v>3254.587862518154</v>
      </c>
      <c r="F160" s="95"/>
      <c r="G160" s="157"/>
      <c r="H160" s="157"/>
      <c r="I160" s="171"/>
      <c r="J160" s="171"/>
      <c r="K160" s="171"/>
      <c r="L160" s="171"/>
      <c r="N160" s="162"/>
      <c r="O160" s="92"/>
      <c r="P160" s="139"/>
    </row>
    <row r="161" spans="2:16" ht="25.15" customHeight="1">
      <c r="B161" s="93">
        <f t="shared" si="7"/>
        <v>154</v>
      </c>
      <c r="C161" s="100">
        <f t="shared" si="8"/>
        <v>2042.6000088016478</v>
      </c>
      <c r="D161" s="100">
        <f t="shared" si="9"/>
        <v>2044.0082735554215</v>
      </c>
      <c r="E161" s="100">
        <f t="shared" si="10"/>
        <v>3275.1837345420945</v>
      </c>
      <c r="F161" s="95"/>
      <c r="G161" s="157"/>
      <c r="H161" s="157"/>
      <c r="I161" s="171"/>
      <c r="J161" s="171"/>
      <c r="K161" s="171"/>
      <c r="L161" s="171"/>
      <c r="N161" s="162"/>
      <c r="O161" s="92"/>
      <c r="P161" s="139"/>
    </row>
    <row r="162" spans="2:16" ht="25.15" customHeight="1">
      <c r="B162" s="93">
        <f t="shared" si="7"/>
        <v>155</v>
      </c>
      <c r="C162" s="100">
        <f t="shared" si="8"/>
        <v>2055.4504246798328</v>
      </c>
      <c r="D162" s="100">
        <f t="shared" si="9"/>
        <v>2056.8586894336067</v>
      </c>
      <c r="E162" s="100">
        <f t="shared" si="10"/>
        <v>3295.779606566035</v>
      </c>
      <c r="F162" s="95"/>
      <c r="G162" s="157"/>
      <c r="H162" s="157"/>
      <c r="I162" s="171"/>
      <c r="J162" s="171"/>
      <c r="K162" s="171"/>
      <c r="L162" s="171"/>
      <c r="N162" s="162"/>
      <c r="O162" s="92"/>
      <c r="P162" s="139"/>
    </row>
    <row r="163" spans="2:16" ht="25.15" customHeight="1">
      <c r="B163" s="93">
        <f t="shared" si="7"/>
        <v>156</v>
      </c>
      <c r="C163" s="100">
        <f t="shared" si="8"/>
        <v>2068.3008405580181</v>
      </c>
      <c r="D163" s="100">
        <f t="shared" si="9"/>
        <v>2069.709105311792</v>
      </c>
      <c r="E163" s="100">
        <f t="shared" si="10"/>
        <v>3316.3754785899755</v>
      </c>
      <c r="F163" s="95"/>
      <c r="G163" s="157"/>
      <c r="H163" s="157"/>
      <c r="I163" s="171"/>
      <c r="J163" s="171"/>
      <c r="K163" s="171"/>
      <c r="L163" s="171"/>
      <c r="N163" s="162"/>
      <c r="O163" s="92"/>
      <c r="P163" s="139"/>
    </row>
    <row r="164" spans="2:16" ht="25.15" customHeight="1">
      <c r="B164" s="93">
        <f t="shared" si="7"/>
        <v>157</v>
      </c>
      <c r="C164" s="100">
        <f t="shared" si="8"/>
        <v>2081.1512564362033</v>
      </c>
      <c r="D164" s="100">
        <f t="shared" si="9"/>
        <v>2082.5595211899772</v>
      </c>
      <c r="E164" s="100">
        <f t="shared" si="10"/>
        <v>3336.971350613916</v>
      </c>
      <c r="F164" s="95"/>
      <c r="G164" s="157"/>
      <c r="H164" s="157"/>
      <c r="I164" s="171"/>
      <c r="J164" s="171"/>
      <c r="K164" s="171"/>
      <c r="L164" s="171"/>
      <c r="N164" s="162"/>
      <c r="O164" s="92"/>
      <c r="P164" s="139"/>
    </row>
    <row r="165" spans="2:16" ht="25.15" customHeight="1">
      <c r="B165" s="93">
        <f t="shared" si="7"/>
        <v>158</v>
      </c>
      <c r="C165" s="100">
        <f t="shared" si="8"/>
        <v>2094.0016723143885</v>
      </c>
      <c r="D165" s="100">
        <f t="shared" si="9"/>
        <v>2095.4099370681624</v>
      </c>
      <c r="E165" s="100">
        <f t="shared" si="10"/>
        <v>3357.5672226378565</v>
      </c>
      <c r="F165" s="95"/>
      <c r="G165" s="157"/>
      <c r="H165" s="157"/>
      <c r="I165" s="171"/>
      <c r="J165" s="171"/>
      <c r="K165" s="171"/>
      <c r="L165" s="171"/>
      <c r="N165" s="162"/>
      <c r="O165" s="92"/>
      <c r="P165" s="139"/>
    </row>
    <row r="166" spans="2:16" ht="25.15" customHeight="1">
      <c r="B166" s="93">
        <f t="shared" si="7"/>
        <v>159</v>
      </c>
      <c r="C166" s="100">
        <f t="shared" si="8"/>
        <v>2106.8520881925738</v>
      </c>
      <c r="D166" s="100">
        <f t="shared" si="9"/>
        <v>2108.2603529463477</v>
      </c>
      <c r="E166" s="100">
        <f t="shared" si="10"/>
        <v>3378.163094661797</v>
      </c>
      <c r="F166" s="95"/>
      <c r="G166" s="157"/>
      <c r="H166" s="157"/>
      <c r="I166" s="171"/>
      <c r="J166" s="171"/>
      <c r="K166" s="171"/>
      <c r="L166" s="171"/>
      <c r="N166" s="162"/>
      <c r="O166" s="92"/>
      <c r="P166" s="139"/>
    </row>
    <row r="167" spans="2:16" ht="25.15" customHeight="1">
      <c r="B167" s="93">
        <f t="shared" ref="B167:B230" si="11">B166+1</f>
        <v>160</v>
      </c>
      <c r="C167" s="100">
        <f t="shared" ref="C167:C230" si="12">C166+($Q$13/$Q$19)</f>
        <v>2119.702504070759</v>
      </c>
      <c r="D167" s="100">
        <f t="shared" ref="D167:D230" si="13">D166+($R$13/$Q$19)</f>
        <v>2121.1107688245329</v>
      </c>
      <c r="E167" s="100">
        <f t="shared" ref="E167:E178" si="14">E166+($S$13/$Q$19)</f>
        <v>3398.7589666857375</v>
      </c>
      <c r="F167" s="95"/>
      <c r="G167" s="157"/>
      <c r="H167" s="157"/>
      <c r="I167" s="171"/>
      <c r="J167" s="171"/>
      <c r="K167" s="171"/>
      <c r="L167" s="171"/>
      <c r="N167" s="162"/>
      <c r="O167" s="92"/>
      <c r="P167" s="139"/>
    </row>
    <row r="168" spans="2:16" ht="25.15" customHeight="1">
      <c r="B168" s="93">
        <f t="shared" si="11"/>
        <v>161</v>
      </c>
      <c r="C168" s="100">
        <f t="shared" si="12"/>
        <v>2132.5529199489442</v>
      </c>
      <c r="D168" s="100">
        <f t="shared" si="13"/>
        <v>2133.9611847027181</v>
      </c>
      <c r="E168" s="100">
        <f t="shared" si="14"/>
        <v>3419.354838709678</v>
      </c>
      <c r="F168" s="95"/>
      <c r="G168" s="157"/>
      <c r="H168" s="157"/>
      <c r="I168" s="171"/>
      <c r="J168" s="171"/>
      <c r="K168" s="171"/>
      <c r="L168" s="171"/>
      <c r="N168" s="162"/>
      <c r="O168" s="92"/>
      <c r="P168" s="139"/>
    </row>
    <row r="169" spans="2:16" ht="25.15" customHeight="1">
      <c r="B169" s="93">
        <f t="shared" si="11"/>
        <v>162</v>
      </c>
      <c r="C169" s="100">
        <f t="shared" si="12"/>
        <v>2145.4033358271295</v>
      </c>
      <c r="D169" s="100">
        <f t="shared" si="13"/>
        <v>2146.8116005809034</v>
      </c>
      <c r="E169" s="100">
        <f t="shared" si="14"/>
        <v>3439.9507107336185</v>
      </c>
      <c r="F169" s="95"/>
      <c r="G169" s="157"/>
      <c r="H169" s="157"/>
      <c r="I169" s="171"/>
      <c r="J169" s="171"/>
      <c r="K169" s="171"/>
      <c r="L169" s="171"/>
      <c r="N169" s="162"/>
      <c r="O169" s="92"/>
      <c r="P169" s="139"/>
    </row>
    <row r="170" spans="2:16" ht="25.15" customHeight="1">
      <c r="B170" s="93">
        <f t="shared" si="11"/>
        <v>163</v>
      </c>
      <c r="C170" s="100">
        <f t="shared" si="12"/>
        <v>2158.2537517053147</v>
      </c>
      <c r="D170" s="100">
        <f t="shared" si="13"/>
        <v>2159.6620164590886</v>
      </c>
      <c r="E170" s="100">
        <f t="shared" si="14"/>
        <v>3460.546582757559</v>
      </c>
      <c r="F170" s="95"/>
      <c r="G170" s="157"/>
      <c r="H170" s="157"/>
      <c r="I170" s="171"/>
      <c r="J170" s="171"/>
      <c r="K170" s="171"/>
      <c r="L170" s="171"/>
    </row>
    <row r="171" spans="2:16" ht="25.15" customHeight="1">
      <c r="B171" s="93">
        <f t="shared" si="11"/>
        <v>164</v>
      </c>
      <c r="C171" s="100">
        <f t="shared" si="12"/>
        <v>2171.1041675834999</v>
      </c>
      <c r="D171" s="100">
        <f t="shared" si="13"/>
        <v>2172.5124323372738</v>
      </c>
      <c r="E171" s="100">
        <f t="shared" si="14"/>
        <v>3481.1424547814995</v>
      </c>
      <c r="F171" s="95"/>
      <c r="G171" s="157"/>
      <c r="H171" s="157"/>
      <c r="I171" s="171"/>
      <c r="J171" s="171"/>
      <c r="K171" s="171"/>
      <c r="L171" s="171"/>
    </row>
    <row r="172" spans="2:16" ht="25.15" customHeight="1">
      <c r="B172" s="93">
        <f t="shared" si="11"/>
        <v>165</v>
      </c>
      <c r="C172" s="100">
        <f t="shared" si="12"/>
        <v>2183.9545834616852</v>
      </c>
      <c r="D172" s="100">
        <f t="shared" si="13"/>
        <v>2185.3628482154591</v>
      </c>
      <c r="E172" s="100">
        <f t="shared" si="14"/>
        <v>3501.73832680544</v>
      </c>
      <c r="F172" s="95"/>
      <c r="G172" s="157"/>
      <c r="H172" s="157"/>
      <c r="I172" s="171"/>
      <c r="J172" s="171"/>
      <c r="K172" s="171"/>
      <c r="L172" s="171"/>
    </row>
    <row r="173" spans="2:16" ht="25.15" customHeight="1">
      <c r="B173" s="93">
        <f t="shared" si="11"/>
        <v>166</v>
      </c>
      <c r="C173" s="100">
        <f t="shared" si="12"/>
        <v>2196.8049993398704</v>
      </c>
      <c r="D173" s="100">
        <f t="shared" si="13"/>
        <v>2198.2132640936443</v>
      </c>
      <c r="E173" s="100">
        <f t="shared" si="14"/>
        <v>3522.3341988293805</v>
      </c>
      <c r="F173" s="95"/>
      <c r="G173" s="157"/>
      <c r="H173" s="157"/>
      <c r="I173" s="171"/>
      <c r="J173" s="171"/>
      <c r="K173" s="171"/>
      <c r="L173" s="171"/>
    </row>
    <row r="174" spans="2:16" ht="25.15" customHeight="1">
      <c r="B174" s="93">
        <f t="shared" si="11"/>
        <v>167</v>
      </c>
      <c r="C174" s="100">
        <f t="shared" si="12"/>
        <v>2209.6554152180556</v>
      </c>
      <c r="D174" s="100">
        <f t="shared" si="13"/>
        <v>2211.0636799718295</v>
      </c>
      <c r="E174" s="100">
        <f t="shared" si="14"/>
        <v>3542.930070853321</v>
      </c>
      <c r="F174" s="95"/>
      <c r="G174" s="157"/>
      <c r="H174" s="157"/>
      <c r="I174" s="171"/>
      <c r="J174" s="171"/>
      <c r="K174" s="171"/>
      <c r="L174" s="171"/>
    </row>
    <row r="175" spans="2:16" ht="25.15" customHeight="1">
      <c r="B175" s="93">
        <f t="shared" si="11"/>
        <v>168</v>
      </c>
      <c r="C175" s="100">
        <f t="shared" si="12"/>
        <v>2222.5058310962409</v>
      </c>
      <c r="D175" s="100">
        <f t="shared" si="13"/>
        <v>2223.9140958500147</v>
      </c>
      <c r="E175" s="100">
        <f t="shared" si="14"/>
        <v>3563.5259428772615</v>
      </c>
      <c r="F175" s="95"/>
      <c r="G175" s="157"/>
      <c r="H175" s="157"/>
      <c r="I175" s="171"/>
      <c r="J175" s="171"/>
      <c r="K175" s="171"/>
      <c r="L175" s="171"/>
    </row>
    <row r="176" spans="2:16" ht="25.15" customHeight="1">
      <c r="B176" s="93">
        <f t="shared" si="11"/>
        <v>169</v>
      </c>
      <c r="C176" s="100">
        <f t="shared" si="12"/>
        <v>2235.3562469744261</v>
      </c>
      <c r="D176" s="100">
        <f t="shared" si="13"/>
        <v>2236.7645117282</v>
      </c>
      <c r="E176" s="100">
        <f t="shared" si="14"/>
        <v>3584.121814901202</v>
      </c>
      <c r="F176" s="95"/>
      <c r="G176" s="157"/>
      <c r="H176" s="157"/>
      <c r="I176" s="171"/>
      <c r="J176" s="171"/>
      <c r="K176" s="171"/>
      <c r="L176" s="171"/>
    </row>
    <row r="177" spans="2:12" ht="25.15" customHeight="1">
      <c r="B177" s="93">
        <f t="shared" si="11"/>
        <v>170</v>
      </c>
      <c r="C177" s="100">
        <f t="shared" si="12"/>
        <v>2248.2066628526113</v>
      </c>
      <c r="D177" s="100">
        <f t="shared" si="13"/>
        <v>2249.6149276063852</v>
      </c>
      <c r="E177" s="100">
        <f t="shared" si="14"/>
        <v>3604.7176869251425</v>
      </c>
      <c r="F177" s="95"/>
      <c r="G177" s="157"/>
      <c r="H177" s="157"/>
      <c r="I177" s="171"/>
      <c r="J177" s="171"/>
      <c r="K177" s="171"/>
      <c r="L177" s="171"/>
    </row>
    <row r="178" spans="2:12" ht="25.15" customHeight="1">
      <c r="B178" s="93">
        <f t="shared" si="11"/>
        <v>171</v>
      </c>
      <c r="C178" s="100">
        <f t="shared" si="12"/>
        <v>2261.0570787307965</v>
      </c>
      <c r="D178" s="100">
        <f t="shared" si="13"/>
        <v>2262.4653434845704</v>
      </c>
      <c r="E178" s="100">
        <f t="shared" si="14"/>
        <v>3625.313558949083</v>
      </c>
      <c r="F178" s="95"/>
      <c r="G178" s="157"/>
      <c r="H178" s="157"/>
      <c r="I178" s="171"/>
      <c r="J178" s="171"/>
      <c r="K178" s="171"/>
      <c r="L178" s="171"/>
    </row>
    <row r="179" spans="2:12" ht="25.15" customHeight="1">
      <c r="B179" s="93">
        <f t="shared" si="11"/>
        <v>172</v>
      </c>
      <c r="C179" s="100">
        <f t="shared" si="12"/>
        <v>2273.9074946089818</v>
      </c>
      <c r="D179" s="100">
        <f t="shared" si="13"/>
        <v>2275.3157593627557</v>
      </c>
      <c r="E179" s="100"/>
      <c r="F179" s="95"/>
      <c r="G179" s="157"/>
      <c r="H179" s="157"/>
      <c r="I179" s="171"/>
      <c r="J179" s="171"/>
      <c r="K179" s="171"/>
      <c r="L179" s="171"/>
    </row>
    <row r="180" spans="2:12" ht="25.15" customHeight="1">
      <c r="B180" s="93">
        <f t="shared" si="11"/>
        <v>173</v>
      </c>
      <c r="C180" s="100">
        <f t="shared" si="12"/>
        <v>2286.757910487167</v>
      </c>
      <c r="D180" s="100">
        <f t="shared" si="13"/>
        <v>2288.1661752409409</v>
      </c>
      <c r="E180" s="100"/>
      <c r="F180" s="95"/>
      <c r="G180" s="157"/>
      <c r="H180" s="157"/>
      <c r="I180" s="172"/>
      <c r="J180" s="172"/>
      <c r="K180" s="172"/>
      <c r="L180" s="172"/>
    </row>
    <row r="181" spans="2:12" ht="25.15" customHeight="1">
      <c r="B181" s="93">
        <f t="shared" si="11"/>
        <v>174</v>
      </c>
      <c r="C181" s="100">
        <f t="shared" si="12"/>
        <v>2299.6083263653522</v>
      </c>
      <c r="D181" s="100">
        <f t="shared" si="13"/>
        <v>2301.0165911191261</v>
      </c>
      <c r="E181" s="100"/>
      <c r="F181" s="95"/>
      <c r="G181" s="157"/>
      <c r="H181" s="157"/>
      <c r="I181" s="172"/>
      <c r="J181" s="172"/>
      <c r="K181" s="172"/>
      <c r="L181" s="172"/>
    </row>
    <row r="182" spans="2:12" ht="25.15" customHeight="1">
      <c r="B182" s="93">
        <f t="shared" si="11"/>
        <v>175</v>
      </c>
      <c r="C182" s="100">
        <f t="shared" si="12"/>
        <v>2312.4587422435375</v>
      </c>
      <c r="D182" s="100">
        <f t="shared" si="13"/>
        <v>2313.8670069973114</v>
      </c>
      <c r="E182" s="100"/>
      <c r="F182" s="95"/>
      <c r="G182" s="157"/>
      <c r="H182" s="157"/>
      <c r="I182" s="172"/>
      <c r="J182" s="172"/>
      <c r="K182" s="172"/>
      <c r="L182" s="172"/>
    </row>
    <row r="183" spans="2:12" ht="25.15" customHeight="1">
      <c r="B183" s="93">
        <f t="shared" si="11"/>
        <v>176</v>
      </c>
      <c r="C183" s="100">
        <f t="shared" si="12"/>
        <v>2325.3091581217227</v>
      </c>
      <c r="D183" s="100">
        <f t="shared" si="13"/>
        <v>2326.7174228754966</v>
      </c>
      <c r="E183" s="100"/>
      <c r="F183" s="95"/>
      <c r="G183" s="157"/>
      <c r="H183" s="157"/>
      <c r="I183" s="172"/>
      <c r="J183" s="172"/>
      <c r="K183" s="172"/>
      <c r="L183" s="172"/>
    </row>
    <row r="184" spans="2:12" ht="25.15" customHeight="1">
      <c r="B184" s="93">
        <f t="shared" si="11"/>
        <v>177</v>
      </c>
      <c r="C184" s="100">
        <f t="shared" si="12"/>
        <v>2338.1595739999079</v>
      </c>
      <c r="D184" s="100">
        <f t="shared" si="13"/>
        <v>2339.5678387536818</v>
      </c>
      <c r="E184" s="100"/>
      <c r="F184" s="95"/>
      <c r="G184" s="157"/>
      <c r="H184" s="157"/>
      <c r="I184" s="172"/>
      <c r="J184" s="172"/>
      <c r="K184" s="172"/>
      <c r="L184" s="172"/>
    </row>
    <row r="185" spans="2:12" ht="25.15" customHeight="1">
      <c r="B185" s="93">
        <f t="shared" si="11"/>
        <v>178</v>
      </c>
      <c r="C185" s="100">
        <f t="shared" si="12"/>
        <v>2351.0099898780932</v>
      </c>
      <c r="D185" s="100">
        <f t="shared" si="13"/>
        <v>2352.4182546318671</v>
      </c>
      <c r="E185" s="100"/>
      <c r="F185" s="95"/>
      <c r="G185" s="157"/>
      <c r="H185" s="157"/>
      <c r="I185" s="172"/>
      <c r="J185" s="172"/>
      <c r="K185" s="172"/>
      <c r="L185" s="172"/>
    </row>
    <row r="186" spans="2:12" ht="25.15" customHeight="1">
      <c r="B186" s="93">
        <f t="shared" si="11"/>
        <v>179</v>
      </c>
      <c r="C186" s="100">
        <f t="shared" si="12"/>
        <v>2363.8604057562784</v>
      </c>
      <c r="D186" s="100">
        <f t="shared" si="13"/>
        <v>2365.2686705100523</v>
      </c>
      <c r="E186" s="100"/>
      <c r="F186" s="95"/>
      <c r="G186" s="157"/>
      <c r="H186" s="157"/>
      <c r="I186" s="172"/>
      <c r="J186" s="172"/>
      <c r="K186" s="172"/>
      <c r="L186" s="172"/>
    </row>
    <row r="187" spans="2:12" ht="25.15" customHeight="1">
      <c r="B187" s="93">
        <f t="shared" si="11"/>
        <v>180</v>
      </c>
      <c r="C187" s="100">
        <f t="shared" si="12"/>
        <v>2376.7108216344636</v>
      </c>
      <c r="D187" s="100">
        <f t="shared" si="13"/>
        <v>2378.1190863882375</v>
      </c>
      <c r="E187" s="100"/>
      <c r="F187" s="95"/>
      <c r="G187" s="157"/>
      <c r="H187" s="157"/>
      <c r="I187" s="172"/>
      <c r="J187" s="172"/>
      <c r="K187" s="172"/>
      <c r="L187" s="172"/>
    </row>
    <row r="188" spans="2:12" ht="25.15" customHeight="1">
      <c r="B188" s="93">
        <f t="shared" si="11"/>
        <v>181</v>
      </c>
      <c r="C188" s="100">
        <f t="shared" si="12"/>
        <v>2389.5612375126489</v>
      </c>
      <c r="D188" s="100">
        <f t="shared" si="13"/>
        <v>2390.9695022664228</v>
      </c>
      <c r="E188" s="100"/>
      <c r="F188" s="95"/>
      <c r="G188" s="157"/>
      <c r="H188" s="157"/>
      <c r="I188" s="172"/>
      <c r="J188" s="172"/>
      <c r="K188" s="172"/>
      <c r="L188" s="172"/>
    </row>
    <row r="189" spans="2:12" ht="25.15" customHeight="1">
      <c r="B189" s="93">
        <f t="shared" si="11"/>
        <v>182</v>
      </c>
      <c r="C189" s="100">
        <f t="shared" si="12"/>
        <v>2402.4116533908341</v>
      </c>
      <c r="D189" s="100">
        <f t="shared" si="13"/>
        <v>2403.819918144608</v>
      </c>
      <c r="E189" s="100"/>
      <c r="F189" s="95"/>
      <c r="G189" s="157"/>
      <c r="H189" s="157"/>
      <c r="I189" s="172"/>
      <c r="J189" s="172"/>
      <c r="K189" s="172"/>
      <c r="L189" s="172"/>
    </row>
    <row r="190" spans="2:12" ht="25.15" customHeight="1">
      <c r="B190" s="93">
        <f t="shared" si="11"/>
        <v>183</v>
      </c>
      <c r="C190" s="100">
        <f t="shared" si="12"/>
        <v>2415.2620692690193</v>
      </c>
      <c r="D190" s="100">
        <f t="shared" si="13"/>
        <v>2416.6703340227932</v>
      </c>
      <c r="E190" s="100"/>
      <c r="F190" s="95"/>
      <c r="G190" s="157"/>
      <c r="H190" s="157"/>
      <c r="I190" s="172"/>
      <c r="J190" s="172"/>
      <c r="K190" s="172"/>
      <c r="L190" s="172"/>
    </row>
    <row r="191" spans="2:12" ht="25.15" customHeight="1">
      <c r="B191" s="93">
        <f t="shared" si="11"/>
        <v>184</v>
      </c>
      <c r="C191" s="100">
        <f t="shared" si="12"/>
        <v>2428.1124851472046</v>
      </c>
      <c r="D191" s="100">
        <f t="shared" si="13"/>
        <v>2429.5207499009784</v>
      </c>
      <c r="E191" s="100"/>
      <c r="F191" s="95"/>
      <c r="G191" s="157"/>
      <c r="H191" s="157"/>
      <c r="I191" s="172"/>
      <c r="J191" s="172"/>
      <c r="K191" s="172"/>
      <c r="L191" s="172"/>
    </row>
    <row r="192" spans="2:12" ht="25.15" customHeight="1">
      <c r="B192" s="93">
        <f t="shared" si="11"/>
        <v>185</v>
      </c>
      <c r="C192" s="100">
        <f t="shared" si="12"/>
        <v>2440.9629010253898</v>
      </c>
      <c r="D192" s="100">
        <f t="shared" si="13"/>
        <v>2442.3711657791637</v>
      </c>
      <c r="E192" s="100"/>
      <c r="F192" s="95"/>
      <c r="G192" s="157"/>
      <c r="H192" s="157"/>
      <c r="I192" s="172"/>
      <c r="J192" s="172"/>
      <c r="K192" s="172"/>
      <c r="L192" s="172"/>
    </row>
    <row r="193" spans="2:12" ht="25.15" customHeight="1">
      <c r="B193" s="93">
        <f t="shared" si="11"/>
        <v>186</v>
      </c>
      <c r="C193" s="100">
        <f t="shared" si="12"/>
        <v>2453.813316903575</v>
      </c>
      <c r="D193" s="100">
        <f t="shared" si="13"/>
        <v>2455.2215816573489</v>
      </c>
      <c r="E193" s="100"/>
      <c r="F193" s="95"/>
      <c r="G193" s="157"/>
      <c r="H193" s="157"/>
      <c r="I193" s="172"/>
      <c r="J193" s="172"/>
      <c r="K193" s="172"/>
      <c r="L193" s="172"/>
    </row>
    <row r="194" spans="2:12" ht="25.15" customHeight="1">
      <c r="B194" s="93">
        <f t="shared" si="11"/>
        <v>187</v>
      </c>
      <c r="C194" s="100">
        <f t="shared" si="12"/>
        <v>2466.6637327817602</v>
      </c>
      <c r="D194" s="100">
        <f t="shared" si="13"/>
        <v>2468.0719975355341</v>
      </c>
      <c r="E194" s="100"/>
      <c r="F194" s="95"/>
      <c r="G194" s="157"/>
      <c r="H194" s="157"/>
      <c r="I194" s="172"/>
      <c r="J194" s="172"/>
      <c r="K194" s="172"/>
      <c r="L194" s="172"/>
    </row>
    <row r="195" spans="2:12" ht="25.15" customHeight="1">
      <c r="B195" s="93">
        <f t="shared" si="11"/>
        <v>188</v>
      </c>
      <c r="C195" s="100">
        <f t="shared" si="12"/>
        <v>2479.5141486599455</v>
      </c>
      <c r="D195" s="100">
        <f t="shared" si="13"/>
        <v>2480.9224134137194</v>
      </c>
      <c r="E195" s="100"/>
      <c r="F195" s="95"/>
      <c r="G195" s="157"/>
      <c r="H195" s="157"/>
      <c r="I195" s="172"/>
      <c r="J195" s="172"/>
      <c r="K195" s="172"/>
      <c r="L195" s="172"/>
    </row>
    <row r="196" spans="2:12" ht="25.15" customHeight="1">
      <c r="B196" s="93">
        <f t="shared" si="11"/>
        <v>189</v>
      </c>
      <c r="C196" s="100">
        <f t="shared" si="12"/>
        <v>2492.3645645381307</v>
      </c>
      <c r="D196" s="100">
        <f t="shared" si="13"/>
        <v>2493.7728292919046</v>
      </c>
      <c r="E196" s="100"/>
      <c r="F196" s="95"/>
      <c r="G196" s="157"/>
      <c r="H196" s="157"/>
      <c r="I196" s="172"/>
      <c r="J196" s="172"/>
      <c r="K196" s="172"/>
      <c r="L196" s="172"/>
    </row>
    <row r="197" spans="2:12" ht="25.15" customHeight="1">
      <c r="B197" s="93">
        <f t="shared" si="11"/>
        <v>190</v>
      </c>
      <c r="C197" s="100">
        <f t="shared" si="12"/>
        <v>2505.2149804163159</v>
      </c>
      <c r="D197" s="100">
        <f t="shared" si="13"/>
        <v>2506.6232451700898</v>
      </c>
      <c r="E197" s="100"/>
      <c r="F197" s="95"/>
      <c r="G197" s="157"/>
      <c r="H197" s="157"/>
      <c r="I197" s="172"/>
      <c r="J197" s="172"/>
      <c r="K197" s="172"/>
      <c r="L197" s="172"/>
    </row>
    <row r="198" spans="2:12" ht="25.15" customHeight="1">
      <c r="B198" s="93">
        <f t="shared" si="11"/>
        <v>191</v>
      </c>
      <c r="C198" s="100">
        <f t="shared" si="12"/>
        <v>2518.0653962945012</v>
      </c>
      <c r="D198" s="100">
        <f t="shared" si="13"/>
        <v>2519.4736610482751</v>
      </c>
      <c r="E198" s="100"/>
      <c r="F198" s="95"/>
      <c r="G198" s="157"/>
      <c r="H198" s="157"/>
      <c r="I198" s="172"/>
      <c r="J198" s="172"/>
      <c r="K198" s="172"/>
      <c r="L198" s="172"/>
    </row>
    <row r="199" spans="2:12" ht="25.15" customHeight="1">
      <c r="B199" s="93">
        <f t="shared" si="11"/>
        <v>192</v>
      </c>
      <c r="C199" s="100">
        <f t="shared" si="12"/>
        <v>2530.9158121726864</v>
      </c>
      <c r="D199" s="100">
        <f t="shared" si="13"/>
        <v>2532.3240769264603</v>
      </c>
      <c r="E199" s="100"/>
      <c r="F199" s="95"/>
      <c r="G199" s="157"/>
      <c r="H199" s="157"/>
      <c r="I199" s="172"/>
      <c r="J199" s="172"/>
      <c r="K199" s="172"/>
      <c r="L199" s="172"/>
    </row>
    <row r="200" spans="2:12" ht="25.15" customHeight="1">
      <c r="B200" s="93">
        <f t="shared" si="11"/>
        <v>193</v>
      </c>
      <c r="C200" s="100">
        <f t="shared" si="12"/>
        <v>2543.7662280508716</v>
      </c>
      <c r="D200" s="100">
        <f t="shared" si="13"/>
        <v>2545.1744928046455</v>
      </c>
      <c r="E200" s="100"/>
      <c r="F200" s="95"/>
      <c r="G200" s="157"/>
      <c r="H200" s="157"/>
      <c r="I200" s="172"/>
      <c r="J200" s="172"/>
      <c r="K200" s="172"/>
      <c r="L200" s="172"/>
    </row>
    <row r="201" spans="2:12" ht="25.15" customHeight="1">
      <c r="B201" s="93">
        <f t="shared" si="11"/>
        <v>194</v>
      </c>
      <c r="C201" s="100">
        <f t="shared" si="12"/>
        <v>2556.6166439290569</v>
      </c>
      <c r="D201" s="100">
        <f t="shared" si="13"/>
        <v>2558.0249086828308</v>
      </c>
      <c r="E201" s="100"/>
      <c r="F201" s="95"/>
      <c r="G201" s="157"/>
      <c r="H201" s="157"/>
      <c r="I201" s="172"/>
      <c r="J201" s="172"/>
      <c r="K201" s="172"/>
      <c r="L201" s="172"/>
    </row>
    <row r="202" spans="2:12" ht="25.15" customHeight="1">
      <c r="B202" s="93">
        <f t="shared" si="11"/>
        <v>195</v>
      </c>
      <c r="C202" s="100">
        <f t="shared" si="12"/>
        <v>2569.4670598072421</v>
      </c>
      <c r="D202" s="100">
        <f t="shared" si="13"/>
        <v>2570.875324561016</v>
      </c>
      <c r="E202" s="100"/>
      <c r="F202" s="95"/>
      <c r="G202" s="157"/>
      <c r="H202" s="157"/>
      <c r="I202" s="172"/>
      <c r="J202" s="172"/>
      <c r="K202" s="172"/>
      <c r="L202" s="172"/>
    </row>
    <row r="203" spans="2:12" ht="25.15" customHeight="1">
      <c r="B203" s="93">
        <f t="shared" si="11"/>
        <v>196</v>
      </c>
      <c r="C203" s="100">
        <f t="shared" si="12"/>
        <v>2582.3174756854273</v>
      </c>
      <c r="D203" s="100">
        <f t="shared" si="13"/>
        <v>2583.7257404392012</v>
      </c>
      <c r="E203" s="100"/>
      <c r="F203" s="95"/>
      <c r="G203" s="157"/>
      <c r="H203" s="157"/>
      <c r="I203" s="172"/>
      <c r="J203" s="172"/>
      <c r="K203" s="172"/>
      <c r="L203" s="172"/>
    </row>
    <row r="204" spans="2:12" ht="25.15" customHeight="1">
      <c r="B204" s="93">
        <f t="shared" si="11"/>
        <v>197</v>
      </c>
      <c r="C204" s="100">
        <f t="shared" si="12"/>
        <v>2595.1678915636126</v>
      </c>
      <c r="D204" s="100">
        <f t="shared" si="13"/>
        <v>2596.5761563173864</v>
      </c>
      <c r="E204" s="100"/>
      <c r="F204" s="95"/>
      <c r="G204" s="157"/>
      <c r="H204" s="157"/>
      <c r="I204" s="172"/>
      <c r="J204" s="172"/>
      <c r="K204" s="172"/>
      <c r="L204" s="172"/>
    </row>
    <row r="205" spans="2:12" ht="25.15" customHeight="1">
      <c r="B205" s="93">
        <f t="shared" si="11"/>
        <v>198</v>
      </c>
      <c r="C205" s="100">
        <f t="shared" si="12"/>
        <v>2608.0183074417978</v>
      </c>
      <c r="D205" s="100">
        <f t="shared" si="13"/>
        <v>2609.4265721955717</v>
      </c>
      <c r="E205" s="100"/>
      <c r="F205" s="95"/>
      <c r="G205" s="157"/>
      <c r="H205" s="157"/>
      <c r="I205" s="172"/>
      <c r="J205" s="172"/>
      <c r="K205" s="172"/>
      <c r="L205" s="172"/>
    </row>
    <row r="206" spans="2:12" ht="25.15" customHeight="1">
      <c r="B206" s="93">
        <f t="shared" si="11"/>
        <v>199</v>
      </c>
      <c r="C206" s="100">
        <f t="shared" si="12"/>
        <v>2620.868723319983</v>
      </c>
      <c r="D206" s="100">
        <f t="shared" si="13"/>
        <v>2622.2769880737569</v>
      </c>
      <c r="E206" s="100"/>
      <c r="F206" s="95"/>
      <c r="G206" s="157"/>
      <c r="H206" s="157"/>
      <c r="I206" s="172"/>
      <c r="J206" s="172"/>
      <c r="K206" s="172"/>
      <c r="L206" s="172"/>
    </row>
    <row r="207" spans="2:12" ht="25.15" customHeight="1">
      <c r="B207" s="93">
        <f t="shared" si="11"/>
        <v>200</v>
      </c>
      <c r="C207" s="100">
        <f t="shared" si="12"/>
        <v>2633.7191391981683</v>
      </c>
      <c r="D207" s="100">
        <f t="shared" si="13"/>
        <v>2635.1274039519421</v>
      </c>
      <c r="E207" s="100"/>
      <c r="F207" s="95"/>
      <c r="G207" s="157"/>
      <c r="H207" s="157"/>
      <c r="I207" s="172"/>
      <c r="J207" s="172"/>
      <c r="K207" s="172"/>
      <c r="L207" s="172"/>
    </row>
    <row r="208" spans="2:12" ht="25.15" customHeight="1">
      <c r="B208" s="93">
        <f t="shared" si="11"/>
        <v>201</v>
      </c>
      <c r="C208" s="100">
        <f t="shared" si="12"/>
        <v>2646.5695550763535</v>
      </c>
      <c r="D208" s="100">
        <f t="shared" si="13"/>
        <v>2647.9778198301274</v>
      </c>
      <c r="E208" s="100"/>
      <c r="F208" s="95"/>
      <c r="G208" s="157"/>
      <c r="H208" s="157"/>
      <c r="I208" s="172"/>
      <c r="J208" s="172"/>
      <c r="K208" s="172"/>
      <c r="L208" s="172"/>
    </row>
    <row r="209" spans="2:12" ht="25.15" customHeight="1">
      <c r="B209" s="93">
        <f t="shared" si="11"/>
        <v>202</v>
      </c>
      <c r="C209" s="100">
        <f t="shared" si="12"/>
        <v>2659.4199709545387</v>
      </c>
      <c r="D209" s="100">
        <f t="shared" si="13"/>
        <v>2660.8282357083126</v>
      </c>
      <c r="E209" s="100"/>
      <c r="F209" s="95"/>
      <c r="G209" s="157"/>
      <c r="H209" s="157"/>
      <c r="I209" s="172"/>
      <c r="J209" s="172"/>
      <c r="K209" s="172"/>
      <c r="L209" s="172"/>
    </row>
    <row r="210" spans="2:12" ht="25.15" customHeight="1">
      <c r="B210" s="93">
        <f t="shared" si="11"/>
        <v>203</v>
      </c>
      <c r="C210" s="100">
        <f t="shared" si="12"/>
        <v>2672.2703868327239</v>
      </c>
      <c r="D210" s="100">
        <f t="shared" si="13"/>
        <v>2673.6786515864978</v>
      </c>
      <c r="E210" s="100"/>
      <c r="F210" s="95"/>
      <c r="G210" s="157"/>
      <c r="H210" s="157"/>
      <c r="I210" s="172"/>
      <c r="J210" s="172"/>
      <c r="K210" s="172"/>
      <c r="L210" s="172"/>
    </row>
    <row r="211" spans="2:12" ht="25.15" customHeight="1">
      <c r="B211" s="93">
        <f t="shared" si="11"/>
        <v>204</v>
      </c>
      <c r="C211" s="100">
        <f t="shared" si="12"/>
        <v>2685.1208027109092</v>
      </c>
      <c r="D211" s="100">
        <f t="shared" si="13"/>
        <v>2686.5290674646831</v>
      </c>
      <c r="E211" s="100"/>
      <c r="F211" s="95"/>
      <c r="G211" s="157"/>
      <c r="H211" s="157"/>
      <c r="I211" s="172"/>
      <c r="J211" s="172"/>
      <c r="K211" s="172"/>
      <c r="L211" s="172"/>
    </row>
    <row r="212" spans="2:12" ht="25.15" customHeight="1">
      <c r="B212" s="93">
        <f t="shared" si="11"/>
        <v>205</v>
      </c>
      <c r="C212" s="100">
        <f t="shared" si="12"/>
        <v>2697.9712185890944</v>
      </c>
      <c r="D212" s="100">
        <f t="shared" si="13"/>
        <v>2699.3794833428683</v>
      </c>
      <c r="E212" s="100"/>
      <c r="F212" s="95"/>
      <c r="G212" s="157"/>
      <c r="H212" s="157"/>
      <c r="I212" s="172"/>
      <c r="J212" s="172"/>
      <c r="K212" s="172"/>
      <c r="L212" s="172"/>
    </row>
    <row r="213" spans="2:12" ht="25.15" customHeight="1">
      <c r="B213" s="93">
        <f t="shared" si="11"/>
        <v>206</v>
      </c>
      <c r="C213" s="100">
        <f t="shared" si="12"/>
        <v>2710.8216344672796</v>
      </c>
      <c r="D213" s="100">
        <f t="shared" si="13"/>
        <v>2712.2298992210535</v>
      </c>
      <c r="E213" s="100"/>
      <c r="F213" s="95"/>
      <c r="G213" s="157"/>
      <c r="H213" s="157"/>
      <c r="I213" s="172"/>
      <c r="J213" s="172"/>
      <c r="K213" s="172"/>
      <c r="L213" s="172"/>
    </row>
    <row r="214" spans="2:12" ht="25.15" customHeight="1">
      <c r="B214" s="93">
        <f t="shared" si="11"/>
        <v>207</v>
      </c>
      <c r="C214" s="100">
        <f t="shared" si="12"/>
        <v>2723.6720503454649</v>
      </c>
      <c r="D214" s="100">
        <f t="shared" si="13"/>
        <v>2725.0803150992388</v>
      </c>
      <c r="E214" s="100"/>
      <c r="F214" s="95"/>
      <c r="G214" s="157"/>
      <c r="H214" s="157"/>
      <c r="I214" s="172"/>
      <c r="J214" s="172"/>
      <c r="K214" s="172"/>
      <c r="L214" s="172"/>
    </row>
    <row r="215" spans="2:12" ht="25.15" customHeight="1">
      <c r="B215" s="93">
        <f t="shared" si="11"/>
        <v>208</v>
      </c>
      <c r="C215" s="100">
        <f t="shared" si="12"/>
        <v>2736.5224662236501</v>
      </c>
      <c r="D215" s="100">
        <f t="shared" si="13"/>
        <v>2737.930730977424</v>
      </c>
      <c r="E215" s="100"/>
      <c r="F215" s="95"/>
      <c r="G215" s="157"/>
      <c r="H215" s="157"/>
      <c r="I215" s="172"/>
      <c r="J215" s="172"/>
      <c r="K215" s="172"/>
      <c r="L215" s="172"/>
    </row>
    <row r="216" spans="2:12" ht="25.15" customHeight="1">
      <c r="B216" s="93">
        <f t="shared" si="11"/>
        <v>209</v>
      </c>
      <c r="C216" s="100">
        <f t="shared" si="12"/>
        <v>2749.3728821018353</v>
      </c>
      <c r="D216" s="100">
        <f t="shared" si="13"/>
        <v>2750.7811468556092</v>
      </c>
      <c r="E216" s="100"/>
      <c r="F216" s="95"/>
      <c r="G216" s="157"/>
      <c r="H216" s="157"/>
      <c r="I216" s="172"/>
      <c r="J216" s="172"/>
      <c r="K216" s="172"/>
      <c r="L216" s="172"/>
    </row>
    <row r="217" spans="2:12" ht="25.15" customHeight="1">
      <c r="B217" s="93">
        <f t="shared" si="11"/>
        <v>210</v>
      </c>
      <c r="C217" s="100">
        <f t="shared" si="12"/>
        <v>2762.2232979800206</v>
      </c>
      <c r="D217" s="100">
        <f t="shared" si="13"/>
        <v>2763.6315627337945</v>
      </c>
      <c r="E217" s="100"/>
      <c r="F217" s="95"/>
      <c r="G217" s="157"/>
      <c r="H217" s="157"/>
      <c r="I217" s="172"/>
      <c r="J217" s="172"/>
      <c r="K217" s="172"/>
      <c r="L217" s="172"/>
    </row>
    <row r="218" spans="2:12" ht="25.15" customHeight="1">
      <c r="B218" s="93">
        <f t="shared" si="11"/>
        <v>211</v>
      </c>
      <c r="C218" s="100">
        <f t="shared" si="12"/>
        <v>2775.0737138582058</v>
      </c>
      <c r="D218" s="100">
        <f t="shared" si="13"/>
        <v>2776.4819786119797</v>
      </c>
      <c r="E218" s="100"/>
      <c r="F218" s="95"/>
      <c r="G218" s="157"/>
      <c r="H218" s="157"/>
      <c r="I218" s="172"/>
      <c r="J218" s="172"/>
      <c r="K218" s="172"/>
      <c r="L218" s="172"/>
    </row>
    <row r="219" spans="2:12" ht="25.15" customHeight="1">
      <c r="B219" s="93">
        <f t="shared" si="11"/>
        <v>212</v>
      </c>
      <c r="C219" s="100">
        <f t="shared" si="12"/>
        <v>2787.924129736391</v>
      </c>
      <c r="D219" s="100">
        <f t="shared" si="13"/>
        <v>2789.3323944901649</v>
      </c>
      <c r="E219" s="100"/>
      <c r="F219" s="95"/>
      <c r="G219" s="157"/>
      <c r="H219" s="157"/>
      <c r="I219" s="172"/>
      <c r="J219" s="172"/>
      <c r="K219" s="172"/>
      <c r="L219" s="172"/>
    </row>
    <row r="220" spans="2:12" ht="25.15" customHeight="1">
      <c r="B220" s="93">
        <f t="shared" si="11"/>
        <v>213</v>
      </c>
      <c r="C220" s="100">
        <f t="shared" si="12"/>
        <v>2800.7745456145763</v>
      </c>
      <c r="D220" s="100">
        <f t="shared" si="13"/>
        <v>2802.1828103683501</v>
      </c>
      <c r="E220" s="100"/>
      <c r="F220" s="95"/>
      <c r="G220" s="157"/>
      <c r="H220" s="157"/>
      <c r="I220" s="172"/>
      <c r="J220" s="172"/>
      <c r="K220" s="172"/>
      <c r="L220" s="172"/>
    </row>
    <row r="221" spans="2:12" ht="25.15" customHeight="1">
      <c r="B221" s="93">
        <f t="shared" si="11"/>
        <v>214</v>
      </c>
      <c r="C221" s="100">
        <f t="shared" si="12"/>
        <v>2813.6249614927615</v>
      </c>
      <c r="D221" s="100">
        <f t="shared" si="13"/>
        <v>2815.0332262465354</v>
      </c>
      <c r="E221" s="100"/>
      <c r="F221" s="95"/>
      <c r="G221" s="157"/>
      <c r="H221" s="157"/>
      <c r="I221" s="172"/>
      <c r="J221" s="172"/>
      <c r="K221" s="172"/>
      <c r="L221" s="172"/>
    </row>
    <row r="222" spans="2:12" ht="25.15" customHeight="1">
      <c r="B222" s="93">
        <f t="shared" si="11"/>
        <v>215</v>
      </c>
      <c r="C222" s="100">
        <f t="shared" si="12"/>
        <v>2826.4753773709467</v>
      </c>
      <c r="D222" s="100">
        <f t="shared" si="13"/>
        <v>2827.8836421247206</v>
      </c>
      <c r="E222" s="100"/>
      <c r="F222" s="95"/>
      <c r="G222" s="157"/>
      <c r="H222" s="157"/>
      <c r="I222" s="172"/>
      <c r="J222" s="172"/>
      <c r="K222" s="172"/>
      <c r="L222" s="172"/>
    </row>
    <row r="223" spans="2:12" ht="25.15" customHeight="1">
      <c r="B223" s="93">
        <f t="shared" si="11"/>
        <v>216</v>
      </c>
      <c r="C223" s="100">
        <f t="shared" si="12"/>
        <v>2839.3257932491319</v>
      </c>
      <c r="D223" s="100">
        <f t="shared" si="13"/>
        <v>2840.7340580029058</v>
      </c>
      <c r="E223" s="100"/>
      <c r="F223" s="95"/>
    </row>
    <row r="224" spans="2:12" ht="25.15" customHeight="1">
      <c r="B224" s="93">
        <f t="shared" si="11"/>
        <v>217</v>
      </c>
      <c r="C224" s="100">
        <f t="shared" si="12"/>
        <v>2852.1762091273172</v>
      </c>
      <c r="D224" s="100">
        <f t="shared" si="13"/>
        <v>2853.5844738810911</v>
      </c>
      <c r="E224" s="100"/>
      <c r="F224" s="95"/>
    </row>
    <row r="225" spans="2:6" ht="25.15" customHeight="1">
      <c r="B225" s="93">
        <f t="shared" si="11"/>
        <v>218</v>
      </c>
      <c r="C225" s="100">
        <f t="shared" si="12"/>
        <v>2865.0266250055024</v>
      </c>
      <c r="D225" s="100">
        <f t="shared" si="13"/>
        <v>2866.4348897592763</v>
      </c>
      <c r="E225" s="100"/>
      <c r="F225" s="95"/>
    </row>
    <row r="226" spans="2:6" ht="25.15" customHeight="1">
      <c r="B226" s="93">
        <f t="shared" si="11"/>
        <v>219</v>
      </c>
      <c r="C226" s="100">
        <f t="shared" si="12"/>
        <v>2877.8770408836876</v>
      </c>
      <c r="D226" s="100">
        <f t="shared" si="13"/>
        <v>2879.2853056374615</v>
      </c>
      <c r="E226" s="100"/>
      <c r="F226" s="95"/>
    </row>
    <row r="227" spans="2:6" ht="25.15" customHeight="1">
      <c r="B227" s="93">
        <f t="shared" si="11"/>
        <v>220</v>
      </c>
      <c r="C227" s="100">
        <f t="shared" si="12"/>
        <v>2890.7274567618729</v>
      </c>
      <c r="D227" s="100">
        <f t="shared" si="13"/>
        <v>2892.1357215156468</v>
      </c>
      <c r="E227" s="100"/>
      <c r="F227" s="95"/>
    </row>
    <row r="228" spans="2:6" ht="25.15" customHeight="1">
      <c r="B228" s="93">
        <f t="shared" si="11"/>
        <v>221</v>
      </c>
      <c r="C228" s="100">
        <f t="shared" si="12"/>
        <v>2903.5778726400581</v>
      </c>
      <c r="D228" s="100">
        <f t="shared" si="13"/>
        <v>2904.986137393832</v>
      </c>
      <c r="E228" s="100"/>
      <c r="F228" s="95"/>
    </row>
    <row r="229" spans="2:6" ht="25.15" customHeight="1">
      <c r="B229" s="93">
        <f t="shared" si="11"/>
        <v>222</v>
      </c>
      <c r="C229" s="100">
        <f t="shared" si="12"/>
        <v>2916.4282885182433</v>
      </c>
      <c r="D229" s="100">
        <f t="shared" si="13"/>
        <v>2917.8365532720172</v>
      </c>
      <c r="E229" s="100"/>
      <c r="F229" s="95"/>
    </row>
    <row r="230" spans="2:6" ht="25.15" customHeight="1">
      <c r="B230" s="93">
        <f t="shared" si="11"/>
        <v>223</v>
      </c>
      <c r="C230" s="100">
        <f t="shared" si="12"/>
        <v>2929.2787043964286</v>
      </c>
      <c r="D230" s="100">
        <f t="shared" si="13"/>
        <v>2930.6869691502025</v>
      </c>
      <c r="E230" s="100"/>
      <c r="F230" s="95"/>
    </row>
    <row r="231" spans="2:6" ht="25.15" customHeight="1">
      <c r="B231" s="93">
        <f t="shared" ref="B231:B294" si="15">B230+1</f>
        <v>224</v>
      </c>
      <c r="C231" s="100">
        <f t="shared" ref="C231:C294" si="16">C230+($Q$13/$Q$19)</f>
        <v>2942.1291202746138</v>
      </c>
      <c r="D231" s="100">
        <f t="shared" ref="D231:D294" si="17">D230+($R$13/$Q$19)</f>
        <v>2943.5373850283877</v>
      </c>
      <c r="E231" s="100"/>
      <c r="F231" s="95"/>
    </row>
    <row r="232" spans="2:6" ht="25.15" customHeight="1">
      <c r="B232" s="93">
        <f t="shared" si="15"/>
        <v>225</v>
      </c>
      <c r="C232" s="100">
        <f t="shared" si="16"/>
        <v>2954.979536152799</v>
      </c>
      <c r="D232" s="100">
        <f t="shared" si="17"/>
        <v>2956.3878009065729</v>
      </c>
      <c r="E232" s="100"/>
      <c r="F232" s="95"/>
    </row>
    <row r="233" spans="2:6" ht="25.15" customHeight="1">
      <c r="B233" s="93">
        <f t="shared" si="15"/>
        <v>226</v>
      </c>
      <c r="C233" s="100">
        <f t="shared" si="16"/>
        <v>2967.8299520309843</v>
      </c>
      <c r="D233" s="100">
        <f t="shared" si="17"/>
        <v>2969.2382167847582</v>
      </c>
      <c r="E233" s="100"/>
      <c r="F233" s="95"/>
    </row>
    <row r="234" spans="2:6" ht="25.15" customHeight="1">
      <c r="B234" s="93">
        <f t="shared" si="15"/>
        <v>227</v>
      </c>
      <c r="C234" s="100">
        <f t="shared" si="16"/>
        <v>2980.6803679091695</v>
      </c>
      <c r="D234" s="100">
        <f t="shared" si="17"/>
        <v>2982.0886326629434</v>
      </c>
      <c r="E234" s="100"/>
      <c r="F234" s="95"/>
    </row>
    <row r="235" spans="2:6" ht="25.15" customHeight="1">
      <c r="B235" s="93">
        <f t="shared" si="15"/>
        <v>228</v>
      </c>
      <c r="C235" s="100">
        <f t="shared" si="16"/>
        <v>2993.5307837873547</v>
      </c>
      <c r="D235" s="100">
        <f t="shared" si="17"/>
        <v>2994.9390485411286</v>
      </c>
      <c r="E235" s="100"/>
      <c r="F235" s="95"/>
    </row>
    <row r="236" spans="2:6" ht="25.15" customHeight="1">
      <c r="B236" s="93">
        <f t="shared" si="15"/>
        <v>229</v>
      </c>
      <c r="C236" s="100">
        <f t="shared" si="16"/>
        <v>3006.38119966554</v>
      </c>
      <c r="D236" s="100">
        <f t="shared" si="17"/>
        <v>3007.7894644193138</v>
      </c>
      <c r="E236" s="100"/>
      <c r="F236" s="95"/>
    </row>
    <row r="237" spans="2:6" ht="25.15" customHeight="1">
      <c r="B237" s="93">
        <f t="shared" si="15"/>
        <v>230</v>
      </c>
      <c r="C237" s="100">
        <f t="shared" si="16"/>
        <v>3019.2316155437252</v>
      </c>
      <c r="D237" s="100">
        <f t="shared" si="17"/>
        <v>3020.6398802974991</v>
      </c>
      <c r="E237" s="100"/>
      <c r="F237" s="95"/>
    </row>
    <row r="238" spans="2:6" ht="25.15" customHeight="1">
      <c r="B238" s="93">
        <f t="shared" si="15"/>
        <v>231</v>
      </c>
      <c r="C238" s="100">
        <f t="shared" si="16"/>
        <v>3032.0820314219104</v>
      </c>
      <c r="D238" s="100">
        <f t="shared" si="17"/>
        <v>3033.4902961756843</v>
      </c>
      <c r="E238" s="100"/>
      <c r="F238" s="95"/>
    </row>
    <row r="239" spans="2:6" ht="25.15" customHeight="1">
      <c r="B239" s="93">
        <f t="shared" si="15"/>
        <v>232</v>
      </c>
      <c r="C239" s="100">
        <f t="shared" si="16"/>
        <v>3044.9324473000956</v>
      </c>
      <c r="D239" s="100">
        <f t="shared" si="17"/>
        <v>3046.3407120538695</v>
      </c>
      <c r="E239" s="100"/>
      <c r="F239" s="95"/>
    </row>
    <row r="240" spans="2:6" ht="25.15" customHeight="1">
      <c r="B240" s="93">
        <f t="shared" si="15"/>
        <v>233</v>
      </c>
      <c r="C240" s="100">
        <f t="shared" si="16"/>
        <v>3057.7828631782809</v>
      </c>
      <c r="D240" s="100">
        <f t="shared" si="17"/>
        <v>3059.1911279320548</v>
      </c>
      <c r="E240" s="100"/>
      <c r="F240" s="95"/>
    </row>
    <row r="241" spans="2:6" ht="25.15" customHeight="1">
      <c r="B241" s="93">
        <f t="shared" si="15"/>
        <v>234</v>
      </c>
      <c r="C241" s="100">
        <f t="shared" si="16"/>
        <v>3070.6332790564661</v>
      </c>
      <c r="D241" s="100">
        <f t="shared" si="17"/>
        <v>3072.04154381024</v>
      </c>
      <c r="E241" s="100"/>
      <c r="F241" s="95"/>
    </row>
    <row r="242" spans="2:6" ht="25.15" customHeight="1">
      <c r="B242" s="93">
        <f t="shared" si="15"/>
        <v>235</v>
      </c>
      <c r="C242" s="100">
        <f t="shared" si="16"/>
        <v>3083.4836949346513</v>
      </c>
      <c r="D242" s="100">
        <f t="shared" si="17"/>
        <v>3084.8919596884252</v>
      </c>
      <c r="E242" s="100"/>
      <c r="F242" s="95"/>
    </row>
    <row r="243" spans="2:6" ht="25.15" customHeight="1">
      <c r="B243" s="93">
        <f t="shared" si="15"/>
        <v>236</v>
      </c>
      <c r="C243" s="100">
        <f t="shared" si="16"/>
        <v>3096.3341108128366</v>
      </c>
      <c r="D243" s="100">
        <f t="shared" si="17"/>
        <v>3097.7423755666105</v>
      </c>
      <c r="E243" s="100"/>
      <c r="F243" s="95"/>
    </row>
    <row r="244" spans="2:6" ht="25.15" customHeight="1">
      <c r="B244" s="93">
        <f t="shared" si="15"/>
        <v>237</v>
      </c>
      <c r="C244" s="100">
        <f t="shared" si="16"/>
        <v>3109.1845266910218</v>
      </c>
      <c r="D244" s="100">
        <f t="shared" si="17"/>
        <v>3110.5927914447957</v>
      </c>
      <c r="E244" s="100"/>
      <c r="F244" s="95"/>
    </row>
    <row r="245" spans="2:6" ht="25.15" customHeight="1">
      <c r="B245" s="93">
        <f t="shared" si="15"/>
        <v>238</v>
      </c>
      <c r="C245" s="100">
        <f t="shared" si="16"/>
        <v>3122.034942569207</v>
      </c>
      <c r="D245" s="100">
        <f t="shared" si="17"/>
        <v>3123.4432073229809</v>
      </c>
      <c r="E245" s="100"/>
      <c r="F245" s="95"/>
    </row>
    <row r="246" spans="2:6" ht="25.15" customHeight="1">
      <c r="B246" s="93">
        <f t="shared" si="15"/>
        <v>239</v>
      </c>
      <c r="C246" s="100">
        <f t="shared" si="16"/>
        <v>3134.8853584473923</v>
      </c>
      <c r="D246" s="100">
        <f t="shared" si="17"/>
        <v>3136.2936232011662</v>
      </c>
      <c r="E246" s="100"/>
      <c r="F246" s="95"/>
    </row>
    <row r="247" spans="2:6" ht="25.15" customHeight="1">
      <c r="B247" s="93">
        <f t="shared" si="15"/>
        <v>240</v>
      </c>
      <c r="C247" s="100">
        <f t="shared" si="16"/>
        <v>3147.7357743255775</v>
      </c>
      <c r="D247" s="100">
        <f t="shared" si="17"/>
        <v>3149.1440390793514</v>
      </c>
      <c r="E247" s="100"/>
      <c r="F247" s="95"/>
    </row>
    <row r="248" spans="2:6" ht="25.15" customHeight="1">
      <c r="B248" s="93">
        <f t="shared" si="15"/>
        <v>241</v>
      </c>
      <c r="C248" s="100">
        <f t="shared" si="16"/>
        <v>3160.5861902037627</v>
      </c>
      <c r="D248" s="100">
        <f t="shared" si="17"/>
        <v>3161.9944549575366</v>
      </c>
      <c r="E248" s="100"/>
      <c r="F248" s="95"/>
    </row>
    <row r="249" spans="2:6" ht="25.15" customHeight="1">
      <c r="B249" s="93">
        <f t="shared" si="15"/>
        <v>242</v>
      </c>
      <c r="C249" s="100">
        <f t="shared" si="16"/>
        <v>3173.436606081948</v>
      </c>
      <c r="D249" s="100">
        <f t="shared" si="17"/>
        <v>3174.8448708357218</v>
      </c>
      <c r="E249" s="100"/>
      <c r="F249" s="95"/>
    </row>
    <row r="250" spans="2:6" ht="25.15" customHeight="1">
      <c r="B250" s="93">
        <f t="shared" si="15"/>
        <v>243</v>
      </c>
      <c r="C250" s="100">
        <f t="shared" si="16"/>
        <v>3186.2870219601332</v>
      </c>
      <c r="D250" s="100">
        <f t="shared" si="17"/>
        <v>3187.6952867139071</v>
      </c>
      <c r="E250" s="100"/>
      <c r="F250" s="95"/>
    </row>
    <row r="251" spans="2:6" ht="25.15" customHeight="1">
      <c r="B251" s="93">
        <f t="shared" si="15"/>
        <v>244</v>
      </c>
      <c r="C251" s="100">
        <f t="shared" si="16"/>
        <v>3199.1374378383184</v>
      </c>
      <c r="D251" s="100">
        <f t="shared" si="17"/>
        <v>3200.5457025920923</v>
      </c>
      <c r="E251" s="100"/>
      <c r="F251" s="95"/>
    </row>
    <row r="252" spans="2:6" ht="25.15" customHeight="1">
      <c r="B252" s="93">
        <f t="shared" si="15"/>
        <v>245</v>
      </c>
      <c r="C252" s="100">
        <f t="shared" si="16"/>
        <v>3211.9878537165037</v>
      </c>
      <c r="D252" s="100">
        <f t="shared" si="17"/>
        <v>3213.3961184702775</v>
      </c>
      <c r="E252" s="100"/>
      <c r="F252" s="95"/>
    </row>
    <row r="253" spans="2:6" ht="25.15" customHeight="1">
      <c r="B253" s="93">
        <f t="shared" si="15"/>
        <v>246</v>
      </c>
      <c r="C253" s="100">
        <f t="shared" si="16"/>
        <v>3224.8382695946889</v>
      </c>
      <c r="D253" s="100">
        <f t="shared" si="17"/>
        <v>3226.2465343484628</v>
      </c>
      <c r="E253" s="100"/>
      <c r="F253" s="95"/>
    </row>
    <row r="254" spans="2:6" ht="25.15" customHeight="1">
      <c r="B254" s="93">
        <f t="shared" si="15"/>
        <v>247</v>
      </c>
      <c r="C254" s="100">
        <f t="shared" si="16"/>
        <v>3237.6886854728741</v>
      </c>
      <c r="D254" s="100">
        <f t="shared" si="17"/>
        <v>3239.096950226648</v>
      </c>
      <c r="E254" s="100"/>
      <c r="F254" s="95"/>
    </row>
    <row r="255" spans="2:6" ht="25.15" customHeight="1">
      <c r="B255" s="93">
        <f t="shared" si="15"/>
        <v>248</v>
      </c>
      <c r="C255" s="100">
        <f t="shared" si="16"/>
        <v>3250.5391013510593</v>
      </c>
      <c r="D255" s="100">
        <f t="shared" si="17"/>
        <v>3251.9473661048332</v>
      </c>
      <c r="E255" s="100"/>
      <c r="F255" s="95"/>
    </row>
    <row r="256" spans="2:6" ht="25.15" customHeight="1">
      <c r="B256" s="93">
        <f t="shared" si="15"/>
        <v>249</v>
      </c>
      <c r="C256" s="100">
        <f t="shared" si="16"/>
        <v>3263.3895172292446</v>
      </c>
      <c r="D256" s="100">
        <f t="shared" si="17"/>
        <v>3264.7977819830185</v>
      </c>
      <c r="E256" s="100"/>
      <c r="F256" s="95"/>
    </row>
    <row r="257" spans="2:6" ht="25.15" customHeight="1">
      <c r="B257" s="93">
        <f t="shared" si="15"/>
        <v>250</v>
      </c>
      <c r="C257" s="100">
        <f t="shared" si="16"/>
        <v>3276.2399331074298</v>
      </c>
      <c r="D257" s="100">
        <f t="shared" si="17"/>
        <v>3277.6481978612037</v>
      </c>
      <c r="E257" s="100"/>
      <c r="F257" s="95"/>
    </row>
    <row r="258" spans="2:6" ht="25.15" customHeight="1">
      <c r="B258" s="93">
        <f t="shared" si="15"/>
        <v>251</v>
      </c>
      <c r="C258" s="100">
        <f t="shared" si="16"/>
        <v>3289.090348985615</v>
      </c>
      <c r="D258" s="100">
        <f t="shared" si="17"/>
        <v>3290.4986137393889</v>
      </c>
      <c r="E258" s="100"/>
      <c r="F258" s="95"/>
    </row>
    <row r="259" spans="2:6" ht="25.15" customHeight="1">
      <c r="B259" s="93">
        <f t="shared" si="15"/>
        <v>252</v>
      </c>
      <c r="C259" s="100">
        <f t="shared" si="16"/>
        <v>3301.9407648638003</v>
      </c>
      <c r="D259" s="100">
        <f t="shared" si="17"/>
        <v>3303.3490296175742</v>
      </c>
      <c r="E259" s="100"/>
      <c r="F259" s="95"/>
    </row>
    <row r="260" spans="2:6" ht="25.15" customHeight="1">
      <c r="B260" s="93">
        <f t="shared" si="15"/>
        <v>253</v>
      </c>
      <c r="C260" s="100">
        <f t="shared" si="16"/>
        <v>3314.7911807419855</v>
      </c>
      <c r="D260" s="100">
        <f t="shared" si="17"/>
        <v>3316.1994454957594</v>
      </c>
      <c r="E260" s="100"/>
      <c r="F260" s="95"/>
    </row>
    <row r="261" spans="2:6" ht="25.15" customHeight="1">
      <c r="B261" s="93">
        <f t="shared" si="15"/>
        <v>254</v>
      </c>
      <c r="C261" s="100">
        <f t="shared" si="16"/>
        <v>3327.6415966201707</v>
      </c>
      <c r="D261" s="100">
        <f t="shared" si="17"/>
        <v>3329.0498613739446</v>
      </c>
      <c r="E261" s="100"/>
      <c r="F261" s="95"/>
    </row>
    <row r="262" spans="2:6" ht="25.15" customHeight="1">
      <c r="B262" s="93">
        <f t="shared" si="15"/>
        <v>255</v>
      </c>
      <c r="C262" s="100">
        <f t="shared" si="16"/>
        <v>3340.492012498356</v>
      </c>
      <c r="D262" s="100">
        <f t="shared" si="17"/>
        <v>3341.9002772521299</v>
      </c>
      <c r="E262" s="100"/>
      <c r="F262" s="95"/>
    </row>
    <row r="263" spans="2:6" ht="25.15" customHeight="1">
      <c r="B263" s="93">
        <f t="shared" si="15"/>
        <v>256</v>
      </c>
      <c r="C263" s="100">
        <f t="shared" si="16"/>
        <v>3353.3424283765412</v>
      </c>
      <c r="D263" s="100">
        <f t="shared" si="17"/>
        <v>3354.7506931303151</v>
      </c>
      <c r="E263" s="100"/>
      <c r="F263" s="95"/>
    </row>
    <row r="264" spans="2:6" ht="25.15" customHeight="1">
      <c r="B264" s="93">
        <f t="shared" si="15"/>
        <v>257</v>
      </c>
      <c r="C264" s="100">
        <f t="shared" si="16"/>
        <v>3366.1928442547264</v>
      </c>
      <c r="D264" s="100">
        <f t="shared" si="17"/>
        <v>3367.6011090085003</v>
      </c>
      <c r="E264" s="100"/>
      <c r="F264" s="95"/>
    </row>
    <row r="265" spans="2:6" ht="25.15" customHeight="1">
      <c r="B265" s="93">
        <f t="shared" si="15"/>
        <v>258</v>
      </c>
      <c r="C265" s="100">
        <f t="shared" si="16"/>
        <v>3379.0432601329117</v>
      </c>
      <c r="D265" s="100">
        <f t="shared" si="17"/>
        <v>3380.4515248866855</v>
      </c>
      <c r="E265" s="100"/>
      <c r="F265" s="95"/>
    </row>
    <row r="266" spans="2:6" ht="25.15" customHeight="1">
      <c r="B266" s="93">
        <f t="shared" si="15"/>
        <v>259</v>
      </c>
      <c r="C266" s="100">
        <f t="shared" si="16"/>
        <v>3391.8936760110969</v>
      </c>
      <c r="D266" s="100">
        <f t="shared" si="17"/>
        <v>3393.3019407648708</v>
      </c>
      <c r="E266" s="100"/>
      <c r="F266" s="95"/>
    </row>
    <row r="267" spans="2:6" ht="25.15" customHeight="1">
      <c r="B267" s="93">
        <f t="shared" si="15"/>
        <v>260</v>
      </c>
      <c r="C267" s="100">
        <f t="shared" si="16"/>
        <v>3404.7440918892821</v>
      </c>
      <c r="D267" s="100">
        <f t="shared" si="17"/>
        <v>3406.152356643056</v>
      </c>
      <c r="E267" s="100"/>
      <c r="F267" s="95"/>
    </row>
    <row r="268" spans="2:6" ht="25.15" customHeight="1">
      <c r="B268" s="93">
        <f t="shared" si="15"/>
        <v>261</v>
      </c>
      <c r="C268" s="100">
        <f t="shared" si="16"/>
        <v>3417.5945077674673</v>
      </c>
      <c r="D268" s="100">
        <f t="shared" si="17"/>
        <v>3419.0027725212412</v>
      </c>
      <c r="E268" s="100"/>
      <c r="F268" s="95"/>
    </row>
    <row r="269" spans="2:6" ht="25.15" customHeight="1">
      <c r="B269" s="93">
        <f t="shared" si="15"/>
        <v>262</v>
      </c>
      <c r="C269" s="100">
        <f t="shared" si="16"/>
        <v>3430.4449236456526</v>
      </c>
      <c r="D269" s="100">
        <f t="shared" si="17"/>
        <v>3431.8531883994265</v>
      </c>
      <c r="E269" s="100"/>
      <c r="F269" s="95"/>
    </row>
    <row r="270" spans="2:6" ht="25.15" customHeight="1">
      <c r="B270" s="93">
        <f t="shared" si="15"/>
        <v>263</v>
      </c>
      <c r="C270" s="100">
        <f t="shared" si="16"/>
        <v>3443.2953395238378</v>
      </c>
      <c r="D270" s="100">
        <f t="shared" si="17"/>
        <v>3444.7036042776117</v>
      </c>
      <c r="E270" s="100"/>
      <c r="F270" s="95"/>
    </row>
    <row r="271" spans="2:6" ht="25.15" customHeight="1">
      <c r="B271" s="93">
        <f t="shared" si="15"/>
        <v>264</v>
      </c>
      <c r="C271" s="100">
        <f t="shared" si="16"/>
        <v>3456.145755402023</v>
      </c>
      <c r="D271" s="100">
        <f t="shared" si="17"/>
        <v>3457.5540201557969</v>
      </c>
      <c r="E271" s="100"/>
      <c r="F271" s="95"/>
    </row>
    <row r="272" spans="2:6" ht="25.15" customHeight="1">
      <c r="B272" s="93">
        <f t="shared" si="15"/>
        <v>265</v>
      </c>
      <c r="C272" s="100">
        <f t="shared" si="16"/>
        <v>3468.9961712802083</v>
      </c>
      <c r="D272" s="100">
        <f t="shared" si="17"/>
        <v>3470.4044360339822</v>
      </c>
      <c r="E272" s="100"/>
      <c r="F272" s="95"/>
    </row>
    <row r="273" spans="2:6" ht="25.15" customHeight="1">
      <c r="B273" s="93">
        <f t="shared" si="15"/>
        <v>266</v>
      </c>
      <c r="C273" s="100">
        <f t="shared" si="16"/>
        <v>3481.8465871583935</v>
      </c>
      <c r="D273" s="100">
        <f t="shared" si="17"/>
        <v>3483.2548519121674</v>
      </c>
      <c r="E273" s="100"/>
      <c r="F273" s="95"/>
    </row>
    <row r="274" spans="2:6" ht="25.15" customHeight="1">
      <c r="B274" s="93">
        <f t="shared" si="15"/>
        <v>267</v>
      </c>
      <c r="C274" s="100">
        <f t="shared" si="16"/>
        <v>3494.6970030365787</v>
      </c>
      <c r="D274" s="100">
        <f t="shared" si="17"/>
        <v>3496.1052677903526</v>
      </c>
      <c r="E274" s="100"/>
      <c r="F274" s="95"/>
    </row>
    <row r="275" spans="2:6" ht="25.15" customHeight="1">
      <c r="B275" s="93">
        <f t="shared" si="15"/>
        <v>268</v>
      </c>
      <c r="C275" s="100">
        <f t="shared" si="16"/>
        <v>3507.547418914764</v>
      </c>
      <c r="D275" s="100">
        <f t="shared" si="17"/>
        <v>3508.9556836685379</v>
      </c>
      <c r="E275" s="100"/>
      <c r="F275" s="95"/>
    </row>
    <row r="276" spans="2:6" ht="25.15" customHeight="1">
      <c r="B276" s="93">
        <f t="shared" si="15"/>
        <v>269</v>
      </c>
      <c r="C276" s="100">
        <f t="shared" si="16"/>
        <v>3520.3978347929492</v>
      </c>
      <c r="D276" s="100">
        <f t="shared" si="17"/>
        <v>3521.8060995467231</v>
      </c>
      <c r="E276" s="100"/>
      <c r="F276" s="95"/>
    </row>
    <row r="277" spans="2:6" ht="25.15" customHeight="1">
      <c r="B277" s="93">
        <f t="shared" si="15"/>
        <v>270</v>
      </c>
      <c r="C277" s="100">
        <f t="shared" si="16"/>
        <v>3533.2482506711344</v>
      </c>
      <c r="D277" s="100">
        <f t="shared" si="17"/>
        <v>3534.6565154249083</v>
      </c>
      <c r="E277" s="100"/>
      <c r="F277" s="95"/>
    </row>
    <row r="278" spans="2:6" ht="25.15" customHeight="1">
      <c r="B278" s="93">
        <f t="shared" si="15"/>
        <v>271</v>
      </c>
      <c r="C278" s="100">
        <f t="shared" si="16"/>
        <v>3546.0986665493197</v>
      </c>
      <c r="D278" s="100">
        <f t="shared" si="17"/>
        <v>3547.5069313030936</v>
      </c>
      <c r="E278" s="100"/>
      <c r="F278" s="95"/>
    </row>
    <row r="279" spans="2:6" ht="25.15" customHeight="1">
      <c r="B279" s="93">
        <f t="shared" si="15"/>
        <v>272</v>
      </c>
      <c r="C279" s="100">
        <f t="shared" si="16"/>
        <v>3558.9490824275049</v>
      </c>
      <c r="D279" s="100">
        <f t="shared" si="17"/>
        <v>3560.3573471812788</v>
      </c>
      <c r="E279" s="100"/>
      <c r="F279" s="95"/>
    </row>
    <row r="280" spans="2:6" ht="25.15" customHeight="1">
      <c r="B280" s="93">
        <f t="shared" si="15"/>
        <v>273</v>
      </c>
      <c r="C280" s="100">
        <f t="shared" si="16"/>
        <v>3571.7994983056901</v>
      </c>
      <c r="D280" s="100">
        <f t="shared" si="17"/>
        <v>3573.207763059464</v>
      </c>
      <c r="E280" s="100"/>
      <c r="F280" s="95"/>
    </row>
    <row r="281" spans="2:6" ht="25.15" customHeight="1">
      <c r="B281" s="93">
        <f t="shared" si="15"/>
        <v>274</v>
      </c>
      <c r="C281" s="100">
        <f t="shared" si="16"/>
        <v>3584.6499141838754</v>
      </c>
      <c r="D281" s="100">
        <f t="shared" si="17"/>
        <v>3586.0581789376492</v>
      </c>
      <c r="E281" s="100"/>
      <c r="F281" s="95"/>
    </row>
    <row r="282" spans="2:6" ht="25.15" customHeight="1">
      <c r="B282" s="93">
        <f t="shared" si="15"/>
        <v>275</v>
      </c>
      <c r="C282" s="100">
        <f t="shared" si="16"/>
        <v>3597.5003300620606</v>
      </c>
      <c r="D282" s="100">
        <f t="shared" si="17"/>
        <v>3598.9085948158345</v>
      </c>
      <c r="E282" s="100"/>
      <c r="F282" s="95"/>
    </row>
    <row r="283" spans="2:6" ht="25.15" customHeight="1">
      <c r="B283" s="93">
        <f t="shared" si="15"/>
        <v>276</v>
      </c>
      <c r="C283" s="100">
        <f t="shared" si="16"/>
        <v>3610.3507459402458</v>
      </c>
      <c r="D283" s="100">
        <f t="shared" si="17"/>
        <v>3611.7590106940197</v>
      </c>
      <c r="E283" s="100"/>
      <c r="F283" s="95"/>
    </row>
    <row r="284" spans="2:6" ht="25.15" customHeight="1">
      <c r="B284" s="93">
        <f t="shared" si="15"/>
        <v>277</v>
      </c>
      <c r="C284" s="100">
        <f t="shared" si="16"/>
        <v>3623.201161818431</v>
      </c>
      <c r="D284" s="100">
        <f t="shared" si="17"/>
        <v>3624.6094265722049</v>
      </c>
      <c r="E284" s="100"/>
      <c r="F284" s="95"/>
    </row>
    <row r="285" spans="2:6" ht="25.15" customHeight="1">
      <c r="B285" s="93">
        <f t="shared" si="15"/>
        <v>278</v>
      </c>
      <c r="C285" s="100">
        <f t="shared" si="16"/>
        <v>3636.0515776966163</v>
      </c>
      <c r="D285" s="100">
        <f t="shared" si="17"/>
        <v>3637.4598424503902</v>
      </c>
      <c r="E285" s="100"/>
      <c r="F285" s="95"/>
    </row>
    <row r="286" spans="2:6" ht="25.15" customHeight="1">
      <c r="B286" s="93">
        <f t="shared" si="15"/>
        <v>279</v>
      </c>
      <c r="C286" s="100">
        <f t="shared" si="16"/>
        <v>3648.9019935748015</v>
      </c>
      <c r="D286" s="100">
        <f t="shared" si="17"/>
        <v>3650.3102583285754</v>
      </c>
      <c r="E286" s="100"/>
      <c r="F286" s="95"/>
    </row>
    <row r="287" spans="2:6" ht="25.15" customHeight="1">
      <c r="B287" s="93">
        <f t="shared" si="15"/>
        <v>280</v>
      </c>
      <c r="C287" s="100">
        <f t="shared" si="16"/>
        <v>3661.7524094529867</v>
      </c>
      <c r="D287" s="100">
        <f t="shared" si="17"/>
        <v>3663.1606742067606</v>
      </c>
      <c r="E287" s="100"/>
      <c r="F287" s="95"/>
    </row>
    <row r="288" spans="2:6" ht="25.15" customHeight="1">
      <c r="B288" s="93">
        <f t="shared" si="15"/>
        <v>281</v>
      </c>
      <c r="C288" s="100">
        <f t="shared" si="16"/>
        <v>3674.602825331172</v>
      </c>
      <c r="D288" s="100">
        <f t="shared" si="17"/>
        <v>3676.0110900849459</v>
      </c>
      <c r="E288" s="100"/>
      <c r="F288" s="95"/>
    </row>
    <row r="289" spans="2:6" ht="25.15" customHeight="1">
      <c r="B289" s="93">
        <f t="shared" si="15"/>
        <v>282</v>
      </c>
      <c r="C289" s="100">
        <f t="shared" si="16"/>
        <v>3687.4532412093572</v>
      </c>
      <c r="D289" s="100">
        <f t="shared" si="17"/>
        <v>3688.8615059631311</v>
      </c>
      <c r="E289" s="100"/>
      <c r="F289" s="95"/>
    </row>
    <row r="290" spans="2:6" ht="25.15" customHeight="1">
      <c r="B290" s="93">
        <f t="shared" si="15"/>
        <v>283</v>
      </c>
      <c r="C290" s="100">
        <f t="shared" si="16"/>
        <v>3700.3036570875424</v>
      </c>
      <c r="D290" s="100">
        <f t="shared" si="17"/>
        <v>3701.7119218413163</v>
      </c>
      <c r="E290" s="100"/>
      <c r="F290" s="95"/>
    </row>
    <row r="291" spans="2:6" ht="25.15" customHeight="1">
      <c r="B291" s="93">
        <f t="shared" si="15"/>
        <v>284</v>
      </c>
      <c r="C291" s="100">
        <f t="shared" si="16"/>
        <v>3713.1540729657277</v>
      </c>
      <c r="D291" s="100">
        <f t="shared" si="17"/>
        <v>3714.5623377195016</v>
      </c>
      <c r="E291" s="100"/>
      <c r="F291" s="95"/>
    </row>
    <row r="292" spans="2:6" ht="25.15" customHeight="1">
      <c r="B292" s="93">
        <f t="shared" si="15"/>
        <v>285</v>
      </c>
      <c r="C292" s="100">
        <f t="shared" si="16"/>
        <v>3726.0044888439129</v>
      </c>
      <c r="D292" s="100">
        <f t="shared" si="17"/>
        <v>3727.4127535976868</v>
      </c>
      <c r="E292" s="100"/>
      <c r="F292" s="95"/>
    </row>
    <row r="293" spans="2:6" ht="25.15" customHeight="1">
      <c r="B293" s="93">
        <f t="shared" si="15"/>
        <v>286</v>
      </c>
      <c r="C293" s="100">
        <f t="shared" si="16"/>
        <v>3738.8549047220981</v>
      </c>
      <c r="D293" s="100">
        <f t="shared" si="17"/>
        <v>3740.263169475872</v>
      </c>
      <c r="E293" s="100"/>
      <c r="F293" s="95"/>
    </row>
    <row r="294" spans="2:6" ht="25.15" customHeight="1">
      <c r="B294" s="93">
        <f t="shared" si="15"/>
        <v>287</v>
      </c>
      <c r="C294" s="100">
        <f t="shared" si="16"/>
        <v>3751.7053206002834</v>
      </c>
      <c r="D294" s="100">
        <f t="shared" si="17"/>
        <v>3753.1135853540572</v>
      </c>
      <c r="E294" s="100"/>
      <c r="F294" s="95"/>
    </row>
    <row r="295" spans="2:6" ht="25.15" customHeight="1">
      <c r="B295" s="93">
        <f t="shared" ref="B295:B358" si="18">B294+1</f>
        <v>288</v>
      </c>
      <c r="C295" s="100">
        <f t="shared" ref="C295:C358" si="19">C294+($Q$13/$Q$19)</f>
        <v>3764.5557364784686</v>
      </c>
      <c r="D295" s="100">
        <f t="shared" ref="D295:D358" si="20">D294+($R$13/$Q$19)</f>
        <v>3765.9640012322425</v>
      </c>
      <c r="E295" s="100"/>
      <c r="F295" s="95"/>
    </row>
    <row r="296" spans="2:6" ht="25.15" customHeight="1">
      <c r="B296" s="93">
        <f t="shared" si="18"/>
        <v>289</v>
      </c>
      <c r="C296" s="100">
        <f t="shared" si="19"/>
        <v>3777.4061523566538</v>
      </c>
      <c r="D296" s="100">
        <f t="shared" si="20"/>
        <v>3778.8144171104277</v>
      </c>
      <c r="E296" s="100"/>
      <c r="F296" s="95"/>
    </row>
    <row r="297" spans="2:6" ht="25.15" customHeight="1">
      <c r="B297" s="93">
        <f t="shared" si="18"/>
        <v>290</v>
      </c>
      <c r="C297" s="100">
        <f t="shared" si="19"/>
        <v>3790.2565682348391</v>
      </c>
      <c r="D297" s="100">
        <f t="shared" si="20"/>
        <v>3791.6648329886129</v>
      </c>
      <c r="E297" s="100"/>
      <c r="F297" s="95"/>
    </row>
    <row r="298" spans="2:6" ht="25.15" customHeight="1">
      <c r="B298" s="93">
        <f t="shared" si="18"/>
        <v>291</v>
      </c>
      <c r="C298" s="100">
        <f t="shared" si="19"/>
        <v>3803.1069841130243</v>
      </c>
      <c r="D298" s="100">
        <f t="shared" si="20"/>
        <v>3804.5152488667982</v>
      </c>
      <c r="E298" s="100"/>
      <c r="F298" s="95"/>
    </row>
    <row r="299" spans="2:6" ht="25.15" customHeight="1">
      <c r="B299" s="93">
        <f t="shared" si="18"/>
        <v>292</v>
      </c>
      <c r="C299" s="100">
        <f t="shared" si="19"/>
        <v>3815.9573999912095</v>
      </c>
      <c r="D299" s="100">
        <f t="shared" si="20"/>
        <v>3817.3656647449834</v>
      </c>
      <c r="E299" s="100"/>
      <c r="F299" s="95"/>
    </row>
    <row r="300" spans="2:6" ht="25.15" customHeight="1">
      <c r="B300" s="93">
        <f t="shared" si="18"/>
        <v>293</v>
      </c>
      <c r="C300" s="100">
        <f t="shared" si="19"/>
        <v>3828.8078158693947</v>
      </c>
      <c r="D300" s="100">
        <f t="shared" si="20"/>
        <v>3830.2160806231686</v>
      </c>
      <c r="E300" s="100"/>
      <c r="F300" s="95"/>
    </row>
    <row r="301" spans="2:6" ht="25.15" customHeight="1">
      <c r="B301" s="93">
        <f t="shared" si="18"/>
        <v>294</v>
      </c>
      <c r="C301" s="100">
        <f t="shared" si="19"/>
        <v>3841.65823174758</v>
      </c>
      <c r="D301" s="100">
        <f t="shared" si="20"/>
        <v>3843.0664965013539</v>
      </c>
      <c r="E301" s="100"/>
      <c r="F301" s="95"/>
    </row>
    <row r="302" spans="2:6" ht="25.15" customHeight="1">
      <c r="B302" s="93">
        <f t="shared" si="18"/>
        <v>295</v>
      </c>
      <c r="C302" s="100">
        <f t="shared" si="19"/>
        <v>3854.5086476257652</v>
      </c>
      <c r="D302" s="100">
        <f t="shared" si="20"/>
        <v>3855.9169123795391</v>
      </c>
      <c r="E302" s="100"/>
      <c r="F302" s="95"/>
    </row>
    <row r="303" spans="2:6" ht="25.15" customHeight="1">
      <c r="B303" s="93">
        <f t="shared" si="18"/>
        <v>296</v>
      </c>
      <c r="C303" s="100">
        <f t="shared" si="19"/>
        <v>3867.3590635039504</v>
      </c>
      <c r="D303" s="100">
        <f t="shared" si="20"/>
        <v>3868.7673282577243</v>
      </c>
      <c r="E303" s="100"/>
      <c r="F303" s="95"/>
    </row>
    <row r="304" spans="2:6" ht="25.15" customHeight="1">
      <c r="B304" s="93">
        <f t="shared" si="18"/>
        <v>297</v>
      </c>
      <c r="C304" s="100">
        <f t="shared" si="19"/>
        <v>3880.2094793821357</v>
      </c>
      <c r="D304" s="100">
        <f t="shared" si="20"/>
        <v>3881.6177441359096</v>
      </c>
      <c r="E304" s="100"/>
      <c r="F304" s="95"/>
    </row>
    <row r="305" spans="2:6" ht="25.15" customHeight="1">
      <c r="B305" s="93">
        <f t="shared" si="18"/>
        <v>298</v>
      </c>
      <c r="C305" s="100">
        <f t="shared" si="19"/>
        <v>3893.0598952603209</v>
      </c>
      <c r="D305" s="100">
        <f t="shared" si="20"/>
        <v>3894.4681600140948</v>
      </c>
      <c r="E305" s="100"/>
      <c r="F305" s="95"/>
    </row>
    <row r="306" spans="2:6" ht="25.15" customHeight="1">
      <c r="B306" s="93">
        <f t="shared" si="18"/>
        <v>299</v>
      </c>
      <c r="C306" s="100">
        <f t="shared" si="19"/>
        <v>3905.9103111385061</v>
      </c>
      <c r="D306" s="100">
        <f t="shared" si="20"/>
        <v>3907.31857589228</v>
      </c>
      <c r="E306" s="100"/>
      <c r="F306" s="95"/>
    </row>
    <row r="307" spans="2:6" ht="25.15" customHeight="1">
      <c r="B307" s="93">
        <f t="shared" si="18"/>
        <v>300</v>
      </c>
      <c r="C307" s="100">
        <f t="shared" si="19"/>
        <v>3918.7607270166914</v>
      </c>
      <c r="D307" s="100">
        <f t="shared" si="20"/>
        <v>3920.1689917704653</v>
      </c>
      <c r="E307" s="100"/>
      <c r="F307" s="95"/>
    </row>
    <row r="308" spans="2:6" ht="25.15" customHeight="1">
      <c r="B308" s="93">
        <f t="shared" si="18"/>
        <v>301</v>
      </c>
      <c r="C308" s="100">
        <f t="shared" si="19"/>
        <v>3931.6111428948766</v>
      </c>
      <c r="D308" s="100">
        <f t="shared" si="20"/>
        <v>3933.0194076486505</v>
      </c>
      <c r="E308" s="100"/>
      <c r="F308" s="95"/>
    </row>
    <row r="309" spans="2:6" ht="25.15" customHeight="1">
      <c r="B309" s="93">
        <f t="shared" si="18"/>
        <v>302</v>
      </c>
      <c r="C309" s="100">
        <f t="shared" si="19"/>
        <v>3944.4615587730618</v>
      </c>
      <c r="D309" s="100">
        <f t="shared" si="20"/>
        <v>3945.8698235268357</v>
      </c>
      <c r="E309" s="100"/>
      <c r="F309" s="95"/>
    </row>
    <row r="310" spans="2:6" ht="25.15" customHeight="1">
      <c r="B310" s="93">
        <f t="shared" si="18"/>
        <v>303</v>
      </c>
      <c r="C310" s="100">
        <f t="shared" si="19"/>
        <v>3957.3119746512471</v>
      </c>
      <c r="D310" s="100">
        <f t="shared" si="20"/>
        <v>3958.7202394050209</v>
      </c>
      <c r="E310" s="100"/>
      <c r="F310" s="95"/>
    </row>
    <row r="311" spans="2:6" ht="25.15" customHeight="1">
      <c r="B311" s="93">
        <f t="shared" si="18"/>
        <v>304</v>
      </c>
      <c r="C311" s="100">
        <f t="shared" si="19"/>
        <v>3970.1623905294323</v>
      </c>
      <c r="D311" s="100">
        <f t="shared" si="20"/>
        <v>3971.5706552832062</v>
      </c>
      <c r="E311" s="100"/>
      <c r="F311" s="95"/>
    </row>
    <row r="312" spans="2:6" ht="25.15" customHeight="1">
      <c r="B312" s="93">
        <f t="shared" si="18"/>
        <v>305</v>
      </c>
      <c r="C312" s="100">
        <f t="shared" si="19"/>
        <v>3983.0128064076175</v>
      </c>
      <c r="D312" s="100">
        <f t="shared" si="20"/>
        <v>3984.4210711613914</v>
      </c>
      <c r="E312" s="100"/>
      <c r="F312" s="95"/>
    </row>
    <row r="313" spans="2:6" ht="25.15" customHeight="1">
      <c r="B313" s="93">
        <f t="shared" si="18"/>
        <v>306</v>
      </c>
      <c r="C313" s="100">
        <f t="shared" si="19"/>
        <v>3995.8632222858027</v>
      </c>
      <c r="D313" s="100">
        <f t="shared" si="20"/>
        <v>3997.2714870395766</v>
      </c>
      <c r="E313" s="100"/>
      <c r="F313" s="95"/>
    </row>
    <row r="314" spans="2:6" ht="25.15" customHeight="1">
      <c r="B314" s="93">
        <f t="shared" si="18"/>
        <v>307</v>
      </c>
      <c r="C314" s="100">
        <f t="shared" si="19"/>
        <v>4008.713638163988</v>
      </c>
      <c r="D314" s="100">
        <f t="shared" si="20"/>
        <v>4010.1219029177619</v>
      </c>
      <c r="E314" s="100"/>
      <c r="F314" s="95"/>
    </row>
    <row r="315" spans="2:6" ht="25.15" customHeight="1">
      <c r="B315" s="93">
        <f t="shared" si="18"/>
        <v>308</v>
      </c>
      <c r="C315" s="100">
        <f t="shared" si="19"/>
        <v>4021.5640540421732</v>
      </c>
      <c r="D315" s="100">
        <f t="shared" si="20"/>
        <v>4022.9723187959471</v>
      </c>
      <c r="E315" s="100"/>
      <c r="F315" s="95"/>
    </row>
    <row r="316" spans="2:6" ht="25.15" customHeight="1">
      <c r="B316" s="93">
        <f t="shared" si="18"/>
        <v>309</v>
      </c>
      <c r="C316" s="100">
        <f t="shared" si="19"/>
        <v>4034.4144699203584</v>
      </c>
      <c r="D316" s="100">
        <f t="shared" si="20"/>
        <v>4035.8227346741323</v>
      </c>
      <c r="E316" s="100"/>
      <c r="F316" s="95"/>
    </row>
    <row r="317" spans="2:6" ht="25.15" customHeight="1">
      <c r="B317" s="93">
        <f t="shared" si="18"/>
        <v>310</v>
      </c>
      <c r="C317" s="100">
        <f t="shared" si="19"/>
        <v>4047.2648857985437</v>
      </c>
      <c r="D317" s="100">
        <f t="shared" si="20"/>
        <v>4048.6731505523176</v>
      </c>
      <c r="E317" s="100"/>
      <c r="F317" s="95"/>
    </row>
    <row r="318" spans="2:6" ht="25.15" customHeight="1">
      <c r="B318" s="93">
        <f t="shared" si="18"/>
        <v>311</v>
      </c>
      <c r="C318" s="100">
        <f t="shared" si="19"/>
        <v>4060.1153016767289</v>
      </c>
      <c r="D318" s="100">
        <f t="shared" si="20"/>
        <v>4061.5235664305028</v>
      </c>
      <c r="E318" s="100"/>
      <c r="F318" s="95"/>
    </row>
    <row r="319" spans="2:6" ht="25.15" customHeight="1">
      <c r="B319" s="93">
        <f t="shared" si="18"/>
        <v>312</v>
      </c>
      <c r="C319" s="100">
        <f t="shared" si="19"/>
        <v>4072.9657175549141</v>
      </c>
      <c r="D319" s="100">
        <f t="shared" si="20"/>
        <v>4074.373982308688</v>
      </c>
      <c r="E319" s="100"/>
      <c r="F319" s="95"/>
    </row>
    <row r="320" spans="2:6" ht="25.15" customHeight="1">
      <c r="B320" s="93">
        <f t="shared" si="18"/>
        <v>313</v>
      </c>
      <c r="C320" s="100">
        <f t="shared" si="19"/>
        <v>4085.8161334330994</v>
      </c>
      <c r="D320" s="100">
        <f t="shared" si="20"/>
        <v>4087.2243981868733</v>
      </c>
      <c r="E320" s="100"/>
      <c r="F320" s="95"/>
    </row>
    <row r="321" spans="2:6" ht="25.15" customHeight="1">
      <c r="B321" s="93">
        <f t="shared" si="18"/>
        <v>314</v>
      </c>
      <c r="C321" s="100">
        <f t="shared" si="19"/>
        <v>4098.6665493112841</v>
      </c>
      <c r="D321" s="100">
        <f t="shared" si="20"/>
        <v>4100.0748140650585</v>
      </c>
      <c r="E321" s="100"/>
      <c r="F321" s="95"/>
    </row>
    <row r="322" spans="2:6" ht="25.15" customHeight="1">
      <c r="B322" s="93">
        <f t="shared" si="18"/>
        <v>315</v>
      </c>
      <c r="C322" s="100">
        <f t="shared" si="19"/>
        <v>4111.5169651894694</v>
      </c>
      <c r="D322" s="100">
        <f t="shared" si="20"/>
        <v>4112.9252299432437</v>
      </c>
      <c r="E322" s="100"/>
      <c r="F322" s="95"/>
    </row>
    <row r="323" spans="2:6" ht="25.15" customHeight="1">
      <c r="B323" s="93">
        <f t="shared" si="18"/>
        <v>316</v>
      </c>
      <c r="C323" s="100">
        <f t="shared" si="19"/>
        <v>4124.3673810676546</v>
      </c>
      <c r="D323" s="100">
        <f t="shared" si="20"/>
        <v>4125.775645821429</v>
      </c>
      <c r="E323" s="100"/>
      <c r="F323" s="95"/>
    </row>
    <row r="324" spans="2:6" ht="25.15" customHeight="1">
      <c r="B324" s="93">
        <f t="shared" si="18"/>
        <v>317</v>
      </c>
      <c r="C324" s="100">
        <f t="shared" si="19"/>
        <v>4137.2177969458398</v>
      </c>
      <c r="D324" s="100">
        <f t="shared" si="20"/>
        <v>4138.6260616996142</v>
      </c>
      <c r="E324" s="100"/>
      <c r="F324" s="95"/>
    </row>
    <row r="325" spans="2:6" ht="25.15" customHeight="1">
      <c r="B325" s="93">
        <f t="shared" si="18"/>
        <v>318</v>
      </c>
      <c r="C325" s="100">
        <f t="shared" si="19"/>
        <v>4150.0682128240251</v>
      </c>
      <c r="D325" s="100">
        <f t="shared" si="20"/>
        <v>4151.4764775777994</v>
      </c>
      <c r="E325" s="100"/>
      <c r="F325" s="95"/>
    </row>
    <row r="326" spans="2:6" ht="25.15" customHeight="1">
      <c r="B326" s="93">
        <f t="shared" si="18"/>
        <v>319</v>
      </c>
      <c r="C326" s="100">
        <f t="shared" si="19"/>
        <v>4162.9186287022103</v>
      </c>
      <c r="D326" s="100">
        <f t="shared" si="20"/>
        <v>4164.3268934559846</v>
      </c>
      <c r="E326" s="100"/>
      <c r="F326" s="95"/>
    </row>
    <row r="327" spans="2:6" ht="25.15" customHeight="1">
      <c r="B327" s="93">
        <f t="shared" si="18"/>
        <v>320</v>
      </c>
      <c r="C327" s="100">
        <f t="shared" si="19"/>
        <v>4175.7690445803955</v>
      </c>
      <c r="D327" s="100">
        <f t="shared" si="20"/>
        <v>4177.1773093341699</v>
      </c>
      <c r="E327" s="100"/>
      <c r="F327" s="95"/>
    </row>
    <row r="328" spans="2:6" ht="25.15" customHeight="1">
      <c r="B328" s="93">
        <f t="shared" si="18"/>
        <v>321</v>
      </c>
      <c r="C328" s="100">
        <f t="shared" si="19"/>
        <v>4188.6194604585808</v>
      </c>
      <c r="D328" s="100">
        <f t="shared" si="20"/>
        <v>4190.0277252123551</v>
      </c>
      <c r="E328" s="100"/>
      <c r="F328" s="95"/>
    </row>
    <row r="329" spans="2:6" ht="25.15" customHeight="1">
      <c r="B329" s="93">
        <f t="shared" si="18"/>
        <v>322</v>
      </c>
      <c r="C329" s="100">
        <f t="shared" si="19"/>
        <v>4201.469876336766</v>
      </c>
      <c r="D329" s="100">
        <f t="shared" si="20"/>
        <v>4202.8781410905403</v>
      </c>
      <c r="E329" s="100"/>
      <c r="F329" s="95"/>
    </row>
    <row r="330" spans="2:6" ht="25.15" customHeight="1">
      <c r="B330" s="93">
        <f t="shared" si="18"/>
        <v>323</v>
      </c>
      <c r="C330" s="100">
        <f t="shared" si="19"/>
        <v>4214.3202922149512</v>
      </c>
      <c r="D330" s="100">
        <f t="shared" si="20"/>
        <v>4215.7285569687256</v>
      </c>
      <c r="E330" s="100"/>
      <c r="F330" s="95"/>
    </row>
    <row r="331" spans="2:6" ht="25.15" customHeight="1">
      <c r="B331" s="93">
        <f t="shared" si="18"/>
        <v>324</v>
      </c>
      <c r="C331" s="100">
        <f t="shared" si="19"/>
        <v>4227.1707080931365</v>
      </c>
      <c r="D331" s="100">
        <f t="shared" si="20"/>
        <v>4228.5789728469108</v>
      </c>
      <c r="E331" s="100"/>
      <c r="F331" s="95"/>
    </row>
    <row r="332" spans="2:6" ht="25.15" customHeight="1">
      <c r="B332" s="93">
        <f t="shared" si="18"/>
        <v>325</v>
      </c>
      <c r="C332" s="100">
        <f t="shared" si="19"/>
        <v>4240.0211239713217</v>
      </c>
      <c r="D332" s="100">
        <f t="shared" si="20"/>
        <v>4241.429388725096</v>
      </c>
      <c r="E332" s="100"/>
      <c r="F332" s="95"/>
    </row>
    <row r="333" spans="2:6" ht="25.15" customHeight="1">
      <c r="B333" s="93">
        <f t="shared" si="18"/>
        <v>326</v>
      </c>
      <c r="C333" s="100">
        <f t="shared" si="19"/>
        <v>4252.8715398495069</v>
      </c>
      <c r="D333" s="100">
        <f t="shared" si="20"/>
        <v>4254.2798046032813</v>
      </c>
      <c r="E333" s="100"/>
      <c r="F333" s="95"/>
    </row>
    <row r="334" spans="2:6" ht="25.15" customHeight="1">
      <c r="B334" s="93">
        <f t="shared" si="18"/>
        <v>327</v>
      </c>
      <c r="C334" s="100">
        <f t="shared" si="19"/>
        <v>4265.7219557276921</v>
      </c>
      <c r="D334" s="100">
        <f t="shared" si="20"/>
        <v>4267.1302204814665</v>
      </c>
      <c r="E334" s="100"/>
      <c r="F334" s="95"/>
    </row>
    <row r="335" spans="2:6" ht="25.15" customHeight="1">
      <c r="B335" s="93">
        <f t="shared" si="18"/>
        <v>328</v>
      </c>
      <c r="C335" s="100">
        <f t="shared" si="19"/>
        <v>4278.5723716058774</v>
      </c>
      <c r="D335" s="100">
        <f t="shared" si="20"/>
        <v>4279.9806363596517</v>
      </c>
      <c r="E335" s="100"/>
      <c r="F335" s="95"/>
    </row>
    <row r="336" spans="2:6" ht="25.15" customHeight="1">
      <c r="B336" s="93">
        <f t="shared" si="18"/>
        <v>329</v>
      </c>
      <c r="C336" s="100">
        <f t="shared" si="19"/>
        <v>4291.4227874840626</v>
      </c>
      <c r="D336" s="100">
        <f t="shared" si="20"/>
        <v>4292.831052237837</v>
      </c>
      <c r="E336" s="100"/>
      <c r="F336" s="95"/>
    </row>
    <row r="337" spans="2:6" ht="25.15" customHeight="1">
      <c r="B337" s="93">
        <f t="shared" si="18"/>
        <v>330</v>
      </c>
      <c r="C337" s="100">
        <f t="shared" si="19"/>
        <v>4304.2732033622478</v>
      </c>
      <c r="D337" s="100">
        <f t="shared" si="20"/>
        <v>4305.6814681160222</v>
      </c>
      <c r="E337" s="100"/>
      <c r="F337" s="95"/>
    </row>
    <row r="338" spans="2:6" ht="25.15" customHeight="1">
      <c r="B338" s="93">
        <f t="shared" si="18"/>
        <v>331</v>
      </c>
      <c r="C338" s="100">
        <f t="shared" si="19"/>
        <v>4317.1236192404331</v>
      </c>
      <c r="D338" s="100">
        <f t="shared" si="20"/>
        <v>4318.5318839942074</v>
      </c>
      <c r="E338" s="100"/>
      <c r="F338" s="95"/>
    </row>
    <row r="339" spans="2:6" ht="25.15" customHeight="1">
      <c r="B339" s="93">
        <f t="shared" si="18"/>
        <v>332</v>
      </c>
      <c r="C339" s="100">
        <f t="shared" si="19"/>
        <v>4329.9740351186183</v>
      </c>
      <c r="D339" s="100">
        <f t="shared" si="20"/>
        <v>4331.3822998723927</v>
      </c>
      <c r="E339" s="100"/>
      <c r="F339" s="95"/>
    </row>
    <row r="340" spans="2:6" ht="25.15" customHeight="1">
      <c r="B340" s="93">
        <f t="shared" si="18"/>
        <v>333</v>
      </c>
      <c r="C340" s="100">
        <f t="shared" si="19"/>
        <v>4342.8244509968035</v>
      </c>
      <c r="D340" s="100">
        <f t="shared" si="20"/>
        <v>4344.2327157505779</v>
      </c>
      <c r="E340" s="100"/>
      <c r="F340" s="95"/>
    </row>
    <row r="341" spans="2:6" ht="25.15" customHeight="1">
      <c r="B341" s="93">
        <f t="shared" si="18"/>
        <v>334</v>
      </c>
      <c r="C341" s="100">
        <f t="shared" si="19"/>
        <v>4355.6748668749888</v>
      </c>
      <c r="D341" s="100">
        <f t="shared" si="20"/>
        <v>4357.0831316287631</v>
      </c>
      <c r="E341" s="100"/>
      <c r="F341" s="95"/>
    </row>
    <row r="342" spans="2:6" ht="25.15" customHeight="1">
      <c r="B342" s="93">
        <f t="shared" si="18"/>
        <v>335</v>
      </c>
      <c r="C342" s="100">
        <f t="shared" si="19"/>
        <v>4368.525282753174</v>
      </c>
      <c r="D342" s="100">
        <f t="shared" si="20"/>
        <v>4369.9335475069483</v>
      </c>
      <c r="E342" s="100"/>
      <c r="F342" s="95"/>
    </row>
    <row r="343" spans="2:6" ht="25.15" customHeight="1">
      <c r="B343" s="93">
        <f t="shared" si="18"/>
        <v>336</v>
      </c>
      <c r="C343" s="100">
        <f t="shared" si="19"/>
        <v>4381.3756986313592</v>
      </c>
      <c r="D343" s="100">
        <f t="shared" si="20"/>
        <v>4382.7839633851336</v>
      </c>
      <c r="E343" s="100"/>
      <c r="F343" s="95"/>
    </row>
    <row r="344" spans="2:6" ht="25.15" customHeight="1">
      <c r="B344" s="93">
        <f t="shared" si="18"/>
        <v>337</v>
      </c>
      <c r="C344" s="100">
        <f t="shared" si="19"/>
        <v>4394.2261145095445</v>
      </c>
      <c r="D344" s="100">
        <f t="shared" si="20"/>
        <v>4395.6343792633188</v>
      </c>
      <c r="E344" s="100"/>
      <c r="F344" s="95"/>
    </row>
    <row r="345" spans="2:6" ht="25.15" customHeight="1">
      <c r="B345" s="93">
        <f t="shared" si="18"/>
        <v>338</v>
      </c>
      <c r="C345" s="100">
        <f t="shared" si="19"/>
        <v>4407.0765303877297</v>
      </c>
      <c r="D345" s="100">
        <f t="shared" si="20"/>
        <v>4408.484795141504</v>
      </c>
      <c r="E345" s="100"/>
      <c r="F345" s="95"/>
    </row>
    <row r="346" spans="2:6" ht="25.15" customHeight="1">
      <c r="B346" s="93">
        <f t="shared" si="18"/>
        <v>339</v>
      </c>
      <c r="C346" s="100">
        <f t="shared" si="19"/>
        <v>4419.9269462659149</v>
      </c>
      <c r="D346" s="100">
        <f t="shared" si="20"/>
        <v>4421.3352110196893</v>
      </c>
      <c r="E346" s="100"/>
      <c r="F346" s="95"/>
    </row>
    <row r="347" spans="2:6" ht="25.15" customHeight="1">
      <c r="B347" s="93">
        <f t="shared" si="18"/>
        <v>340</v>
      </c>
      <c r="C347" s="100">
        <f t="shared" si="19"/>
        <v>4432.7773621441002</v>
      </c>
      <c r="D347" s="100">
        <f t="shared" si="20"/>
        <v>4434.1856268978745</v>
      </c>
      <c r="E347" s="100"/>
      <c r="F347" s="95"/>
    </row>
    <row r="348" spans="2:6" ht="25.15" customHeight="1">
      <c r="B348" s="93">
        <f t="shared" si="18"/>
        <v>341</v>
      </c>
      <c r="C348" s="100">
        <f t="shared" si="19"/>
        <v>4445.6277780222854</v>
      </c>
      <c r="D348" s="100">
        <f t="shared" si="20"/>
        <v>4447.0360427760597</v>
      </c>
      <c r="E348" s="100"/>
      <c r="F348" s="95"/>
    </row>
    <row r="349" spans="2:6" ht="25.15" customHeight="1">
      <c r="B349" s="93">
        <f t="shared" si="18"/>
        <v>342</v>
      </c>
      <c r="C349" s="100">
        <f t="shared" si="19"/>
        <v>4458.4781939004706</v>
      </c>
      <c r="D349" s="100">
        <f t="shared" si="20"/>
        <v>4459.886458654245</v>
      </c>
      <c r="E349" s="100"/>
      <c r="F349" s="95"/>
    </row>
    <row r="350" spans="2:6" ht="25.15" customHeight="1">
      <c r="B350" s="93">
        <f t="shared" si="18"/>
        <v>343</v>
      </c>
      <c r="C350" s="100">
        <f t="shared" si="19"/>
        <v>4471.3286097786558</v>
      </c>
      <c r="D350" s="100">
        <f t="shared" si="20"/>
        <v>4472.7368745324302</v>
      </c>
      <c r="E350" s="100"/>
      <c r="F350" s="95"/>
    </row>
    <row r="351" spans="2:6" ht="25.15" customHeight="1">
      <c r="B351" s="93">
        <f t="shared" si="18"/>
        <v>344</v>
      </c>
      <c r="C351" s="100">
        <f t="shared" si="19"/>
        <v>4484.1790256568411</v>
      </c>
      <c r="D351" s="100">
        <f t="shared" si="20"/>
        <v>4485.5872904106154</v>
      </c>
      <c r="E351" s="100"/>
      <c r="F351" s="95"/>
    </row>
    <row r="352" spans="2:6" ht="25.15" customHeight="1">
      <c r="B352" s="93">
        <f t="shared" si="18"/>
        <v>345</v>
      </c>
      <c r="C352" s="100">
        <f t="shared" si="19"/>
        <v>4497.0294415350263</v>
      </c>
      <c r="D352" s="100">
        <f t="shared" si="20"/>
        <v>4498.4377062888007</v>
      </c>
      <c r="E352" s="100"/>
      <c r="F352" s="95"/>
    </row>
    <row r="353" spans="2:6" ht="25.15" customHeight="1">
      <c r="B353" s="93">
        <f t="shared" si="18"/>
        <v>346</v>
      </c>
      <c r="C353" s="100">
        <f t="shared" si="19"/>
        <v>4509.8798574132115</v>
      </c>
      <c r="D353" s="100">
        <f t="shared" si="20"/>
        <v>4511.2881221669859</v>
      </c>
      <c r="E353" s="100"/>
      <c r="F353" s="95"/>
    </row>
    <row r="354" spans="2:6" ht="25.15" customHeight="1">
      <c r="B354" s="93">
        <f t="shared" si="18"/>
        <v>347</v>
      </c>
      <c r="C354" s="100">
        <f t="shared" si="19"/>
        <v>4522.7302732913968</v>
      </c>
      <c r="D354" s="100">
        <f t="shared" si="20"/>
        <v>4524.1385380451711</v>
      </c>
      <c r="E354" s="100"/>
      <c r="F354" s="95"/>
    </row>
    <row r="355" spans="2:6" ht="25.15" customHeight="1">
      <c r="B355" s="93">
        <f t="shared" si="18"/>
        <v>348</v>
      </c>
      <c r="C355" s="100">
        <f t="shared" si="19"/>
        <v>4535.580689169582</v>
      </c>
      <c r="D355" s="100">
        <f t="shared" si="20"/>
        <v>4536.9889539233563</v>
      </c>
      <c r="E355" s="100"/>
      <c r="F355" s="95"/>
    </row>
    <row r="356" spans="2:6" ht="25.15" customHeight="1">
      <c r="B356" s="93">
        <f t="shared" si="18"/>
        <v>349</v>
      </c>
      <c r="C356" s="100">
        <f t="shared" si="19"/>
        <v>4548.4311050477672</v>
      </c>
      <c r="D356" s="100">
        <f t="shared" si="20"/>
        <v>4549.8393698015416</v>
      </c>
      <c r="E356" s="100"/>
      <c r="F356" s="95"/>
    </row>
    <row r="357" spans="2:6" ht="25.15" customHeight="1">
      <c r="B357" s="93">
        <f t="shared" si="18"/>
        <v>350</v>
      </c>
      <c r="C357" s="100">
        <f t="shared" si="19"/>
        <v>4561.2815209259525</v>
      </c>
      <c r="D357" s="100">
        <f t="shared" si="20"/>
        <v>4562.6897856797268</v>
      </c>
      <c r="E357" s="100"/>
      <c r="F357" s="95"/>
    </row>
    <row r="358" spans="2:6" ht="25.15" customHeight="1">
      <c r="B358" s="93">
        <f t="shared" si="18"/>
        <v>351</v>
      </c>
      <c r="C358" s="100">
        <f t="shared" si="19"/>
        <v>4574.1319368041377</v>
      </c>
      <c r="D358" s="100">
        <f t="shared" si="20"/>
        <v>4575.540201557912</v>
      </c>
      <c r="E358" s="100"/>
      <c r="F358" s="95"/>
    </row>
    <row r="359" spans="2:6" ht="25.15" customHeight="1">
      <c r="B359" s="93">
        <f t="shared" ref="B359:B422" si="21">B358+1</f>
        <v>352</v>
      </c>
      <c r="C359" s="100">
        <f t="shared" ref="C359:C422" si="22">C358+($Q$13/$Q$19)</f>
        <v>4586.9823526823229</v>
      </c>
      <c r="D359" s="100">
        <f t="shared" ref="D359:D422" si="23">D358+($R$13/$Q$19)</f>
        <v>4588.3906174360973</v>
      </c>
      <c r="E359" s="100"/>
      <c r="F359" s="95"/>
    </row>
    <row r="360" spans="2:6" ht="25.15" customHeight="1">
      <c r="B360" s="93">
        <f t="shared" si="21"/>
        <v>353</v>
      </c>
      <c r="C360" s="100">
        <f t="shared" si="22"/>
        <v>4599.8327685605082</v>
      </c>
      <c r="D360" s="100">
        <f t="shared" si="23"/>
        <v>4601.2410333142825</v>
      </c>
      <c r="E360" s="100"/>
      <c r="F360" s="95"/>
    </row>
    <row r="361" spans="2:6" ht="25.15" customHeight="1">
      <c r="B361" s="93">
        <f t="shared" si="21"/>
        <v>354</v>
      </c>
      <c r="C361" s="100">
        <f t="shared" si="22"/>
        <v>4612.6831844386934</v>
      </c>
      <c r="D361" s="100">
        <f t="shared" si="23"/>
        <v>4614.0914491924677</v>
      </c>
      <c r="E361" s="100"/>
      <c r="F361" s="95"/>
    </row>
    <row r="362" spans="2:6" ht="25.15" customHeight="1">
      <c r="B362" s="93">
        <f t="shared" si="21"/>
        <v>355</v>
      </c>
      <c r="C362" s="100">
        <f t="shared" si="22"/>
        <v>4625.5336003168786</v>
      </c>
      <c r="D362" s="100">
        <f t="shared" si="23"/>
        <v>4626.941865070653</v>
      </c>
      <c r="E362" s="100"/>
      <c r="F362" s="95"/>
    </row>
    <row r="363" spans="2:6" ht="25.15" customHeight="1">
      <c r="B363" s="93">
        <f t="shared" si="21"/>
        <v>356</v>
      </c>
      <c r="C363" s="100">
        <f t="shared" si="22"/>
        <v>4638.3840161950639</v>
      </c>
      <c r="D363" s="100">
        <f t="shared" si="23"/>
        <v>4639.7922809488382</v>
      </c>
      <c r="E363" s="100"/>
      <c r="F363" s="95"/>
    </row>
    <row r="364" spans="2:6" ht="25.15" customHeight="1">
      <c r="B364" s="93">
        <f t="shared" si="21"/>
        <v>357</v>
      </c>
      <c r="C364" s="100">
        <f t="shared" si="22"/>
        <v>4651.2344320732491</v>
      </c>
      <c r="D364" s="100">
        <f t="shared" si="23"/>
        <v>4652.6426968270234</v>
      </c>
      <c r="E364" s="100"/>
      <c r="F364" s="95"/>
    </row>
    <row r="365" spans="2:6" ht="25.15" customHeight="1">
      <c r="B365" s="93">
        <f t="shared" si="21"/>
        <v>358</v>
      </c>
      <c r="C365" s="100">
        <f t="shared" si="22"/>
        <v>4664.0848479514343</v>
      </c>
      <c r="D365" s="100">
        <f t="shared" si="23"/>
        <v>4665.4931127052087</v>
      </c>
      <c r="E365" s="100"/>
      <c r="F365" s="95"/>
    </row>
    <row r="366" spans="2:6" ht="25.15" customHeight="1">
      <c r="B366" s="93">
        <f t="shared" si="21"/>
        <v>359</v>
      </c>
      <c r="C366" s="100">
        <f t="shared" si="22"/>
        <v>4676.9352638296195</v>
      </c>
      <c r="D366" s="100">
        <f t="shared" si="23"/>
        <v>4678.3435285833939</v>
      </c>
      <c r="E366" s="100"/>
      <c r="F366" s="95"/>
    </row>
    <row r="367" spans="2:6" ht="25.15" customHeight="1">
      <c r="B367" s="93">
        <f t="shared" si="21"/>
        <v>360</v>
      </c>
      <c r="C367" s="100">
        <f t="shared" si="22"/>
        <v>4689.7856797078048</v>
      </c>
      <c r="D367" s="100">
        <f t="shared" si="23"/>
        <v>4691.1939444615791</v>
      </c>
      <c r="E367" s="100"/>
      <c r="F367" s="95"/>
    </row>
    <row r="368" spans="2:6" ht="25.15" customHeight="1">
      <c r="B368" s="93">
        <f t="shared" si="21"/>
        <v>361</v>
      </c>
      <c r="C368" s="100">
        <f t="shared" si="22"/>
        <v>4702.63609558599</v>
      </c>
      <c r="D368" s="100">
        <f t="shared" si="23"/>
        <v>4704.0443603397644</v>
      </c>
      <c r="E368" s="100"/>
      <c r="F368" s="95"/>
    </row>
    <row r="369" spans="2:6" ht="25.15" customHeight="1">
      <c r="B369" s="93">
        <f t="shared" si="21"/>
        <v>362</v>
      </c>
      <c r="C369" s="100">
        <f t="shared" si="22"/>
        <v>4715.4865114641752</v>
      </c>
      <c r="D369" s="100">
        <f t="shared" si="23"/>
        <v>4716.8947762179496</v>
      </c>
      <c r="E369" s="100"/>
      <c r="F369" s="95"/>
    </row>
    <row r="370" spans="2:6" ht="25.15" customHeight="1">
      <c r="B370" s="93">
        <f t="shared" si="21"/>
        <v>363</v>
      </c>
      <c r="C370" s="100">
        <f t="shared" si="22"/>
        <v>4728.3369273423605</v>
      </c>
      <c r="D370" s="100">
        <f t="shared" si="23"/>
        <v>4729.7451920961348</v>
      </c>
      <c r="E370" s="100"/>
      <c r="F370" s="95"/>
    </row>
    <row r="371" spans="2:6" ht="25.15" customHeight="1">
      <c r="B371" s="93">
        <f t="shared" si="21"/>
        <v>364</v>
      </c>
      <c r="C371" s="100">
        <f t="shared" si="22"/>
        <v>4741.1873432205457</v>
      </c>
      <c r="D371" s="100">
        <f t="shared" si="23"/>
        <v>4742.59560797432</v>
      </c>
      <c r="E371" s="100"/>
      <c r="F371" s="95"/>
    </row>
    <row r="372" spans="2:6" ht="25.15" customHeight="1">
      <c r="B372" s="93">
        <f t="shared" si="21"/>
        <v>365</v>
      </c>
      <c r="C372" s="100">
        <f t="shared" si="22"/>
        <v>4754.0377590987309</v>
      </c>
      <c r="D372" s="100">
        <f t="shared" si="23"/>
        <v>4755.4460238525053</v>
      </c>
      <c r="E372" s="100"/>
      <c r="F372" s="95"/>
    </row>
    <row r="373" spans="2:6" ht="25.15" customHeight="1">
      <c r="B373" s="93">
        <f t="shared" si="21"/>
        <v>366</v>
      </c>
      <c r="C373" s="100">
        <f t="shared" si="22"/>
        <v>4766.8881749769162</v>
      </c>
      <c r="D373" s="100">
        <f t="shared" si="23"/>
        <v>4768.2964397306905</v>
      </c>
      <c r="E373" s="100"/>
      <c r="F373" s="95"/>
    </row>
    <row r="374" spans="2:6" ht="25.15" customHeight="1">
      <c r="B374" s="93">
        <f t="shared" si="21"/>
        <v>367</v>
      </c>
      <c r="C374" s="100">
        <f t="shared" si="22"/>
        <v>4779.7385908551014</v>
      </c>
      <c r="D374" s="100">
        <f t="shared" si="23"/>
        <v>4781.1468556088757</v>
      </c>
      <c r="E374" s="100"/>
      <c r="F374" s="95"/>
    </row>
    <row r="375" spans="2:6" ht="25.15" customHeight="1">
      <c r="B375" s="93">
        <f t="shared" si="21"/>
        <v>368</v>
      </c>
      <c r="C375" s="100">
        <f t="shared" si="22"/>
        <v>4792.5890067332866</v>
      </c>
      <c r="D375" s="100">
        <f t="shared" si="23"/>
        <v>4793.997271487061</v>
      </c>
      <c r="E375" s="100"/>
      <c r="F375" s="95"/>
    </row>
    <row r="376" spans="2:6" ht="25.15" customHeight="1">
      <c r="B376" s="93">
        <f t="shared" si="21"/>
        <v>369</v>
      </c>
      <c r="C376" s="100">
        <f t="shared" si="22"/>
        <v>4805.4394226114719</v>
      </c>
      <c r="D376" s="100">
        <f t="shared" si="23"/>
        <v>4806.8476873652462</v>
      </c>
      <c r="E376" s="100"/>
      <c r="F376" s="95"/>
    </row>
    <row r="377" spans="2:6" ht="25.15" customHeight="1">
      <c r="B377" s="93">
        <f t="shared" si="21"/>
        <v>370</v>
      </c>
      <c r="C377" s="100">
        <f t="shared" si="22"/>
        <v>4818.2898384896571</v>
      </c>
      <c r="D377" s="100">
        <f t="shared" si="23"/>
        <v>4819.6981032434314</v>
      </c>
      <c r="E377" s="100"/>
      <c r="F377" s="95"/>
    </row>
    <row r="378" spans="2:6" ht="25.15" customHeight="1">
      <c r="B378" s="93">
        <f t="shared" si="21"/>
        <v>371</v>
      </c>
      <c r="C378" s="100">
        <f t="shared" si="22"/>
        <v>4831.1402543678423</v>
      </c>
      <c r="D378" s="100">
        <f t="shared" si="23"/>
        <v>4832.5485191216167</v>
      </c>
      <c r="E378" s="100"/>
      <c r="F378" s="95"/>
    </row>
    <row r="379" spans="2:6" ht="25.15" customHeight="1">
      <c r="B379" s="93">
        <f t="shared" si="21"/>
        <v>372</v>
      </c>
      <c r="C379" s="100">
        <f t="shared" si="22"/>
        <v>4843.9906702460275</v>
      </c>
      <c r="D379" s="100">
        <f t="shared" si="23"/>
        <v>4845.3989349998019</v>
      </c>
      <c r="E379" s="100"/>
      <c r="F379" s="95"/>
    </row>
    <row r="380" spans="2:6" ht="25.15" customHeight="1">
      <c r="B380" s="93">
        <f t="shared" si="21"/>
        <v>373</v>
      </c>
      <c r="C380" s="100">
        <f t="shared" si="22"/>
        <v>4856.8410861242128</v>
      </c>
      <c r="D380" s="100">
        <f t="shared" si="23"/>
        <v>4858.2493508779871</v>
      </c>
      <c r="E380" s="100"/>
      <c r="F380" s="95"/>
    </row>
    <row r="381" spans="2:6" ht="25.15" customHeight="1">
      <c r="B381" s="93">
        <f t="shared" si="21"/>
        <v>374</v>
      </c>
      <c r="C381" s="100">
        <f t="shared" si="22"/>
        <v>4869.691502002398</v>
      </c>
      <c r="D381" s="100">
        <f t="shared" si="23"/>
        <v>4871.0997667561724</v>
      </c>
      <c r="E381" s="100"/>
      <c r="F381" s="95"/>
    </row>
    <row r="382" spans="2:6" ht="25.15" customHeight="1">
      <c r="B382" s="93">
        <f t="shared" si="21"/>
        <v>375</v>
      </c>
      <c r="C382" s="100">
        <f t="shared" si="22"/>
        <v>4882.5419178805832</v>
      </c>
      <c r="D382" s="100">
        <f t="shared" si="23"/>
        <v>4883.9501826343576</v>
      </c>
      <c r="E382" s="100"/>
      <c r="F382" s="95"/>
    </row>
    <row r="383" spans="2:6" ht="25.15" customHeight="1">
      <c r="B383" s="93">
        <f t="shared" si="21"/>
        <v>376</v>
      </c>
      <c r="C383" s="100">
        <f t="shared" si="22"/>
        <v>4895.3923337587685</v>
      </c>
      <c r="D383" s="100">
        <f t="shared" si="23"/>
        <v>4896.8005985125428</v>
      </c>
      <c r="E383" s="100"/>
      <c r="F383" s="95"/>
    </row>
    <row r="384" spans="2:6" ht="25.15" customHeight="1">
      <c r="B384" s="93">
        <f t="shared" si="21"/>
        <v>377</v>
      </c>
      <c r="C384" s="100">
        <f t="shared" si="22"/>
        <v>4908.2427496369537</v>
      </c>
      <c r="D384" s="100">
        <f t="shared" si="23"/>
        <v>4909.6510143907281</v>
      </c>
      <c r="E384" s="100"/>
      <c r="F384" s="95"/>
    </row>
    <row r="385" spans="2:6" ht="25.15" customHeight="1">
      <c r="B385" s="93">
        <f t="shared" si="21"/>
        <v>378</v>
      </c>
      <c r="C385" s="100">
        <f t="shared" si="22"/>
        <v>4921.0931655151389</v>
      </c>
      <c r="D385" s="100">
        <f t="shared" si="23"/>
        <v>4922.5014302689133</v>
      </c>
      <c r="E385" s="100"/>
      <c r="F385" s="95"/>
    </row>
    <row r="386" spans="2:6" ht="25.15" customHeight="1">
      <c r="B386" s="93">
        <f t="shared" si="21"/>
        <v>379</v>
      </c>
      <c r="C386" s="100">
        <f t="shared" si="22"/>
        <v>4933.9435813933242</v>
      </c>
      <c r="D386" s="100">
        <f t="shared" si="23"/>
        <v>4935.3518461470985</v>
      </c>
      <c r="E386" s="100"/>
      <c r="F386" s="95"/>
    </row>
    <row r="387" spans="2:6" ht="25.15" customHeight="1">
      <c r="B387" s="93">
        <f t="shared" si="21"/>
        <v>380</v>
      </c>
      <c r="C387" s="100">
        <f t="shared" si="22"/>
        <v>4946.7939972715094</v>
      </c>
      <c r="D387" s="100">
        <f t="shared" si="23"/>
        <v>4948.2022620252837</v>
      </c>
      <c r="E387" s="100"/>
      <c r="F387" s="95"/>
    </row>
    <row r="388" spans="2:6" ht="25.15" customHeight="1">
      <c r="B388" s="93">
        <f t="shared" si="21"/>
        <v>381</v>
      </c>
      <c r="C388" s="100">
        <f t="shared" si="22"/>
        <v>4959.6444131496946</v>
      </c>
      <c r="D388" s="100">
        <f t="shared" si="23"/>
        <v>4961.052677903469</v>
      </c>
      <c r="E388" s="100"/>
      <c r="F388" s="95"/>
    </row>
    <row r="389" spans="2:6" ht="25.15" customHeight="1">
      <c r="B389" s="93">
        <f t="shared" si="21"/>
        <v>382</v>
      </c>
      <c r="C389" s="100">
        <f t="shared" si="22"/>
        <v>4972.4948290278799</v>
      </c>
      <c r="D389" s="100">
        <f t="shared" si="23"/>
        <v>4973.9030937816542</v>
      </c>
      <c r="E389" s="100"/>
      <c r="F389" s="95"/>
    </row>
    <row r="390" spans="2:6" ht="25.15" customHeight="1">
      <c r="B390" s="93">
        <f t="shared" si="21"/>
        <v>383</v>
      </c>
      <c r="C390" s="100">
        <f t="shared" si="22"/>
        <v>4985.3452449060651</v>
      </c>
      <c r="D390" s="100">
        <f t="shared" si="23"/>
        <v>4986.7535096598394</v>
      </c>
      <c r="E390" s="100"/>
      <c r="F390" s="95"/>
    </row>
    <row r="391" spans="2:6" ht="25.15" customHeight="1">
      <c r="B391" s="93">
        <f t="shared" si="21"/>
        <v>384</v>
      </c>
      <c r="C391" s="100">
        <f t="shared" si="22"/>
        <v>4998.1956607842503</v>
      </c>
      <c r="D391" s="100">
        <f t="shared" si="23"/>
        <v>4999.6039255380247</v>
      </c>
      <c r="E391" s="100"/>
      <c r="F391" s="95"/>
    </row>
    <row r="392" spans="2:6" ht="25.15" customHeight="1">
      <c r="B392" s="93">
        <f t="shared" si="21"/>
        <v>385</v>
      </c>
      <c r="C392" s="100">
        <f t="shared" si="22"/>
        <v>5011.0460766624356</v>
      </c>
      <c r="D392" s="100">
        <f t="shared" si="23"/>
        <v>5012.4543414162099</v>
      </c>
      <c r="E392" s="100"/>
      <c r="F392" s="95"/>
    </row>
    <row r="393" spans="2:6" ht="25.15" customHeight="1">
      <c r="B393" s="93">
        <f t="shared" si="21"/>
        <v>386</v>
      </c>
      <c r="C393" s="100">
        <f t="shared" si="22"/>
        <v>5023.8964925406208</v>
      </c>
      <c r="D393" s="100">
        <f t="shared" si="23"/>
        <v>5025.3047572943951</v>
      </c>
      <c r="E393" s="100"/>
      <c r="F393" s="95"/>
    </row>
    <row r="394" spans="2:6" ht="25.15" customHeight="1">
      <c r="B394" s="93">
        <f t="shared" si="21"/>
        <v>387</v>
      </c>
      <c r="C394" s="100">
        <f t="shared" si="22"/>
        <v>5036.746908418806</v>
      </c>
      <c r="D394" s="100">
        <f t="shared" si="23"/>
        <v>5038.1551731725804</v>
      </c>
      <c r="E394" s="100"/>
      <c r="F394" s="95"/>
    </row>
    <row r="395" spans="2:6" ht="25.15" customHeight="1">
      <c r="B395" s="93">
        <f t="shared" si="21"/>
        <v>388</v>
      </c>
      <c r="C395" s="100">
        <f t="shared" si="22"/>
        <v>5049.5973242969912</v>
      </c>
      <c r="D395" s="100">
        <f t="shared" si="23"/>
        <v>5051.0055890507656</v>
      </c>
      <c r="E395" s="100"/>
      <c r="F395" s="95"/>
    </row>
    <row r="396" spans="2:6" ht="25.15" customHeight="1">
      <c r="B396" s="93">
        <f t="shared" si="21"/>
        <v>389</v>
      </c>
      <c r="C396" s="100">
        <f t="shared" si="22"/>
        <v>5062.4477401751765</v>
      </c>
      <c r="D396" s="100">
        <f t="shared" si="23"/>
        <v>5063.8560049289508</v>
      </c>
      <c r="E396" s="100"/>
      <c r="F396" s="95"/>
    </row>
    <row r="397" spans="2:6" ht="25.15" customHeight="1">
      <c r="B397" s="93">
        <f t="shared" si="21"/>
        <v>390</v>
      </c>
      <c r="C397" s="100">
        <f t="shared" si="22"/>
        <v>5075.2981560533617</v>
      </c>
      <c r="D397" s="100">
        <f t="shared" si="23"/>
        <v>5076.7064208071361</v>
      </c>
      <c r="E397" s="100"/>
      <c r="F397" s="95"/>
    </row>
    <row r="398" spans="2:6" ht="25.15" customHeight="1">
      <c r="B398" s="93">
        <f t="shared" si="21"/>
        <v>391</v>
      </c>
      <c r="C398" s="100">
        <f t="shared" si="22"/>
        <v>5088.1485719315469</v>
      </c>
      <c r="D398" s="100">
        <f t="shared" si="23"/>
        <v>5089.5568366853213</v>
      </c>
      <c r="E398" s="100"/>
      <c r="F398" s="95"/>
    </row>
    <row r="399" spans="2:6" ht="25.15" customHeight="1">
      <c r="B399" s="93">
        <f t="shared" si="21"/>
        <v>392</v>
      </c>
      <c r="C399" s="100">
        <f t="shared" si="22"/>
        <v>5100.9989878097322</v>
      </c>
      <c r="D399" s="100">
        <f t="shared" si="23"/>
        <v>5102.4072525635065</v>
      </c>
      <c r="E399" s="100"/>
      <c r="F399" s="95"/>
    </row>
    <row r="400" spans="2:6" ht="25.15" customHeight="1">
      <c r="B400" s="93">
        <f t="shared" si="21"/>
        <v>393</v>
      </c>
      <c r="C400" s="100">
        <f t="shared" si="22"/>
        <v>5113.8494036879174</v>
      </c>
      <c r="D400" s="100">
        <f t="shared" si="23"/>
        <v>5115.2576684416917</v>
      </c>
      <c r="E400" s="100"/>
      <c r="F400" s="95"/>
    </row>
    <row r="401" spans="2:6" ht="25.15" customHeight="1">
      <c r="B401" s="93">
        <f t="shared" si="21"/>
        <v>394</v>
      </c>
      <c r="C401" s="100">
        <f t="shared" si="22"/>
        <v>5126.6998195661026</v>
      </c>
      <c r="D401" s="100">
        <f t="shared" si="23"/>
        <v>5128.108084319877</v>
      </c>
      <c r="E401" s="100"/>
      <c r="F401" s="95"/>
    </row>
    <row r="402" spans="2:6" ht="25.15" customHeight="1">
      <c r="B402" s="93">
        <f t="shared" si="21"/>
        <v>395</v>
      </c>
      <c r="C402" s="100">
        <f t="shared" si="22"/>
        <v>5139.5502354442879</v>
      </c>
      <c r="D402" s="100">
        <f t="shared" si="23"/>
        <v>5140.9585001980622</v>
      </c>
      <c r="E402" s="100"/>
      <c r="F402" s="95"/>
    </row>
    <row r="403" spans="2:6" ht="25.15" customHeight="1">
      <c r="B403" s="93">
        <f t="shared" si="21"/>
        <v>396</v>
      </c>
      <c r="C403" s="100">
        <f t="shared" si="22"/>
        <v>5152.4006513224731</v>
      </c>
      <c r="D403" s="100">
        <f t="shared" si="23"/>
        <v>5153.8089160762474</v>
      </c>
      <c r="E403" s="100"/>
      <c r="F403" s="95"/>
    </row>
    <row r="404" spans="2:6" ht="25.15" customHeight="1">
      <c r="B404" s="93">
        <f t="shared" si="21"/>
        <v>397</v>
      </c>
      <c r="C404" s="100">
        <f t="shared" si="22"/>
        <v>5165.2510672006583</v>
      </c>
      <c r="D404" s="100">
        <f t="shared" si="23"/>
        <v>5166.6593319544327</v>
      </c>
      <c r="E404" s="100"/>
      <c r="F404" s="95"/>
    </row>
    <row r="405" spans="2:6" ht="25.15" customHeight="1">
      <c r="B405" s="93">
        <f t="shared" si="21"/>
        <v>398</v>
      </c>
      <c r="C405" s="100">
        <f t="shared" si="22"/>
        <v>5178.1014830788436</v>
      </c>
      <c r="D405" s="100">
        <f t="shared" si="23"/>
        <v>5179.5097478326179</v>
      </c>
      <c r="E405" s="100"/>
      <c r="F405" s="95"/>
    </row>
    <row r="406" spans="2:6" ht="25.15" customHeight="1">
      <c r="B406" s="93">
        <f t="shared" si="21"/>
        <v>399</v>
      </c>
      <c r="C406" s="100">
        <f t="shared" si="22"/>
        <v>5190.9518989570288</v>
      </c>
      <c r="D406" s="100">
        <f t="shared" si="23"/>
        <v>5192.3601637108031</v>
      </c>
      <c r="E406" s="100"/>
      <c r="F406" s="95"/>
    </row>
    <row r="407" spans="2:6" ht="25.15" customHeight="1">
      <c r="B407" s="93">
        <f t="shared" si="21"/>
        <v>400</v>
      </c>
      <c r="C407" s="100">
        <f t="shared" si="22"/>
        <v>5203.802314835214</v>
      </c>
      <c r="D407" s="100">
        <f t="shared" si="23"/>
        <v>5205.2105795889884</v>
      </c>
      <c r="E407" s="100"/>
      <c r="F407" s="95"/>
    </row>
    <row r="408" spans="2:6" ht="25.15" customHeight="1">
      <c r="B408" s="93">
        <f t="shared" si="21"/>
        <v>401</v>
      </c>
      <c r="C408" s="100">
        <f t="shared" si="22"/>
        <v>5216.6527307133993</v>
      </c>
      <c r="D408" s="100">
        <f t="shared" si="23"/>
        <v>5218.0609954671736</v>
      </c>
      <c r="E408" s="100"/>
      <c r="F408" s="95"/>
    </row>
    <row r="409" spans="2:6" ht="25.15" customHeight="1">
      <c r="B409" s="93">
        <f t="shared" si="21"/>
        <v>402</v>
      </c>
      <c r="C409" s="100">
        <f t="shared" si="22"/>
        <v>5229.5031465915845</v>
      </c>
      <c r="D409" s="100">
        <f t="shared" si="23"/>
        <v>5230.9114113453588</v>
      </c>
      <c r="E409" s="100"/>
      <c r="F409" s="95"/>
    </row>
    <row r="410" spans="2:6" ht="25.15" customHeight="1">
      <c r="B410" s="93">
        <f t="shared" si="21"/>
        <v>403</v>
      </c>
      <c r="C410" s="100">
        <f t="shared" si="22"/>
        <v>5242.3535624697697</v>
      </c>
      <c r="D410" s="100">
        <f t="shared" si="23"/>
        <v>5243.7618272235441</v>
      </c>
      <c r="E410" s="100"/>
      <c r="F410" s="95"/>
    </row>
    <row r="411" spans="2:6" ht="25.15" customHeight="1">
      <c r="B411" s="93">
        <f t="shared" si="21"/>
        <v>404</v>
      </c>
      <c r="C411" s="100">
        <f t="shared" si="22"/>
        <v>5255.2039783479549</v>
      </c>
      <c r="D411" s="100">
        <f t="shared" si="23"/>
        <v>5256.6122431017293</v>
      </c>
      <c r="E411" s="100"/>
      <c r="F411" s="95"/>
    </row>
    <row r="412" spans="2:6" ht="25.15" customHeight="1">
      <c r="B412" s="93">
        <f t="shared" si="21"/>
        <v>405</v>
      </c>
      <c r="C412" s="100">
        <f t="shared" si="22"/>
        <v>5268.0543942261402</v>
      </c>
      <c r="D412" s="100">
        <f t="shared" si="23"/>
        <v>5269.4626589799145</v>
      </c>
      <c r="E412" s="100"/>
      <c r="F412" s="95"/>
    </row>
    <row r="413" spans="2:6" ht="25.15" customHeight="1">
      <c r="B413" s="93">
        <f t="shared" si="21"/>
        <v>406</v>
      </c>
      <c r="C413" s="100">
        <f t="shared" si="22"/>
        <v>5280.9048101043254</v>
      </c>
      <c r="D413" s="100">
        <f t="shared" si="23"/>
        <v>5282.3130748580998</v>
      </c>
      <c r="E413" s="100"/>
      <c r="F413" s="95"/>
    </row>
    <row r="414" spans="2:6" ht="25.15" customHeight="1">
      <c r="B414" s="93">
        <f t="shared" si="21"/>
        <v>407</v>
      </c>
      <c r="C414" s="100">
        <f t="shared" si="22"/>
        <v>5293.7552259825106</v>
      </c>
      <c r="D414" s="100">
        <f t="shared" si="23"/>
        <v>5295.163490736285</v>
      </c>
      <c r="E414" s="100"/>
      <c r="F414" s="95"/>
    </row>
    <row r="415" spans="2:6" ht="25.15" customHeight="1">
      <c r="B415" s="93">
        <f t="shared" si="21"/>
        <v>408</v>
      </c>
      <c r="C415" s="100">
        <f t="shared" si="22"/>
        <v>5306.6056418606959</v>
      </c>
      <c r="D415" s="100">
        <f t="shared" si="23"/>
        <v>5308.0139066144702</v>
      </c>
      <c r="E415" s="100"/>
      <c r="F415" s="95"/>
    </row>
    <row r="416" spans="2:6" ht="25.15" customHeight="1">
      <c r="B416" s="93">
        <f t="shared" si="21"/>
        <v>409</v>
      </c>
      <c r="C416" s="100">
        <f t="shared" si="22"/>
        <v>5319.4560577388811</v>
      </c>
      <c r="D416" s="100">
        <f t="shared" si="23"/>
        <v>5320.8643224926554</v>
      </c>
      <c r="E416" s="100"/>
      <c r="F416" s="95"/>
    </row>
    <row r="417" spans="2:6" ht="25.15" customHeight="1">
      <c r="B417" s="93">
        <f t="shared" si="21"/>
        <v>410</v>
      </c>
      <c r="C417" s="100">
        <f t="shared" si="22"/>
        <v>5332.3064736170663</v>
      </c>
      <c r="D417" s="100">
        <f t="shared" si="23"/>
        <v>5333.7147383708407</v>
      </c>
      <c r="E417" s="100"/>
      <c r="F417" s="95"/>
    </row>
    <row r="418" spans="2:6" ht="25.15" customHeight="1">
      <c r="B418" s="93">
        <f t="shared" si="21"/>
        <v>411</v>
      </c>
      <c r="C418" s="100">
        <f t="shared" si="22"/>
        <v>5345.1568894952516</v>
      </c>
      <c r="D418" s="100">
        <f t="shared" si="23"/>
        <v>5346.5651542490259</v>
      </c>
      <c r="E418" s="100"/>
      <c r="F418" s="95"/>
    </row>
    <row r="419" spans="2:6" ht="25.15" customHeight="1">
      <c r="B419" s="93">
        <f t="shared" si="21"/>
        <v>412</v>
      </c>
      <c r="C419" s="100">
        <f t="shared" si="22"/>
        <v>5358.0073053734368</v>
      </c>
      <c r="D419" s="100">
        <f t="shared" si="23"/>
        <v>5359.4155701272111</v>
      </c>
      <c r="E419" s="100"/>
      <c r="F419" s="95"/>
    </row>
    <row r="420" spans="2:6" ht="25.15" customHeight="1">
      <c r="B420" s="93">
        <f t="shared" si="21"/>
        <v>413</v>
      </c>
      <c r="C420" s="100">
        <f t="shared" si="22"/>
        <v>5370.857721251622</v>
      </c>
      <c r="D420" s="100">
        <f t="shared" si="23"/>
        <v>5372.2659860053964</v>
      </c>
      <c r="E420" s="100"/>
      <c r="F420" s="95"/>
    </row>
    <row r="421" spans="2:6" ht="25.15" customHeight="1">
      <c r="B421" s="93">
        <f t="shared" si="21"/>
        <v>414</v>
      </c>
      <c r="C421" s="100">
        <f t="shared" si="22"/>
        <v>5383.7081371298073</v>
      </c>
      <c r="D421" s="100">
        <f t="shared" si="23"/>
        <v>5385.1164018835816</v>
      </c>
      <c r="E421" s="100"/>
      <c r="F421" s="95"/>
    </row>
    <row r="422" spans="2:6" ht="25.15" customHeight="1">
      <c r="B422" s="93">
        <f t="shared" si="21"/>
        <v>415</v>
      </c>
      <c r="C422" s="100">
        <f t="shared" si="22"/>
        <v>5396.5585530079925</v>
      </c>
      <c r="D422" s="100">
        <f t="shared" si="23"/>
        <v>5397.9668177617668</v>
      </c>
      <c r="E422" s="100"/>
      <c r="F422" s="95"/>
    </row>
    <row r="423" spans="2:6" ht="25.15" customHeight="1">
      <c r="B423" s="93">
        <f t="shared" ref="B423:B486" si="24">B422+1</f>
        <v>416</v>
      </c>
      <c r="C423" s="100">
        <f t="shared" ref="C423:C486" si="25">C422+($Q$13/$Q$19)</f>
        <v>5409.4089688861777</v>
      </c>
      <c r="D423" s="100">
        <f t="shared" ref="D423:D486" si="26">D422+($R$13/$Q$19)</f>
        <v>5410.8172336399521</v>
      </c>
      <c r="E423" s="100"/>
      <c r="F423" s="95"/>
    </row>
    <row r="424" spans="2:6" ht="25.15" customHeight="1">
      <c r="B424" s="93">
        <f t="shared" si="24"/>
        <v>417</v>
      </c>
      <c r="C424" s="100">
        <f t="shared" si="25"/>
        <v>5422.2593847643629</v>
      </c>
      <c r="D424" s="100">
        <f t="shared" si="26"/>
        <v>5423.6676495181373</v>
      </c>
      <c r="E424" s="100"/>
      <c r="F424" s="95"/>
    </row>
    <row r="425" spans="2:6" ht="25.15" customHeight="1">
      <c r="B425" s="93">
        <f t="shared" si="24"/>
        <v>418</v>
      </c>
      <c r="C425" s="100">
        <f t="shared" si="25"/>
        <v>5435.1098006425482</v>
      </c>
      <c r="D425" s="100">
        <f t="shared" si="26"/>
        <v>5436.5180653963225</v>
      </c>
      <c r="E425" s="100"/>
      <c r="F425" s="95"/>
    </row>
    <row r="426" spans="2:6" ht="25.15" customHeight="1">
      <c r="B426" s="93">
        <f t="shared" si="24"/>
        <v>419</v>
      </c>
      <c r="C426" s="100">
        <f t="shared" si="25"/>
        <v>5447.9602165207334</v>
      </c>
      <c r="D426" s="100">
        <f t="shared" si="26"/>
        <v>5449.3684812745078</v>
      </c>
      <c r="E426" s="100"/>
      <c r="F426" s="95"/>
    </row>
    <row r="427" spans="2:6" ht="25.15" customHeight="1">
      <c r="B427" s="93">
        <f t="shared" si="24"/>
        <v>420</v>
      </c>
      <c r="C427" s="100">
        <f t="shared" si="25"/>
        <v>5460.8106323989186</v>
      </c>
      <c r="D427" s="100">
        <f t="shared" si="26"/>
        <v>5462.218897152693</v>
      </c>
      <c r="E427" s="100"/>
      <c r="F427" s="95"/>
    </row>
    <row r="428" spans="2:6" ht="25.15" customHeight="1">
      <c r="B428" s="93">
        <f t="shared" si="24"/>
        <v>421</v>
      </c>
      <c r="C428" s="100">
        <f t="shared" si="25"/>
        <v>5473.6610482771039</v>
      </c>
      <c r="D428" s="100">
        <f t="shared" si="26"/>
        <v>5475.0693130308782</v>
      </c>
      <c r="E428" s="100"/>
      <c r="F428" s="95"/>
    </row>
    <row r="429" spans="2:6" ht="25.15" customHeight="1">
      <c r="B429" s="93">
        <f t="shared" si="24"/>
        <v>422</v>
      </c>
      <c r="C429" s="100">
        <f t="shared" si="25"/>
        <v>5486.5114641552891</v>
      </c>
      <c r="D429" s="100">
        <f t="shared" si="26"/>
        <v>5487.9197289090635</v>
      </c>
      <c r="E429" s="100"/>
      <c r="F429" s="95"/>
    </row>
    <row r="430" spans="2:6" ht="25.15" customHeight="1">
      <c r="B430" s="93">
        <f t="shared" si="24"/>
        <v>423</v>
      </c>
      <c r="C430" s="100">
        <f t="shared" si="25"/>
        <v>5499.3618800334743</v>
      </c>
      <c r="D430" s="100">
        <f t="shared" si="26"/>
        <v>5500.7701447872487</v>
      </c>
      <c r="E430" s="100"/>
      <c r="F430" s="95"/>
    </row>
    <row r="431" spans="2:6" ht="25.15" customHeight="1">
      <c r="B431" s="93">
        <f t="shared" si="24"/>
        <v>424</v>
      </c>
      <c r="C431" s="100">
        <f t="shared" si="25"/>
        <v>5512.2122959116596</v>
      </c>
      <c r="D431" s="100">
        <f t="shared" si="26"/>
        <v>5513.6205606654339</v>
      </c>
      <c r="E431" s="100"/>
      <c r="F431" s="95"/>
    </row>
    <row r="432" spans="2:6" ht="25.15" customHeight="1">
      <c r="B432" s="93">
        <f t="shared" si="24"/>
        <v>425</v>
      </c>
      <c r="C432" s="100">
        <f t="shared" si="25"/>
        <v>5525.0627117898448</v>
      </c>
      <c r="D432" s="100">
        <f t="shared" si="26"/>
        <v>5526.4709765436191</v>
      </c>
      <c r="E432" s="100"/>
      <c r="F432" s="95"/>
    </row>
    <row r="433" spans="2:6" ht="25.15" customHeight="1">
      <c r="B433" s="93">
        <f t="shared" si="24"/>
        <v>426</v>
      </c>
      <c r="C433" s="100">
        <f t="shared" si="25"/>
        <v>5537.91312766803</v>
      </c>
      <c r="D433" s="100">
        <f t="shared" si="26"/>
        <v>5539.3213924218044</v>
      </c>
      <c r="E433" s="100"/>
      <c r="F433" s="95"/>
    </row>
    <row r="434" spans="2:6" ht="25.15" customHeight="1">
      <c r="B434" s="93">
        <f t="shared" si="24"/>
        <v>427</v>
      </c>
      <c r="C434" s="100">
        <f t="shared" si="25"/>
        <v>5550.7635435462153</v>
      </c>
      <c r="D434" s="100">
        <f t="shared" si="26"/>
        <v>5552.1718082999896</v>
      </c>
      <c r="E434" s="100"/>
      <c r="F434" s="95"/>
    </row>
    <row r="435" spans="2:6" ht="25.15" customHeight="1">
      <c r="B435" s="93">
        <f t="shared" si="24"/>
        <v>428</v>
      </c>
      <c r="C435" s="100">
        <f t="shared" si="25"/>
        <v>5563.6139594244005</v>
      </c>
      <c r="D435" s="100">
        <f t="shared" si="26"/>
        <v>5565.0222241781748</v>
      </c>
      <c r="E435" s="100"/>
      <c r="F435" s="95"/>
    </row>
    <row r="436" spans="2:6" ht="25.15" customHeight="1">
      <c r="B436" s="93">
        <f t="shared" si="24"/>
        <v>429</v>
      </c>
      <c r="C436" s="100">
        <f t="shared" si="25"/>
        <v>5576.4643753025857</v>
      </c>
      <c r="D436" s="100">
        <f t="shared" si="26"/>
        <v>5577.8726400563601</v>
      </c>
      <c r="E436" s="100"/>
      <c r="F436" s="95"/>
    </row>
    <row r="437" spans="2:6" ht="25.15" customHeight="1">
      <c r="B437" s="93">
        <f t="shared" si="24"/>
        <v>430</v>
      </c>
      <c r="C437" s="100">
        <f t="shared" si="25"/>
        <v>5589.314791180771</v>
      </c>
      <c r="D437" s="100">
        <f t="shared" si="26"/>
        <v>5590.7230559345453</v>
      </c>
      <c r="E437" s="100"/>
      <c r="F437" s="95"/>
    </row>
    <row r="438" spans="2:6" ht="25.15" customHeight="1">
      <c r="B438" s="93">
        <f t="shared" si="24"/>
        <v>431</v>
      </c>
      <c r="C438" s="100">
        <f t="shared" si="25"/>
        <v>5602.1652070589562</v>
      </c>
      <c r="D438" s="100">
        <f t="shared" si="26"/>
        <v>5603.5734718127305</v>
      </c>
      <c r="E438" s="100"/>
      <c r="F438" s="95"/>
    </row>
    <row r="439" spans="2:6" ht="25.15" customHeight="1">
      <c r="B439" s="93">
        <f t="shared" si="24"/>
        <v>432</v>
      </c>
      <c r="C439" s="100">
        <f t="shared" si="25"/>
        <v>5615.0156229371414</v>
      </c>
      <c r="D439" s="100">
        <f t="shared" si="26"/>
        <v>5616.4238876909158</v>
      </c>
      <c r="E439" s="100"/>
      <c r="F439" s="95"/>
    </row>
    <row r="440" spans="2:6" ht="25.15" customHeight="1">
      <c r="B440" s="93">
        <f t="shared" si="24"/>
        <v>433</v>
      </c>
      <c r="C440" s="100">
        <f t="shared" si="25"/>
        <v>5627.8660388153266</v>
      </c>
      <c r="D440" s="100">
        <f t="shared" si="26"/>
        <v>5629.274303569101</v>
      </c>
      <c r="E440" s="100"/>
      <c r="F440" s="95"/>
    </row>
    <row r="441" spans="2:6" ht="25.15" customHeight="1">
      <c r="B441" s="93">
        <f t="shared" si="24"/>
        <v>434</v>
      </c>
      <c r="C441" s="100">
        <f t="shared" si="25"/>
        <v>5640.7164546935119</v>
      </c>
      <c r="D441" s="100">
        <f t="shared" si="26"/>
        <v>5642.1247194472862</v>
      </c>
      <c r="E441" s="100"/>
      <c r="F441" s="95"/>
    </row>
    <row r="442" spans="2:6" ht="25.15" customHeight="1">
      <c r="B442" s="93">
        <f t="shared" si="24"/>
        <v>435</v>
      </c>
      <c r="C442" s="100">
        <f t="shared" si="25"/>
        <v>5653.5668705716971</v>
      </c>
      <c r="D442" s="100">
        <f t="shared" si="26"/>
        <v>5654.9751353254715</v>
      </c>
      <c r="E442" s="100"/>
      <c r="F442" s="95"/>
    </row>
    <row r="443" spans="2:6" ht="25.15" customHeight="1">
      <c r="B443" s="93">
        <f t="shared" si="24"/>
        <v>436</v>
      </c>
      <c r="C443" s="100">
        <f t="shared" si="25"/>
        <v>5666.4172864498823</v>
      </c>
      <c r="D443" s="100">
        <f t="shared" si="26"/>
        <v>5667.8255512036567</v>
      </c>
      <c r="E443" s="100"/>
      <c r="F443" s="95"/>
    </row>
    <row r="444" spans="2:6" ht="25.15" customHeight="1">
      <c r="B444" s="93">
        <f t="shared" si="24"/>
        <v>437</v>
      </c>
      <c r="C444" s="100">
        <f t="shared" si="25"/>
        <v>5679.2677023280676</v>
      </c>
      <c r="D444" s="100">
        <f t="shared" si="26"/>
        <v>5680.6759670818419</v>
      </c>
      <c r="E444" s="100"/>
      <c r="F444" s="95"/>
    </row>
    <row r="445" spans="2:6" ht="25.15" customHeight="1">
      <c r="B445" s="93">
        <f t="shared" si="24"/>
        <v>438</v>
      </c>
      <c r="C445" s="100">
        <f t="shared" si="25"/>
        <v>5692.1181182062528</v>
      </c>
      <c r="D445" s="100">
        <f t="shared" si="26"/>
        <v>5693.5263829600271</v>
      </c>
      <c r="E445" s="100"/>
      <c r="F445" s="95"/>
    </row>
    <row r="446" spans="2:6" ht="25.15" customHeight="1">
      <c r="B446" s="93">
        <f t="shared" si="24"/>
        <v>439</v>
      </c>
      <c r="C446" s="100">
        <f t="shared" si="25"/>
        <v>5704.968534084438</v>
      </c>
      <c r="D446" s="100">
        <f t="shared" si="26"/>
        <v>5706.3767988382124</v>
      </c>
      <c r="E446" s="100"/>
      <c r="F446" s="95"/>
    </row>
    <row r="447" spans="2:6" ht="25.15" customHeight="1">
      <c r="B447" s="93">
        <f t="shared" si="24"/>
        <v>440</v>
      </c>
      <c r="C447" s="100">
        <f t="shared" si="25"/>
        <v>5717.8189499626233</v>
      </c>
      <c r="D447" s="100">
        <f t="shared" si="26"/>
        <v>5719.2272147163976</v>
      </c>
      <c r="E447" s="100"/>
      <c r="F447" s="95"/>
    </row>
    <row r="448" spans="2:6" ht="25.15" customHeight="1">
      <c r="B448" s="93">
        <f t="shared" si="24"/>
        <v>441</v>
      </c>
      <c r="C448" s="100">
        <f t="shared" si="25"/>
        <v>5730.6693658408085</v>
      </c>
      <c r="D448" s="100">
        <f t="shared" si="26"/>
        <v>5732.0776305945828</v>
      </c>
      <c r="E448" s="100"/>
      <c r="F448" s="95"/>
    </row>
    <row r="449" spans="2:6" ht="25.15" customHeight="1">
      <c r="B449" s="93">
        <f t="shared" si="24"/>
        <v>442</v>
      </c>
      <c r="C449" s="100">
        <f t="shared" si="25"/>
        <v>5743.5197817189937</v>
      </c>
      <c r="D449" s="100">
        <f t="shared" si="26"/>
        <v>5744.9280464727681</v>
      </c>
      <c r="E449" s="100"/>
      <c r="F449" s="95"/>
    </row>
    <row r="450" spans="2:6" ht="25.15" customHeight="1">
      <c r="B450" s="93">
        <f t="shared" si="24"/>
        <v>443</v>
      </c>
      <c r="C450" s="100">
        <f t="shared" si="25"/>
        <v>5756.370197597179</v>
      </c>
      <c r="D450" s="100">
        <f t="shared" si="26"/>
        <v>5757.7784623509533</v>
      </c>
      <c r="E450" s="100"/>
      <c r="F450" s="95"/>
    </row>
    <row r="451" spans="2:6" ht="25.15" customHeight="1">
      <c r="B451" s="93">
        <f t="shared" si="24"/>
        <v>444</v>
      </c>
      <c r="C451" s="100">
        <f t="shared" si="25"/>
        <v>5769.2206134753642</v>
      </c>
      <c r="D451" s="100">
        <f t="shared" si="26"/>
        <v>5770.6288782291385</v>
      </c>
      <c r="E451" s="100"/>
      <c r="F451" s="95"/>
    </row>
    <row r="452" spans="2:6" ht="25.15" customHeight="1">
      <c r="B452" s="93">
        <f t="shared" si="24"/>
        <v>445</v>
      </c>
      <c r="C452" s="100">
        <f t="shared" si="25"/>
        <v>5782.0710293535494</v>
      </c>
      <c r="D452" s="100">
        <f t="shared" si="26"/>
        <v>5783.4792941073238</v>
      </c>
      <c r="E452" s="100"/>
      <c r="F452" s="95"/>
    </row>
    <row r="453" spans="2:6" ht="25.15" customHeight="1">
      <c r="B453" s="93">
        <f t="shared" si="24"/>
        <v>446</v>
      </c>
      <c r="C453" s="100">
        <f t="shared" si="25"/>
        <v>5794.9214452317347</v>
      </c>
      <c r="D453" s="100">
        <f t="shared" si="26"/>
        <v>5796.329709985509</v>
      </c>
      <c r="E453" s="100"/>
      <c r="F453" s="95"/>
    </row>
    <row r="454" spans="2:6" ht="25.15" customHeight="1">
      <c r="B454" s="93">
        <f t="shared" si="24"/>
        <v>447</v>
      </c>
      <c r="C454" s="100">
        <f t="shared" si="25"/>
        <v>5807.7718611099199</v>
      </c>
      <c r="D454" s="100">
        <f t="shared" si="26"/>
        <v>5809.1801258636942</v>
      </c>
      <c r="E454" s="100"/>
      <c r="F454" s="95"/>
    </row>
    <row r="455" spans="2:6" ht="25.15" customHeight="1">
      <c r="B455" s="93">
        <f t="shared" si="24"/>
        <v>448</v>
      </c>
      <c r="C455" s="100">
        <f t="shared" si="25"/>
        <v>5820.6222769881051</v>
      </c>
      <c r="D455" s="100">
        <f t="shared" si="26"/>
        <v>5822.0305417418795</v>
      </c>
      <c r="E455" s="100"/>
      <c r="F455" s="95"/>
    </row>
    <row r="456" spans="2:6" ht="25.15" customHeight="1">
      <c r="B456" s="93">
        <f t="shared" si="24"/>
        <v>449</v>
      </c>
      <c r="C456" s="100">
        <f t="shared" si="25"/>
        <v>5833.4726928662903</v>
      </c>
      <c r="D456" s="100">
        <f t="shared" si="26"/>
        <v>5834.8809576200647</v>
      </c>
      <c r="E456" s="100"/>
      <c r="F456" s="95"/>
    </row>
    <row r="457" spans="2:6" ht="25.15" customHeight="1">
      <c r="B457" s="93">
        <f t="shared" si="24"/>
        <v>450</v>
      </c>
      <c r="C457" s="100">
        <f t="shared" si="25"/>
        <v>5846.3231087444756</v>
      </c>
      <c r="D457" s="100">
        <f t="shared" si="26"/>
        <v>5847.7313734982499</v>
      </c>
      <c r="E457" s="100"/>
      <c r="F457" s="95"/>
    </row>
    <row r="458" spans="2:6" ht="25.15" customHeight="1">
      <c r="B458" s="93">
        <f t="shared" si="24"/>
        <v>451</v>
      </c>
      <c r="C458" s="100">
        <f t="shared" si="25"/>
        <v>5859.1735246226608</v>
      </c>
      <c r="D458" s="100">
        <f t="shared" si="26"/>
        <v>5860.5817893764352</v>
      </c>
      <c r="E458" s="100"/>
      <c r="F458" s="95"/>
    </row>
    <row r="459" spans="2:6" ht="25.15" customHeight="1">
      <c r="B459" s="93">
        <f t="shared" si="24"/>
        <v>452</v>
      </c>
      <c r="C459" s="100">
        <f t="shared" si="25"/>
        <v>5872.023940500846</v>
      </c>
      <c r="D459" s="100">
        <f t="shared" si="26"/>
        <v>5873.4322052546204</v>
      </c>
      <c r="E459" s="100"/>
      <c r="F459" s="95"/>
    </row>
    <row r="460" spans="2:6" ht="25.15" customHeight="1">
      <c r="B460" s="93">
        <f t="shared" si="24"/>
        <v>453</v>
      </c>
      <c r="C460" s="100">
        <f t="shared" si="25"/>
        <v>5884.8743563790313</v>
      </c>
      <c r="D460" s="100">
        <f t="shared" si="26"/>
        <v>5886.2826211328056</v>
      </c>
      <c r="E460" s="100"/>
      <c r="F460" s="95"/>
    </row>
    <row r="461" spans="2:6" ht="25.15" customHeight="1">
      <c r="B461" s="93">
        <f t="shared" si="24"/>
        <v>454</v>
      </c>
      <c r="C461" s="100">
        <f t="shared" si="25"/>
        <v>5897.7247722572165</v>
      </c>
      <c r="D461" s="100">
        <f t="shared" si="26"/>
        <v>5899.1330370109908</v>
      </c>
      <c r="E461" s="100"/>
      <c r="F461" s="95"/>
    </row>
    <row r="462" spans="2:6" ht="25.15" customHeight="1">
      <c r="B462" s="93">
        <f t="shared" si="24"/>
        <v>455</v>
      </c>
      <c r="C462" s="100">
        <f t="shared" si="25"/>
        <v>5910.5751881354017</v>
      </c>
      <c r="D462" s="100">
        <f t="shared" si="26"/>
        <v>5911.9834528891761</v>
      </c>
      <c r="E462" s="100"/>
      <c r="F462" s="95"/>
    </row>
    <row r="463" spans="2:6" ht="25.15" customHeight="1">
      <c r="B463" s="93">
        <f t="shared" si="24"/>
        <v>456</v>
      </c>
      <c r="C463" s="100">
        <f t="shared" si="25"/>
        <v>5923.425604013587</v>
      </c>
      <c r="D463" s="100">
        <f t="shared" si="26"/>
        <v>5924.8338687673613</v>
      </c>
      <c r="E463" s="100"/>
      <c r="F463" s="95"/>
    </row>
    <row r="464" spans="2:6" ht="25.15" customHeight="1">
      <c r="B464" s="93">
        <f t="shared" si="24"/>
        <v>457</v>
      </c>
      <c r="C464" s="100">
        <f t="shared" si="25"/>
        <v>5936.2760198917722</v>
      </c>
      <c r="D464" s="100">
        <f t="shared" si="26"/>
        <v>5937.6842846455465</v>
      </c>
      <c r="E464" s="100"/>
      <c r="F464" s="95"/>
    </row>
    <row r="465" spans="2:6" ht="25.15" customHeight="1">
      <c r="B465" s="93">
        <f t="shared" si="24"/>
        <v>458</v>
      </c>
      <c r="C465" s="100">
        <f t="shared" si="25"/>
        <v>5949.1264357699574</v>
      </c>
      <c r="D465" s="100">
        <f t="shared" si="26"/>
        <v>5950.5347005237318</v>
      </c>
      <c r="E465" s="100"/>
      <c r="F465" s="95"/>
    </row>
    <row r="466" spans="2:6" ht="25.15" customHeight="1">
      <c r="B466" s="93">
        <f t="shared" si="24"/>
        <v>459</v>
      </c>
      <c r="C466" s="100">
        <f t="shared" si="25"/>
        <v>5961.9768516481427</v>
      </c>
      <c r="D466" s="100">
        <f t="shared" si="26"/>
        <v>5963.385116401917</v>
      </c>
      <c r="E466" s="100"/>
      <c r="F466" s="95"/>
    </row>
    <row r="467" spans="2:6" ht="25.15" customHeight="1">
      <c r="B467" s="93">
        <f t="shared" si="24"/>
        <v>460</v>
      </c>
      <c r="C467" s="100">
        <f t="shared" si="25"/>
        <v>5974.8272675263279</v>
      </c>
      <c r="D467" s="100">
        <f t="shared" si="26"/>
        <v>5976.2355322801022</v>
      </c>
      <c r="E467" s="100"/>
      <c r="F467" s="95"/>
    </row>
    <row r="468" spans="2:6" ht="25.15" customHeight="1">
      <c r="B468" s="93">
        <f t="shared" si="24"/>
        <v>461</v>
      </c>
      <c r="C468" s="100">
        <f t="shared" si="25"/>
        <v>5987.6776834045131</v>
      </c>
      <c r="D468" s="100">
        <f t="shared" si="26"/>
        <v>5989.0859481582875</v>
      </c>
      <c r="E468" s="100"/>
      <c r="F468" s="95"/>
    </row>
    <row r="469" spans="2:6" ht="25.15" customHeight="1">
      <c r="B469" s="93">
        <f t="shared" si="24"/>
        <v>462</v>
      </c>
      <c r="C469" s="100">
        <f t="shared" si="25"/>
        <v>6000.5280992826983</v>
      </c>
      <c r="D469" s="100">
        <f t="shared" si="26"/>
        <v>6001.9363640364727</v>
      </c>
      <c r="E469" s="100"/>
      <c r="F469" s="95"/>
    </row>
    <row r="470" spans="2:6" ht="25.15" customHeight="1">
      <c r="B470" s="93">
        <f t="shared" si="24"/>
        <v>463</v>
      </c>
      <c r="C470" s="100">
        <f t="shared" si="25"/>
        <v>6013.3785151608836</v>
      </c>
      <c r="D470" s="100">
        <f t="shared" si="26"/>
        <v>6014.7867799146579</v>
      </c>
      <c r="E470" s="100"/>
      <c r="F470" s="95"/>
    </row>
    <row r="471" spans="2:6" ht="25.15" customHeight="1">
      <c r="B471" s="93">
        <f t="shared" si="24"/>
        <v>464</v>
      </c>
      <c r="C471" s="100">
        <f t="shared" si="25"/>
        <v>6026.2289310390688</v>
      </c>
      <c r="D471" s="100">
        <f t="shared" si="26"/>
        <v>6027.6371957928432</v>
      </c>
      <c r="E471" s="100"/>
      <c r="F471" s="95"/>
    </row>
    <row r="472" spans="2:6" ht="25.15" customHeight="1">
      <c r="B472" s="93">
        <f t="shared" si="24"/>
        <v>465</v>
      </c>
      <c r="C472" s="100">
        <f t="shared" si="25"/>
        <v>6039.079346917254</v>
      </c>
      <c r="D472" s="100">
        <f t="shared" si="26"/>
        <v>6040.4876116710284</v>
      </c>
      <c r="E472" s="100"/>
      <c r="F472" s="95"/>
    </row>
    <row r="473" spans="2:6" ht="25.15" customHeight="1">
      <c r="B473" s="93">
        <f t="shared" si="24"/>
        <v>466</v>
      </c>
      <c r="C473" s="100">
        <f t="shared" si="25"/>
        <v>6051.9297627954393</v>
      </c>
      <c r="D473" s="100">
        <f t="shared" si="26"/>
        <v>6053.3380275492136</v>
      </c>
      <c r="E473" s="100"/>
      <c r="F473" s="95"/>
    </row>
    <row r="474" spans="2:6" ht="25.15" customHeight="1">
      <c r="B474" s="93">
        <f t="shared" si="24"/>
        <v>467</v>
      </c>
      <c r="C474" s="100">
        <f t="shared" si="25"/>
        <v>6064.7801786736245</v>
      </c>
      <c r="D474" s="100">
        <f t="shared" si="26"/>
        <v>6066.1884434273989</v>
      </c>
      <c r="E474" s="100"/>
      <c r="F474" s="95"/>
    </row>
    <row r="475" spans="2:6" ht="25.15" customHeight="1">
      <c r="B475" s="93">
        <f t="shared" si="24"/>
        <v>468</v>
      </c>
      <c r="C475" s="100">
        <f t="shared" si="25"/>
        <v>6077.6305945518097</v>
      </c>
      <c r="D475" s="100">
        <f t="shared" si="26"/>
        <v>6079.0388593055841</v>
      </c>
      <c r="E475" s="100"/>
      <c r="F475" s="95"/>
    </row>
    <row r="476" spans="2:6" ht="25.15" customHeight="1">
      <c r="B476" s="93">
        <f t="shared" si="24"/>
        <v>469</v>
      </c>
      <c r="C476" s="100">
        <f t="shared" si="25"/>
        <v>6090.481010429995</v>
      </c>
      <c r="D476" s="100">
        <f t="shared" si="26"/>
        <v>6091.8892751837693</v>
      </c>
      <c r="E476" s="100"/>
      <c r="F476" s="95"/>
    </row>
    <row r="477" spans="2:6" ht="25.15" customHeight="1">
      <c r="B477" s="93">
        <f t="shared" si="24"/>
        <v>470</v>
      </c>
      <c r="C477" s="100">
        <f t="shared" si="25"/>
        <v>6103.3314263081802</v>
      </c>
      <c r="D477" s="100">
        <f t="shared" si="26"/>
        <v>6104.7396910619545</v>
      </c>
      <c r="E477" s="100"/>
      <c r="F477" s="95"/>
    </row>
    <row r="478" spans="2:6" ht="25.15" customHeight="1">
      <c r="B478" s="93">
        <f t="shared" si="24"/>
        <v>471</v>
      </c>
      <c r="C478" s="100">
        <f t="shared" si="25"/>
        <v>6116.1818421863654</v>
      </c>
      <c r="D478" s="100">
        <f t="shared" si="26"/>
        <v>6117.5901069401398</v>
      </c>
      <c r="E478" s="100"/>
      <c r="F478" s="95"/>
    </row>
    <row r="479" spans="2:6" ht="25.15" customHeight="1">
      <c r="B479" s="93">
        <f t="shared" si="24"/>
        <v>472</v>
      </c>
      <c r="C479" s="100">
        <f t="shared" si="25"/>
        <v>6129.0322580645507</v>
      </c>
      <c r="D479" s="100">
        <f t="shared" si="26"/>
        <v>6130.440522818325</v>
      </c>
      <c r="E479" s="100"/>
      <c r="F479" s="95"/>
    </row>
    <row r="480" spans="2:6" ht="25.15" customHeight="1">
      <c r="B480" s="93">
        <f t="shared" si="24"/>
        <v>473</v>
      </c>
      <c r="C480" s="100">
        <f t="shared" si="25"/>
        <v>6141.8826739427359</v>
      </c>
      <c r="D480" s="100">
        <f t="shared" si="26"/>
        <v>6143.2909386965102</v>
      </c>
      <c r="E480" s="100"/>
      <c r="F480" s="95"/>
    </row>
    <row r="481" spans="2:6" ht="25.15" customHeight="1">
      <c r="B481" s="93">
        <f t="shared" si="24"/>
        <v>474</v>
      </c>
      <c r="C481" s="100">
        <f t="shared" si="25"/>
        <v>6154.7330898209211</v>
      </c>
      <c r="D481" s="100">
        <f t="shared" si="26"/>
        <v>6156.1413545746955</v>
      </c>
      <c r="E481" s="100"/>
      <c r="F481" s="95"/>
    </row>
    <row r="482" spans="2:6" ht="25.15" customHeight="1">
      <c r="B482" s="93">
        <f t="shared" si="24"/>
        <v>475</v>
      </c>
      <c r="C482" s="100">
        <f t="shared" si="25"/>
        <v>6167.5835056991064</v>
      </c>
      <c r="D482" s="100">
        <f t="shared" si="26"/>
        <v>6168.9917704528807</v>
      </c>
      <c r="E482" s="100"/>
      <c r="F482" s="95"/>
    </row>
    <row r="483" spans="2:6" ht="25.15" customHeight="1">
      <c r="B483" s="93">
        <f t="shared" si="24"/>
        <v>476</v>
      </c>
      <c r="C483" s="100">
        <f t="shared" si="25"/>
        <v>6180.4339215772916</v>
      </c>
      <c r="D483" s="100">
        <f t="shared" si="26"/>
        <v>6181.8421863310659</v>
      </c>
      <c r="E483" s="100"/>
      <c r="F483" s="95"/>
    </row>
    <row r="484" spans="2:6" ht="25.15" customHeight="1">
      <c r="B484" s="93">
        <f t="shared" si="24"/>
        <v>477</v>
      </c>
      <c r="C484" s="100">
        <f t="shared" si="25"/>
        <v>6193.2843374554768</v>
      </c>
      <c r="D484" s="100">
        <f t="shared" si="26"/>
        <v>6194.6926022092512</v>
      </c>
      <c r="E484" s="100"/>
      <c r="F484" s="95"/>
    </row>
    <row r="485" spans="2:6" ht="25.15" customHeight="1">
      <c r="B485" s="93">
        <f t="shared" si="24"/>
        <v>478</v>
      </c>
      <c r="C485" s="100">
        <f t="shared" si="25"/>
        <v>6206.134753333662</v>
      </c>
      <c r="D485" s="100">
        <f t="shared" si="26"/>
        <v>6207.5430180874364</v>
      </c>
      <c r="E485" s="100"/>
      <c r="F485" s="95"/>
    </row>
    <row r="486" spans="2:6" ht="25.15" customHeight="1">
      <c r="B486" s="93">
        <f t="shared" si="24"/>
        <v>479</v>
      </c>
      <c r="C486" s="100">
        <f t="shared" si="25"/>
        <v>6218.9851692118473</v>
      </c>
      <c r="D486" s="100">
        <f t="shared" si="26"/>
        <v>6220.3934339656216</v>
      </c>
      <c r="E486" s="100"/>
      <c r="F486" s="95"/>
    </row>
    <row r="487" spans="2:6" ht="25.15" customHeight="1">
      <c r="B487" s="93">
        <f t="shared" ref="B487:B507" si="27">B486+1</f>
        <v>480</v>
      </c>
      <c r="C487" s="100">
        <f t="shared" ref="C487:C507" si="28">C486+($Q$13/$Q$19)</f>
        <v>6231.8355850900325</v>
      </c>
      <c r="D487" s="100">
        <f t="shared" ref="D487:D507" si="29">D486+($R$13/$Q$19)</f>
        <v>6233.2438498438069</v>
      </c>
      <c r="E487" s="100"/>
      <c r="F487" s="95"/>
    </row>
    <row r="488" spans="2:6" ht="25.15" customHeight="1">
      <c r="B488" s="93">
        <f t="shared" si="27"/>
        <v>481</v>
      </c>
      <c r="C488" s="100">
        <f t="shared" si="28"/>
        <v>6244.6860009682177</v>
      </c>
      <c r="D488" s="100">
        <f t="shared" si="29"/>
        <v>6246.0942657219921</v>
      </c>
      <c r="E488" s="100"/>
      <c r="F488" s="95"/>
    </row>
    <row r="489" spans="2:6" ht="25.15" customHeight="1">
      <c r="B489" s="93">
        <f t="shared" si="27"/>
        <v>482</v>
      </c>
      <c r="C489" s="100">
        <f t="shared" si="28"/>
        <v>6257.536416846403</v>
      </c>
      <c r="D489" s="100">
        <f t="shared" si="29"/>
        <v>6258.9446816001773</v>
      </c>
      <c r="E489" s="100"/>
      <c r="F489" s="95"/>
    </row>
    <row r="490" spans="2:6" ht="25.15" customHeight="1">
      <c r="B490" s="93">
        <f t="shared" si="27"/>
        <v>483</v>
      </c>
      <c r="C490" s="100">
        <f t="shared" si="28"/>
        <v>6270.3868327245882</v>
      </c>
      <c r="D490" s="100">
        <f t="shared" si="29"/>
        <v>6271.7950974783625</v>
      </c>
      <c r="E490" s="100"/>
      <c r="F490" s="95"/>
    </row>
    <row r="491" spans="2:6" ht="25.15" customHeight="1">
      <c r="B491" s="93">
        <f t="shared" si="27"/>
        <v>484</v>
      </c>
      <c r="C491" s="100">
        <f t="shared" si="28"/>
        <v>6283.2372486027734</v>
      </c>
      <c r="D491" s="100">
        <f t="shared" si="29"/>
        <v>6284.6455133565478</v>
      </c>
      <c r="E491" s="100"/>
      <c r="F491" s="95"/>
    </row>
    <row r="492" spans="2:6" ht="25.15" customHeight="1">
      <c r="B492" s="93">
        <f t="shared" si="27"/>
        <v>485</v>
      </c>
      <c r="C492" s="100">
        <f t="shared" si="28"/>
        <v>6296.0876644809587</v>
      </c>
      <c r="D492" s="100">
        <f t="shared" si="29"/>
        <v>6297.495929234733</v>
      </c>
      <c r="E492" s="100"/>
      <c r="F492" s="95"/>
    </row>
    <row r="493" spans="2:6" ht="25.15" customHeight="1">
      <c r="B493" s="93">
        <f t="shared" si="27"/>
        <v>486</v>
      </c>
      <c r="C493" s="100">
        <f t="shared" si="28"/>
        <v>6308.9380803591439</v>
      </c>
      <c r="D493" s="100">
        <f t="shared" si="29"/>
        <v>6310.3463451129182</v>
      </c>
      <c r="E493" s="100"/>
      <c r="F493" s="95"/>
    </row>
    <row r="494" spans="2:6" ht="25.15" customHeight="1">
      <c r="B494" s="93">
        <f t="shared" si="27"/>
        <v>487</v>
      </c>
      <c r="C494" s="100">
        <f t="shared" si="28"/>
        <v>6321.7884962373291</v>
      </c>
      <c r="D494" s="100">
        <f t="shared" si="29"/>
        <v>6323.1967609911035</v>
      </c>
      <c r="E494" s="100"/>
      <c r="F494" s="95"/>
    </row>
    <row r="495" spans="2:6" ht="25.15" customHeight="1">
      <c r="B495" s="93">
        <f t="shared" si="27"/>
        <v>488</v>
      </c>
      <c r="C495" s="100">
        <f t="shared" si="28"/>
        <v>6334.6389121155144</v>
      </c>
      <c r="D495" s="100">
        <f t="shared" si="29"/>
        <v>6336.0471768692887</v>
      </c>
      <c r="E495" s="100"/>
      <c r="F495" s="95"/>
    </row>
    <row r="496" spans="2:6" ht="25.15" customHeight="1">
      <c r="B496" s="93">
        <f t="shared" si="27"/>
        <v>489</v>
      </c>
      <c r="C496" s="100">
        <f t="shared" si="28"/>
        <v>6347.4893279936996</v>
      </c>
      <c r="D496" s="100">
        <f t="shared" si="29"/>
        <v>6348.8975927474739</v>
      </c>
      <c r="E496" s="100"/>
      <c r="F496" s="95"/>
    </row>
    <row r="497" spans="2:6" ht="25.15" customHeight="1">
      <c r="B497" s="93">
        <f t="shared" si="27"/>
        <v>490</v>
      </c>
      <c r="C497" s="100">
        <f t="shared" si="28"/>
        <v>6360.3397438718848</v>
      </c>
      <c r="D497" s="100">
        <f t="shared" si="29"/>
        <v>6361.7480086256592</v>
      </c>
      <c r="E497" s="100"/>
      <c r="F497" s="95"/>
    </row>
    <row r="498" spans="2:6" ht="25.15" customHeight="1">
      <c r="B498" s="93">
        <f t="shared" si="27"/>
        <v>491</v>
      </c>
      <c r="C498" s="100">
        <f t="shared" si="28"/>
        <v>6373.1901597500701</v>
      </c>
      <c r="D498" s="100">
        <f t="shared" si="29"/>
        <v>6374.5984245038444</v>
      </c>
      <c r="E498" s="100"/>
      <c r="F498" s="95"/>
    </row>
    <row r="499" spans="2:6" ht="25.15" customHeight="1">
      <c r="B499" s="93">
        <f t="shared" si="27"/>
        <v>492</v>
      </c>
      <c r="C499" s="100">
        <f t="shared" si="28"/>
        <v>6386.0405756282553</v>
      </c>
      <c r="D499" s="100">
        <f t="shared" si="29"/>
        <v>6387.4488403820296</v>
      </c>
      <c r="E499" s="100"/>
      <c r="F499" s="95"/>
    </row>
    <row r="500" spans="2:6" ht="25.15" customHeight="1">
      <c r="B500" s="93">
        <f t="shared" si="27"/>
        <v>493</v>
      </c>
      <c r="C500" s="100">
        <f t="shared" si="28"/>
        <v>6398.8909915064405</v>
      </c>
      <c r="D500" s="100">
        <f t="shared" si="29"/>
        <v>6400.2992562602149</v>
      </c>
      <c r="E500" s="100"/>
      <c r="F500" s="95"/>
    </row>
    <row r="501" spans="2:6" ht="25.15" customHeight="1">
      <c r="B501" s="93">
        <f t="shared" si="27"/>
        <v>494</v>
      </c>
      <c r="C501" s="100">
        <f t="shared" si="28"/>
        <v>6411.7414073846257</v>
      </c>
      <c r="D501" s="100">
        <f t="shared" si="29"/>
        <v>6413.1496721384001</v>
      </c>
      <c r="E501" s="100"/>
      <c r="F501" s="95"/>
    </row>
    <row r="502" spans="2:6" ht="25.15" customHeight="1">
      <c r="B502" s="93">
        <f t="shared" si="27"/>
        <v>495</v>
      </c>
      <c r="C502" s="100">
        <f t="shared" si="28"/>
        <v>6424.591823262811</v>
      </c>
      <c r="D502" s="100">
        <f t="shared" si="29"/>
        <v>6426.0000880165853</v>
      </c>
      <c r="E502" s="100"/>
      <c r="F502" s="95"/>
    </row>
    <row r="503" spans="2:6" ht="25.15" customHeight="1">
      <c r="B503" s="93">
        <f t="shared" si="27"/>
        <v>496</v>
      </c>
      <c r="C503" s="100">
        <f t="shared" si="28"/>
        <v>6437.4422391409962</v>
      </c>
      <c r="D503" s="100">
        <f t="shared" si="29"/>
        <v>6438.8505038947706</v>
      </c>
      <c r="E503" s="100"/>
      <c r="F503" s="95"/>
    </row>
    <row r="504" spans="2:6" ht="25.15" customHeight="1">
      <c r="B504" s="93">
        <f t="shared" si="27"/>
        <v>497</v>
      </c>
      <c r="C504" s="100">
        <f t="shared" si="28"/>
        <v>6450.2926550191814</v>
      </c>
      <c r="D504" s="100">
        <f t="shared" si="29"/>
        <v>6451.7009197729558</v>
      </c>
      <c r="E504" s="100"/>
      <c r="F504" s="95"/>
    </row>
    <row r="505" spans="2:6" ht="25.15" customHeight="1">
      <c r="B505" s="93">
        <f t="shared" si="27"/>
        <v>498</v>
      </c>
      <c r="C505" s="100">
        <f t="shared" si="28"/>
        <v>6463.1430708973667</v>
      </c>
      <c r="D505" s="100">
        <f t="shared" si="29"/>
        <v>6464.551335651141</v>
      </c>
      <c r="E505" s="100"/>
      <c r="F505" s="95"/>
    </row>
    <row r="506" spans="2:6" ht="25.15" customHeight="1">
      <c r="B506" s="93">
        <f t="shared" si="27"/>
        <v>499</v>
      </c>
      <c r="C506" s="100">
        <f t="shared" si="28"/>
        <v>6475.9934867755519</v>
      </c>
      <c r="D506" s="100">
        <f t="shared" si="29"/>
        <v>6477.4017515293262</v>
      </c>
      <c r="E506" s="100"/>
      <c r="F506" s="95"/>
    </row>
    <row r="507" spans="2:6" ht="25.15" customHeight="1">
      <c r="B507" s="93">
        <f t="shared" si="27"/>
        <v>500</v>
      </c>
      <c r="C507" s="100">
        <f t="shared" si="28"/>
        <v>6488.8439026537371</v>
      </c>
      <c r="D507" s="100">
        <f t="shared" si="29"/>
        <v>6490.2521674075115</v>
      </c>
      <c r="E507" s="100"/>
      <c r="F507" s="95"/>
    </row>
  </sheetData>
  <sheetProtection selectLockedCells="1" selectUnlockedCells="1"/>
  <mergeCells count="10">
    <mergeCell ref="S3:S4"/>
    <mergeCell ref="T3:T4"/>
    <mergeCell ref="U3:U4"/>
    <mergeCell ref="B1:D1"/>
    <mergeCell ref="G1:I1"/>
    <mergeCell ref="O15:R15"/>
    <mergeCell ref="O3:O6"/>
    <mergeCell ref="P3:P6"/>
    <mergeCell ref="Q3:Q6"/>
    <mergeCell ref="R3:R6"/>
  </mergeCells>
  <printOptions horizontalCentered="1" headings="1"/>
  <pageMargins left="0.39370078740157499" right="0.196850393700787" top="0.39370078740157499" bottom="0.196850393700787" header="9.8425196850393706E-2" footer="9.8425196850393706E-2"/>
  <pageSetup paperSize="9" orientation="portrait"/>
  <headerFooter alignWithMargins="0">
    <oddHeader>&amp;CPage &amp;P of &amp;N</oddHeader>
  </headerFooter>
</worksheet>
</file>

<file path=xl/worksheets/sheet35.xml><?xml version="1.0" encoding="utf-8"?>
<worksheet xmlns="http://schemas.openxmlformats.org/spreadsheetml/2006/main" xmlns:r="http://schemas.openxmlformats.org/officeDocument/2006/relationships">
  <sheetPr codeName="Sheet14">
    <tabColor theme="9" tint="-0.249977111117893"/>
  </sheetPr>
  <dimension ref="A1:L990"/>
  <sheetViews>
    <sheetView view="pageBreakPreview" topLeftCell="A627" zoomScaleNormal="115" workbookViewId="0">
      <selection activeCell="D619" sqref="D619"/>
    </sheetView>
  </sheetViews>
  <sheetFormatPr defaultColWidth="9.140625" defaultRowHeight="15"/>
  <cols>
    <col min="1" max="1" width="4.85546875" style="682" customWidth="1"/>
    <col min="2" max="2" width="11.42578125" style="683" customWidth="1"/>
    <col min="3" max="3" width="6.28515625" style="678" customWidth="1"/>
    <col min="4" max="4" width="42.7109375" style="678" customWidth="1"/>
    <col min="5" max="5" width="11.7109375" style="684" customWidth="1"/>
    <col min="6" max="6" width="5.5703125" style="678" customWidth="1"/>
    <col min="7" max="7" width="14.5703125" style="685" customWidth="1"/>
    <col min="8" max="8" width="14" style="678" customWidth="1"/>
    <col min="9" max="14" width="9.140625" style="678" customWidth="1"/>
    <col min="15" max="16384" width="9.140625" style="678"/>
  </cols>
  <sheetData>
    <row r="1" spans="1:7">
      <c r="B1" s="3751" t="s">
        <v>1643</v>
      </c>
      <c r="C1" s="3752"/>
      <c r="D1" s="3752"/>
      <c r="E1" s="3752"/>
      <c r="F1" s="3752"/>
      <c r="G1" s="3752"/>
    </row>
    <row r="2" spans="1:7" s="675" customFormat="1">
      <c r="A2" s="3753" t="s">
        <v>1</v>
      </c>
      <c r="B2" s="3753"/>
      <c r="C2" s="3753"/>
      <c r="D2" s="3769" t="str">
        <f>'Input Data'!E1</f>
        <v>R/F A to B in Wanaparthy Mandal of Wanaparthy District</v>
      </c>
      <c r="E2" s="3770"/>
      <c r="F2" s="3770"/>
      <c r="G2" s="3770"/>
    </row>
    <row r="3" spans="1:7">
      <c r="A3" s="3754"/>
      <c r="B3" s="3754"/>
      <c r="C3" s="3754"/>
      <c r="D3" s="3771"/>
      <c r="E3" s="3771"/>
      <c r="F3" s="3771"/>
      <c r="G3" s="3771"/>
    </row>
    <row r="4" spans="1:7">
      <c r="A4" s="686" t="s">
        <v>2</v>
      </c>
      <c r="B4" s="3755" t="s">
        <v>3</v>
      </c>
      <c r="C4" s="3755"/>
      <c r="D4" s="686" t="s">
        <v>4</v>
      </c>
      <c r="E4" s="688" t="s">
        <v>5</v>
      </c>
      <c r="F4" s="687" t="s">
        <v>6</v>
      </c>
      <c r="G4" s="689" t="s">
        <v>7</v>
      </c>
    </row>
    <row r="5" spans="1:7" ht="83.1" customHeight="1">
      <c r="A5" s="690">
        <v>1</v>
      </c>
      <c r="B5" s="3686" t="s">
        <v>1644</v>
      </c>
      <c r="C5" s="3686"/>
      <c r="D5" s="3686"/>
      <c r="E5" s="3686"/>
      <c r="F5" s="3686"/>
      <c r="G5" s="3686"/>
    </row>
    <row r="6" spans="1:7">
      <c r="A6" s="690"/>
      <c r="B6" s="3756" t="s">
        <v>1645</v>
      </c>
      <c r="C6" s="3756"/>
      <c r="D6" s="3756"/>
      <c r="E6" s="688"/>
      <c r="F6" s="687"/>
      <c r="G6" s="687"/>
    </row>
    <row r="7" spans="1:7">
      <c r="A7" s="690"/>
      <c r="B7" s="3757" t="s">
        <v>1646</v>
      </c>
      <c r="C7" s="3757"/>
      <c r="D7" s="3757"/>
      <c r="E7" s="688"/>
      <c r="F7" s="687"/>
      <c r="G7" s="687"/>
    </row>
    <row r="8" spans="1:7">
      <c r="A8" s="690"/>
      <c r="B8" s="686" t="s">
        <v>36</v>
      </c>
      <c r="C8" s="694" t="s">
        <v>37</v>
      </c>
      <c r="D8" s="686"/>
      <c r="E8" s="688"/>
      <c r="F8" s="687"/>
      <c r="G8" s="687"/>
    </row>
    <row r="9" spans="1:7">
      <c r="A9" s="690"/>
      <c r="B9" s="695">
        <v>0.16</v>
      </c>
      <c r="C9" s="696" t="s">
        <v>38</v>
      </c>
      <c r="D9" s="697" t="s">
        <v>14</v>
      </c>
      <c r="E9" s="698">
        <f>'SSR-rates'!$L$58</f>
        <v>575</v>
      </c>
      <c r="F9" s="699" t="s">
        <v>38</v>
      </c>
      <c r="G9" s="700">
        <f>ROUND(B9*E9,2)</f>
        <v>92</v>
      </c>
    </row>
    <row r="10" spans="1:7">
      <c r="A10" s="690"/>
      <c r="B10" s="695">
        <v>4</v>
      </c>
      <c r="C10" s="696" t="s">
        <v>38</v>
      </c>
      <c r="D10" s="697" t="s">
        <v>16</v>
      </c>
      <c r="E10" s="698">
        <f>'SSR-rates'!$L$60</f>
        <v>575</v>
      </c>
      <c r="F10" s="699" t="s">
        <v>38</v>
      </c>
      <c r="G10" s="700">
        <f>ROUND(B10*E10,2)</f>
        <v>2300</v>
      </c>
    </row>
    <row r="11" spans="1:7">
      <c r="A11" s="690"/>
      <c r="B11" s="701">
        <f>'Input Data'!$D$23</f>
        <v>0</v>
      </c>
      <c r="C11" s="696"/>
      <c r="D11" s="702" t="s">
        <v>17</v>
      </c>
      <c r="E11" s="698">
        <f>SUM(G9:G10)</f>
        <v>2392</v>
      </c>
      <c r="F11" s="699"/>
      <c r="G11" s="700">
        <f>B11*E11</f>
        <v>0</v>
      </c>
    </row>
    <row r="12" spans="1:7">
      <c r="A12" s="690"/>
      <c r="B12" s="698"/>
      <c r="C12" s="696"/>
      <c r="D12" s="697"/>
      <c r="E12" s="698"/>
      <c r="F12" s="699"/>
      <c r="G12" s="700">
        <f>SUM(G9:G11)</f>
        <v>2392</v>
      </c>
    </row>
    <row r="13" spans="1:7">
      <c r="A13" s="690"/>
      <c r="B13" s="686" t="s">
        <v>39</v>
      </c>
      <c r="C13" s="694" t="s">
        <v>40</v>
      </c>
      <c r="D13" s="702"/>
      <c r="E13" s="696"/>
      <c r="F13" s="697"/>
      <c r="G13" s="703"/>
    </row>
    <row r="14" spans="1:7" ht="30">
      <c r="A14" s="690"/>
      <c r="B14" s="704">
        <v>10</v>
      </c>
      <c r="C14" s="705" t="s">
        <v>1647</v>
      </c>
      <c r="D14" s="706" t="s">
        <v>1648</v>
      </c>
      <c r="E14" s="704">
        <f>'SSR-rates'!L62</f>
        <v>3164.8</v>
      </c>
      <c r="F14" s="704"/>
      <c r="G14" s="707">
        <f>ROUND(B14*E14,2)</f>
        <v>31648</v>
      </c>
    </row>
    <row r="15" spans="1:7">
      <c r="A15" s="690"/>
      <c r="B15" s="704">
        <v>1</v>
      </c>
      <c r="C15" s="705" t="s">
        <v>1647</v>
      </c>
      <c r="D15" s="706" t="s">
        <v>1649</v>
      </c>
      <c r="E15" s="704">
        <f>'SSR-rates'!L70</f>
        <v>512</v>
      </c>
      <c r="F15" s="704"/>
      <c r="G15" s="707">
        <f>ROUND(B15*E15,2)</f>
        <v>512</v>
      </c>
    </row>
    <row r="16" spans="1:7">
      <c r="A16" s="690"/>
      <c r="B16" s="698"/>
      <c r="C16" s="696"/>
      <c r="D16" s="697"/>
      <c r="E16" s="698" t="s">
        <v>60</v>
      </c>
      <c r="F16" s="698"/>
      <c r="G16" s="700">
        <f>SUM(G12:G15)</f>
        <v>34552</v>
      </c>
    </row>
    <row r="17" spans="1:8">
      <c r="A17" s="690"/>
      <c r="B17" s="686" t="s">
        <v>1650</v>
      </c>
      <c r="C17" s="708" t="s">
        <v>1283</v>
      </c>
      <c r="D17" s="697"/>
      <c r="E17" s="698"/>
      <c r="F17" s="698"/>
      <c r="G17" s="700"/>
    </row>
    <row r="18" spans="1:8">
      <c r="A18" s="690"/>
      <c r="B18" s="709">
        <f>'Input Data'!$D$24</f>
        <v>0.13614999999999999</v>
      </c>
      <c r="C18" s="710" t="s">
        <v>1651</v>
      </c>
      <c r="D18" s="702"/>
      <c r="E18" s="711">
        <f>G15+G14+G12</f>
        <v>34552</v>
      </c>
      <c r="F18" s="702"/>
      <c r="G18" s="700">
        <f>E18*B18</f>
        <v>4704.2547999999997</v>
      </c>
    </row>
    <row r="19" spans="1:8">
      <c r="A19" s="690"/>
      <c r="B19" s="709">
        <f>'Input Data'!$E$24</f>
        <v>0</v>
      </c>
      <c r="C19" s="710" t="s">
        <v>1314</v>
      </c>
      <c r="D19" s="702"/>
      <c r="E19" s="712">
        <f>E18+G18</f>
        <v>39256.254800000002</v>
      </c>
      <c r="F19" s="702"/>
      <c r="G19" s="700">
        <f>E19*B19</f>
        <v>0</v>
      </c>
    </row>
    <row r="20" spans="1:8">
      <c r="A20" s="690"/>
      <c r="B20" s="686" t="s">
        <v>45</v>
      </c>
      <c r="C20" s="694" t="s">
        <v>46</v>
      </c>
      <c r="D20" s="702"/>
      <c r="E20" s="696"/>
      <c r="F20" s="697"/>
      <c r="G20" s="713">
        <f>G16+G18+G19</f>
        <v>39256.254800000002</v>
      </c>
    </row>
    <row r="21" spans="1:8">
      <c r="A21" s="690"/>
      <c r="B21" s="699"/>
      <c r="C21" s="694" t="s">
        <v>1652</v>
      </c>
      <c r="D21" s="697"/>
      <c r="E21" s="696"/>
      <c r="F21" s="697"/>
      <c r="G21" s="714"/>
    </row>
    <row r="22" spans="1:8">
      <c r="A22" s="690"/>
      <c r="B22" s="699"/>
      <c r="C22" s="694" t="s">
        <v>1653</v>
      </c>
      <c r="D22" s="697"/>
      <c r="E22" s="696"/>
      <c r="F22" s="697"/>
      <c r="G22" s="713">
        <f>ROUND(G20/10000,2)</f>
        <v>3.93</v>
      </c>
      <c r="H22" s="678" t="s">
        <v>956</v>
      </c>
    </row>
    <row r="23" spans="1:8">
      <c r="A23" s="690"/>
      <c r="B23" s="699"/>
      <c r="C23" s="694"/>
      <c r="D23" s="697"/>
      <c r="E23" s="696"/>
      <c r="F23" s="697"/>
      <c r="G23" s="713"/>
    </row>
    <row r="24" spans="1:8" s="676" customFormat="1" ht="60.95" customHeight="1">
      <c r="A24" s="715">
        <v>2</v>
      </c>
      <c r="B24" s="3758" t="s">
        <v>1654</v>
      </c>
      <c r="C24" s="3758"/>
      <c r="D24" s="3758"/>
      <c r="E24" s="3758"/>
      <c r="F24" s="3758"/>
      <c r="G24" s="3758"/>
    </row>
    <row r="25" spans="1:8" s="676" customFormat="1">
      <c r="A25" s="716"/>
      <c r="B25" s="717"/>
      <c r="C25" s="717"/>
      <c r="D25" s="718" t="s">
        <v>1655</v>
      </c>
      <c r="E25" s="719"/>
      <c r="F25" s="717"/>
      <c r="G25" s="720"/>
    </row>
    <row r="26" spans="1:8" s="676" customFormat="1">
      <c r="A26" s="716"/>
      <c r="B26" s="721" t="s">
        <v>1656</v>
      </c>
      <c r="C26" s="717"/>
      <c r="D26" s="722"/>
      <c r="E26" s="719"/>
      <c r="F26" s="717"/>
      <c r="G26" s="720"/>
    </row>
    <row r="27" spans="1:8" s="676" customFormat="1">
      <c r="A27" s="716"/>
      <c r="B27" s="717"/>
      <c r="C27" s="717"/>
      <c r="D27" s="723" t="s">
        <v>10</v>
      </c>
      <c r="E27" s="719"/>
      <c r="F27" s="717"/>
      <c r="G27" s="720"/>
    </row>
    <row r="28" spans="1:8" s="676" customFormat="1">
      <c r="A28" s="716"/>
      <c r="B28" s="717"/>
      <c r="C28" s="719"/>
      <c r="D28" s="723" t="s">
        <v>115</v>
      </c>
      <c r="E28" s="719"/>
      <c r="F28" s="717"/>
      <c r="G28" s="720"/>
    </row>
    <row r="29" spans="1:8" s="676" customFormat="1">
      <c r="A29" s="716"/>
      <c r="B29" s="717"/>
      <c r="C29" s="724"/>
      <c r="D29" s="718" t="s">
        <v>12</v>
      </c>
      <c r="E29" s="719"/>
      <c r="F29" s="717"/>
      <c r="G29" s="720"/>
    </row>
    <row r="30" spans="1:8" s="676" customFormat="1">
      <c r="A30" s="716"/>
      <c r="B30" s="725">
        <v>0.01</v>
      </c>
      <c r="C30" s="717" t="s">
        <v>13</v>
      </c>
      <c r="D30" s="726" t="s">
        <v>14</v>
      </c>
      <c r="E30" s="698">
        <f>'SSR-rates'!$L$58</f>
        <v>575</v>
      </c>
      <c r="F30" s="727">
        <v>1</v>
      </c>
      <c r="G30" s="728">
        <f>ROUND(B30*E30,2)</f>
        <v>5.75</v>
      </c>
    </row>
    <row r="31" spans="1:8" s="676" customFormat="1">
      <c r="A31" s="716"/>
      <c r="B31" s="725">
        <v>0.3</v>
      </c>
      <c r="C31" s="717" t="s">
        <v>13</v>
      </c>
      <c r="D31" s="726" t="s">
        <v>16</v>
      </c>
      <c r="E31" s="698">
        <f>'SSR-rates'!$L$60</f>
        <v>575</v>
      </c>
      <c r="F31" s="727">
        <v>1</v>
      </c>
      <c r="G31" s="728">
        <f>ROUND(B31*E31,2)</f>
        <v>172.5</v>
      </c>
    </row>
    <row r="32" spans="1:8" s="676" customFormat="1">
      <c r="A32" s="716"/>
      <c r="B32" s="701">
        <f>'Input Data'!$D$23</f>
        <v>0</v>
      </c>
      <c r="C32" s="696"/>
      <c r="D32" s="702" t="s">
        <v>17</v>
      </c>
      <c r="E32" s="698">
        <f>SUM(G30:G31)</f>
        <v>178.25</v>
      </c>
      <c r="F32" s="699"/>
      <c r="G32" s="707">
        <f>B32*E32</f>
        <v>0</v>
      </c>
    </row>
    <row r="33" spans="1:8" s="676" customFormat="1">
      <c r="A33" s="716"/>
      <c r="B33" s="719"/>
      <c r="C33" s="719"/>
      <c r="D33" s="729" t="s">
        <v>18</v>
      </c>
      <c r="E33" s="719"/>
      <c r="F33" s="730" t="s">
        <v>19</v>
      </c>
      <c r="G33" s="731">
        <f>SUM(G30:G32)</f>
        <v>178.25</v>
      </c>
    </row>
    <row r="34" spans="1:8" s="676" customFormat="1">
      <c r="A34" s="716"/>
      <c r="B34" s="719"/>
      <c r="C34" s="724"/>
      <c r="D34" s="718" t="s">
        <v>20</v>
      </c>
      <c r="E34" s="719"/>
      <c r="F34" s="719"/>
      <c r="G34" s="728"/>
    </row>
    <row r="35" spans="1:8" s="676" customFormat="1">
      <c r="A35" s="716"/>
      <c r="B35" s="725">
        <v>0.38</v>
      </c>
      <c r="C35" s="717" t="s">
        <v>23</v>
      </c>
      <c r="D35" s="726" t="s">
        <v>24</v>
      </c>
      <c r="E35" s="719">
        <f>'SSR-rates'!$L$70</f>
        <v>512</v>
      </c>
      <c r="F35" s="719">
        <v>1</v>
      </c>
      <c r="G35" s="728">
        <f>ROUND(B35*E35,2)</f>
        <v>194.56</v>
      </c>
    </row>
    <row r="36" spans="1:8" s="676" customFormat="1">
      <c r="A36" s="716"/>
      <c r="B36" s="725">
        <v>1.7000000000000001E-2</v>
      </c>
      <c r="C36" s="717"/>
      <c r="D36" s="726" t="s">
        <v>1657</v>
      </c>
      <c r="E36" s="719">
        <f>'SSR-rates'!$L$72</f>
        <v>625</v>
      </c>
      <c r="F36" s="719">
        <v>1</v>
      </c>
      <c r="G36" s="728">
        <f>ROUND(B36*E36,2)</f>
        <v>10.63</v>
      </c>
    </row>
    <row r="37" spans="1:8" s="676" customFormat="1">
      <c r="A37" s="716"/>
      <c r="B37" s="719"/>
      <c r="C37" s="719"/>
      <c r="D37" s="729" t="s">
        <v>18</v>
      </c>
      <c r="E37" s="719"/>
      <c r="F37" s="730" t="s">
        <v>25</v>
      </c>
      <c r="G37" s="731">
        <f>SUM(G35:G36)</f>
        <v>205.19</v>
      </c>
    </row>
    <row r="38" spans="1:8" s="676" customFormat="1">
      <c r="A38" s="716"/>
      <c r="B38" s="719"/>
      <c r="C38" s="717"/>
      <c r="D38" s="718" t="s">
        <v>26</v>
      </c>
      <c r="E38" s="719"/>
      <c r="F38" s="719"/>
      <c r="G38" s="731">
        <f>G33+G37</f>
        <v>383.44</v>
      </c>
    </row>
    <row r="39" spans="1:8" s="676" customFormat="1">
      <c r="A39" s="716"/>
      <c r="B39" s="719"/>
      <c r="C39" s="700" t="s">
        <v>27</v>
      </c>
      <c r="D39" s="718" t="s">
        <v>1283</v>
      </c>
      <c r="E39" s="719"/>
      <c r="F39" s="719"/>
      <c r="G39" s="728"/>
    </row>
    <row r="40" spans="1:8" s="676" customFormat="1">
      <c r="A40" s="716"/>
      <c r="B40" s="732">
        <f>'Input Data'!$D$24</f>
        <v>0.13614999999999999</v>
      </c>
      <c r="C40" s="727"/>
      <c r="D40" s="718" t="str">
        <f>"Over head charges &amp; CP "&amp;'Input Data'!$D$24*100&amp;"%  on (A) + (B)"</f>
        <v>Over head charges &amp; CP 13.615%  on (A) + (B)</v>
      </c>
      <c r="E40" s="727">
        <f>G38</f>
        <v>383.44</v>
      </c>
      <c r="F40" s="733"/>
      <c r="G40" s="734">
        <f>E40*B40</f>
        <v>52.205355999999995</v>
      </c>
    </row>
    <row r="41" spans="1:8" s="676" customFormat="1">
      <c r="A41" s="716"/>
      <c r="B41" s="727"/>
      <c r="C41" s="727"/>
      <c r="D41" s="718"/>
      <c r="E41" s="727"/>
      <c r="F41" s="733"/>
      <c r="G41" s="734"/>
    </row>
    <row r="42" spans="1:8" s="676" customFormat="1">
      <c r="A42" s="716"/>
      <c r="B42" s="727">
        <v>1</v>
      </c>
      <c r="C42" s="727" t="s">
        <v>31</v>
      </c>
      <c r="D42" s="729" t="str">
        <f>CONCATENATE("TOTAL Cost for ",B42,"  ",C42,"  =  (A+B+C)",)</f>
        <v>TOTAL Cost for 1  cum  =  (A+B+C)</v>
      </c>
      <c r="E42" s="727"/>
      <c r="F42" s="727"/>
      <c r="G42" s="734">
        <f>SUM(G38:G41)</f>
        <v>435.64535599999999</v>
      </c>
    </row>
    <row r="43" spans="1:8" s="676" customFormat="1">
      <c r="A43" s="716"/>
      <c r="B43" s="727"/>
      <c r="C43" s="727"/>
      <c r="D43" s="729" t="str">
        <f>CONCATENATE("Rate per  1  ",C42)</f>
        <v>Rate per  1  cum</v>
      </c>
      <c r="E43" s="727"/>
      <c r="F43" s="727"/>
      <c r="G43" s="728">
        <f>G42/B42</f>
        <v>435.64535599999999</v>
      </c>
    </row>
    <row r="44" spans="1:8" s="676" customFormat="1">
      <c r="A44" s="716"/>
      <c r="B44" s="719"/>
      <c r="C44" s="719"/>
      <c r="D44" s="718" t="str">
        <f>D43</f>
        <v>Rate per  1  cum</v>
      </c>
      <c r="E44" s="727"/>
      <c r="F44" s="727"/>
      <c r="G44" s="731">
        <f>ROUND(G43,2)</f>
        <v>435.65</v>
      </c>
      <c r="H44" s="676" t="s">
        <v>956</v>
      </c>
    </row>
    <row r="45" spans="1:8" s="676" customFormat="1">
      <c r="A45" s="716"/>
      <c r="B45" s="719"/>
      <c r="C45" s="719"/>
      <c r="D45" s="718"/>
      <c r="E45" s="727"/>
      <c r="F45" s="727"/>
      <c r="G45" s="731"/>
    </row>
    <row r="46" spans="1:8" s="676" customFormat="1" ht="45" customHeight="1">
      <c r="A46" s="690">
        <v>3</v>
      </c>
      <c r="B46" s="3686" t="s">
        <v>1658</v>
      </c>
      <c r="C46" s="3686"/>
      <c r="D46" s="3686"/>
      <c r="E46" s="3686"/>
      <c r="F46" s="3686"/>
      <c r="G46" s="3686"/>
    </row>
    <row r="47" spans="1:8" s="676" customFormat="1">
      <c r="A47" s="690"/>
      <c r="B47" s="691"/>
      <c r="C47" s="691"/>
      <c r="D47" s="735" t="s">
        <v>1659</v>
      </c>
      <c r="E47" s="736"/>
      <c r="F47" s="691"/>
      <c r="G47" s="703"/>
    </row>
    <row r="48" spans="1:8" s="676" customFormat="1">
      <c r="A48" s="690"/>
      <c r="B48" s="3759" t="s">
        <v>1660</v>
      </c>
      <c r="C48" s="3759"/>
      <c r="D48" s="694" t="s">
        <v>1661</v>
      </c>
      <c r="E48" s="688"/>
      <c r="F48" s="687"/>
      <c r="G48" s="738"/>
    </row>
    <row r="49" spans="1:8" s="676" customFormat="1">
      <c r="A49" s="690"/>
      <c r="B49" s="3759"/>
      <c r="C49" s="3759"/>
      <c r="D49" s="3759"/>
      <c r="E49" s="688"/>
      <c r="F49" s="687"/>
      <c r="G49" s="738"/>
    </row>
    <row r="50" spans="1:8" s="676" customFormat="1">
      <c r="A50" s="690"/>
      <c r="B50" s="686" t="s">
        <v>36</v>
      </c>
      <c r="C50" s="694" t="s">
        <v>37</v>
      </c>
      <c r="D50" s="702"/>
      <c r="E50" s="688"/>
      <c r="F50" s="687"/>
      <c r="G50" s="738"/>
    </row>
    <row r="51" spans="1:8" s="676" customFormat="1">
      <c r="A51" s="690"/>
      <c r="B51" s="698">
        <v>0.02</v>
      </c>
      <c r="C51" s="696" t="s">
        <v>38</v>
      </c>
      <c r="D51" s="697" t="s">
        <v>14</v>
      </c>
      <c r="E51" s="698">
        <f>'SSR-rates'!$L$58</f>
        <v>575</v>
      </c>
      <c r="F51" s="699" t="s">
        <v>38</v>
      </c>
      <c r="G51" s="700">
        <f>ROUND(B51*E51,2)</f>
        <v>11.5</v>
      </c>
    </row>
    <row r="52" spans="1:8" s="676" customFormat="1">
      <c r="A52" s="690"/>
      <c r="B52" s="698">
        <v>0.6</v>
      </c>
      <c r="C52" s="696" t="s">
        <v>38</v>
      </c>
      <c r="D52" s="697" t="s">
        <v>16</v>
      </c>
      <c r="E52" s="698">
        <f>'SSR-rates'!$L$60</f>
        <v>575</v>
      </c>
      <c r="F52" s="699" t="s">
        <v>38</v>
      </c>
      <c r="G52" s="700">
        <f>ROUND(B52*E52,2)</f>
        <v>345</v>
      </c>
    </row>
    <row r="53" spans="1:8">
      <c r="A53" s="690"/>
      <c r="B53" s="701">
        <f>'Input Data'!$D$23</f>
        <v>0</v>
      </c>
      <c r="C53" s="696"/>
      <c r="D53" s="702" t="s">
        <v>17</v>
      </c>
      <c r="E53" s="698">
        <f>SUM(G51:G52)</f>
        <v>356.5</v>
      </c>
      <c r="F53" s="699"/>
      <c r="G53" s="700">
        <f>B53*E53</f>
        <v>0</v>
      </c>
    </row>
    <row r="54" spans="1:8" s="676" customFormat="1">
      <c r="A54" s="690"/>
      <c r="B54" s="698"/>
      <c r="C54" s="696"/>
      <c r="D54" s="697"/>
      <c r="E54" s="698"/>
      <c r="F54" s="699"/>
      <c r="G54" s="713">
        <f>SUM(G51:G53)</f>
        <v>356.5</v>
      </c>
    </row>
    <row r="55" spans="1:8" s="676" customFormat="1">
      <c r="A55" s="690"/>
      <c r="B55" s="686" t="s">
        <v>39</v>
      </c>
      <c r="C55" s="694" t="s">
        <v>40</v>
      </c>
      <c r="D55" s="702"/>
      <c r="E55" s="696"/>
      <c r="F55" s="697"/>
      <c r="G55" s="703"/>
    </row>
    <row r="56" spans="1:8">
      <c r="A56" s="690"/>
      <c r="B56" s="704">
        <v>0.1</v>
      </c>
      <c r="C56" s="705" t="s">
        <v>41</v>
      </c>
      <c r="D56" s="706" t="s">
        <v>1662</v>
      </c>
      <c r="E56" s="704">
        <f>'SSR-rates'!$L$71</f>
        <v>520</v>
      </c>
      <c r="F56" s="704" t="s">
        <v>41</v>
      </c>
      <c r="G56" s="700">
        <f>ROUND(B56*E56,2)</f>
        <v>52</v>
      </c>
    </row>
    <row r="57" spans="1:8" s="676" customFormat="1">
      <c r="A57" s="690"/>
      <c r="B57" s="698"/>
      <c r="C57" s="696"/>
      <c r="D57" s="697"/>
      <c r="E57" s="698"/>
      <c r="F57" s="698"/>
      <c r="G57" s="700"/>
    </row>
    <row r="58" spans="1:8" s="676" customFormat="1">
      <c r="A58" s="690"/>
      <c r="B58" s="686" t="s">
        <v>27</v>
      </c>
      <c r="C58" s="708" t="s">
        <v>1283</v>
      </c>
      <c r="D58" s="697"/>
      <c r="E58" s="698"/>
      <c r="F58" s="698"/>
      <c r="G58" s="703"/>
    </row>
    <row r="59" spans="1:8" s="676" customFormat="1">
      <c r="A59" s="690"/>
      <c r="B59" s="732">
        <f>'Input Data'!$D$24</f>
        <v>0.13614999999999999</v>
      </c>
      <c r="C59" s="697" t="str">
        <f>"Over head charges &amp; CP "&amp;'Input Data'!$D$24*100&amp;"%  on (A) + (B)"</f>
        <v>Over head charges &amp; CP 13.615%  on (A) + (B)</v>
      </c>
      <c r="D59" s="702"/>
      <c r="E59" s="711">
        <f>G56+G54</f>
        <v>408.5</v>
      </c>
      <c r="F59" s="702"/>
      <c r="G59" s="700">
        <f>E59*B59</f>
        <v>55.617274999999999</v>
      </c>
    </row>
    <row r="60" spans="1:8" s="676" customFormat="1">
      <c r="A60" s="690"/>
      <c r="B60" s="686" t="s">
        <v>45</v>
      </c>
      <c r="C60" s="697" t="s">
        <v>46</v>
      </c>
      <c r="D60" s="702"/>
      <c r="E60" s="711"/>
      <c r="F60" s="702"/>
      <c r="G60" s="700">
        <f>G54+G56+G57+G59</f>
        <v>464.11727500000001</v>
      </c>
    </row>
    <row r="61" spans="1:8" s="676" customFormat="1">
      <c r="A61" s="690"/>
      <c r="B61" s="699"/>
      <c r="C61" s="697"/>
      <c r="D61" s="694" t="s">
        <v>1663</v>
      </c>
      <c r="E61" s="696"/>
      <c r="F61" s="697"/>
      <c r="G61" s="700">
        <f>SUM(G60:G60)</f>
        <v>464.11727500000001</v>
      </c>
    </row>
    <row r="62" spans="1:8" s="676" customFormat="1">
      <c r="A62" s="690"/>
      <c r="B62" s="699"/>
      <c r="C62" s="702"/>
      <c r="D62" s="739" t="s">
        <v>1664</v>
      </c>
      <c r="E62" s="698"/>
      <c r="F62" s="699"/>
      <c r="G62" s="713">
        <f>ROUND(G61,2)</f>
        <v>464.12</v>
      </c>
      <c r="H62" s="676" t="s">
        <v>956</v>
      </c>
    </row>
    <row r="63" spans="1:8" s="676" customFormat="1">
      <c r="A63" s="690"/>
      <c r="B63" s="699"/>
      <c r="C63" s="702"/>
      <c r="D63" s="739"/>
      <c r="E63" s="698"/>
      <c r="F63" s="699"/>
      <c r="G63" s="713"/>
    </row>
    <row r="64" spans="1:8" s="676" customFormat="1">
      <c r="A64" s="690"/>
      <c r="B64" s="691"/>
      <c r="C64" s="691"/>
      <c r="D64" s="735" t="s">
        <v>1665</v>
      </c>
      <c r="E64" s="736"/>
      <c r="F64" s="691"/>
      <c r="G64" s="703"/>
    </row>
    <row r="65" spans="1:8" s="676" customFormat="1">
      <c r="A65" s="690"/>
      <c r="B65" s="3759" t="s">
        <v>1660</v>
      </c>
      <c r="C65" s="3759"/>
      <c r="D65" s="694" t="s">
        <v>1661</v>
      </c>
      <c r="E65" s="688"/>
      <c r="F65" s="687"/>
      <c r="G65" s="738"/>
    </row>
    <row r="66" spans="1:8" s="676" customFormat="1">
      <c r="A66" s="690"/>
      <c r="B66" s="686" t="s">
        <v>36</v>
      </c>
      <c r="C66" s="694" t="s">
        <v>37</v>
      </c>
      <c r="D66" s="702"/>
      <c r="E66" s="688"/>
      <c r="F66" s="687"/>
      <c r="G66" s="738"/>
    </row>
    <row r="67" spans="1:8" s="676" customFormat="1">
      <c r="A67" s="690"/>
      <c r="B67" s="698">
        <v>0.04</v>
      </c>
      <c r="C67" s="696" t="s">
        <v>38</v>
      </c>
      <c r="D67" s="697" t="s">
        <v>14</v>
      </c>
      <c r="E67" s="698">
        <f>'SSR-rates'!$L$58</f>
        <v>575</v>
      </c>
      <c r="F67" s="699" t="s">
        <v>38</v>
      </c>
      <c r="G67" s="700">
        <f>ROUND(B67*E67,2)</f>
        <v>23</v>
      </c>
    </row>
    <row r="68" spans="1:8" s="676" customFormat="1">
      <c r="A68" s="690"/>
      <c r="B68" s="698">
        <v>0.9</v>
      </c>
      <c r="C68" s="696" t="s">
        <v>38</v>
      </c>
      <c r="D68" s="697" t="s">
        <v>16</v>
      </c>
      <c r="E68" s="698">
        <f>'SSR-rates'!$L$60</f>
        <v>575</v>
      </c>
      <c r="F68" s="699" t="s">
        <v>38</v>
      </c>
      <c r="G68" s="700">
        <f>ROUND(B68*E68,2)</f>
        <v>517.5</v>
      </c>
    </row>
    <row r="69" spans="1:8">
      <c r="A69" s="690"/>
      <c r="B69" s="701">
        <f>'Input Data'!$D$23</f>
        <v>0</v>
      </c>
      <c r="C69" s="696"/>
      <c r="D69" s="702" t="s">
        <v>17</v>
      </c>
      <c r="E69" s="698">
        <f>SUM(G67:G68)</f>
        <v>540.5</v>
      </c>
      <c r="F69" s="699"/>
      <c r="G69" s="700">
        <f>B69*E69</f>
        <v>0</v>
      </c>
    </row>
    <row r="70" spans="1:8" s="676" customFormat="1">
      <c r="A70" s="690"/>
      <c r="B70" s="698"/>
      <c r="C70" s="696"/>
      <c r="D70" s="697"/>
      <c r="E70" s="698"/>
      <c r="F70" s="699"/>
      <c r="G70" s="713">
        <f>SUM(G67:G69)</f>
        <v>540.5</v>
      </c>
    </row>
    <row r="71" spans="1:8" s="676" customFormat="1">
      <c r="A71" s="690"/>
      <c r="B71" s="686" t="s">
        <v>39</v>
      </c>
      <c r="C71" s="694" t="s">
        <v>40</v>
      </c>
      <c r="D71" s="702"/>
      <c r="E71" s="696"/>
      <c r="F71" s="697"/>
      <c r="G71" s="703"/>
    </row>
    <row r="72" spans="1:8">
      <c r="A72" s="690"/>
      <c r="B72" s="704">
        <v>0.3</v>
      </c>
      <c r="C72" s="705" t="s">
        <v>41</v>
      </c>
      <c r="D72" s="706" t="s">
        <v>1662</v>
      </c>
      <c r="E72" s="704">
        <f>'SSR-rates'!$L$71</f>
        <v>520</v>
      </c>
      <c r="F72" s="704" t="s">
        <v>41</v>
      </c>
      <c r="G72" s="700">
        <f>ROUND(B72*E72,2)</f>
        <v>156</v>
      </c>
    </row>
    <row r="73" spans="1:8" s="676" customFormat="1">
      <c r="A73" s="690"/>
      <c r="B73" s="698"/>
      <c r="C73" s="696"/>
      <c r="D73" s="697"/>
      <c r="E73" s="698"/>
      <c r="F73" s="698"/>
      <c r="G73" s="700"/>
    </row>
    <row r="74" spans="1:8" s="676" customFormat="1">
      <c r="A74" s="690"/>
      <c r="B74" s="686" t="s">
        <v>27</v>
      </c>
      <c r="C74" s="708" t="s">
        <v>1283</v>
      </c>
      <c r="D74" s="697"/>
      <c r="E74" s="698"/>
      <c r="F74" s="698"/>
      <c r="G74" s="703"/>
    </row>
    <row r="75" spans="1:8" s="676" customFormat="1">
      <c r="A75" s="690"/>
      <c r="B75" s="732">
        <f>'Input Data'!$D$24</f>
        <v>0.13614999999999999</v>
      </c>
      <c r="C75" s="697" t="str">
        <f>"Over head charges &amp; CP "&amp;'Input Data'!$D$24*100&amp;"%  on (A) + (B)"</f>
        <v>Over head charges &amp; CP 13.615%  on (A) + (B)</v>
      </c>
      <c r="D75" s="702"/>
      <c r="E75" s="711">
        <f>G72+G70</f>
        <v>696.5</v>
      </c>
      <c r="F75" s="702"/>
      <c r="G75" s="700">
        <f>E75*B75</f>
        <v>94.828474999999997</v>
      </c>
    </row>
    <row r="76" spans="1:8" s="676" customFormat="1">
      <c r="A76" s="690"/>
      <c r="B76" s="686" t="s">
        <v>45</v>
      </c>
      <c r="C76" s="697" t="s">
        <v>46</v>
      </c>
      <c r="D76" s="702"/>
      <c r="E76" s="711"/>
      <c r="F76" s="702"/>
      <c r="G76" s="700">
        <f>G70+G72+G73+G75</f>
        <v>791.32847500000003</v>
      </c>
    </row>
    <row r="77" spans="1:8" s="676" customFormat="1">
      <c r="A77" s="690"/>
      <c r="B77" s="699"/>
      <c r="C77" s="697"/>
      <c r="D77" s="694" t="s">
        <v>1663</v>
      </c>
      <c r="E77" s="696"/>
      <c r="F77" s="697"/>
      <c r="G77" s="700">
        <f>SUM(G76:G76)</f>
        <v>791.32847500000003</v>
      </c>
    </row>
    <row r="78" spans="1:8" s="676" customFormat="1">
      <c r="A78" s="690"/>
      <c r="B78" s="699"/>
      <c r="C78" s="702"/>
      <c r="D78" s="739" t="s">
        <v>1664</v>
      </c>
      <c r="E78" s="698"/>
      <c r="F78" s="699"/>
      <c r="G78" s="713">
        <f>ROUND(G77,2)</f>
        <v>791.33</v>
      </c>
      <c r="H78" s="676" t="s">
        <v>956</v>
      </c>
    </row>
    <row r="79" spans="1:8" s="676" customFormat="1">
      <c r="A79" s="690"/>
      <c r="B79" s="699"/>
      <c r="C79" s="702"/>
      <c r="D79" s="739"/>
      <c r="E79" s="698"/>
      <c r="F79" s="699"/>
      <c r="G79" s="713"/>
    </row>
    <row r="80" spans="1:8" s="676" customFormat="1">
      <c r="A80" s="690"/>
      <c r="B80" s="691"/>
      <c r="C80" s="691"/>
      <c r="D80" s="735" t="s">
        <v>1666</v>
      </c>
      <c r="E80" s="736"/>
      <c r="F80" s="691"/>
      <c r="G80" s="703"/>
    </row>
    <row r="81" spans="1:8" s="676" customFormat="1">
      <c r="A81" s="690"/>
      <c r="B81" s="3759" t="s">
        <v>1660</v>
      </c>
      <c r="C81" s="3759"/>
      <c r="D81" s="694" t="s">
        <v>1661</v>
      </c>
      <c r="E81" s="688"/>
      <c r="F81" s="687"/>
      <c r="G81" s="738"/>
    </row>
    <row r="82" spans="1:8" s="676" customFormat="1">
      <c r="A82" s="690"/>
      <c r="B82" s="3759"/>
      <c r="C82" s="3759"/>
      <c r="D82" s="3759"/>
      <c r="E82" s="688"/>
      <c r="F82" s="687"/>
      <c r="G82" s="738"/>
    </row>
    <row r="83" spans="1:8" s="676" customFormat="1">
      <c r="A83" s="690"/>
      <c r="B83" s="686" t="s">
        <v>36</v>
      </c>
      <c r="C83" s="694" t="s">
        <v>37</v>
      </c>
      <c r="D83" s="702"/>
      <c r="E83" s="688"/>
      <c r="F83" s="687"/>
      <c r="G83" s="738"/>
    </row>
    <row r="84" spans="1:8" s="676" customFormat="1">
      <c r="A84" s="690"/>
      <c r="B84" s="698">
        <v>0.08</v>
      </c>
      <c r="C84" s="696" t="s">
        <v>38</v>
      </c>
      <c r="D84" s="697" t="s">
        <v>14</v>
      </c>
      <c r="E84" s="698">
        <f>'SSR-rates'!$L$58</f>
        <v>575</v>
      </c>
      <c r="F84" s="699" t="s">
        <v>38</v>
      </c>
      <c r="G84" s="700">
        <f>ROUND(B84*E84,2)</f>
        <v>46</v>
      </c>
    </row>
    <row r="85" spans="1:8" s="676" customFormat="1">
      <c r="A85" s="690"/>
      <c r="B85" s="698">
        <v>2</v>
      </c>
      <c r="C85" s="696" t="s">
        <v>38</v>
      </c>
      <c r="D85" s="697" t="s">
        <v>16</v>
      </c>
      <c r="E85" s="698">
        <f>'SSR-rates'!$L$60</f>
        <v>575</v>
      </c>
      <c r="F85" s="699" t="s">
        <v>38</v>
      </c>
      <c r="G85" s="700">
        <f>ROUND(B85*E85,2)</f>
        <v>1150</v>
      </c>
    </row>
    <row r="86" spans="1:8">
      <c r="A86" s="690"/>
      <c r="B86" s="701">
        <f>'Input Data'!$D$23</f>
        <v>0</v>
      </c>
      <c r="C86" s="696"/>
      <c r="D86" s="702" t="s">
        <v>17</v>
      </c>
      <c r="E86" s="698">
        <f>SUM(G84:G85)</f>
        <v>1196</v>
      </c>
      <c r="F86" s="699"/>
      <c r="G86" s="700">
        <f>B86*E86</f>
        <v>0</v>
      </c>
    </row>
    <row r="87" spans="1:8" s="676" customFormat="1">
      <c r="A87" s="690"/>
      <c r="B87" s="698"/>
      <c r="C87" s="696"/>
      <c r="D87" s="697"/>
      <c r="E87" s="698"/>
      <c r="F87" s="699"/>
      <c r="G87" s="713">
        <f>SUM(G84:G86)</f>
        <v>1196</v>
      </c>
    </row>
    <row r="88" spans="1:8" s="676" customFormat="1">
      <c r="A88" s="690"/>
      <c r="B88" s="686" t="s">
        <v>39</v>
      </c>
      <c r="C88" s="694" t="s">
        <v>40</v>
      </c>
      <c r="D88" s="702"/>
      <c r="E88" s="696"/>
      <c r="F88" s="697"/>
      <c r="G88" s="703"/>
    </row>
    <row r="89" spans="1:8">
      <c r="A89" s="690"/>
      <c r="B89" s="704">
        <v>0.4</v>
      </c>
      <c r="C89" s="705" t="s">
        <v>41</v>
      </c>
      <c r="D89" s="706" t="s">
        <v>1662</v>
      </c>
      <c r="E89" s="704">
        <f>'SSR-rates'!$L$71</f>
        <v>520</v>
      </c>
      <c r="F89" s="704" t="s">
        <v>41</v>
      </c>
      <c r="G89" s="700">
        <f>ROUND(B89*E89,2)</f>
        <v>208</v>
      </c>
    </row>
    <row r="90" spans="1:8" s="676" customFormat="1">
      <c r="A90" s="690"/>
      <c r="B90" s="698"/>
      <c r="C90" s="696"/>
      <c r="D90" s="697"/>
      <c r="E90" s="698"/>
      <c r="F90" s="698"/>
      <c r="G90" s="700"/>
    </row>
    <row r="91" spans="1:8" s="676" customFormat="1">
      <c r="A91" s="690"/>
      <c r="B91" s="686" t="s">
        <v>27</v>
      </c>
      <c r="C91" s="708" t="s">
        <v>1283</v>
      </c>
      <c r="D91" s="697"/>
      <c r="E91" s="698"/>
      <c r="F91" s="698"/>
      <c r="G91" s="703"/>
    </row>
    <row r="92" spans="1:8" s="676" customFormat="1">
      <c r="A92" s="690"/>
      <c r="B92" s="732">
        <f>'Input Data'!$D$24</f>
        <v>0.13614999999999999</v>
      </c>
      <c r="C92" s="697" t="str">
        <f>"Over head charges &amp; CP "&amp;'Input Data'!$D$24*100&amp;"%  on (A) + (B)"</f>
        <v>Over head charges &amp; CP 13.615%  on (A) + (B)</v>
      </c>
      <c r="D92" s="702"/>
      <c r="E92" s="711">
        <f>G89+G87</f>
        <v>1404</v>
      </c>
      <c r="F92" s="702"/>
      <c r="G92" s="700">
        <f>E92*B92</f>
        <v>191.15459999999999</v>
      </c>
    </row>
    <row r="93" spans="1:8" s="676" customFormat="1">
      <c r="A93" s="690"/>
      <c r="B93" s="686" t="s">
        <v>45</v>
      </c>
      <c r="C93" s="697" t="s">
        <v>46</v>
      </c>
      <c r="D93" s="702"/>
      <c r="E93" s="711"/>
      <c r="F93" s="702"/>
      <c r="G93" s="700">
        <f>G87+G89+G90+G92</f>
        <v>1595.1546000000001</v>
      </c>
    </row>
    <row r="94" spans="1:8" s="676" customFormat="1">
      <c r="A94" s="690"/>
      <c r="B94" s="699"/>
      <c r="C94" s="697"/>
      <c r="D94" s="694" t="s">
        <v>1663</v>
      </c>
      <c r="E94" s="696"/>
      <c r="F94" s="697"/>
      <c r="G94" s="700">
        <f>SUM(G93:G93)</f>
        <v>1595.1546000000001</v>
      </c>
    </row>
    <row r="95" spans="1:8" s="676" customFormat="1">
      <c r="A95" s="690"/>
      <c r="B95" s="699"/>
      <c r="C95" s="702"/>
      <c r="D95" s="739" t="s">
        <v>1664</v>
      </c>
      <c r="E95" s="698"/>
      <c r="F95" s="699"/>
      <c r="G95" s="713">
        <f>ROUND(G94,2)</f>
        <v>1595.15</v>
      </c>
      <c r="H95" s="676" t="s">
        <v>956</v>
      </c>
    </row>
    <row r="96" spans="1:8" s="676" customFormat="1">
      <c r="A96" s="690"/>
      <c r="B96" s="699"/>
      <c r="C96" s="702"/>
      <c r="D96" s="739"/>
      <c r="E96" s="698"/>
      <c r="F96" s="699"/>
      <c r="G96" s="713"/>
    </row>
    <row r="97" spans="1:7" ht="60" customHeight="1">
      <c r="A97" s="690">
        <v>4</v>
      </c>
      <c r="B97" s="3686" t="s">
        <v>1667</v>
      </c>
      <c r="C97" s="3686"/>
      <c r="D97" s="3686"/>
      <c r="E97" s="3686"/>
      <c r="F97" s="3686"/>
      <c r="G97" s="3686"/>
    </row>
    <row r="98" spans="1:7">
      <c r="A98" s="690"/>
      <c r="B98" s="3759" t="s">
        <v>33</v>
      </c>
      <c r="C98" s="3759"/>
      <c r="D98" s="694" t="s">
        <v>1668</v>
      </c>
      <c r="E98" s="688"/>
      <c r="F98" s="687"/>
      <c r="G98" s="738"/>
    </row>
    <row r="99" spans="1:7">
      <c r="A99" s="690"/>
      <c r="B99" s="3759" t="s">
        <v>1669</v>
      </c>
      <c r="C99" s="3759"/>
      <c r="D99" s="3759"/>
      <c r="E99" s="688"/>
      <c r="F99" s="687"/>
      <c r="G99" s="738"/>
    </row>
    <row r="100" spans="1:7">
      <c r="A100" s="690"/>
      <c r="B100" s="686" t="s">
        <v>36</v>
      </c>
      <c r="C100" s="694" t="s">
        <v>37</v>
      </c>
      <c r="D100" s="686"/>
      <c r="E100" s="688"/>
      <c r="F100" s="687"/>
      <c r="G100" s="738"/>
    </row>
    <row r="101" spans="1:7">
      <c r="A101" s="690"/>
      <c r="B101" s="698">
        <v>0.08</v>
      </c>
      <c r="C101" s="696" t="s">
        <v>38</v>
      </c>
      <c r="D101" s="697" t="s">
        <v>14</v>
      </c>
      <c r="E101" s="698">
        <f>'SSR-rates'!$L$58</f>
        <v>575</v>
      </c>
      <c r="F101" s="699" t="s">
        <v>38</v>
      </c>
      <c r="G101" s="700">
        <f>ROUND(B101*E101,2)</f>
        <v>46</v>
      </c>
    </row>
    <row r="102" spans="1:7">
      <c r="A102" s="690"/>
      <c r="B102" s="698">
        <v>2</v>
      </c>
      <c r="C102" s="696" t="s">
        <v>38</v>
      </c>
      <c r="D102" s="697" t="s">
        <v>16</v>
      </c>
      <c r="E102" s="698">
        <f>'SSR-rates'!$L$60</f>
        <v>575</v>
      </c>
      <c r="F102" s="699" t="s">
        <v>38</v>
      </c>
      <c r="G102" s="700">
        <f>ROUND(B102*E102,2)</f>
        <v>1150</v>
      </c>
    </row>
    <row r="103" spans="1:7">
      <c r="A103" s="690"/>
      <c r="B103" s="701">
        <f>'Input Data'!$D$23</f>
        <v>0</v>
      </c>
      <c r="C103" s="696"/>
      <c r="D103" s="702" t="s">
        <v>17</v>
      </c>
      <c r="E103" s="698">
        <f>SUM(G101:G102)</f>
        <v>1196</v>
      </c>
      <c r="F103" s="699"/>
      <c r="G103" s="700">
        <f>B103*E103</f>
        <v>0</v>
      </c>
    </row>
    <row r="104" spans="1:7">
      <c r="A104" s="690"/>
      <c r="B104" s="698"/>
      <c r="C104" s="696"/>
      <c r="D104" s="697"/>
      <c r="E104" s="698"/>
      <c r="F104" s="699"/>
      <c r="G104" s="700">
        <f>SUM(G101:G103)</f>
        <v>1196</v>
      </c>
    </row>
    <row r="105" spans="1:7">
      <c r="A105" s="690"/>
      <c r="B105" s="698"/>
      <c r="C105" s="696"/>
      <c r="D105" s="697"/>
      <c r="E105" s="698"/>
      <c r="F105" s="699"/>
      <c r="G105" s="700"/>
    </row>
    <row r="106" spans="1:7">
      <c r="A106" s="690"/>
      <c r="B106" s="686" t="s">
        <v>39</v>
      </c>
      <c r="C106" s="694" t="s">
        <v>40</v>
      </c>
      <c r="D106" s="702"/>
      <c r="E106" s="696"/>
      <c r="F106" s="697"/>
      <c r="G106" s="703"/>
    </row>
    <row r="107" spans="1:7">
      <c r="A107" s="690"/>
      <c r="B107" s="704">
        <v>2</v>
      </c>
      <c r="C107" s="705" t="s">
        <v>41</v>
      </c>
      <c r="D107" s="702" t="s">
        <v>1670</v>
      </c>
      <c r="E107" s="704">
        <f>'SSR-rates'!$L$64</f>
        <v>3557.7</v>
      </c>
      <c r="F107" s="704" t="s">
        <v>41</v>
      </c>
      <c r="G107" s="700">
        <f>B107*E107</f>
        <v>7115.4</v>
      </c>
    </row>
    <row r="108" spans="1:7">
      <c r="A108" s="690"/>
      <c r="B108" s="686" t="s">
        <v>27</v>
      </c>
      <c r="C108" s="708" t="s">
        <v>1283</v>
      </c>
      <c r="D108" s="702"/>
      <c r="E108" s="698"/>
      <c r="F108" s="698"/>
      <c r="G108" s="703"/>
    </row>
    <row r="109" spans="1:7">
      <c r="A109" s="690"/>
      <c r="B109" s="709">
        <f>'Input Data'!$D$24</f>
        <v>0.13614999999999999</v>
      </c>
      <c r="C109" s="694" t="str">
        <f>"Over head charges &amp; CP "&amp;'Input Data'!$D$24*100&amp;"%  on (A) + (B)"</f>
        <v>Over head charges &amp; CP 13.615%  on (A) + (B)</v>
      </c>
      <c r="D109" s="702"/>
      <c r="E109" s="711">
        <f>G107+G104</f>
        <v>8311.4</v>
      </c>
      <c r="F109" s="702"/>
      <c r="G109" s="700">
        <f>E109*B109</f>
        <v>1131.5971099999999</v>
      </c>
    </row>
    <row r="110" spans="1:7">
      <c r="A110" s="690"/>
      <c r="B110" s="686" t="s">
        <v>45</v>
      </c>
      <c r="C110" s="694" t="s">
        <v>46</v>
      </c>
      <c r="D110" s="702"/>
      <c r="E110" s="696"/>
      <c r="F110" s="697"/>
      <c r="G110" s="713">
        <f>G104+G107+G109</f>
        <v>9442.9971100000002</v>
      </c>
    </row>
    <row r="111" spans="1:7">
      <c r="A111" s="690"/>
      <c r="B111" s="699"/>
      <c r="C111" s="694" t="s">
        <v>1671</v>
      </c>
      <c r="D111" s="697"/>
      <c r="E111" s="696"/>
      <c r="F111" s="697"/>
      <c r="G111" s="713">
        <f>SUM(G110:G110)</f>
        <v>9442.9971100000002</v>
      </c>
    </row>
    <row r="112" spans="1:7">
      <c r="A112" s="690"/>
      <c r="B112" s="699"/>
      <c r="C112" s="697" t="s">
        <v>216</v>
      </c>
      <c r="D112" s="697"/>
      <c r="E112" s="696"/>
      <c r="F112" s="697"/>
      <c r="G112" s="700">
        <f>G111/180</f>
        <v>52.46109505555556</v>
      </c>
    </row>
    <row r="113" spans="1:8">
      <c r="A113" s="690"/>
      <c r="B113" s="698"/>
      <c r="C113" s="696"/>
      <c r="D113" s="740" t="s">
        <v>217</v>
      </c>
      <c r="E113" s="700"/>
      <c r="F113" s="711"/>
      <c r="G113" s="741">
        <f>ROUNDUP(G112,3)</f>
        <v>52.461999999999996</v>
      </c>
    </row>
    <row r="114" spans="1:8">
      <c r="A114" s="690"/>
      <c r="B114" s="698"/>
      <c r="C114" s="696"/>
      <c r="D114" s="740"/>
      <c r="E114" s="700"/>
      <c r="F114" s="711" t="s">
        <v>1672</v>
      </c>
      <c r="G114" s="741">
        <f>ROUND(G113,2)</f>
        <v>52.46</v>
      </c>
      <c r="H114" s="678" t="s">
        <v>956</v>
      </c>
    </row>
    <row r="115" spans="1:8">
      <c r="A115" s="690"/>
      <c r="B115" s="698"/>
      <c r="C115" s="696"/>
      <c r="D115" s="742"/>
      <c r="E115" s="700"/>
      <c r="F115" s="711"/>
      <c r="G115" s="714" t="s">
        <v>53</v>
      </c>
    </row>
    <row r="116" spans="1:8">
      <c r="A116" s="690"/>
      <c r="B116" s="698"/>
      <c r="C116" s="696"/>
      <c r="D116" s="742"/>
      <c r="E116" s="700"/>
      <c r="F116" s="711"/>
      <c r="G116" s="714"/>
    </row>
    <row r="117" spans="1:8" ht="96" customHeight="1">
      <c r="A117" s="743">
        <v>2</v>
      </c>
      <c r="B117" s="3686" t="s">
        <v>1673</v>
      </c>
      <c r="C117" s="3686"/>
      <c r="D117" s="3686"/>
      <c r="E117" s="3686"/>
      <c r="F117" s="3686"/>
      <c r="G117" s="3686"/>
    </row>
    <row r="118" spans="1:8">
      <c r="A118" s="690"/>
      <c r="B118" s="3759" t="s">
        <v>33</v>
      </c>
      <c r="C118" s="3759"/>
      <c r="D118" s="694" t="s">
        <v>1668</v>
      </c>
      <c r="E118" s="688"/>
      <c r="F118" s="687"/>
      <c r="G118" s="738"/>
    </row>
    <row r="119" spans="1:8">
      <c r="A119" s="690"/>
      <c r="B119" s="3759" t="s">
        <v>1669</v>
      </c>
      <c r="C119" s="3759"/>
      <c r="D119" s="3759"/>
      <c r="E119" s="688"/>
      <c r="F119" s="687"/>
      <c r="G119" s="738"/>
    </row>
    <row r="120" spans="1:8">
      <c r="A120" s="690"/>
      <c r="B120" s="686" t="s">
        <v>36</v>
      </c>
      <c r="C120" s="694" t="s">
        <v>37</v>
      </c>
      <c r="D120" s="686"/>
      <c r="E120" s="688"/>
      <c r="F120" s="687"/>
      <c r="G120" s="738"/>
    </row>
    <row r="121" spans="1:8">
      <c r="A121" s="690"/>
      <c r="B121" s="698"/>
      <c r="C121" s="696" t="s">
        <v>38</v>
      </c>
      <c r="D121" s="697" t="s">
        <v>14</v>
      </c>
      <c r="E121" s="698">
        <f>E101</f>
        <v>575</v>
      </c>
      <c r="F121" s="699" t="s">
        <v>38</v>
      </c>
      <c r="G121" s="700">
        <f>ROUND(B121*E121,2)</f>
        <v>0</v>
      </c>
    </row>
    <row r="122" spans="1:8">
      <c r="A122" s="690"/>
      <c r="B122" s="698">
        <v>2.08</v>
      </c>
      <c r="C122" s="696" t="s">
        <v>38</v>
      </c>
      <c r="D122" s="697" t="s">
        <v>16</v>
      </c>
      <c r="E122" s="698">
        <f>E102</f>
        <v>575</v>
      </c>
      <c r="F122" s="699" t="s">
        <v>38</v>
      </c>
      <c r="G122" s="700">
        <f>ROUND(B122*E122,2)</f>
        <v>1196</v>
      </c>
    </row>
    <row r="123" spans="1:8">
      <c r="A123" s="690"/>
      <c r="B123" s="701">
        <f>'Input Data'!D23</f>
        <v>0</v>
      </c>
      <c r="C123" s="696"/>
      <c r="D123" s="702" t="s">
        <v>1674</v>
      </c>
      <c r="E123" s="698"/>
      <c r="F123" s="699"/>
      <c r="G123" s="700">
        <f>(G121+G122)*B123</f>
        <v>0</v>
      </c>
    </row>
    <row r="124" spans="1:8">
      <c r="A124" s="690"/>
      <c r="B124" s="698"/>
      <c r="C124" s="696"/>
      <c r="D124" s="697"/>
      <c r="E124" s="698"/>
      <c r="F124" s="699"/>
      <c r="G124" s="700">
        <f>SUM(G121:G123)</f>
        <v>1196</v>
      </c>
    </row>
    <row r="125" spans="1:8">
      <c r="A125" s="690"/>
      <c r="B125" s="686" t="s">
        <v>39</v>
      </c>
      <c r="C125" s="694" t="s">
        <v>40</v>
      </c>
      <c r="D125" s="702"/>
      <c r="E125" s="696"/>
      <c r="F125" s="697"/>
      <c r="G125" s="703"/>
    </row>
    <row r="126" spans="1:8">
      <c r="A126" s="690"/>
      <c r="B126" s="704">
        <v>6</v>
      </c>
      <c r="C126" s="705" t="s">
        <v>41</v>
      </c>
      <c r="D126" s="706" t="s">
        <v>1675</v>
      </c>
      <c r="E126" s="698">
        <f>'SSR-rates'!L62</f>
        <v>3164.8</v>
      </c>
      <c r="F126" s="704" t="s">
        <v>41</v>
      </c>
      <c r="G126" s="700">
        <f>ROUND(B126*E126,2)</f>
        <v>18988.8</v>
      </c>
    </row>
    <row r="127" spans="1:8">
      <c r="A127" s="690"/>
      <c r="B127" s="698"/>
      <c r="C127" s="696"/>
      <c r="D127" s="697"/>
      <c r="E127" s="698"/>
      <c r="F127" s="698"/>
      <c r="G127" s="700">
        <f>SUM(G126:G126)</f>
        <v>18988.8</v>
      </c>
    </row>
    <row r="128" spans="1:8">
      <c r="A128" s="690"/>
      <c r="B128" s="686" t="s">
        <v>45</v>
      </c>
      <c r="C128" s="708" t="s">
        <v>1283</v>
      </c>
      <c r="D128" s="702"/>
      <c r="E128" s="711"/>
      <c r="F128" s="702"/>
      <c r="G128" s="703"/>
    </row>
    <row r="129" spans="1:8">
      <c r="A129" s="690"/>
      <c r="B129" s="709">
        <f>'Input Data'!$D$24</f>
        <v>0.13614999999999999</v>
      </c>
      <c r="C129" s="694" t="str">
        <f>"Over head charges &amp; CP "&amp;'Input Data'!$D$24*100&amp;"%  on (A) + (B)"</f>
        <v>Over head charges &amp; CP 13.615%  on (A) + (B)</v>
      </c>
      <c r="D129" s="702"/>
      <c r="E129" s="711">
        <f>G127+G124</f>
        <v>20184.8</v>
      </c>
      <c r="F129" s="702"/>
      <c r="G129" s="700">
        <f>E129*B129</f>
        <v>2748.1605199999999</v>
      </c>
    </row>
    <row r="130" spans="1:8">
      <c r="A130" s="690"/>
      <c r="B130" s="709">
        <f>'Input Data'!$E$24</f>
        <v>0</v>
      </c>
      <c r="C130" s="710" t="s">
        <v>1314</v>
      </c>
      <c r="D130" s="702"/>
      <c r="E130" s="712">
        <f>E129+G129</f>
        <v>22932.960520000001</v>
      </c>
      <c r="F130" s="702"/>
      <c r="G130" s="700">
        <f>E130*B130</f>
        <v>0</v>
      </c>
    </row>
    <row r="131" spans="1:8">
      <c r="A131" s="690"/>
      <c r="B131" s="686" t="s">
        <v>47</v>
      </c>
      <c r="C131" s="694" t="s">
        <v>89</v>
      </c>
      <c r="D131" s="702"/>
      <c r="E131" s="696"/>
      <c r="F131" s="697"/>
      <c r="G131" s="713">
        <f>G124+G127+G129+G130</f>
        <v>22932.960520000001</v>
      </c>
    </row>
    <row r="132" spans="1:8">
      <c r="A132" s="690"/>
      <c r="B132" s="699"/>
      <c r="C132" s="694" t="s">
        <v>1676</v>
      </c>
      <c r="D132" s="697"/>
      <c r="E132" s="696"/>
      <c r="F132" s="697"/>
      <c r="G132" s="713">
        <f>SUM(G131:G131)</f>
        <v>22932.960520000001</v>
      </c>
    </row>
    <row r="133" spans="1:8">
      <c r="A133" s="690"/>
      <c r="B133" s="699"/>
      <c r="C133" s="697" t="s">
        <v>216</v>
      </c>
      <c r="D133" s="697"/>
      <c r="E133" s="696"/>
      <c r="F133" s="697"/>
      <c r="G133" s="700">
        <f>G132/180</f>
        <v>127.40533622222223</v>
      </c>
    </row>
    <row r="134" spans="1:8">
      <c r="A134" s="690"/>
      <c r="B134" s="698"/>
      <c r="C134" s="3760" t="s">
        <v>217</v>
      </c>
      <c r="D134" s="3760"/>
      <c r="E134" s="700"/>
      <c r="F134" s="711"/>
      <c r="G134" s="741">
        <f>ROUND(G133,2)</f>
        <v>127.41</v>
      </c>
      <c r="H134" s="678" t="s">
        <v>956</v>
      </c>
    </row>
    <row r="135" spans="1:8">
      <c r="A135" s="690"/>
      <c r="B135" s="698"/>
      <c r="C135" s="711"/>
      <c r="D135" s="742"/>
      <c r="E135" s="700"/>
      <c r="F135" s="711"/>
      <c r="G135" s="714" t="s">
        <v>53</v>
      </c>
    </row>
    <row r="136" spans="1:8">
      <c r="A136" s="690"/>
      <c r="B136" s="698"/>
      <c r="C136" s="711"/>
      <c r="D136" s="742"/>
      <c r="E136" s="700"/>
      <c r="F136" s="711"/>
      <c r="G136" s="714"/>
    </row>
    <row r="137" spans="1:8" ht="90" customHeight="1">
      <c r="A137" s="743">
        <v>2</v>
      </c>
      <c r="B137" s="3686" t="s">
        <v>1677</v>
      </c>
      <c r="C137" s="3686"/>
      <c r="D137" s="3686"/>
      <c r="E137" s="3686"/>
      <c r="F137" s="3686"/>
      <c r="G137" s="3686"/>
    </row>
    <row r="138" spans="1:8">
      <c r="A138" s="690"/>
      <c r="B138" s="3759" t="s">
        <v>33</v>
      </c>
      <c r="C138" s="3759"/>
      <c r="D138" s="694" t="s">
        <v>206</v>
      </c>
      <c r="E138" s="688"/>
      <c r="F138" s="687"/>
      <c r="G138" s="738"/>
    </row>
    <row r="139" spans="1:8">
      <c r="A139" s="690"/>
      <c r="B139" s="3759" t="s">
        <v>205</v>
      </c>
      <c r="C139" s="3759"/>
      <c r="D139" s="3759"/>
      <c r="E139" s="688"/>
      <c r="F139" s="687"/>
      <c r="G139" s="738"/>
    </row>
    <row r="140" spans="1:8">
      <c r="A140" s="690"/>
      <c r="B140" s="686" t="s">
        <v>36</v>
      </c>
      <c r="C140" s="694" t="s">
        <v>37</v>
      </c>
      <c r="D140" s="686"/>
      <c r="E140" s="688"/>
      <c r="F140" s="687"/>
      <c r="G140" s="738"/>
    </row>
    <row r="141" spans="1:8">
      <c r="A141" s="690"/>
      <c r="B141" s="698">
        <v>0.02</v>
      </c>
      <c r="C141" s="696" t="s">
        <v>38</v>
      </c>
      <c r="D141" s="697" t="s">
        <v>14</v>
      </c>
      <c r="E141" s="698">
        <f>'SSR-rates'!$L$58</f>
        <v>575</v>
      </c>
      <c r="F141" s="699" t="s">
        <v>38</v>
      </c>
      <c r="G141" s="700">
        <f>ROUND(B141*E141,2)</f>
        <v>11.5</v>
      </c>
    </row>
    <row r="142" spans="1:8">
      <c r="A142" s="690"/>
      <c r="B142" s="698">
        <v>0.5</v>
      </c>
      <c r="C142" s="696" t="s">
        <v>38</v>
      </c>
      <c r="D142" s="697" t="s">
        <v>16</v>
      </c>
      <c r="E142" s="698">
        <f>'SSR-rates'!$L$60</f>
        <v>575</v>
      </c>
      <c r="F142" s="699" t="s">
        <v>38</v>
      </c>
      <c r="G142" s="700">
        <f>ROUND(B142*E142,2)</f>
        <v>287.5</v>
      </c>
    </row>
    <row r="143" spans="1:8">
      <c r="A143" s="690"/>
      <c r="B143" s="701">
        <f>'Input Data'!$D$23</f>
        <v>0</v>
      </c>
      <c r="C143" s="696"/>
      <c r="D143" s="702" t="s">
        <v>17</v>
      </c>
      <c r="E143" s="698"/>
      <c r="F143" s="699"/>
      <c r="G143" s="700">
        <f>(G141+G142)*B143</f>
        <v>0</v>
      </c>
    </row>
    <row r="144" spans="1:8">
      <c r="A144" s="690"/>
      <c r="B144" s="698"/>
      <c r="C144" s="696"/>
      <c r="D144" s="697"/>
      <c r="E144" s="698"/>
      <c r="F144" s="699"/>
      <c r="G144" s="700">
        <f>SUM(G141:G143)</f>
        <v>299</v>
      </c>
    </row>
    <row r="145" spans="1:8">
      <c r="A145" s="690"/>
      <c r="B145" s="686" t="s">
        <v>39</v>
      </c>
      <c r="C145" s="694" t="s">
        <v>40</v>
      </c>
      <c r="D145" s="702"/>
      <c r="E145" s="696"/>
      <c r="F145" s="697"/>
      <c r="G145" s="703"/>
    </row>
    <row r="146" spans="1:8">
      <c r="A146" s="690"/>
      <c r="B146" s="704">
        <v>0.5</v>
      </c>
      <c r="C146" s="705" t="s">
        <v>41</v>
      </c>
      <c r="D146" s="706" t="s">
        <v>211</v>
      </c>
      <c r="E146" s="698">
        <f>+'SSR-rates'!L62</f>
        <v>3164.8</v>
      </c>
      <c r="F146" s="704" t="s">
        <v>41</v>
      </c>
      <c r="G146" s="700">
        <f>ROUND(B146*E146,2)</f>
        <v>1582.4</v>
      </c>
    </row>
    <row r="147" spans="1:8" ht="30">
      <c r="A147" s="690"/>
      <c r="B147" s="704">
        <v>4</v>
      </c>
      <c r="C147" s="705" t="s">
        <v>41</v>
      </c>
      <c r="D147" s="706" t="s">
        <v>1678</v>
      </c>
      <c r="E147" s="704">
        <f>+'SSR-rates'!L71</f>
        <v>520</v>
      </c>
      <c r="F147" s="704" t="s">
        <v>41</v>
      </c>
      <c r="G147" s="700">
        <f>ROUND(B147*E147,2)</f>
        <v>2080</v>
      </c>
    </row>
    <row r="148" spans="1:8">
      <c r="A148" s="690"/>
      <c r="B148" s="698">
        <v>4</v>
      </c>
      <c r="C148" s="696" t="s">
        <v>41</v>
      </c>
      <c r="D148" s="697" t="s">
        <v>213</v>
      </c>
      <c r="E148" s="698">
        <f>'SSR-rates'!$L$69</f>
        <v>769</v>
      </c>
      <c r="F148" s="698" t="s">
        <v>41</v>
      </c>
      <c r="G148" s="700">
        <f>ROUND(B148*E148,2)</f>
        <v>3076</v>
      </c>
    </row>
    <row r="149" spans="1:8">
      <c r="A149" s="690"/>
      <c r="B149" s="698">
        <v>1</v>
      </c>
      <c r="C149" s="696" t="s">
        <v>41</v>
      </c>
      <c r="D149" s="697" t="s">
        <v>214</v>
      </c>
      <c r="E149" s="698">
        <f>'SSR-rates'!$L$67</f>
        <v>3517.9</v>
      </c>
      <c r="F149" s="698" t="s">
        <v>41</v>
      </c>
      <c r="G149" s="700">
        <f>ROUND(B149*E149,2)</f>
        <v>3517.9</v>
      </c>
    </row>
    <row r="150" spans="1:8">
      <c r="A150" s="690"/>
      <c r="B150" s="698"/>
      <c r="C150" s="696"/>
      <c r="D150" s="697"/>
      <c r="E150" s="698"/>
      <c r="F150" s="698"/>
      <c r="G150" s="700">
        <f>SUM(G146:G149)</f>
        <v>10256.299999999999</v>
      </c>
    </row>
    <row r="151" spans="1:8">
      <c r="A151" s="690"/>
      <c r="B151" s="686" t="s">
        <v>27</v>
      </c>
      <c r="C151" s="694" t="s">
        <v>1679</v>
      </c>
      <c r="D151" s="702"/>
      <c r="E151" s="698"/>
      <c r="F151" s="698"/>
      <c r="G151" s="700"/>
    </row>
    <row r="152" spans="1:8">
      <c r="A152" s="690"/>
      <c r="B152" s="704">
        <v>24</v>
      </c>
      <c r="C152" s="705" t="s">
        <v>1680</v>
      </c>
      <c r="D152" s="706" t="s">
        <v>1681</v>
      </c>
      <c r="E152" s="704">
        <f>IF(lead!$C$63="Y",'SSR-rates'!$L$112,0)</f>
        <v>0</v>
      </c>
      <c r="F152" s="704" t="s">
        <v>41</v>
      </c>
      <c r="G152" s="700">
        <f>ROUND(B152*E152,2)</f>
        <v>0</v>
      </c>
    </row>
    <row r="153" spans="1:8">
      <c r="A153" s="690"/>
      <c r="B153" s="686" t="s">
        <v>45</v>
      </c>
      <c r="C153" s="708" t="s">
        <v>1283</v>
      </c>
      <c r="D153" s="702"/>
      <c r="E153" s="711"/>
      <c r="F153" s="702"/>
      <c r="G153" s="703"/>
    </row>
    <row r="154" spans="1:8">
      <c r="A154" s="690"/>
      <c r="B154" s="709">
        <f>'Input Data'!$D$24</f>
        <v>0.13614999999999999</v>
      </c>
      <c r="C154" s="694" t="str">
        <f>"Over head charges &amp; CP "&amp;'Input Data'!$D$24*100&amp;"%  on (A) + (B)"</f>
        <v>Over head charges &amp; CP 13.615%  on (A) + (B)</v>
      </c>
      <c r="D154" s="702"/>
      <c r="E154" s="711">
        <f>G150+G144+G152</f>
        <v>10555.3</v>
      </c>
      <c r="F154" s="702"/>
      <c r="G154" s="700">
        <f>E154*B154</f>
        <v>1437.1040949999999</v>
      </c>
    </row>
    <row r="155" spans="1:8">
      <c r="A155" s="690"/>
      <c r="B155" s="744">
        <f>'Input Data'!$E$24</f>
        <v>0</v>
      </c>
      <c r="C155" s="710" t="s">
        <v>1314</v>
      </c>
      <c r="D155" s="702"/>
      <c r="E155" s="712">
        <f>E154+G154</f>
        <v>11992.404095</v>
      </c>
      <c r="F155" s="702"/>
      <c r="G155" s="700">
        <f>E155*B155</f>
        <v>0</v>
      </c>
    </row>
    <row r="156" spans="1:8">
      <c r="A156" s="690"/>
      <c r="B156" s="686" t="s">
        <v>47</v>
      </c>
      <c r="C156" s="694" t="s">
        <v>89</v>
      </c>
      <c r="D156" s="702"/>
      <c r="E156" s="696"/>
      <c r="F156" s="697"/>
      <c r="G156" s="713">
        <f>G144+G150+G154+G152+G155</f>
        <v>11992.404095</v>
      </c>
    </row>
    <row r="157" spans="1:8">
      <c r="A157" s="690"/>
      <c r="B157" s="699"/>
      <c r="C157" s="694" t="s">
        <v>1676</v>
      </c>
      <c r="D157" s="697"/>
      <c r="E157" s="696"/>
      <c r="F157" s="697"/>
      <c r="G157" s="713">
        <f>SUM(G156:G156)</f>
        <v>11992.404095</v>
      </c>
    </row>
    <row r="158" spans="1:8">
      <c r="A158" s="690"/>
      <c r="B158" s="699"/>
      <c r="C158" s="697" t="s">
        <v>216</v>
      </c>
      <c r="D158" s="697"/>
      <c r="E158" s="696"/>
      <c r="F158" s="697"/>
      <c r="G158" s="700">
        <f>G157/100</f>
        <v>119.92404095000001</v>
      </c>
    </row>
    <row r="159" spans="1:8">
      <c r="A159" s="690"/>
      <c r="B159" s="698"/>
      <c r="C159" s="3760" t="s">
        <v>217</v>
      </c>
      <c r="D159" s="3760"/>
      <c r="E159" s="700"/>
      <c r="F159" s="711"/>
      <c r="G159" s="741">
        <f>ROUND(G158,2)</f>
        <v>119.92</v>
      </c>
      <c r="H159" s="678" t="s">
        <v>956</v>
      </c>
    </row>
    <row r="160" spans="1:8">
      <c r="A160" s="690"/>
      <c r="B160" s="698"/>
      <c r="C160" s="711"/>
      <c r="D160" s="742"/>
      <c r="E160" s="700"/>
      <c r="F160" s="711"/>
      <c r="G160" s="714" t="s">
        <v>53</v>
      </c>
    </row>
    <row r="161" spans="1:7" ht="114.95" customHeight="1">
      <c r="A161" s="690">
        <v>3</v>
      </c>
      <c r="B161" s="3686" t="s">
        <v>1682</v>
      </c>
      <c r="C161" s="3686"/>
      <c r="D161" s="3686"/>
      <c r="E161" s="3686"/>
      <c r="F161" s="3686"/>
      <c r="G161" s="3686"/>
    </row>
    <row r="162" spans="1:7">
      <c r="A162" s="690"/>
      <c r="B162" s="3759" t="s">
        <v>33</v>
      </c>
      <c r="C162" s="3759"/>
      <c r="D162" s="694" t="s">
        <v>1683</v>
      </c>
      <c r="E162" s="688"/>
      <c r="F162" s="687"/>
      <c r="G162" s="738"/>
    </row>
    <row r="163" spans="1:7">
      <c r="A163" s="690"/>
      <c r="B163" s="3759" t="s">
        <v>205</v>
      </c>
      <c r="C163" s="3759"/>
      <c r="D163" s="3759"/>
      <c r="E163" s="688"/>
      <c r="F163" s="687"/>
      <c r="G163" s="738"/>
    </row>
    <row r="164" spans="1:7">
      <c r="A164" s="690"/>
      <c r="B164" s="686" t="s">
        <v>36</v>
      </c>
      <c r="C164" s="694" t="s">
        <v>37</v>
      </c>
      <c r="D164" s="686"/>
      <c r="E164" s="688"/>
      <c r="F164" s="687"/>
      <c r="G164" s="738"/>
    </row>
    <row r="165" spans="1:7">
      <c r="A165" s="690"/>
      <c r="B165" s="698">
        <v>0.04</v>
      </c>
      <c r="C165" s="696" t="s">
        <v>38</v>
      </c>
      <c r="D165" s="697" t="s">
        <v>14</v>
      </c>
      <c r="E165" s="698">
        <f>'SSR-rates'!$L$58</f>
        <v>575</v>
      </c>
      <c r="F165" s="699" t="s">
        <v>38</v>
      </c>
      <c r="G165" s="700">
        <f>ROUND(B165*E165,2)</f>
        <v>23</v>
      </c>
    </row>
    <row r="166" spans="1:7">
      <c r="A166" s="690"/>
      <c r="B166" s="698">
        <v>1</v>
      </c>
      <c r="C166" s="696" t="s">
        <v>38</v>
      </c>
      <c r="D166" s="697" t="s">
        <v>16</v>
      </c>
      <c r="E166" s="698">
        <f>'SSR-rates'!$L$60</f>
        <v>575</v>
      </c>
      <c r="F166" s="699" t="s">
        <v>38</v>
      </c>
      <c r="G166" s="700">
        <f>ROUND(B166*E166,2)</f>
        <v>575</v>
      </c>
    </row>
    <row r="167" spans="1:7">
      <c r="A167" s="690"/>
      <c r="B167" s="701">
        <f>'Input Data'!D23</f>
        <v>0</v>
      </c>
      <c r="C167" s="696"/>
      <c r="D167" s="702" t="s">
        <v>17</v>
      </c>
      <c r="E167" s="698"/>
      <c r="F167" s="699"/>
      <c r="G167" s="700">
        <f>(G165+G166)*B167</f>
        <v>0</v>
      </c>
    </row>
    <row r="168" spans="1:7">
      <c r="A168" s="690"/>
      <c r="B168" s="698"/>
      <c r="C168" s="696"/>
      <c r="D168" s="697"/>
      <c r="E168" s="698"/>
      <c r="F168" s="699"/>
      <c r="G168" s="713">
        <f>SUM(G165:G167)</f>
        <v>598</v>
      </c>
    </row>
    <row r="169" spans="1:7">
      <c r="A169" s="690"/>
      <c r="B169" s="686" t="s">
        <v>39</v>
      </c>
      <c r="C169" s="694" t="s">
        <v>40</v>
      </c>
      <c r="D169" s="702"/>
      <c r="E169" s="696"/>
      <c r="F169" s="697"/>
      <c r="G169" s="703"/>
    </row>
    <row r="170" spans="1:7" ht="30">
      <c r="A170" s="690"/>
      <c r="B170" s="704">
        <v>1.67</v>
      </c>
      <c r="C170" s="705" t="s">
        <v>41</v>
      </c>
      <c r="D170" s="706" t="s">
        <v>42</v>
      </c>
      <c r="E170" s="704">
        <f>'SSR-rates'!$L$64</f>
        <v>3557.7</v>
      </c>
      <c r="F170" s="704" t="s">
        <v>41</v>
      </c>
      <c r="G170" s="700">
        <f>B170*E170</f>
        <v>5941.3589999999995</v>
      </c>
    </row>
    <row r="171" spans="1:7">
      <c r="A171" s="690"/>
      <c r="B171" s="698">
        <f>'Input Data'!E18*160</f>
        <v>800</v>
      </c>
      <c r="C171" s="696" t="s">
        <v>207</v>
      </c>
      <c r="D171" s="697" t="str">
        <f>"Tipper (for "&amp;'Input Data'!E18&amp;"Kms=160x"&amp;'Input Data'!E18&amp;"="&amp;'Input Data'!E18*160&amp;")"</f>
        <v>Tipper (for 5Kms=160x5=800)</v>
      </c>
      <c r="E171" s="698">
        <f>G205</f>
        <v>8</v>
      </c>
      <c r="F171" s="698" t="s">
        <v>207</v>
      </c>
      <c r="G171" s="700">
        <f>ROUND(B171*E171,2)</f>
        <v>6400</v>
      </c>
    </row>
    <row r="172" spans="1:7" ht="30">
      <c r="A172" s="690"/>
      <c r="B172" s="698"/>
      <c r="C172" s="696"/>
      <c r="D172" s="706" t="s">
        <v>210</v>
      </c>
      <c r="E172" s="704"/>
      <c r="F172" s="698"/>
      <c r="G172" s="700">
        <f>ROUND(G171*10/100,2)</f>
        <v>640</v>
      </c>
    </row>
    <row r="173" spans="1:7">
      <c r="A173" s="690"/>
      <c r="B173" s="704">
        <v>0.5</v>
      </c>
      <c r="C173" s="705" t="s">
        <v>41</v>
      </c>
      <c r="D173" s="706" t="s">
        <v>211</v>
      </c>
      <c r="E173" s="704">
        <f>'SSR-rates'!$L$62</f>
        <v>3164.8</v>
      </c>
      <c r="F173" s="704" t="s">
        <v>41</v>
      </c>
      <c r="G173" s="700">
        <f>ROUND(B173*E173,2)</f>
        <v>1582.4</v>
      </c>
    </row>
    <row r="174" spans="1:7" ht="30">
      <c r="A174" s="690"/>
      <c r="B174" s="704">
        <v>4</v>
      </c>
      <c r="C174" s="705" t="s">
        <v>41</v>
      </c>
      <c r="D174" s="706" t="s">
        <v>1678</v>
      </c>
      <c r="E174" s="704">
        <f>+'SSR-rates'!L71</f>
        <v>520</v>
      </c>
      <c r="F174" s="704" t="s">
        <v>41</v>
      </c>
      <c r="G174" s="700">
        <f>ROUND(B174*E174,2)</f>
        <v>2080</v>
      </c>
    </row>
    <row r="175" spans="1:7">
      <c r="A175" s="690"/>
      <c r="B175" s="698">
        <v>4</v>
      </c>
      <c r="C175" s="696" t="s">
        <v>41</v>
      </c>
      <c r="D175" s="697" t="s">
        <v>213</v>
      </c>
      <c r="E175" s="698">
        <f>'SSR-rates'!$L$69</f>
        <v>769</v>
      </c>
      <c r="F175" s="698" t="s">
        <v>41</v>
      </c>
      <c r="G175" s="700">
        <f>ROUND(B175*E175,2)</f>
        <v>3076</v>
      </c>
    </row>
    <row r="176" spans="1:7">
      <c r="A176" s="690"/>
      <c r="B176" s="698">
        <v>1</v>
      </c>
      <c r="C176" s="696" t="s">
        <v>41</v>
      </c>
      <c r="D176" s="697" t="s">
        <v>214</v>
      </c>
      <c r="E176" s="698">
        <f>'SSR-rates'!$L$67</f>
        <v>3517.9</v>
      </c>
      <c r="F176" s="698" t="s">
        <v>41</v>
      </c>
      <c r="G176" s="700">
        <f>ROUND(B176*E176,2)</f>
        <v>3517.9</v>
      </c>
    </row>
    <row r="177" spans="1:8">
      <c r="A177" s="690"/>
      <c r="B177" s="699"/>
      <c r="C177" s="702"/>
      <c r="D177" s="697"/>
      <c r="E177" s="698"/>
      <c r="F177" s="698"/>
      <c r="G177" s="713">
        <f>SUM(G170:G176)</f>
        <v>23237.659</v>
      </c>
    </row>
    <row r="178" spans="1:8">
      <c r="A178" s="690"/>
      <c r="B178" s="686" t="s">
        <v>27</v>
      </c>
      <c r="C178" s="694" t="s">
        <v>61</v>
      </c>
      <c r="D178" s="702"/>
      <c r="E178" s="696"/>
      <c r="F178" s="697"/>
      <c r="G178" s="703"/>
    </row>
    <row r="179" spans="1:8">
      <c r="A179" s="690"/>
      <c r="B179" s="704">
        <v>24</v>
      </c>
      <c r="C179" s="705" t="s">
        <v>1680</v>
      </c>
      <c r="D179" s="706" t="s">
        <v>1681</v>
      </c>
      <c r="E179" s="704">
        <f>IF(lead!$C$63="Y",'SSR-rates'!$L$112,0)</f>
        <v>0</v>
      </c>
      <c r="F179" s="704" t="s">
        <v>41</v>
      </c>
      <c r="G179" s="700">
        <f>ROUND(B179*E179,2)</f>
        <v>0</v>
      </c>
    </row>
    <row r="180" spans="1:8">
      <c r="A180" s="690"/>
      <c r="B180" s="704">
        <v>100</v>
      </c>
      <c r="C180" s="705" t="s">
        <v>73</v>
      </c>
      <c r="D180" s="706" t="s">
        <v>1684</v>
      </c>
      <c r="E180" s="704">
        <v>0</v>
      </c>
      <c r="F180" s="704" t="s">
        <v>41</v>
      </c>
      <c r="G180" s="700">
        <f>ROUND(B180*E180,2)</f>
        <v>0</v>
      </c>
    </row>
    <row r="181" spans="1:8">
      <c r="A181" s="690"/>
      <c r="B181" s="704"/>
      <c r="C181" s="705"/>
      <c r="D181" s="706"/>
      <c r="E181" s="704"/>
      <c r="F181" s="704"/>
      <c r="G181" s="700">
        <f>SUM(G179:G180)</f>
        <v>0</v>
      </c>
    </row>
    <row r="182" spans="1:8">
      <c r="A182" s="690"/>
      <c r="B182" s="686" t="s">
        <v>27</v>
      </c>
      <c r="C182" s="708" t="s">
        <v>1283</v>
      </c>
      <c r="D182" s="702"/>
      <c r="E182" s="711"/>
      <c r="F182" s="702"/>
      <c r="G182" s="703"/>
    </row>
    <row r="183" spans="1:8">
      <c r="A183" s="690"/>
      <c r="B183" s="709">
        <f>'Input Data'!$D$24</f>
        <v>0.13614999999999999</v>
      </c>
      <c r="C183" s="694" t="str">
        <f>"Over head charges &amp; CP "&amp;'Input Data'!$D$24*100&amp;"%  on (A) + (B)"</f>
        <v>Over head charges &amp; CP 13.615%  on (A) + (B)</v>
      </c>
      <c r="D183" s="702"/>
      <c r="E183" s="711">
        <f>G177+G168+G181</f>
        <v>23835.659</v>
      </c>
      <c r="F183" s="702"/>
      <c r="G183" s="713">
        <f>B183*E183</f>
        <v>3245.2249728499996</v>
      </c>
    </row>
    <row r="184" spans="1:8">
      <c r="A184" s="690"/>
      <c r="B184" s="744">
        <f>'Input Data'!$E$24</f>
        <v>0</v>
      </c>
      <c r="C184" s="710" t="s">
        <v>1314</v>
      </c>
      <c r="D184" s="702"/>
      <c r="E184" s="712">
        <f>E183+G183</f>
        <v>27080.883972849999</v>
      </c>
      <c r="F184" s="702"/>
      <c r="G184" s="700">
        <f>E184*B184</f>
        <v>0</v>
      </c>
    </row>
    <row r="185" spans="1:8">
      <c r="A185" s="690"/>
      <c r="B185" s="686" t="s">
        <v>45</v>
      </c>
      <c r="C185" s="694" t="s">
        <v>46</v>
      </c>
      <c r="D185" s="702"/>
      <c r="E185" s="696"/>
      <c r="F185" s="697"/>
      <c r="G185" s="713">
        <f>G168+G177+G183+G181+G184</f>
        <v>27080.883972849999</v>
      </c>
    </row>
    <row r="186" spans="1:8">
      <c r="A186" s="690"/>
      <c r="B186" s="699"/>
      <c r="C186" s="694" t="s">
        <v>1685</v>
      </c>
      <c r="D186" s="697"/>
      <c r="E186" s="696"/>
      <c r="F186" s="697"/>
      <c r="G186" s="713">
        <f>SUM(G185:G185)</f>
        <v>27080.883972849999</v>
      </c>
    </row>
    <row r="187" spans="1:8">
      <c r="A187" s="690"/>
      <c r="B187" s="699"/>
      <c r="C187" s="697" t="s">
        <v>216</v>
      </c>
      <c r="D187" s="697"/>
      <c r="E187" s="696"/>
      <c r="F187" s="697"/>
      <c r="G187" s="700">
        <f>G186/100</f>
        <v>270.8088397285</v>
      </c>
    </row>
    <row r="188" spans="1:8">
      <c r="A188" s="690"/>
      <c r="B188" s="698"/>
      <c r="C188" s="711"/>
      <c r="D188" s="740" t="s">
        <v>217</v>
      </c>
      <c r="E188" s="700"/>
      <c r="F188" s="711"/>
      <c r="G188" s="741">
        <f>ROUND(G187,2)</f>
        <v>270.81</v>
      </c>
      <c r="H188" s="678" t="s">
        <v>956</v>
      </c>
    </row>
    <row r="189" spans="1:8">
      <c r="A189" s="690"/>
      <c r="B189" s="698"/>
      <c r="C189" s="711"/>
      <c r="D189" s="742"/>
      <c r="E189" s="700"/>
      <c r="F189" s="711"/>
      <c r="G189" s="714" t="s">
        <v>53</v>
      </c>
    </row>
    <row r="190" spans="1:8" s="677" customFormat="1">
      <c r="A190" s="690"/>
      <c r="B190" s="698"/>
      <c r="C190" s="711"/>
      <c r="D190" s="742"/>
      <c r="E190" s="700"/>
      <c r="F190" s="711"/>
      <c r="G190" s="714"/>
    </row>
    <row r="191" spans="1:8" s="677" customFormat="1">
      <c r="A191" s="690"/>
      <c r="B191" s="698"/>
      <c r="C191" s="711"/>
      <c r="D191" s="742"/>
      <c r="E191" s="700"/>
      <c r="F191" s="711"/>
      <c r="G191" s="714"/>
    </row>
    <row r="192" spans="1:8">
      <c r="A192" s="686"/>
      <c r="B192" s="745" t="s">
        <v>1686</v>
      </c>
      <c r="C192" s="746"/>
      <c r="D192" s="746"/>
      <c r="E192" s="747"/>
      <c r="F192" s="746"/>
      <c r="G192" s="748"/>
    </row>
    <row r="193" spans="1:8">
      <c r="A193" s="749"/>
      <c r="B193" s="750" t="s">
        <v>1687</v>
      </c>
      <c r="C193" s="750"/>
      <c r="D193" s="750"/>
      <c r="E193" s="750"/>
      <c r="F193" s="750"/>
      <c r="G193" s="750"/>
    </row>
    <row r="194" spans="1:8">
      <c r="A194" s="749"/>
      <c r="B194" s="3761" t="s">
        <v>1688</v>
      </c>
      <c r="C194" s="3761"/>
      <c r="D194" s="3761"/>
      <c r="E194" s="3761"/>
      <c r="F194" s="3761"/>
      <c r="G194" s="3761"/>
    </row>
    <row r="195" spans="1:8">
      <c r="A195" s="749"/>
      <c r="B195" s="750" t="s">
        <v>1689</v>
      </c>
      <c r="C195" s="750"/>
      <c r="D195" s="751" t="s">
        <v>1690</v>
      </c>
      <c r="E195" s="750"/>
      <c r="F195" s="750"/>
      <c r="G195" s="750"/>
    </row>
    <row r="196" spans="1:8" ht="30">
      <c r="A196" s="749"/>
      <c r="B196" s="750"/>
      <c r="C196" s="750"/>
      <c r="D196" s="751" t="s">
        <v>1691</v>
      </c>
      <c r="E196" s="750"/>
      <c r="F196" s="750"/>
      <c r="G196" s="750"/>
    </row>
    <row r="197" spans="1:8">
      <c r="A197" s="752"/>
      <c r="B197" s="753" t="s">
        <v>1692</v>
      </c>
      <c r="C197" s="753"/>
      <c r="D197" s="751"/>
      <c r="E197" s="753"/>
      <c r="F197" s="753"/>
      <c r="G197" s="753"/>
    </row>
    <row r="198" spans="1:8">
      <c r="A198" s="749"/>
      <c r="B198" s="750"/>
      <c r="C198" s="750"/>
      <c r="D198" s="751" t="s">
        <v>1693</v>
      </c>
      <c r="E198" s="750"/>
      <c r="F198" s="750"/>
      <c r="G198" s="750"/>
    </row>
    <row r="199" spans="1:8">
      <c r="A199" s="749"/>
      <c r="B199" s="750"/>
      <c r="C199" s="750"/>
      <c r="D199" s="751" t="s">
        <v>1694</v>
      </c>
      <c r="E199" s="750"/>
      <c r="F199" s="750"/>
      <c r="G199" s="750"/>
    </row>
    <row r="200" spans="1:8">
      <c r="A200" s="749"/>
      <c r="B200" s="750" t="s">
        <v>1695</v>
      </c>
      <c r="C200" s="750"/>
      <c r="D200" s="751"/>
      <c r="E200" s="750"/>
      <c r="F200" s="750"/>
      <c r="G200" s="750"/>
    </row>
    <row r="201" spans="1:8">
      <c r="A201" s="749"/>
      <c r="B201" s="750"/>
      <c r="C201" s="750" t="s">
        <v>1696</v>
      </c>
      <c r="D201" s="751"/>
      <c r="E201" s="750"/>
      <c r="F201" s="750"/>
      <c r="G201" s="750"/>
    </row>
    <row r="202" spans="1:8">
      <c r="A202" s="749"/>
      <c r="B202" s="750">
        <v>0.4</v>
      </c>
      <c r="C202" s="750" t="s">
        <v>1697</v>
      </c>
      <c r="D202" s="751" t="s">
        <v>1698</v>
      </c>
      <c r="E202" s="754">
        <f>'SSR-rates'!L90</f>
        <v>1250.0999999999999</v>
      </c>
      <c r="F202" s="750" t="s">
        <v>23</v>
      </c>
      <c r="G202" s="750">
        <f>ROUND(B202*E202,2)</f>
        <v>500.04</v>
      </c>
    </row>
    <row r="203" spans="1:8">
      <c r="A203" s="749"/>
      <c r="B203" s="750">
        <v>0.28999999999999998</v>
      </c>
      <c r="C203" s="750" t="s">
        <v>1697</v>
      </c>
      <c r="D203" s="751" t="s">
        <v>1699</v>
      </c>
      <c r="E203" s="754">
        <f>'SSR-rates'!L90</f>
        <v>1250.0999999999999</v>
      </c>
      <c r="F203" s="750" t="s">
        <v>23</v>
      </c>
      <c r="G203" s="750">
        <f>ROUND(B203*E203,2)</f>
        <v>362.53</v>
      </c>
    </row>
    <row r="204" spans="1:8">
      <c r="A204" s="749"/>
      <c r="B204" s="750"/>
      <c r="C204" s="750"/>
      <c r="D204" s="751" t="s">
        <v>1700</v>
      </c>
      <c r="E204" s="750"/>
      <c r="F204" s="750"/>
      <c r="G204" s="750">
        <f>SUM(G202:G203)</f>
        <v>862.56999999999994</v>
      </c>
    </row>
    <row r="205" spans="1:8">
      <c r="A205" s="749"/>
      <c r="B205" s="750"/>
      <c r="C205" s="750"/>
      <c r="D205" s="751" t="s">
        <v>1701</v>
      </c>
      <c r="E205" s="750"/>
      <c r="F205" s="753" t="s">
        <v>430</v>
      </c>
      <c r="G205" s="755">
        <v>8</v>
      </c>
      <c r="H205" s="756" t="s">
        <v>1702</v>
      </c>
    </row>
    <row r="206" spans="1:8" ht="54" customHeight="1">
      <c r="A206" s="757">
        <v>7</v>
      </c>
      <c r="B206" s="3762" t="s">
        <v>1703</v>
      </c>
      <c r="C206" s="3762"/>
      <c r="D206" s="3762"/>
      <c r="E206" s="3762"/>
      <c r="F206" s="3762"/>
      <c r="G206" s="3762"/>
    </row>
    <row r="207" spans="1:8">
      <c r="A207" s="757"/>
      <c r="B207" s="758" t="s">
        <v>10</v>
      </c>
      <c r="C207" s="759"/>
      <c r="D207" s="760" t="s">
        <v>1704</v>
      </c>
      <c r="E207" s="761"/>
      <c r="F207" s="762"/>
      <c r="G207" s="763"/>
    </row>
    <row r="208" spans="1:8">
      <c r="A208" s="757"/>
      <c r="B208" s="761" t="s">
        <v>1705</v>
      </c>
      <c r="C208" s="759"/>
      <c r="D208" s="762"/>
      <c r="E208" s="761"/>
      <c r="F208" s="762"/>
      <c r="G208" s="763"/>
    </row>
    <row r="209" spans="1:9">
      <c r="A209" s="757"/>
      <c r="B209" s="764" t="s">
        <v>36</v>
      </c>
      <c r="C209" s="760" t="s">
        <v>37</v>
      </c>
      <c r="D209" s="764"/>
      <c r="E209" s="765"/>
      <c r="F209" s="766"/>
      <c r="G209" s="767"/>
    </row>
    <row r="210" spans="1:9" s="679" customFormat="1">
      <c r="A210" s="757"/>
      <c r="B210" s="758">
        <v>0.12</v>
      </c>
      <c r="C210" s="761" t="s">
        <v>38</v>
      </c>
      <c r="D210" s="762" t="s">
        <v>14</v>
      </c>
      <c r="E210" s="758">
        <f>'SSR-rates'!$L$58</f>
        <v>575</v>
      </c>
      <c r="F210" s="768" t="s">
        <v>38</v>
      </c>
      <c r="G210" s="769">
        <f>ROUND(B210*E210,2)</f>
        <v>69</v>
      </c>
    </row>
    <row r="211" spans="1:9" s="679" customFormat="1">
      <c r="A211" s="757"/>
      <c r="B211" s="758">
        <v>3</v>
      </c>
      <c r="C211" s="761" t="s">
        <v>38</v>
      </c>
      <c r="D211" s="762" t="s">
        <v>16</v>
      </c>
      <c r="E211" s="758">
        <f>'SSR-rates'!$L$60</f>
        <v>575</v>
      </c>
      <c r="F211" s="768" t="s">
        <v>38</v>
      </c>
      <c r="G211" s="769">
        <f>ROUND(B211*E211,2)</f>
        <v>1725</v>
      </c>
    </row>
    <row r="212" spans="1:9" s="679" customFormat="1">
      <c r="A212" s="757"/>
      <c r="B212" s="770">
        <f>'Input Data'!$D$23</f>
        <v>0</v>
      </c>
      <c r="C212" s="761"/>
      <c r="D212" s="759" t="s">
        <v>17</v>
      </c>
      <c r="E212" s="758"/>
      <c r="F212" s="768"/>
      <c r="G212" s="769">
        <f>(G210+G211)*B212</f>
        <v>0</v>
      </c>
    </row>
    <row r="213" spans="1:9" s="679" customFormat="1">
      <c r="A213" s="757"/>
      <c r="B213" s="768"/>
      <c r="C213" s="762"/>
      <c r="D213" s="762" t="s">
        <v>60</v>
      </c>
      <c r="E213" s="761"/>
      <c r="F213" s="762"/>
      <c r="G213" s="771">
        <f>SUM(G210:G212)</f>
        <v>1794</v>
      </c>
    </row>
    <row r="214" spans="1:9" s="679" customFormat="1">
      <c r="A214" s="757"/>
      <c r="B214" s="764" t="s">
        <v>39</v>
      </c>
      <c r="C214" s="760" t="s">
        <v>40</v>
      </c>
      <c r="D214" s="759"/>
      <c r="E214" s="761"/>
      <c r="F214" s="762"/>
      <c r="G214" s="769"/>
    </row>
    <row r="215" spans="1:9" s="679" customFormat="1" ht="30">
      <c r="A215" s="757"/>
      <c r="B215" s="758">
        <v>9</v>
      </c>
      <c r="C215" s="761" t="s">
        <v>41</v>
      </c>
      <c r="D215" s="772" t="s">
        <v>1706</v>
      </c>
      <c r="E215" s="773">
        <f>'SSR-rates'!L72</f>
        <v>625</v>
      </c>
      <c r="F215" s="758" t="s">
        <v>41</v>
      </c>
      <c r="G215" s="769">
        <f>ROUND(B215*E215,2)</f>
        <v>5625</v>
      </c>
    </row>
    <row r="216" spans="1:9" s="679" customFormat="1" ht="30">
      <c r="A216" s="757"/>
      <c r="B216" s="758">
        <v>24</v>
      </c>
      <c r="C216" s="761" t="s">
        <v>41</v>
      </c>
      <c r="D216" s="772" t="s">
        <v>1678</v>
      </c>
      <c r="E216" s="758">
        <f>'SSR-rates'!$L$71</f>
        <v>520</v>
      </c>
      <c r="F216" s="758" t="s">
        <v>41</v>
      </c>
      <c r="G216" s="769">
        <f>ROUND(B216*E216,2)</f>
        <v>12480</v>
      </c>
      <c r="I216" s="679">
        <f>600/25</f>
        <v>24</v>
      </c>
    </row>
    <row r="217" spans="1:9" s="679" customFormat="1">
      <c r="A217" s="757"/>
      <c r="B217" s="758">
        <v>7.5</v>
      </c>
      <c r="C217" s="761" t="s">
        <v>41</v>
      </c>
      <c r="D217" s="762" t="s">
        <v>214</v>
      </c>
      <c r="E217" s="758">
        <f>'SSR-rates'!$L$67</f>
        <v>3517.9</v>
      </c>
      <c r="F217" s="758" t="s">
        <v>41</v>
      </c>
      <c r="G217" s="769">
        <f>ROUND(B217*E217,2)</f>
        <v>26384.25</v>
      </c>
    </row>
    <row r="218" spans="1:9" s="679" customFormat="1">
      <c r="A218" s="757"/>
      <c r="B218" s="758">
        <v>4</v>
      </c>
      <c r="C218" s="761" t="s">
        <v>41</v>
      </c>
      <c r="D218" s="762" t="s">
        <v>213</v>
      </c>
      <c r="E218" s="758">
        <f>'SSR-rates'!$L$69</f>
        <v>769</v>
      </c>
      <c r="F218" s="758" t="s">
        <v>41</v>
      </c>
      <c r="G218" s="769">
        <f>ROUND(B218*E218,2)</f>
        <v>3076</v>
      </c>
    </row>
    <row r="219" spans="1:9" s="679" customFormat="1">
      <c r="A219" s="757"/>
      <c r="B219" s="768"/>
      <c r="C219" s="762"/>
      <c r="D219" s="762" t="s">
        <v>60</v>
      </c>
      <c r="E219" s="761"/>
      <c r="F219" s="762"/>
      <c r="G219" s="771">
        <f>SUM(G215:G218)</f>
        <v>47565.25</v>
      </c>
    </row>
    <row r="220" spans="1:9" s="679" customFormat="1">
      <c r="A220" s="757"/>
      <c r="B220" s="764" t="s">
        <v>27</v>
      </c>
      <c r="C220" s="774" t="s">
        <v>1283</v>
      </c>
      <c r="D220" s="762"/>
      <c r="E220" s="761"/>
      <c r="F220" s="762"/>
      <c r="G220" s="771"/>
    </row>
    <row r="221" spans="1:9" s="679" customFormat="1">
      <c r="A221" s="757"/>
      <c r="B221" s="775">
        <f>'Input Data'!$D$24</f>
        <v>0.13614999999999999</v>
      </c>
      <c r="C221" s="761"/>
      <c r="D221" s="776" t="str">
        <f>"Over head charges &amp; CP "&amp;'Input Data'!$D$24*100&amp;"%  on (A) + (B)"</f>
        <v>Over head charges &amp; CP 13.615%  on (A) + (B)</v>
      </c>
      <c r="E221" s="761">
        <f>G219+G213</f>
        <v>49359.25</v>
      </c>
      <c r="F221" s="762"/>
      <c r="G221" s="769">
        <f>B221*E221</f>
        <v>6720.2618874999998</v>
      </c>
    </row>
    <row r="222" spans="1:9" s="679" customFormat="1">
      <c r="A222" s="757"/>
      <c r="B222" s="764" t="s">
        <v>45</v>
      </c>
      <c r="C222" s="760" t="s">
        <v>46</v>
      </c>
      <c r="D222" s="759"/>
      <c r="E222" s="761"/>
      <c r="F222" s="762"/>
      <c r="G222" s="771">
        <f>G213+G219+G221</f>
        <v>56079.511887499997</v>
      </c>
    </row>
    <row r="223" spans="1:9" s="679" customFormat="1">
      <c r="A223" s="757"/>
      <c r="B223" s="768"/>
      <c r="C223" s="759"/>
      <c r="D223" s="760" t="s">
        <v>1707</v>
      </c>
      <c r="E223" s="761"/>
      <c r="F223" s="762"/>
      <c r="G223" s="771">
        <f>SUM(G222)</f>
        <v>56079.511887499997</v>
      </c>
    </row>
    <row r="224" spans="1:9" s="679" customFormat="1">
      <c r="A224" s="757"/>
      <c r="B224" s="768"/>
      <c r="C224" s="762"/>
      <c r="D224" s="760" t="s">
        <v>217</v>
      </c>
      <c r="E224" s="761"/>
      <c r="F224" s="762"/>
      <c r="G224" s="769">
        <f>ROUND(G223/600,2)</f>
        <v>93.47</v>
      </c>
    </row>
    <row r="225" spans="1:8" s="679" customFormat="1">
      <c r="A225" s="757"/>
      <c r="B225" s="768"/>
      <c r="C225" s="762"/>
      <c r="D225" s="760" t="s">
        <v>52</v>
      </c>
      <c r="E225" s="761"/>
      <c r="F225" s="762"/>
      <c r="G225" s="771">
        <f>ROUND(G224,2)</f>
        <v>93.47</v>
      </c>
      <c r="H225" s="679" t="s">
        <v>956</v>
      </c>
    </row>
    <row r="226" spans="1:8" s="679" customFormat="1">
      <c r="A226" s="757"/>
      <c r="B226" s="768"/>
      <c r="C226" s="762"/>
      <c r="D226" s="762"/>
      <c r="E226" s="761"/>
      <c r="F226" s="762"/>
      <c r="G226" s="767" t="s">
        <v>53</v>
      </c>
    </row>
    <row r="227" spans="1:8" s="679" customFormat="1">
      <c r="A227" s="757"/>
      <c r="B227" s="768"/>
      <c r="C227" s="762"/>
      <c r="D227" s="762"/>
      <c r="E227" s="761"/>
      <c r="F227" s="762"/>
      <c r="G227" s="777"/>
    </row>
    <row r="228" spans="1:8" ht="83.1" customHeight="1">
      <c r="A228" s="743">
        <v>4</v>
      </c>
      <c r="B228" s="3686" t="s">
        <v>1708</v>
      </c>
      <c r="C228" s="3686"/>
      <c r="D228" s="3686"/>
      <c r="E228" s="3686"/>
      <c r="F228" s="3686"/>
      <c r="G228" s="3686"/>
    </row>
    <row r="229" spans="1:8">
      <c r="A229" s="690"/>
      <c r="B229" s="3759" t="s">
        <v>33</v>
      </c>
      <c r="C229" s="3759"/>
      <c r="D229" s="694" t="s">
        <v>1683</v>
      </c>
      <c r="E229" s="688"/>
      <c r="F229" s="687"/>
      <c r="G229" s="738"/>
    </row>
    <row r="230" spans="1:8">
      <c r="A230" s="690"/>
      <c r="B230" s="3759" t="s">
        <v>205</v>
      </c>
      <c r="C230" s="3759"/>
      <c r="D230" s="3759"/>
      <c r="E230" s="688"/>
      <c r="F230" s="687"/>
      <c r="G230" s="738"/>
    </row>
    <row r="231" spans="1:8">
      <c r="A231" s="690"/>
      <c r="B231" s="686" t="s">
        <v>36</v>
      </c>
      <c r="C231" s="694" t="s">
        <v>37</v>
      </c>
      <c r="D231" s="686"/>
      <c r="E231" s="688"/>
      <c r="F231" s="687"/>
      <c r="G231" s="738"/>
    </row>
    <row r="232" spans="1:8">
      <c r="A232" s="690"/>
      <c r="B232" s="698">
        <v>0.04</v>
      </c>
      <c r="C232" s="696" t="s">
        <v>38</v>
      </c>
      <c r="D232" s="697" t="s">
        <v>14</v>
      </c>
      <c r="E232" s="698">
        <f>'SSR-rates'!$L$58</f>
        <v>575</v>
      </c>
      <c r="F232" s="699" t="s">
        <v>38</v>
      </c>
      <c r="G232" s="700">
        <f>ROUND(B232*E232,2)</f>
        <v>23</v>
      </c>
    </row>
    <row r="233" spans="1:8">
      <c r="A233" s="690"/>
      <c r="B233" s="698">
        <v>1</v>
      </c>
      <c r="C233" s="696" t="s">
        <v>38</v>
      </c>
      <c r="D233" s="697" t="s">
        <v>16</v>
      </c>
      <c r="E233" s="698">
        <f>'SSR-rates'!$L$60</f>
        <v>575</v>
      </c>
      <c r="F233" s="699" t="s">
        <v>38</v>
      </c>
      <c r="G233" s="700">
        <f>ROUND(B233*E233,2)</f>
        <v>575</v>
      </c>
    </row>
    <row r="234" spans="1:8">
      <c r="A234" s="690"/>
      <c r="B234" s="701">
        <f>'Input Data'!$D$23</f>
        <v>0</v>
      </c>
      <c r="C234" s="696"/>
      <c r="D234" s="702" t="s">
        <v>17</v>
      </c>
      <c r="E234" s="698"/>
      <c r="F234" s="699"/>
      <c r="G234" s="700">
        <f>(G232+G233)*B234</f>
        <v>0</v>
      </c>
    </row>
    <row r="235" spans="1:8">
      <c r="A235" s="690"/>
      <c r="B235" s="698"/>
      <c r="C235" s="696"/>
      <c r="D235" s="697"/>
      <c r="E235" s="698"/>
      <c r="F235" s="699"/>
      <c r="G235" s="700">
        <f>SUM(G232:G234)</f>
        <v>598</v>
      </c>
    </row>
    <row r="236" spans="1:8">
      <c r="A236" s="690"/>
      <c r="B236" s="686" t="s">
        <v>39</v>
      </c>
      <c r="C236" s="694" t="s">
        <v>40</v>
      </c>
      <c r="D236" s="702"/>
      <c r="E236" s="696"/>
      <c r="F236" s="697"/>
      <c r="G236" s="703"/>
    </row>
    <row r="237" spans="1:8" ht="30">
      <c r="A237" s="690"/>
      <c r="B237" s="704">
        <v>1.67</v>
      </c>
      <c r="C237" s="705" t="s">
        <v>31</v>
      </c>
      <c r="D237" s="706" t="s">
        <v>42</v>
      </c>
      <c r="E237" s="704">
        <f>'SSR-rates'!$L$64</f>
        <v>3557.7</v>
      </c>
      <c r="F237" s="704" t="s">
        <v>31</v>
      </c>
      <c r="G237" s="700">
        <f>ROUND(B237*E237,2)</f>
        <v>5941.36</v>
      </c>
    </row>
    <row r="238" spans="1:8">
      <c r="A238" s="690"/>
      <c r="B238" s="698">
        <f>175*'Input Data'!E19</f>
        <v>875</v>
      </c>
      <c r="C238" s="696" t="s">
        <v>207</v>
      </c>
      <c r="D238" s="697" t="str">
        <f>"Tipper (for "&amp;'Input Data'!E19&amp;"Kms=175x"&amp;'Input Data'!E19&amp;"="&amp;'Input Data'!E19*175&amp;")"</f>
        <v>Tipper (for 5Kms=175x5=875)</v>
      </c>
      <c r="E238" s="698">
        <f>G205</f>
        <v>8</v>
      </c>
      <c r="F238" s="698" t="s">
        <v>207</v>
      </c>
      <c r="G238" s="700">
        <f>ROUND(B238*E238,2)</f>
        <v>7000</v>
      </c>
    </row>
    <row r="239" spans="1:8" ht="30">
      <c r="A239" s="690"/>
      <c r="B239" s="698"/>
      <c r="C239" s="696"/>
      <c r="D239" s="706" t="s">
        <v>210</v>
      </c>
      <c r="E239" s="704"/>
      <c r="F239" s="698"/>
      <c r="G239" s="700">
        <f>ROUND(G238*10/100,2)</f>
        <v>700</v>
      </c>
    </row>
    <row r="240" spans="1:8">
      <c r="A240" s="690"/>
      <c r="B240" s="704">
        <v>0.5</v>
      </c>
      <c r="C240" s="705" t="s">
        <v>41</v>
      </c>
      <c r="D240" s="706" t="s">
        <v>211</v>
      </c>
      <c r="E240" s="704">
        <f>'SSR-rates'!$L$62</f>
        <v>3164.8</v>
      </c>
      <c r="F240" s="704" t="s">
        <v>41</v>
      </c>
      <c r="G240" s="700">
        <f>ROUND(B240*E240,2)</f>
        <v>1582.4</v>
      </c>
    </row>
    <row r="241" spans="1:8" ht="30">
      <c r="A241" s="690"/>
      <c r="B241" s="704">
        <v>4</v>
      </c>
      <c r="C241" s="705" t="s">
        <v>41</v>
      </c>
      <c r="D241" s="706" t="s">
        <v>1678</v>
      </c>
      <c r="E241" s="704">
        <f>+'SSR-rates'!L71</f>
        <v>520</v>
      </c>
      <c r="F241" s="704" t="s">
        <v>41</v>
      </c>
      <c r="G241" s="700">
        <f>ROUND(B241*E241,2)</f>
        <v>2080</v>
      </c>
    </row>
    <row r="242" spans="1:8">
      <c r="A242" s="690"/>
      <c r="B242" s="698">
        <v>4</v>
      </c>
      <c r="C242" s="696" t="s">
        <v>41</v>
      </c>
      <c r="D242" s="697" t="s">
        <v>213</v>
      </c>
      <c r="E242" s="698">
        <f>'SSR-rates'!$L$69</f>
        <v>769</v>
      </c>
      <c r="F242" s="698" t="s">
        <v>41</v>
      </c>
      <c r="G242" s="700">
        <f>ROUND(B242*E242,2)</f>
        <v>3076</v>
      </c>
    </row>
    <row r="243" spans="1:8">
      <c r="A243" s="690"/>
      <c r="B243" s="698">
        <v>1.25</v>
      </c>
      <c r="C243" s="696" t="s">
        <v>41</v>
      </c>
      <c r="D243" s="697" t="s">
        <v>214</v>
      </c>
      <c r="E243" s="698">
        <f>'SSR-rates'!$L$67</f>
        <v>3517.9</v>
      </c>
      <c r="F243" s="698" t="s">
        <v>41</v>
      </c>
      <c r="G243" s="700">
        <f>ROUND(B243*E243,2)</f>
        <v>4397.38</v>
      </c>
    </row>
    <row r="244" spans="1:8">
      <c r="A244" s="690"/>
      <c r="B244" s="699"/>
      <c r="C244" s="702"/>
      <c r="D244" s="697"/>
      <c r="E244" s="698"/>
      <c r="F244" s="698"/>
      <c r="G244" s="713">
        <f>SUM(G237:G243)</f>
        <v>24777.140000000003</v>
      </c>
    </row>
    <row r="245" spans="1:8">
      <c r="A245" s="690"/>
      <c r="B245" s="686" t="s">
        <v>27</v>
      </c>
      <c r="C245" s="694" t="s">
        <v>61</v>
      </c>
      <c r="D245" s="702"/>
      <c r="E245" s="696"/>
      <c r="F245" s="697"/>
      <c r="G245" s="703"/>
    </row>
    <row r="246" spans="1:8">
      <c r="A246" s="690"/>
      <c r="B246" s="704">
        <v>24</v>
      </c>
      <c r="C246" s="705" t="s">
        <v>1680</v>
      </c>
      <c r="D246" s="706" t="s">
        <v>1681</v>
      </c>
      <c r="E246" s="704">
        <f>IF(lead!$C$63="Y",'SSR-rates'!$L$112,0)</f>
        <v>0</v>
      </c>
      <c r="F246" s="704" t="s">
        <v>41</v>
      </c>
      <c r="G246" s="700">
        <f>ROUND(B246*E246,2)</f>
        <v>0</v>
      </c>
    </row>
    <row r="247" spans="1:8">
      <c r="A247" s="690"/>
      <c r="B247" s="686" t="s">
        <v>45</v>
      </c>
      <c r="C247" s="708" t="s">
        <v>1283</v>
      </c>
      <c r="D247" s="702"/>
      <c r="E247" s="711"/>
      <c r="F247" s="702"/>
      <c r="G247" s="703"/>
    </row>
    <row r="248" spans="1:8">
      <c r="A248" s="690"/>
      <c r="B248" s="709">
        <f>'Input Data'!$D$24</f>
        <v>0.13614999999999999</v>
      </c>
      <c r="C248" s="694" t="str">
        <f>"Over head charges &amp; CP "&amp;'Input Data'!$D$24*100&amp;"%  on (A) + (B)"</f>
        <v>Over head charges &amp; CP 13.615%  on (A) + (B)</v>
      </c>
      <c r="D248" s="702"/>
      <c r="E248" s="711">
        <f>G244+G235+G246</f>
        <v>25375.140000000003</v>
      </c>
      <c r="F248" s="702"/>
      <c r="G248" s="713">
        <f>B248*E248</f>
        <v>3454.8253110000001</v>
      </c>
    </row>
    <row r="249" spans="1:8">
      <c r="A249" s="690"/>
      <c r="B249" s="744">
        <f>'Input Data'!$E$24</f>
        <v>0</v>
      </c>
      <c r="C249" s="710" t="s">
        <v>1314</v>
      </c>
      <c r="D249" s="702"/>
      <c r="E249" s="712">
        <f>E248+G248</f>
        <v>28829.965311000004</v>
      </c>
      <c r="F249" s="702"/>
      <c r="G249" s="700">
        <f>E249*B249</f>
        <v>0</v>
      </c>
    </row>
    <row r="250" spans="1:8">
      <c r="A250" s="690"/>
      <c r="B250" s="686" t="s">
        <v>47</v>
      </c>
      <c r="C250" s="694" t="s">
        <v>89</v>
      </c>
      <c r="D250" s="702"/>
      <c r="E250" s="696"/>
      <c r="F250" s="697"/>
      <c r="G250" s="713">
        <f>G235+G244+G248+G246+G249</f>
        <v>28829.965311000004</v>
      </c>
    </row>
    <row r="251" spans="1:8">
      <c r="A251" s="690"/>
      <c r="B251" s="699"/>
      <c r="C251" s="694" t="s">
        <v>1685</v>
      </c>
      <c r="D251" s="697"/>
      <c r="E251" s="696"/>
      <c r="F251" s="697"/>
      <c r="G251" s="713">
        <f>SUM(G250:G250)</f>
        <v>28829.965311000004</v>
      </c>
    </row>
    <row r="252" spans="1:8">
      <c r="A252" s="690"/>
      <c r="B252" s="699"/>
      <c r="C252" s="697" t="s">
        <v>216</v>
      </c>
      <c r="D252" s="697"/>
      <c r="E252" s="696"/>
      <c r="F252" s="697"/>
      <c r="G252" s="700">
        <f>G251/100</f>
        <v>288.29965311000001</v>
      </c>
    </row>
    <row r="253" spans="1:8">
      <c r="A253" s="690"/>
      <c r="B253" s="698"/>
      <c r="C253" s="711"/>
      <c r="D253" s="740" t="s">
        <v>217</v>
      </c>
      <c r="E253" s="700"/>
      <c r="F253" s="711"/>
      <c r="G253" s="741">
        <f>ROUND(G252,2)</f>
        <v>288.3</v>
      </c>
      <c r="H253" s="678" t="s">
        <v>956</v>
      </c>
    </row>
    <row r="254" spans="1:8">
      <c r="A254" s="690"/>
      <c r="B254" s="698"/>
      <c r="C254" s="711"/>
      <c r="D254" s="742"/>
      <c r="E254" s="700"/>
      <c r="F254" s="711"/>
      <c r="G254" s="714" t="s">
        <v>53</v>
      </c>
    </row>
    <row r="255" spans="1:8" ht="45" customHeight="1">
      <c r="A255" s="690">
        <v>5</v>
      </c>
      <c r="B255" s="3763" t="s">
        <v>1709</v>
      </c>
      <c r="C255" s="3763"/>
      <c r="D255" s="3763"/>
      <c r="E255" s="3763"/>
      <c r="F255" s="3763"/>
      <c r="G255" s="3763"/>
    </row>
    <row r="256" spans="1:8">
      <c r="A256" s="690"/>
      <c r="B256" s="698" t="s">
        <v>1206</v>
      </c>
      <c r="C256" s="697"/>
      <c r="D256" s="694" t="s">
        <v>1710</v>
      </c>
      <c r="E256" s="696"/>
      <c r="F256" s="697"/>
      <c r="G256" s="702"/>
    </row>
    <row r="257" spans="1:7">
      <c r="A257" s="690"/>
      <c r="B257" s="696" t="s">
        <v>1347</v>
      </c>
      <c r="C257" s="697"/>
      <c r="D257" s="697"/>
      <c r="E257" s="696"/>
      <c r="F257" s="697"/>
      <c r="G257" s="702"/>
    </row>
    <row r="258" spans="1:7">
      <c r="A258" s="690"/>
      <c r="B258" s="686" t="s">
        <v>36</v>
      </c>
      <c r="C258" s="694" t="s">
        <v>37</v>
      </c>
      <c r="D258" s="686"/>
      <c r="E258" s="688"/>
      <c r="F258" s="687"/>
      <c r="G258" s="687"/>
    </row>
    <row r="259" spans="1:7">
      <c r="A259" s="690"/>
      <c r="B259" s="698">
        <v>0.2</v>
      </c>
      <c r="C259" s="696" t="s">
        <v>38</v>
      </c>
      <c r="D259" s="697" t="s">
        <v>14</v>
      </c>
      <c r="E259" s="698">
        <f>'SSR-rates'!$L$58</f>
        <v>575</v>
      </c>
      <c r="F259" s="699" t="s">
        <v>38</v>
      </c>
      <c r="G259" s="700">
        <f>ROUND(B259*E259,2)</f>
        <v>115</v>
      </c>
    </row>
    <row r="260" spans="1:7">
      <c r="A260" s="690"/>
      <c r="B260" s="698">
        <v>5</v>
      </c>
      <c r="C260" s="696" t="s">
        <v>38</v>
      </c>
      <c r="D260" s="697" t="s">
        <v>1711</v>
      </c>
      <c r="E260" s="698">
        <f>'SSR-rates'!$L$60</f>
        <v>575</v>
      </c>
      <c r="F260" s="699" t="s">
        <v>38</v>
      </c>
      <c r="G260" s="700">
        <f>ROUND(B260*E260,2)</f>
        <v>2875</v>
      </c>
    </row>
    <row r="261" spans="1:7">
      <c r="A261" s="690"/>
      <c r="B261" s="701">
        <f>'Input Data'!$D$23</f>
        <v>0</v>
      </c>
      <c r="C261" s="696"/>
      <c r="D261" s="702" t="s">
        <v>17</v>
      </c>
      <c r="E261" s="698"/>
      <c r="F261" s="699"/>
      <c r="G261" s="700">
        <f>(G259+G260)*B261</f>
        <v>0</v>
      </c>
    </row>
    <row r="262" spans="1:7">
      <c r="A262" s="690"/>
      <c r="B262" s="699"/>
      <c r="C262" s="697"/>
      <c r="D262" s="697" t="s">
        <v>85</v>
      </c>
      <c r="E262" s="696"/>
      <c r="F262" s="697"/>
      <c r="G262" s="713">
        <f>SUM(G259:G261)</f>
        <v>2990</v>
      </c>
    </row>
    <row r="263" spans="1:7">
      <c r="A263" s="690"/>
      <c r="B263" s="686" t="s">
        <v>39</v>
      </c>
      <c r="C263" s="694" t="s">
        <v>40</v>
      </c>
      <c r="D263" s="702"/>
      <c r="E263" s="696"/>
      <c r="F263" s="697"/>
      <c r="G263" s="703"/>
    </row>
    <row r="264" spans="1:7">
      <c r="A264" s="690"/>
      <c r="B264" s="698">
        <v>1.67</v>
      </c>
      <c r="C264" s="696" t="s">
        <v>41</v>
      </c>
      <c r="D264" s="779" t="s">
        <v>24</v>
      </c>
      <c r="E264" s="698">
        <f>'SSR-rates'!L71</f>
        <v>520</v>
      </c>
      <c r="F264" s="698" t="s">
        <v>41</v>
      </c>
      <c r="G264" s="700">
        <f t="shared" ref="G264" si="0">ROUND(B264*E264,2)</f>
        <v>868.4</v>
      </c>
    </row>
    <row r="265" spans="1:7">
      <c r="A265" s="690"/>
      <c r="B265" s="699"/>
      <c r="C265" s="697"/>
      <c r="D265" s="697"/>
      <c r="E265" s="696"/>
      <c r="F265" s="697"/>
      <c r="G265" s="713">
        <f>SUM(G264:G264)</f>
        <v>868.4</v>
      </c>
    </row>
    <row r="266" spans="1:7">
      <c r="A266" s="690"/>
      <c r="B266" s="686" t="s">
        <v>27</v>
      </c>
      <c r="C266" s="708" t="s">
        <v>1283</v>
      </c>
      <c r="D266" s="697"/>
      <c r="E266" s="696"/>
      <c r="F266" s="697"/>
      <c r="G266" s="713"/>
    </row>
    <row r="267" spans="1:7">
      <c r="A267" s="690"/>
      <c r="B267" s="732">
        <f>'Input Data'!$D$24</f>
        <v>0.13614999999999999</v>
      </c>
      <c r="C267" s="696"/>
      <c r="D267" s="780" t="str">
        <f>"Over head charges &amp; CP "&amp;'Input Data'!$D$24*100&amp;"%  on (A) + (B)"</f>
        <v>Over head charges &amp; CP 13.615%  on (A) + (B)</v>
      </c>
      <c r="E267" s="698">
        <f>G265+G262</f>
        <v>3858.4</v>
      </c>
      <c r="F267" s="697"/>
      <c r="G267" s="700">
        <f>E267*B267</f>
        <v>525.32115999999996</v>
      </c>
    </row>
    <row r="268" spans="1:7">
      <c r="A268" s="690"/>
      <c r="B268" s="699"/>
      <c r="C268" s="697"/>
      <c r="D268" s="697" t="s">
        <v>1712</v>
      </c>
      <c r="E268" s="696"/>
      <c r="F268" s="697"/>
      <c r="G268" s="700">
        <f>G262+G265+G267</f>
        <v>4383.7211600000001</v>
      </c>
    </row>
    <row r="269" spans="1:7">
      <c r="A269" s="690"/>
      <c r="B269" s="699"/>
      <c r="C269" s="697"/>
      <c r="D269" s="697" t="s">
        <v>1713</v>
      </c>
      <c r="E269" s="696"/>
      <c r="F269" s="697"/>
      <c r="G269" s="700">
        <f>ROUND(G268/100,2)</f>
        <v>43.84</v>
      </c>
    </row>
    <row r="270" spans="1:7">
      <c r="A270" s="690"/>
      <c r="B270" s="698"/>
      <c r="C270" s="696"/>
      <c r="D270" s="711" t="s">
        <v>52</v>
      </c>
      <c r="E270" s="700"/>
      <c r="F270" s="711"/>
      <c r="G270" s="741">
        <f>ROUND(G269,2)</f>
        <v>43.84</v>
      </c>
    </row>
    <row r="271" spans="1:7">
      <c r="A271" s="690"/>
      <c r="B271" s="699"/>
      <c r="C271" s="697"/>
      <c r="D271" s="697"/>
      <c r="E271" s="696"/>
      <c r="F271" s="697"/>
      <c r="G271" s="714" t="s">
        <v>137</v>
      </c>
    </row>
    <row r="272" spans="1:7" ht="44.1" customHeight="1">
      <c r="A272" s="690">
        <v>5</v>
      </c>
      <c r="B272" s="3763" t="s">
        <v>1714</v>
      </c>
      <c r="C272" s="3763"/>
      <c r="D272" s="3763"/>
      <c r="E272" s="3763"/>
      <c r="F272" s="3763"/>
      <c r="G272" s="3763"/>
    </row>
    <row r="273" spans="1:7">
      <c r="A273" s="690"/>
      <c r="B273" s="698" t="s">
        <v>1206</v>
      </c>
      <c r="C273" s="697"/>
      <c r="D273" s="694" t="s">
        <v>1710</v>
      </c>
      <c r="E273" s="696"/>
      <c r="F273" s="697"/>
      <c r="G273" s="702"/>
    </row>
    <row r="274" spans="1:7">
      <c r="A274" s="690"/>
      <c r="B274" s="696" t="s">
        <v>1347</v>
      </c>
      <c r="C274" s="697"/>
      <c r="D274" s="697"/>
      <c r="E274" s="696"/>
      <c r="F274" s="697"/>
      <c r="G274" s="702"/>
    </row>
    <row r="275" spans="1:7">
      <c r="A275" s="690"/>
      <c r="B275" s="686" t="s">
        <v>36</v>
      </c>
      <c r="C275" s="694" t="s">
        <v>37</v>
      </c>
      <c r="D275" s="686"/>
      <c r="E275" s="688"/>
      <c r="F275" s="687"/>
      <c r="G275" s="687"/>
    </row>
    <row r="276" spans="1:7">
      <c r="A276" s="690"/>
      <c r="B276" s="698">
        <v>0.01</v>
      </c>
      <c r="C276" s="696" t="s">
        <v>38</v>
      </c>
      <c r="D276" s="697" t="s">
        <v>14</v>
      </c>
      <c r="E276" s="698">
        <f>'SSR-rates'!$L$58</f>
        <v>575</v>
      </c>
      <c r="F276" s="699" t="s">
        <v>38</v>
      </c>
      <c r="G276" s="700">
        <f>ROUND(B276*E276,2)</f>
        <v>5.75</v>
      </c>
    </row>
    <row r="277" spans="1:7">
      <c r="A277" s="690"/>
      <c r="B277" s="698">
        <v>0.25</v>
      </c>
      <c r="C277" s="696" t="s">
        <v>38</v>
      </c>
      <c r="D277" s="697" t="s">
        <v>59</v>
      </c>
      <c r="E277" s="698">
        <f>'SSR-rates'!$L$60</f>
        <v>575</v>
      </c>
      <c r="F277" s="699" t="s">
        <v>38</v>
      </c>
      <c r="G277" s="700">
        <f>ROUND(B277*E277,2)</f>
        <v>143.75</v>
      </c>
    </row>
    <row r="278" spans="1:7">
      <c r="A278" s="690"/>
      <c r="B278" s="701">
        <f>'Input Data'!$D$23</f>
        <v>0</v>
      </c>
      <c r="C278" s="696"/>
      <c r="D278" s="702" t="s">
        <v>17</v>
      </c>
      <c r="E278" s="698"/>
      <c r="F278" s="699"/>
      <c r="G278" s="700">
        <f>(G276+G277)*B278</f>
        <v>0</v>
      </c>
    </row>
    <row r="279" spans="1:7">
      <c r="A279" s="690"/>
      <c r="B279" s="699"/>
      <c r="C279" s="697"/>
      <c r="D279" s="697" t="s">
        <v>85</v>
      </c>
      <c r="E279" s="696"/>
      <c r="F279" s="697"/>
      <c r="G279" s="713">
        <f>SUM(G276:G278)</f>
        <v>149.5</v>
      </c>
    </row>
    <row r="280" spans="1:7">
      <c r="A280" s="690"/>
      <c r="B280" s="686" t="s">
        <v>39</v>
      </c>
      <c r="C280" s="694" t="s">
        <v>40</v>
      </c>
      <c r="D280" s="702"/>
      <c r="E280" s="696"/>
      <c r="F280" s="697"/>
      <c r="G280" s="703"/>
    </row>
    <row r="281" spans="1:7">
      <c r="A281" s="690"/>
      <c r="B281" s="698">
        <v>0.08</v>
      </c>
      <c r="C281" s="696" t="s">
        <v>41</v>
      </c>
      <c r="D281" s="697" t="s">
        <v>1706</v>
      </c>
      <c r="E281" s="698">
        <f>'SSR-rates'!$L$72</f>
        <v>625</v>
      </c>
      <c r="F281" s="698" t="s">
        <v>41</v>
      </c>
      <c r="G281" s="700">
        <f>ROUND(B281*E281,2)</f>
        <v>50</v>
      </c>
    </row>
    <row r="282" spans="1:7" ht="30">
      <c r="A282" s="690"/>
      <c r="B282" s="698">
        <v>0.2</v>
      </c>
      <c r="C282" s="696" t="s">
        <v>41</v>
      </c>
      <c r="D282" s="781" t="s">
        <v>1715</v>
      </c>
      <c r="E282" s="698">
        <f>'SSR-rates'!$L$65</f>
        <v>2028</v>
      </c>
      <c r="F282" s="698" t="s">
        <v>41</v>
      </c>
      <c r="G282" s="700">
        <f>ROUND(B282*E282,2)</f>
        <v>405.6</v>
      </c>
    </row>
    <row r="283" spans="1:7">
      <c r="A283" s="690"/>
      <c r="B283" s="698">
        <v>0.23</v>
      </c>
      <c r="C283" s="696" t="s">
        <v>41</v>
      </c>
      <c r="D283" s="702" t="s">
        <v>1716</v>
      </c>
      <c r="E283" s="698">
        <f>'SSR-rates'!$L$66</f>
        <v>1280.4000000000001</v>
      </c>
      <c r="F283" s="698" t="s">
        <v>41</v>
      </c>
      <c r="G283" s="700">
        <f>ROUND(B283*E283,2)</f>
        <v>294.49</v>
      </c>
    </row>
    <row r="284" spans="1:7">
      <c r="A284" s="690"/>
      <c r="B284" s="699"/>
      <c r="C284" s="697"/>
      <c r="D284" s="697"/>
      <c r="E284" s="696"/>
      <c r="F284" s="697"/>
      <c r="G284" s="713">
        <f>SUM(G281:G283)</f>
        <v>750.09</v>
      </c>
    </row>
    <row r="285" spans="1:7">
      <c r="A285" s="690"/>
      <c r="B285" s="686" t="s">
        <v>27</v>
      </c>
      <c r="C285" s="708" t="s">
        <v>1283</v>
      </c>
      <c r="D285" s="697"/>
      <c r="E285" s="696"/>
      <c r="F285" s="697"/>
      <c r="G285" s="713"/>
    </row>
    <row r="286" spans="1:7">
      <c r="A286" s="690"/>
      <c r="B286" s="732">
        <f>'Input Data'!$D$24</f>
        <v>0.13614999999999999</v>
      </c>
      <c r="C286" s="696"/>
      <c r="D286" s="780" t="str">
        <f>"Over head charges &amp; CP "&amp;'Input Data'!$D$24*100&amp;"%  on (A) + (B)"</f>
        <v>Over head charges &amp; CP 13.615%  on (A) + (B)</v>
      </c>
      <c r="E286" s="698">
        <f>G284+G279</f>
        <v>899.59</v>
      </c>
      <c r="F286" s="697"/>
      <c r="G286" s="700">
        <f>E286*B286</f>
        <v>122.4791785</v>
      </c>
    </row>
    <row r="287" spans="1:7">
      <c r="A287" s="690"/>
      <c r="B287" s="744">
        <f>'Input Data'!$E$24</f>
        <v>0</v>
      </c>
      <c r="C287" s="710" t="s">
        <v>1314</v>
      </c>
      <c r="D287" s="702"/>
      <c r="E287" s="712">
        <f>E286+G286</f>
        <v>1022.0691785</v>
      </c>
      <c r="F287" s="702"/>
      <c r="G287" s="700">
        <f>E287*B287</f>
        <v>0</v>
      </c>
    </row>
    <row r="288" spans="1:7">
      <c r="A288" s="690"/>
      <c r="B288" s="699"/>
      <c r="C288" s="697"/>
      <c r="D288" s="697" t="s">
        <v>1712</v>
      </c>
      <c r="E288" s="696"/>
      <c r="F288" s="697"/>
      <c r="G288" s="700">
        <f>G279+G284+G286+G287</f>
        <v>1022.0691785</v>
      </c>
    </row>
    <row r="289" spans="1:8">
      <c r="A289" s="690"/>
      <c r="B289" s="699"/>
      <c r="C289" s="697"/>
      <c r="D289" s="697" t="s">
        <v>1713</v>
      </c>
      <c r="E289" s="696"/>
      <c r="F289" s="697"/>
      <c r="G289" s="700">
        <f>ROUND(G288/100,2)</f>
        <v>10.220000000000001</v>
      </c>
    </row>
    <row r="290" spans="1:8">
      <c r="A290" s="690"/>
      <c r="B290" s="698"/>
      <c r="C290" s="696"/>
      <c r="D290" s="711" t="s">
        <v>52</v>
      </c>
      <c r="E290" s="700"/>
      <c r="F290" s="711"/>
      <c r="G290" s="741">
        <f>ROUND(G289,2)</f>
        <v>10.220000000000001</v>
      </c>
      <c r="H290" s="678" t="s">
        <v>956</v>
      </c>
    </row>
    <row r="291" spans="1:8">
      <c r="A291" s="690"/>
      <c r="B291" s="699"/>
      <c r="C291" s="697"/>
      <c r="D291" s="697"/>
      <c r="E291" s="696"/>
      <c r="F291" s="697"/>
      <c r="G291" s="714" t="s">
        <v>137</v>
      </c>
    </row>
    <row r="292" spans="1:8">
      <c r="A292" s="690"/>
      <c r="B292" s="699"/>
      <c r="C292" s="697"/>
      <c r="D292" s="697"/>
      <c r="E292" s="696"/>
      <c r="F292" s="697"/>
      <c r="G292" s="714"/>
    </row>
    <row r="293" spans="1:8">
      <c r="A293" s="686">
        <v>5</v>
      </c>
      <c r="B293" s="3764" t="s">
        <v>1717</v>
      </c>
      <c r="C293" s="3764"/>
      <c r="D293" s="3764"/>
      <c r="E293" s="3764"/>
      <c r="F293" s="3764"/>
      <c r="G293" s="3764"/>
    </row>
    <row r="294" spans="1:8">
      <c r="A294" s="690"/>
      <c r="B294" s="3764" t="s">
        <v>1718</v>
      </c>
      <c r="C294" s="3764"/>
      <c r="D294" s="3764"/>
      <c r="E294" s="3764"/>
      <c r="F294" s="3764"/>
      <c r="G294" s="3764"/>
    </row>
    <row r="295" spans="1:8" ht="123" customHeight="1">
      <c r="A295" s="690"/>
      <c r="B295" s="3686" t="s">
        <v>1719</v>
      </c>
      <c r="C295" s="3686"/>
      <c r="D295" s="3686"/>
      <c r="E295" s="3686"/>
      <c r="F295" s="3686"/>
      <c r="G295" s="3686"/>
    </row>
    <row r="296" spans="1:8">
      <c r="A296" s="690"/>
      <c r="B296" s="782" t="s">
        <v>10</v>
      </c>
      <c r="C296" s="702"/>
      <c r="D296" s="694" t="s">
        <v>1720</v>
      </c>
      <c r="E296" s="696"/>
      <c r="F296" s="697"/>
      <c r="G296" s="783"/>
    </row>
    <row r="297" spans="1:8">
      <c r="A297" s="690"/>
      <c r="B297" s="708" t="s">
        <v>1721</v>
      </c>
      <c r="C297" s="702"/>
      <c r="D297" s="697"/>
      <c r="E297" s="696"/>
      <c r="F297" s="697"/>
      <c r="G297" s="783"/>
    </row>
    <row r="298" spans="1:8">
      <c r="A298" s="690"/>
      <c r="B298" s="686" t="s">
        <v>36</v>
      </c>
      <c r="C298" s="694" t="s">
        <v>37</v>
      </c>
      <c r="D298" s="686"/>
      <c r="E298" s="688"/>
      <c r="F298" s="687"/>
      <c r="G298" s="784"/>
    </row>
    <row r="299" spans="1:8">
      <c r="A299" s="690"/>
      <c r="B299" s="698">
        <v>0.48</v>
      </c>
      <c r="C299" s="696" t="s">
        <v>38</v>
      </c>
      <c r="D299" s="697" t="s">
        <v>14</v>
      </c>
      <c r="E299" s="698">
        <f>'SSR-rates'!$L$58</f>
        <v>575</v>
      </c>
      <c r="F299" s="699" t="s">
        <v>38</v>
      </c>
      <c r="G299" s="700">
        <f>ROUND(B299*E299,2)</f>
        <v>276</v>
      </c>
    </row>
    <row r="300" spans="1:8">
      <c r="A300" s="690"/>
      <c r="B300" s="698">
        <v>2</v>
      </c>
      <c r="C300" s="696" t="s">
        <v>38</v>
      </c>
      <c r="D300" s="697" t="s">
        <v>15</v>
      </c>
      <c r="E300" s="698">
        <f>'SSR-rates'!$L$59</f>
        <v>575</v>
      </c>
      <c r="F300" s="699" t="s">
        <v>38</v>
      </c>
      <c r="G300" s="700">
        <f>ROUND(B300*E300,2)</f>
        <v>1150</v>
      </c>
    </row>
    <row r="301" spans="1:8">
      <c r="A301" s="690"/>
      <c r="B301" s="698">
        <v>10</v>
      </c>
      <c r="C301" s="696" t="s">
        <v>38</v>
      </c>
      <c r="D301" s="697" t="s">
        <v>16</v>
      </c>
      <c r="E301" s="698">
        <f>'SSR-rates'!$L$60</f>
        <v>575</v>
      </c>
      <c r="F301" s="699" t="s">
        <v>38</v>
      </c>
      <c r="G301" s="700">
        <f>ROUND(B301*E301,2)</f>
        <v>5750</v>
      </c>
    </row>
    <row r="302" spans="1:8">
      <c r="A302" s="690"/>
      <c r="B302" s="701">
        <f>'Input Data'!$D$23</f>
        <v>0</v>
      </c>
      <c r="C302" s="696"/>
      <c r="D302" s="702" t="s">
        <v>17</v>
      </c>
      <c r="E302" s="698"/>
      <c r="F302" s="699"/>
      <c r="G302" s="700">
        <f>(G300+G301+G299)*B302</f>
        <v>0</v>
      </c>
    </row>
    <row r="303" spans="1:8">
      <c r="A303" s="690"/>
      <c r="B303" s="699"/>
      <c r="C303" s="697"/>
      <c r="D303" s="697" t="s">
        <v>60</v>
      </c>
      <c r="E303" s="696"/>
      <c r="F303" s="697"/>
      <c r="G303" s="713">
        <f>SUM(G299:G302)</f>
        <v>7176</v>
      </c>
    </row>
    <row r="304" spans="1:8">
      <c r="A304" s="690"/>
      <c r="B304" s="686" t="s">
        <v>39</v>
      </c>
      <c r="C304" s="694" t="s">
        <v>40</v>
      </c>
      <c r="D304" s="702"/>
      <c r="E304" s="696"/>
      <c r="F304" s="697"/>
      <c r="G304" s="700"/>
    </row>
    <row r="305" spans="1:7" ht="30">
      <c r="A305" s="690"/>
      <c r="B305" s="698">
        <v>12</v>
      </c>
      <c r="C305" s="696" t="s">
        <v>41</v>
      </c>
      <c r="D305" s="706" t="s">
        <v>1678</v>
      </c>
      <c r="E305" s="698">
        <f>'SSR-rates'!$L$71</f>
        <v>520</v>
      </c>
      <c r="F305" s="698" t="s">
        <v>41</v>
      </c>
      <c r="G305" s="700">
        <f>ROUND(B305*E305,2)</f>
        <v>6240</v>
      </c>
    </row>
    <row r="306" spans="1:7">
      <c r="A306" s="690"/>
      <c r="B306" s="698">
        <v>12</v>
      </c>
      <c r="C306" s="696" t="s">
        <v>41</v>
      </c>
      <c r="D306" s="697" t="s">
        <v>1722</v>
      </c>
      <c r="E306" s="698">
        <f>'SSR-rates'!$L$71</f>
        <v>520</v>
      </c>
      <c r="F306" s="698" t="s">
        <v>41</v>
      </c>
      <c r="G306" s="700">
        <f>ROUND(B306*E306,2)</f>
        <v>6240</v>
      </c>
    </row>
    <row r="307" spans="1:7">
      <c r="A307" s="690"/>
      <c r="B307" s="698">
        <v>6</v>
      </c>
      <c r="C307" s="696" t="s">
        <v>41</v>
      </c>
      <c r="D307" s="697" t="s">
        <v>214</v>
      </c>
      <c r="E307" s="698">
        <f>'SSR-rates'!$L$67</f>
        <v>3517.9</v>
      </c>
      <c r="F307" s="698" t="s">
        <v>41</v>
      </c>
      <c r="G307" s="700">
        <f>ROUND(B307*E307,2)</f>
        <v>21107.4</v>
      </c>
    </row>
    <row r="308" spans="1:7">
      <c r="A308" s="690"/>
      <c r="B308" s="698">
        <v>3</v>
      </c>
      <c r="C308" s="696" t="s">
        <v>41</v>
      </c>
      <c r="D308" s="697" t="s">
        <v>213</v>
      </c>
      <c r="E308" s="698">
        <f>'SSR-rates'!$L$69</f>
        <v>769</v>
      </c>
      <c r="F308" s="698" t="s">
        <v>41</v>
      </c>
      <c r="G308" s="700">
        <f>ROUND(B308*E308,2)</f>
        <v>2307</v>
      </c>
    </row>
    <row r="309" spans="1:7">
      <c r="A309" s="690"/>
      <c r="B309" s="699"/>
      <c r="C309" s="697"/>
      <c r="D309" s="697" t="s">
        <v>60</v>
      </c>
      <c r="E309" s="696"/>
      <c r="F309" s="697"/>
      <c r="G309" s="713">
        <f>SUM(G305:G308)</f>
        <v>35894.400000000001</v>
      </c>
    </row>
    <row r="310" spans="1:7">
      <c r="A310" s="690"/>
      <c r="B310" s="686" t="s">
        <v>27</v>
      </c>
      <c r="C310" s="694" t="s">
        <v>61</v>
      </c>
      <c r="D310" s="697"/>
      <c r="E310" s="696"/>
      <c r="F310" s="697"/>
      <c r="G310" s="783"/>
    </row>
    <row r="311" spans="1:7" ht="30">
      <c r="A311" s="690"/>
      <c r="B311" s="699"/>
      <c r="C311" s="697"/>
      <c r="D311" s="706" t="s">
        <v>1723</v>
      </c>
      <c r="E311" s="705"/>
      <c r="F311" s="697"/>
      <c r="G311" s="783"/>
    </row>
    <row r="312" spans="1:7" ht="45">
      <c r="A312" s="690"/>
      <c r="B312" s="698">
        <v>134.4</v>
      </c>
      <c r="C312" s="696" t="s">
        <v>31</v>
      </c>
      <c r="D312" s="706" t="s">
        <v>1724</v>
      </c>
      <c r="E312" s="698">
        <f>AVERAGE(lead!$J$4:$J$9)</f>
        <v>1805.4762667048071</v>
      </c>
      <c r="F312" s="699" t="s">
        <v>73</v>
      </c>
      <c r="G312" s="700">
        <f>ROUND(B312*E312,2)</f>
        <v>242656.01</v>
      </c>
    </row>
    <row r="313" spans="1:7" ht="45">
      <c r="A313" s="690"/>
      <c r="B313" s="698">
        <v>182.4</v>
      </c>
      <c r="C313" s="696" t="s">
        <v>31</v>
      </c>
      <c r="D313" s="706" t="s">
        <v>1725</v>
      </c>
      <c r="E313" s="698">
        <f>AVERAGE(lead!$J$9:$J$11)</f>
        <v>1710.8512667048074</v>
      </c>
      <c r="F313" s="699" t="s">
        <v>73</v>
      </c>
      <c r="G313" s="700">
        <f>ROUND(B313*E313,2)</f>
        <v>312059.27</v>
      </c>
    </row>
    <row r="314" spans="1:7" ht="30">
      <c r="A314" s="690"/>
      <c r="B314" s="698">
        <v>67.2</v>
      </c>
      <c r="C314" s="696" t="s">
        <v>31</v>
      </c>
      <c r="D314" s="706" t="s">
        <v>1726</v>
      </c>
      <c r="E314" s="698">
        <f>lead!$J$12</f>
        <v>1658.7679333714741</v>
      </c>
      <c r="F314" s="699" t="s">
        <v>73</v>
      </c>
      <c r="G314" s="700">
        <f>ROUND(B314*E314,2)</f>
        <v>111469.21</v>
      </c>
    </row>
    <row r="315" spans="1:7">
      <c r="A315" s="690"/>
      <c r="B315" s="704">
        <v>18</v>
      </c>
      <c r="C315" s="705" t="s">
        <v>1680</v>
      </c>
      <c r="D315" s="706" t="s">
        <v>1681</v>
      </c>
      <c r="E315" s="704">
        <f>IF(lead!$C$63="Y",'SSR-rates'!$L$112,0)</f>
        <v>0</v>
      </c>
      <c r="F315" s="704" t="s">
        <v>41</v>
      </c>
      <c r="G315" s="700">
        <f>ROUND(B315*E315,2)</f>
        <v>0</v>
      </c>
    </row>
    <row r="316" spans="1:7">
      <c r="A316" s="690"/>
      <c r="B316" s="782">
        <f>SUM(B312:B314)</f>
        <v>384</v>
      </c>
      <c r="C316" s="696"/>
      <c r="D316" s="706"/>
      <c r="E316" s="698"/>
      <c r="F316" s="699"/>
      <c r="G316" s="783"/>
    </row>
    <row r="317" spans="1:7">
      <c r="A317" s="690"/>
      <c r="B317" s="699"/>
      <c r="C317" s="697"/>
      <c r="D317" s="697" t="s">
        <v>60</v>
      </c>
      <c r="E317" s="696"/>
      <c r="F317" s="697"/>
      <c r="G317" s="713">
        <f>SUM(G312:G316)</f>
        <v>666184.49</v>
      </c>
    </row>
    <row r="318" spans="1:7">
      <c r="A318" s="690"/>
      <c r="B318" s="686" t="s">
        <v>45</v>
      </c>
      <c r="C318" s="694" t="s">
        <v>1283</v>
      </c>
      <c r="D318" s="697"/>
      <c r="E318" s="696"/>
      <c r="F318" s="697"/>
      <c r="G318" s="713"/>
    </row>
    <row r="319" spans="1:7" ht="30">
      <c r="A319" s="690"/>
      <c r="B319" s="732">
        <f>'Input Data'!$D$24</f>
        <v>0.13614999999999999</v>
      </c>
      <c r="C319" s="696"/>
      <c r="D319" s="780" t="str">
        <f>"Over head charges &amp; CP "&amp;'Input Data'!$D$24*100&amp;"%  on (A) + (B)+(C)"</f>
        <v>Over head charges &amp; CP 13.615%  on (A) + (B)+(C)</v>
      </c>
      <c r="E319" s="700">
        <f>G317+G309+G303</f>
        <v>709254.89</v>
      </c>
      <c r="F319" s="697"/>
      <c r="G319" s="700">
        <f>B319*E319</f>
        <v>96565.053273500002</v>
      </c>
    </row>
    <row r="320" spans="1:7">
      <c r="A320" s="690"/>
      <c r="B320" s="744">
        <f>'Input Data'!$E$24</f>
        <v>0</v>
      </c>
      <c r="C320" s="710" t="s">
        <v>1314</v>
      </c>
      <c r="D320" s="702"/>
      <c r="E320" s="712">
        <f>E319+G319</f>
        <v>805819.94327350007</v>
      </c>
      <c r="F320" s="702"/>
      <c r="G320" s="700">
        <f>E320*B320</f>
        <v>0</v>
      </c>
    </row>
    <row r="321" spans="1:10">
      <c r="A321" s="690"/>
      <c r="B321" s="686" t="s">
        <v>47</v>
      </c>
      <c r="C321" s="694" t="s">
        <v>89</v>
      </c>
      <c r="D321" s="702"/>
      <c r="E321" s="696"/>
      <c r="F321" s="697"/>
      <c r="G321" s="713">
        <f>G303+G309+G317+G319+G320</f>
        <v>805819.94327350007</v>
      </c>
    </row>
    <row r="322" spans="1:10">
      <c r="A322" s="690"/>
      <c r="B322" s="699"/>
      <c r="C322" s="702"/>
      <c r="D322" s="694" t="s">
        <v>1727</v>
      </c>
      <c r="E322" s="696"/>
      <c r="F322" s="697"/>
      <c r="G322" s="713">
        <f>SUM(G321)</f>
        <v>805819.94327350007</v>
      </c>
    </row>
    <row r="323" spans="1:10">
      <c r="A323" s="690"/>
      <c r="B323" s="699"/>
      <c r="C323" s="697"/>
      <c r="D323" s="694" t="s">
        <v>217</v>
      </c>
      <c r="E323" s="696"/>
      <c r="F323" s="697"/>
      <c r="G323" s="700">
        <f>ROUND(G322/300,2)</f>
        <v>2686.07</v>
      </c>
    </row>
    <row r="324" spans="1:10">
      <c r="A324" s="690"/>
      <c r="B324" s="699"/>
      <c r="C324" s="697"/>
      <c r="D324" s="694" t="s">
        <v>52</v>
      </c>
      <c r="E324" s="696"/>
      <c r="F324" s="697"/>
      <c r="G324" s="713">
        <f>ROUND(G323,2)</f>
        <v>2686.07</v>
      </c>
      <c r="H324" s="678" t="s">
        <v>956</v>
      </c>
      <c r="J324" s="684"/>
    </row>
    <row r="325" spans="1:10">
      <c r="A325" s="690"/>
      <c r="B325" s="699"/>
      <c r="C325" s="697"/>
      <c r="D325" s="697"/>
      <c r="E325" s="696"/>
      <c r="F325" s="697"/>
      <c r="G325" s="784" t="s">
        <v>53</v>
      </c>
    </row>
    <row r="326" spans="1:10">
      <c r="A326" s="686">
        <f>A293+1</f>
        <v>6</v>
      </c>
      <c r="B326" s="694" t="s">
        <v>1728</v>
      </c>
      <c r="C326" s="697"/>
      <c r="D326" s="697"/>
      <c r="E326" s="696"/>
      <c r="F326" s="697"/>
      <c r="G326" s="784"/>
    </row>
    <row r="327" spans="1:10">
      <c r="A327" s="690"/>
      <c r="B327" s="3686" t="s">
        <v>1729</v>
      </c>
      <c r="C327" s="3686"/>
      <c r="D327" s="3686"/>
      <c r="E327" s="3686"/>
      <c r="F327" s="3686"/>
      <c r="G327" s="3686"/>
    </row>
    <row r="328" spans="1:10">
      <c r="A328" s="690"/>
      <c r="B328" s="694" t="s">
        <v>1730</v>
      </c>
      <c r="C328" s="691"/>
      <c r="D328" s="694" t="s">
        <v>1731</v>
      </c>
      <c r="E328" s="736"/>
      <c r="F328" s="691"/>
      <c r="G328" s="703"/>
    </row>
    <row r="329" spans="1:10">
      <c r="A329" s="690"/>
      <c r="B329" s="782" t="s">
        <v>10</v>
      </c>
      <c r="C329" s="702"/>
      <c r="D329" s="697"/>
      <c r="E329" s="696"/>
      <c r="F329" s="697"/>
      <c r="G329" s="783"/>
    </row>
    <row r="330" spans="1:10">
      <c r="A330" s="690"/>
      <c r="B330" s="708" t="s">
        <v>1732</v>
      </c>
      <c r="C330" s="702"/>
      <c r="D330" s="697"/>
      <c r="E330" s="696"/>
      <c r="F330" s="697"/>
      <c r="G330" s="783"/>
    </row>
    <row r="331" spans="1:10">
      <c r="A331" s="690"/>
      <c r="B331" s="686" t="s">
        <v>36</v>
      </c>
      <c r="C331" s="694" t="s">
        <v>37</v>
      </c>
      <c r="D331" s="686"/>
      <c r="E331" s="688"/>
      <c r="F331" s="687"/>
      <c r="G331" s="784"/>
    </row>
    <row r="332" spans="1:10">
      <c r="A332" s="690"/>
      <c r="B332" s="698">
        <v>0.68</v>
      </c>
      <c r="C332" s="696" t="s">
        <v>38</v>
      </c>
      <c r="D332" s="697" t="s">
        <v>14</v>
      </c>
      <c r="E332" s="698">
        <f>'SSR-rates'!$L$58</f>
        <v>575</v>
      </c>
      <c r="F332" s="699" t="s">
        <v>38</v>
      </c>
      <c r="G332" s="700">
        <f>ROUND(B332*E332,2)</f>
        <v>391</v>
      </c>
    </row>
    <row r="333" spans="1:10">
      <c r="A333" s="690"/>
      <c r="B333" s="698">
        <v>2</v>
      </c>
      <c r="C333" s="696" t="s">
        <v>38</v>
      </c>
      <c r="D333" s="697" t="s">
        <v>15</v>
      </c>
      <c r="E333" s="698">
        <f>'SSR-rates'!$L$59</f>
        <v>575</v>
      </c>
      <c r="F333" s="699" t="s">
        <v>38</v>
      </c>
      <c r="G333" s="700">
        <f>ROUND(B333*E333,2)</f>
        <v>1150</v>
      </c>
    </row>
    <row r="334" spans="1:10">
      <c r="A334" s="690"/>
      <c r="B334" s="698">
        <v>15</v>
      </c>
      <c r="C334" s="696" t="s">
        <v>38</v>
      </c>
      <c r="D334" s="697" t="s">
        <v>59</v>
      </c>
      <c r="E334" s="698">
        <f>'SSR-rates'!$L$60</f>
        <v>575</v>
      </c>
      <c r="F334" s="699" t="s">
        <v>38</v>
      </c>
      <c r="G334" s="700">
        <f>ROUND(B334*E334,2)</f>
        <v>8625</v>
      </c>
    </row>
    <row r="335" spans="1:10">
      <c r="A335" s="690"/>
      <c r="B335" s="701">
        <f>'Input Data'!$D$23</f>
        <v>0</v>
      </c>
      <c r="C335" s="696"/>
      <c r="D335" s="702" t="s">
        <v>17</v>
      </c>
      <c r="E335" s="698"/>
      <c r="F335" s="699"/>
      <c r="G335" s="700">
        <f>(G333+G334+G332)*B335</f>
        <v>0</v>
      </c>
    </row>
    <row r="336" spans="1:10">
      <c r="A336" s="690"/>
      <c r="B336" s="699"/>
      <c r="C336" s="697"/>
      <c r="D336" s="697" t="s">
        <v>60</v>
      </c>
      <c r="E336" s="696"/>
      <c r="F336" s="697"/>
      <c r="G336" s="713">
        <f>SUM(G332:G335)</f>
        <v>10166</v>
      </c>
    </row>
    <row r="337" spans="1:7">
      <c r="A337" s="690"/>
      <c r="B337" s="686" t="s">
        <v>39</v>
      </c>
      <c r="C337" s="694" t="s">
        <v>40</v>
      </c>
      <c r="D337" s="702"/>
      <c r="E337" s="696"/>
      <c r="F337" s="697"/>
      <c r="G337" s="700"/>
    </row>
    <row r="338" spans="1:7" ht="30">
      <c r="A338" s="690"/>
      <c r="B338" s="785">
        <v>14.4</v>
      </c>
      <c r="C338" s="786" t="s">
        <v>41</v>
      </c>
      <c r="D338" s="787" t="s">
        <v>1678</v>
      </c>
      <c r="E338" s="785">
        <f>'SSR-rates'!$L$71</f>
        <v>520</v>
      </c>
      <c r="F338" s="698" t="s">
        <v>41</v>
      </c>
      <c r="G338" s="700">
        <f>ROUND(B338*E338,2)</f>
        <v>7488</v>
      </c>
    </row>
    <row r="339" spans="1:7">
      <c r="A339" s="690"/>
      <c r="B339" s="698">
        <v>6</v>
      </c>
      <c r="C339" s="696" t="s">
        <v>41</v>
      </c>
      <c r="D339" s="697" t="s">
        <v>1733</v>
      </c>
      <c r="E339" s="698">
        <f>'SSR-rates'!$L$67</f>
        <v>3517.9</v>
      </c>
      <c r="F339" s="698" t="s">
        <v>41</v>
      </c>
      <c r="G339" s="700">
        <f>ROUND(B339*E339,2)</f>
        <v>21107.4</v>
      </c>
    </row>
    <row r="340" spans="1:7">
      <c r="A340" s="690"/>
      <c r="B340" s="698">
        <v>24</v>
      </c>
      <c r="C340" s="696" t="s">
        <v>41</v>
      </c>
      <c r="D340" s="697" t="s">
        <v>70</v>
      </c>
      <c r="E340" s="698">
        <f>'SSR-rates'!$L$69</f>
        <v>769</v>
      </c>
      <c r="F340" s="698" t="s">
        <v>41</v>
      </c>
      <c r="G340" s="700">
        <f>ROUND(B340*E340,2)</f>
        <v>18456</v>
      </c>
    </row>
    <row r="341" spans="1:7">
      <c r="A341" s="690"/>
      <c r="B341" s="699"/>
      <c r="C341" s="697"/>
      <c r="D341" s="697" t="s">
        <v>60</v>
      </c>
      <c r="E341" s="696"/>
      <c r="F341" s="697"/>
      <c r="G341" s="713">
        <f>SUM(G338:G340)</f>
        <v>47051.4</v>
      </c>
    </row>
    <row r="342" spans="1:7">
      <c r="A342" s="690"/>
      <c r="B342" s="699"/>
      <c r="C342" s="697"/>
      <c r="D342" s="694" t="s">
        <v>1734</v>
      </c>
      <c r="E342" s="696"/>
      <c r="F342" s="697"/>
      <c r="G342" s="713"/>
    </row>
    <row r="343" spans="1:7">
      <c r="A343" s="690"/>
      <c r="B343" s="686" t="s">
        <v>27</v>
      </c>
      <c r="C343" s="694" t="s">
        <v>61</v>
      </c>
      <c r="D343" s="697"/>
      <c r="E343" s="696"/>
      <c r="F343" s="697"/>
      <c r="G343" s="783"/>
    </row>
    <row r="344" spans="1:7">
      <c r="A344" s="690"/>
      <c r="B344" s="686"/>
      <c r="C344" s="694"/>
      <c r="D344" s="694" t="s">
        <v>1735</v>
      </c>
      <c r="E344" s="696"/>
      <c r="F344" s="697"/>
      <c r="G344" s="783"/>
    </row>
    <row r="345" spans="1:7" ht="60">
      <c r="A345" s="690"/>
      <c r="B345" s="698"/>
      <c r="C345" s="696"/>
      <c r="D345" s="706" t="s">
        <v>1736</v>
      </c>
      <c r="E345" s="704"/>
      <c r="F345" s="699"/>
      <c r="G345" s="783"/>
    </row>
    <row r="346" spans="1:7">
      <c r="A346" s="690"/>
      <c r="B346" s="698">
        <v>217.8</v>
      </c>
      <c r="C346" s="696" t="s">
        <v>31</v>
      </c>
      <c r="D346" s="706" t="s">
        <v>1737</v>
      </c>
      <c r="E346" s="704">
        <f>(lead!$J$22)</f>
        <v>1477.5179333714741</v>
      </c>
      <c r="F346" s="699" t="s">
        <v>73</v>
      </c>
      <c r="G346" s="700">
        <f>B346*E346</f>
        <v>321803.40588830708</v>
      </c>
    </row>
    <row r="347" spans="1:7">
      <c r="A347" s="690"/>
      <c r="B347" s="698">
        <v>152.46</v>
      </c>
      <c r="C347" s="696" t="s">
        <v>31</v>
      </c>
      <c r="D347" s="706" t="s">
        <v>1738</v>
      </c>
      <c r="E347" s="704">
        <f>lead!$J$21</f>
        <v>1616.2679333714741</v>
      </c>
      <c r="F347" s="699" t="s">
        <v>73</v>
      </c>
      <c r="G347" s="700">
        <f>B347*E347</f>
        <v>246416.20912181496</v>
      </c>
    </row>
    <row r="348" spans="1:7">
      <c r="A348" s="690"/>
      <c r="B348" s="698">
        <v>47.92</v>
      </c>
      <c r="C348" s="696" t="s">
        <v>31</v>
      </c>
      <c r="D348" s="706" t="s">
        <v>1739</v>
      </c>
      <c r="E348" s="704">
        <f>lead!$J$20</f>
        <v>1706.5179333714741</v>
      </c>
      <c r="F348" s="699" t="s">
        <v>73</v>
      </c>
      <c r="G348" s="700">
        <f>B348*E348</f>
        <v>81776.339367161039</v>
      </c>
    </row>
    <row r="349" spans="1:7" ht="30">
      <c r="A349" s="690"/>
      <c r="B349" s="698">
        <v>17.420000000000002</v>
      </c>
      <c r="C349" s="696" t="s">
        <v>31</v>
      </c>
      <c r="D349" s="706" t="s">
        <v>1740</v>
      </c>
      <c r="E349" s="704">
        <f>(lead!$J$7)</f>
        <v>2005.5179333714741</v>
      </c>
      <c r="F349" s="699" t="s">
        <v>73</v>
      </c>
      <c r="G349" s="700">
        <f>B349*E349</f>
        <v>34936.122399331085</v>
      </c>
    </row>
    <row r="350" spans="1:7">
      <c r="A350" s="690"/>
      <c r="B350" s="698"/>
      <c r="C350" s="696"/>
      <c r="D350" s="694" t="s">
        <v>1741</v>
      </c>
      <c r="E350" s="704"/>
      <c r="F350" s="699"/>
      <c r="G350" s="700"/>
    </row>
    <row r="351" spans="1:7" ht="30">
      <c r="A351" s="690"/>
      <c r="B351" s="698">
        <v>96.01</v>
      </c>
      <c r="C351" s="696" t="s">
        <v>31</v>
      </c>
      <c r="D351" s="788" t="s">
        <v>1742</v>
      </c>
      <c r="E351" s="704">
        <f>(lead!$J$9)</f>
        <v>1754.5179333714741</v>
      </c>
      <c r="F351" s="699" t="s">
        <v>73</v>
      </c>
      <c r="G351" s="700">
        <f>B351*E351</f>
        <v>168451.26678299523</v>
      </c>
    </row>
    <row r="352" spans="1:7">
      <c r="A352" s="690"/>
      <c r="B352" s="698"/>
      <c r="C352" s="696"/>
      <c r="D352" s="788" t="s">
        <v>1743</v>
      </c>
      <c r="E352" s="704"/>
      <c r="F352" s="699"/>
      <c r="G352" s="700"/>
    </row>
    <row r="353" spans="1:8" ht="30">
      <c r="A353" s="690"/>
      <c r="B353" s="698">
        <v>28.8</v>
      </c>
      <c r="C353" s="696" t="s">
        <v>31</v>
      </c>
      <c r="D353" s="788" t="s">
        <v>1744</v>
      </c>
      <c r="E353" s="704">
        <f>(lead!$J$34)</f>
        <v>173.07604629670379</v>
      </c>
      <c r="F353" s="699" t="s">
        <v>73</v>
      </c>
      <c r="G353" s="700">
        <f>B353*E353</f>
        <v>4984.5901333450693</v>
      </c>
    </row>
    <row r="354" spans="1:8">
      <c r="A354" s="690"/>
      <c r="B354" s="704">
        <v>144</v>
      </c>
      <c r="C354" s="705" t="s">
        <v>1680</v>
      </c>
      <c r="D354" s="706" t="s">
        <v>1681</v>
      </c>
      <c r="E354" s="704">
        <f>IF(lead!$C$63="Y",'SSR-rates'!$L$112,0)</f>
        <v>0</v>
      </c>
      <c r="F354" s="704" t="s">
        <v>41</v>
      </c>
      <c r="G354" s="700">
        <f>ROUND(B354*E354,2)</f>
        <v>0</v>
      </c>
    </row>
    <row r="355" spans="1:8">
      <c r="A355" s="690"/>
      <c r="B355" s="782">
        <f>SUM(B346:B353)</f>
        <v>560.41</v>
      </c>
      <c r="C355" s="696"/>
      <c r="D355" s="706"/>
      <c r="E355" s="698"/>
      <c r="F355" s="699"/>
      <c r="G355" s="783"/>
    </row>
    <row r="356" spans="1:8">
      <c r="A356" s="690"/>
      <c r="B356" s="699"/>
      <c r="C356" s="697"/>
      <c r="D356" s="697" t="s">
        <v>60</v>
      </c>
      <c r="E356" s="696"/>
      <c r="F356" s="697"/>
      <c r="G356" s="713">
        <f>SUM(G346:G355)</f>
        <v>858367.93369295448</v>
      </c>
    </row>
    <row r="357" spans="1:8">
      <c r="A357" s="690"/>
      <c r="B357" s="686" t="s">
        <v>45</v>
      </c>
      <c r="C357" s="694" t="s">
        <v>1283</v>
      </c>
      <c r="D357" s="697"/>
      <c r="E357" s="696"/>
      <c r="F357" s="697"/>
      <c r="G357" s="713"/>
    </row>
    <row r="358" spans="1:8">
      <c r="A358" s="690"/>
      <c r="B358" s="732">
        <f>'Input Data'!$D$24</f>
        <v>0.13614999999999999</v>
      </c>
      <c r="C358" s="696"/>
      <c r="D358" s="711" t="str">
        <f>"Over head charges &amp; CP  "&amp;'Input Data'!$D$24*100&amp;"%  on (A) + (B)+(C)"</f>
        <v>Over head charges &amp; CP  13.615%  on (A) + (B)+(C)</v>
      </c>
      <c r="E358" s="696">
        <f>G356+G341+G336</f>
        <v>915585.3336929545</v>
      </c>
      <c r="F358" s="697"/>
      <c r="G358" s="700">
        <f>B358*E358</f>
        <v>124656.94318229576</v>
      </c>
    </row>
    <row r="359" spans="1:8">
      <c r="A359" s="690"/>
      <c r="B359" s="686" t="s">
        <v>47</v>
      </c>
      <c r="C359" s="694" t="s">
        <v>89</v>
      </c>
      <c r="D359" s="702"/>
      <c r="E359" s="696"/>
      <c r="F359" s="697"/>
      <c r="G359" s="713">
        <f>G336+G341+G356+G358</f>
        <v>1040242.2768752503</v>
      </c>
    </row>
    <row r="360" spans="1:8">
      <c r="A360" s="690"/>
      <c r="B360" s="699"/>
      <c r="C360" s="702"/>
      <c r="D360" s="694" t="s">
        <v>1745</v>
      </c>
      <c r="E360" s="696"/>
      <c r="F360" s="697"/>
      <c r="G360" s="713">
        <f>SUM(G359)</f>
        <v>1040242.2768752503</v>
      </c>
    </row>
    <row r="361" spans="1:8">
      <c r="A361" s="690"/>
      <c r="B361" s="699"/>
      <c r="C361" s="697"/>
      <c r="D361" s="694" t="s">
        <v>217</v>
      </c>
      <c r="E361" s="696"/>
      <c r="F361" s="697"/>
      <c r="G361" s="700">
        <f>ROUND(G360/360,2)</f>
        <v>2889.56</v>
      </c>
    </row>
    <row r="362" spans="1:8">
      <c r="A362" s="690"/>
      <c r="B362" s="699"/>
      <c r="C362" s="697"/>
      <c r="D362" s="694" t="s">
        <v>52</v>
      </c>
      <c r="E362" s="696"/>
      <c r="F362" s="697"/>
      <c r="G362" s="713">
        <f>ROUND(G361,2)</f>
        <v>2889.56</v>
      </c>
      <c r="H362" s="678" t="s">
        <v>956</v>
      </c>
    </row>
    <row r="363" spans="1:8">
      <c r="A363" s="690"/>
      <c r="B363" s="699"/>
      <c r="C363" s="697"/>
      <c r="D363" s="697"/>
      <c r="E363" s="696"/>
      <c r="F363" s="697"/>
      <c r="G363" s="784" t="s">
        <v>53</v>
      </c>
    </row>
    <row r="364" spans="1:8">
      <c r="A364" s="690"/>
      <c r="B364" s="699"/>
      <c r="C364" s="697"/>
      <c r="D364" s="697"/>
      <c r="E364" s="696"/>
      <c r="F364" s="697"/>
      <c r="G364" s="784"/>
    </row>
    <row r="365" spans="1:8">
      <c r="A365" s="690">
        <f>A326+1</f>
        <v>7</v>
      </c>
      <c r="B365" s="694" t="s">
        <v>1746</v>
      </c>
      <c r="C365" s="697"/>
      <c r="D365" s="697"/>
      <c r="E365" s="696"/>
      <c r="F365" s="697"/>
      <c r="G365" s="789"/>
    </row>
    <row r="366" spans="1:8">
      <c r="A366" s="690"/>
      <c r="B366" s="3686" t="s">
        <v>1747</v>
      </c>
      <c r="C366" s="3686"/>
      <c r="D366" s="3686"/>
      <c r="E366" s="3686"/>
      <c r="F366" s="3686"/>
      <c r="G366" s="3686"/>
    </row>
    <row r="367" spans="1:8">
      <c r="A367" s="690"/>
      <c r="B367" s="697" t="s">
        <v>1730</v>
      </c>
      <c r="C367" s="691"/>
      <c r="D367" s="694"/>
      <c r="E367" s="708" t="s">
        <v>1731</v>
      </c>
      <c r="F367" s="691"/>
      <c r="G367" s="703"/>
    </row>
    <row r="368" spans="1:8">
      <c r="A368" s="690"/>
      <c r="B368" s="782" t="s">
        <v>10</v>
      </c>
      <c r="C368" s="702"/>
      <c r="D368" s="697"/>
      <c r="E368" s="696"/>
      <c r="F368" s="697"/>
      <c r="G368" s="783"/>
    </row>
    <row r="369" spans="1:7">
      <c r="A369" s="690"/>
      <c r="B369" s="708" t="s">
        <v>1732</v>
      </c>
      <c r="C369" s="702"/>
      <c r="D369" s="697"/>
      <c r="E369" s="696"/>
      <c r="F369" s="697"/>
      <c r="G369" s="783"/>
    </row>
    <row r="370" spans="1:7">
      <c r="A370" s="690"/>
      <c r="B370" s="686" t="s">
        <v>36</v>
      </c>
      <c r="C370" s="694" t="s">
        <v>37</v>
      </c>
      <c r="D370" s="686"/>
      <c r="E370" s="688"/>
      <c r="F370" s="687"/>
      <c r="G370" s="784"/>
    </row>
    <row r="371" spans="1:7">
      <c r="A371" s="690"/>
      <c r="B371" s="698">
        <v>0.68</v>
      </c>
      <c r="C371" s="696" t="s">
        <v>38</v>
      </c>
      <c r="D371" s="697" t="s">
        <v>14</v>
      </c>
      <c r="E371" s="698">
        <f>'SSR-rates'!$L$58</f>
        <v>575</v>
      </c>
      <c r="F371" s="699" t="s">
        <v>38</v>
      </c>
      <c r="G371" s="700">
        <f>ROUND(B371*E371,2)</f>
        <v>391</v>
      </c>
    </row>
    <row r="372" spans="1:7">
      <c r="A372" s="690"/>
      <c r="B372" s="698">
        <v>2</v>
      </c>
      <c r="C372" s="696" t="s">
        <v>38</v>
      </c>
      <c r="D372" s="697" t="s">
        <v>15</v>
      </c>
      <c r="E372" s="698">
        <f>'SSR-rates'!$L$59</f>
        <v>575</v>
      </c>
      <c r="F372" s="699" t="s">
        <v>38</v>
      </c>
      <c r="G372" s="700">
        <f>ROUND(B372*E372,2)</f>
        <v>1150</v>
      </c>
    </row>
    <row r="373" spans="1:7">
      <c r="A373" s="690"/>
      <c r="B373" s="698">
        <v>15</v>
      </c>
      <c r="C373" s="696" t="s">
        <v>38</v>
      </c>
      <c r="D373" s="697" t="s">
        <v>59</v>
      </c>
      <c r="E373" s="698">
        <f>'SSR-rates'!$L$60</f>
        <v>575</v>
      </c>
      <c r="F373" s="699" t="s">
        <v>38</v>
      </c>
      <c r="G373" s="700">
        <f>ROUND(B373*E373,2)</f>
        <v>8625</v>
      </c>
    </row>
    <row r="374" spans="1:7">
      <c r="A374" s="690"/>
      <c r="B374" s="701">
        <f>'Input Data'!$D$23</f>
        <v>0</v>
      </c>
      <c r="C374" s="696"/>
      <c r="D374" s="702" t="s">
        <v>17</v>
      </c>
      <c r="E374" s="698"/>
      <c r="F374" s="699"/>
      <c r="G374" s="700">
        <f>(G372+G373+G371)*B374</f>
        <v>0</v>
      </c>
    </row>
    <row r="375" spans="1:7">
      <c r="A375" s="690"/>
      <c r="B375" s="699"/>
      <c r="C375" s="697"/>
      <c r="D375" s="697" t="s">
        <v>60</v>
      </c>
      <c r="E375" s="696"/>
      <c r="F375" s="697"/>
      <c r="G375" s="713">
        <f>SUM(G371:G374)</f>
        <v>10166</v>
      </c>
    </row>
    <row r="376" spans="1:7">
      <c r="A376" s="690"/>
      <c r="B376" s="686" t="s">
        <v>39</v>
      </c>
      <c r="C376" s="694" t="s">
        <v>40</v>
      </c>
      <c r="D376" s="702"/>
      <c r="E376" s="696"/>
      <c r="F376" s="697"/>
      <c r="G376" s="700"/>
    </row>
    <row r="377" spans="1:7" ht="30">
      <c r="A377" s="690"/>
      <c r="B377" s="785">
        <v>14.4</v>
      </c>
      <c r="C377" s="786" t="s">
        <v>41</v>
      </c>
      <c r="D377" s="787" t="s">
        <v>1678</v>
      </c>
      <c r="E377" s="698">
        <f>'SSR-rates'!$L$71</f>
        <v>520</v>
      </c>
      <c r="F377" s="698" t="s">
        <v>41</v>
      </c>
      <c r="G377" s="700">
        <f>ROUND(B377*E377,2)</f>
        <v>7488</v>
      </c>
    </row>
    <row r="378" spans="1:7">
      <c r="A378" s="690"/>
      <c r="B378" s="698">
        <v>6</v>
      </c>
      <c r="C378" s="696" t="s">
        <v>41</v>
      </c>
      <c r="D378" s="697" t="s">
        <v>1733</v>
      </c>
      <c r="E378" s="698">
        <f>'SSR-rates'!$L$67</f>
        <v>3517.9</v>
      </c>
      <c r="F378" s="698" t="s">
        <v>41</v>
      </c>
      <c r="G378" s="700">
        <f>ROUND(B378*E378,2)</f>
        <v>21107.4</v>
      </c>
    </row>
    <row r="379" spans="1:7">
      <c r="A379" s="690"/>
      <c r="B379" s="698">
        <v>24</v>
      </c>
      <c r="C379" s="696" t="s">
        <v>41</v>
      </c>
      <c r="D379" s="697" t="s">
        <v>70</v>
      </c>
      <c r="E379" s="698">
        <f>'SSR-rates'!$L$69</f>
        <v>769</v>
      </c>
      <c r="F379" s="698" t="s">
        <v>41</v>
      </c>
      <c r="G379" s="700">
        <f>ROUND(B379*E379,2)</f>
        <v>18456</v>
      </c>
    </row>
    <row r="380" spans="1:7">
      <c r="A380" s="690"/>
      <c r="B380" s="699"/>
      <c r="C380" s="697"/>
      <c r="D380" s="697" t="s">
        <v>60</v>
      </c>
      <c r="E380" s="696"/>
      <c r="F380" s="697"/>
      <c r="G380" s="713">
        <f>SUM(G377:G379)</f>
        <v>47051.4</v>
      </c>
    </row>
    <row r="381" spans="1:7">
      <c r="A381" s="690"/>
      <c r="B381" s="699"/>
      <c r="C381" s="697"/>
      <c r="D381" s="694" t="s">
        <v>1748</v>
      </c>
      <c r="E381" s="696"/>
      <c r="F381" s="697"/>
      <c r="G381" s="713"/>
    </row>
    <row r="382" spans="1:7">
      <c r="A382" s="690"/>
      <c r="B382" s="686" t="s">
        <v>27</v>
      </c>
      <c r="C382" s="694" t="s">
        <v>61</v>
      </c>
      <c r="D382" s="697"/>
      <c r="E382" s="696"/>
      <c r="F382" s="697"/>
      <c r="G382" s="783"/>
    </row>
    <row r="383" spans="1:7">
      <c r="A383" s="690"/>
      <c r="B383" s="686"/>
      <c r="C383" s="694"/>
      <c r="D383" s="694" t="s">
        <v>1735</v>
      </c>
      <c r="E383" s="696"/>
      <c r="F383" s="697"/>
      <c r="G383" s="783"/>
    </row>
    <row r="384" spans="1:7" ht="45">
      <c r="A384" s="690"/>
      <c r="B384" s="698"/>
      <c r="C384" s="696"/>
      <c r="D384" s="706" t="s">
        <v>1749</v>
      </c>
      <c r="E384" s="704"/>
      <c r="F384" s="699"/>
      <c r="G384" s="783"/>
    </row>
    <row r="385" spans="1:8" ht="30">
      <c r="A385" s="690"/>
      <c r="B385" s="698">
        <v>357.19</v>
      </c>
      <c r="C385" s="696" t="s">
        <v>31</v>
      </c>
      <c r="D385" s="706" t="s">
        <v>1750</v>
      </c>
      <c r="E385" s="704">
        <f>(lead!$J$5)</f>
        <v>1706.5179333714741</v>
      </c>
      <c r="F385" s="699" t="s">
        <v>73</v>
      </c>
      <c r="G385" s="700">
        <f>B385*E385</f>
        <v>609551.14062095678</v>
      </c>
    </row>
    <row r="386" spans="1:8" ht="30">
      <c r="A386" s="690"/>
      <c r="B386" s="698">
        <v>78.41</v>
      </c>
      <c r="C386" s="696" t="s">
        <v>31</v>
      </c>
      <c r="D386" s="706" t="s">
        <v>1751</v>
      </c>
      <c r="E386" s="704">
        <f>(lead!$J$7)</f>
        <v>2005.5179333714741</v>
      </c>
      <c r="F386" s="699" t="s">
        <v>73</v>
      </c>
      <c r="G386" s="700">
        <f>B386*E386</f>
        <v>157252.66115565729</v>
      </c>
    </row>
    <row r="387" spans="1:8">
      <c r="A387" s="690"/>
      <c r="B387" s="698"/>
      <c r="C387" s="696"/>
      <c r="D387" s="694" t="s">
        <v>1741</v>
      </c>
      <c r="E387" s="704"/>
      <c r="F387" s="699"/>
      <c r="G387" s="700"/>
    </row>
    <row r="388" spans="1:8" ht="30">
      <c r="A388" s="690"/>
      <c r="B388" s="698">
        <v>86.4</v>
      </c>
      <c r="C388" s="696" t="s">
        <v>31</v>
      </c>
      <c r="D388" s="788" t="s">
        <v>1752</v>
      </c>
      <c r="E388" s="704">
        <f>(lead!$J$9)</f>
        <v>1754.5179333714741</v>
      </c>
      <c r="F388" s="699" t="s">
        <v>73</v>
      </c>
      <c r="G388" s="700">
        <f>B388*E388</f>
        <v>151590.34944329536</v>
      </c>
    </row>
    <row r="389" spans="1:8">
      <c r="A389" s="690"/>
      <c r="B389" s="698"/>
      <c r="C389" s="696"/>
      <c r="D389" s="788" t="s">
        <v>1743</v>
      </c>
      <c r="E389" s="704"/>
      <c r="F389" s="699"/>
      <c r="G389" s="700"/>
    </row>
    <row r="390" spans="1:8" ht="30">
      <c r="A390" s="690"/>
      <c r="B390" s="698">
        <v>0</v>
      </c>
      <c r="C390" s="696" t="s">
        <v>31</v>
      </c>
      <c r="D390" s="788" t="s">
        <v>1744</v>
      </c>
      <c r="E390" s="704">
        <f>(lead!$J$34)</f>
        <v>173.07604629670379</v>
      </c>
      <c r="F390" s="699" t="s">
        <v>73</v>
      </c>
      <c r="G390" s="700">
        <f>B390*E390</f>
        <v>0</v>
      </c>
    </row>
    <row r="391" spans="1:8">
      <c r="A391" s="690"/>
      <c r="B391" s="698">
        <v>144</v>
      </c>
      <c r="C391" s="696" t="s">
        <v>1680</v>
      </c>
      <c r="D391" s="788" t="s">
        <v>1753</v>
      </c>
      <c r="E391" s="704">
        <f>IF(lead!$C$63="Y",'SSR-rates'!$L$112,0)</f>
        <v>0</v>
      </c>
      <c r="F391" s="704" t="s">
        <v>41</v>
      </c>
      <c r="G391" s="700">
        <f>ROUND(B391*E391,2)</f>
        <v>0</v>
      </c>
    </row>
    <row r="392" spans="1:8">
      <c r="A392" s="690"/>
      <c r="B392" s="699"/>
      <c r="C392" s="697"/>
      <c r="D392" s="697" t="s">
        <v>60</v>
      </c>
      <c r="E392" s="696"/>
      <c r="F392" s="697"/>
      <c r="G392" s="713">
        <f>SUM(G385:G391)</f>
        <v>918394.15121990943</v>
      </c>
    </row>
    <row r="393" spans="1:8">
      <c r="A393" s="690"/>
      <c r="B393" s="686" t="s">
        <v>45</v>
      </c>
      <c r="C393" s="694" t="s">
        <v>1283</v>
      </c>
      <c r="D393" s="697"/>
      <c r="E393" s="696"/>
      <c r="F393" s="697"/>
      <c r="G393" s="713"/>
    </row>
    <row r="394" spans="1:8" ht="30">
      <c r="A394" s="690"/>
      <c r="B394" s="732">
        <f>'Input Data'!$D$24</f>
        <v>0.13614999999999999</v>
      </c>
      <c r="C394" s="696"/>
      <c r="D394" s="780" t="str">
        <f>"Over head charges &amp; CP "&amp;'Input Data'!$D$24*100&amp;"%  on (A) + (B)+(C)"</f>
        <v>Over head charges &amp; CP 13.615%  on (A) + (B)+(C)</v>
      </c>
      <c r="E394" s="696">
        <f>G392+G380+G375</f>
        <v>975611.55121990945</v>
      </c>
      <c r="F394" s="697"/>
      <c r="G394" s="700">
        <f>B394*E394</f>
        <v>132829.51269859067</v>
      </c>
    </row>
    <row r="395" spans="1:8">
      <c r="A395" s="690"/>
      <c r="B395" s="686" t="s">
        <v>47</v>
      </c>
      <c r="C395" s="694" t="s">
        <v>89</v>
      </c>
      <c r="D395" s="702"/>
      <c r="E395" s="696"/>
      <c r="F395" s="697"/>
      <c r="G395" s="713">
        <f>G375+G380+G392+G394</f>
        <v>1108441.0639185002</v>
      </c>
    </row>
    <row r="396" spans="1:8">
      <c r="A396" s="690"/>
      <c r="B396" s="699"/>
      <c r="C396" s="702"/>
      <c r="D396" s="694" t="s">
        <v>1745</v>
      </c>
      <c r="E396" s="696"/>
      <c r="F396" s="697"/>
      <c r="G396" s="713">
        <f>SUM(G395)</f>
        <v>1108441.0639185002</v>
      </c>
    </row>
    <row r="397" spans="1:8">
      <c r="A397" s="690"/>
      <c r="B397" s="699"/>
      <c r="C397" s="697"/>
      <c r="D397" s="694" t="s">
        <v>217</v>
      </c>
      <c r="E397" s="696"/>
      <c r="F397" s="697"/>
      <c r="G397" s="700">
        <f>ROUND(G396/360,2)</f>
        <v>3079</v>
      </c>
    </row>
    <row r="398" spans="1:8">
      <c r="A398" s="690"/>
      <c r="B398" s="699"/>
      <c r="C398" s="697"/>
      <c r="D398" s="694" t="s">
        <v>52</v>
      </c>
      <c r="E398" s="696"/>
      <c r="F398" s="697"/>
      <c r="G398" s="713">
        <f>ROUND(G397,2)</f>
        <v>3079</v>
      </c>
      <c r="H398" s="678" t="s">
        <v>956</v>
      </c>
    </row>
    <row r="399" spans="1:8">
      <c r="A399" s="690"/>
      <c r="B399" s="699"/>
      <c r="C399" s="697"/>
      <c r="D399" s="697"/>
      <c r="E399" s="696"/>
      <c r="F399" s="697"/>
      <c r="G399" s="784" t="s">
        <v>53</v>
      </c>
    </row>
    <row r="400" spans="1:8" ht="114.95" customHeight="1">
      <c r="A400" s="690">
        <v>6</v>
      </c>
      <c r="B400" s="3686" t="s">
        <v>1754</v>
      </c>
      <c r="C400" s="3686"/>
      <c r="D400" s="3686"/>
      <c r="E400" s="3686"/>
      <c r="F400" s="3686"/>
      <c r="G400" s="3686"/>
    </row>
    <row r="401" spans="1:7">
      <c r="A401" s="690"/>
      <c r="B401" s="686" t="s">
        <v>10</v>
      </c>
      <c r="C401" s="697"/>
      <c r="D401" s="694" t="s">
        <v>1755</v>
      </c>
      <c r="E401" s="696"/>
      <c r="F401" s="697"/>
      <c r="G401" s="703"/>
    </row>
    <row r="402" spans="1:7">
      <c r="A402" s="690"/>
      <c r="B402" s="694" t="s">
        <v>1756</v>
      </c>
      <c r="C402" s="697"/>
      <c r="D402" s="697"/>
      <c r="E402" s="696"/>
      <c r="F402" s="697"/>
      <c r="G402" s="703"/>
    </row>
    <row r="403" spans="1:7">
      <c r="A403" s="690"/>
      <c r="B403" s="790" t="s">
        <v>36</v>
      </c>
      <c r="C403" s="791" t="s">
        <v>37</v>
      </c>
      <c r="D403" s="702"/>
      <c r="E403" s="696"/>
      <c r="F403" s="697"/>
      <c r="G403" s="703"/>
    </row>
    <row r="404" spans="1:7">
      <c r="A404" s="690"/>
      <c r="B404" s="698">
        <v>0.48</v>
      </c>
      <c r="C404" s="696" t="s">
        <v>1263</v>
      </c>
      <c r="D404" s="697" t="s">
        <v>14</v>
      </c>
      <c r="E404" s="698">
        <f>'SSR-rates'!$L$58</f>
        <v>575</v>
      </c>
      <c r="F404" s="698" t="s">
        <v>38</v>
      </c>
      <c r="G404" s="700">
        <f>ROUND(B404*E404,2)</f>
        <v>276</v>
      </c>
    </row>
    <row r="405" spans="1:7">
      <c r="A405" s="690"/>
      <c r="B405" s="698">
        <v>2</v>
      </c>
      <c r="C405" s="696" t="s">
        <v>1263</v>
      </c>
      <c r="D405" s="697" t="s">
        <v>15</v>
      </c>
      <c r="E405" s="698">
        <f>'SSR-rates'!$L$59</f>
        <v>575</v>
      </c>
      <c r="F405" s="698" t="s">
        <v>38</v>
      </c>
      <c r="G405" s="700">
        <f>ROUND(B405*E405,2)</f>
        <v>1150</v>
      </c>
    </row>
    <row r="406" spans="1:7">
      <c r="A406" s="690"/>
      <c r="B406" s="698">
        <v>10</v>
      </c>
      <c r="C406" s="696" t="s">
        <v>1263</v>
      </c>
      <c r="D406" s="697" t="s">
        <v>312</v>
      </c>
      <c r="E406" s="698">
        <f>'SSR-rates'!$L$60</f>
        <v>575</v>
      </c>
      <c r="F406" s="698" t="s">
        <v>38</v>
      </c>
      <c r="G406" s="700">
        <f>ROUND(B406*E406,2)</f>
        <v>5750</v>
      </c>
    </row>
    <row r="407" spans="1:7">
      <c r="A407" s="690"/>
      <c r="B407" s="701">
        <f>'Input Data'!$D$23</f>
        <v>0</v>
      </c>
      <c r="C407" s="696"/>
      <c r="D407" s="702" t="s">
        <v>17</v>
      </c>
      <c r="E407" s="698"/>
      <c r="F407" s="699"/>
      <c r="G407" s="700">
        <f>(G405+G406+G404)*B407</f>
        <v>0</v>
      </c>
    </row>
    <row r="408" spans="1:7" s="680" customFormat="1">
      <c r="A408" s="690"/>
      <c r="B408" s="782"/>
      <c r="C408" s="782"/>
      <c r="D408" s="694" t="s">
        <v>60</v>
      </c>
      <c r="E408" s="782"/>
      <c r="F408" s="694"/>
      <c r="G408" s="713">
        <f>SUM(G404:G407)</f>
        <v>7176</v>
      </c>
    </row>
    <row r="409" spans="1:7">
      <c r="A409" s="690"/>
      <c r="B409" s="790" t="s">
        <v>39</v>
      </c>
      <c r="C409" s="791" t="s">
        <v>40</v>
      </c>
      <c r="D409" s="702"/>
      <c r="E409" s="698"/>
      <c r="F409" s="697"/>
      <c r="G409" s="703"/>
    </row>
    <row r="410" spans="1:7">
      <c r="A410" s="690"/>
      <c r="B410" s="698">
        <v>8.25</v>
      </c>
      <c r="C410" s="696" t="s">
        <v>41</v>
      </c>
      <c r="D410" s="697" t="s">
        <v>1757</v>
      </c>
      <c r="E410" s="698">
        <f>'SSR-rates'!$L$74</f>
        <v>2028</v>
      </c>
      <c r="F410" s="698" t="s">
        <v>41</v>
      </c>
      <c r="G410" s="700">
        <f t="shared" ref="G410:G415" si="1">ROUND(B410*E410,2)</f>
        <v>16731</v>
      </c>
    </row>
    <row r="411" spans="1:7">
      <c r="A411" s="690"/>
      <c r="B411" s="698">
        <v>6</v>
      </c>
      <c r="C411" s="696" t="s">
        <v>41</v>
      </c>
      <c r="D411" s="697" t="s">
        <v>1758</v>
      </c>
      <c r="E411" s="698">
        <f>'SSR-rates'!$L$86</f>
        <v>1626</v>
      </c>
      <c r="F411" s="698" t="s">
        <v>41</v>
      </c>
      <c r="G411" s="700">
        <f t="shared" si="1"/>
        <v>9756</v>
      </c>
    </row>
    <row r="412" spans="1:7">
      <c r="A412" s="690"/>
      <c r="B412" s="698">
        <v>6</v>
      </c>
      <c r="C412" s="696" t="s">
        <v>41</v>
      </c>
      <c r="D412" s="697" t="s">
        <v>1759</v>
      </c>
      <c r="E412" s="698">
        <f>'SSR-rates'!$L$65</f>
        <v>2028</v>
      </c>
      <c r="F412" s="698" t="s">
        <v>41</v>
      </c>
      <c r="G412" s="700">
        <f t="shared" si="1"/>
        <v>12168</v>
      </c>
    </row>
    <row r="413" spans="1:7">
      <c r="A413" s="690"/>
      <c r="B413" s="785">
        <v>6</v>
      </c>
      <c r="C413" s="786" t="s">
        <v>41</v>
      </c>
      <c r="D413" s="792" t="s">
        <v>1760</v>
      </c>
      <c r="E413" s="698">
        <f>'SSR-rates'!$L$80</f>
        <v>2771</v>
      </c>
      <c r="F413" s="698" t="s">
        <v>41</v>
      </c>
      <c r="G413" s="700">
        <f t="shared" si="1"/>
        <v>16626</v>
      </c>
    </row>
    <row r="414" spans="1:7">
      <c r="A414" s="690"/>
      <c r="B414" s="698">
        <v>3.9</v>
      </c>
      <c r="C414" s="696" t="s">
        <v>41</v>
      </c>
      <c r="D414" s="697" t="s">
        <v>1761</v>
      </c>
      <c r="E414" s="698">
        <f>'SSR-rates'!$L$67</f>
        <v>3517.9</v>
      </c>
      <c r="F414" s="698" t="s">
        <v>41</v>
      </c>
      <c r="G414" s="700">
        <f t="shared" si="1"/>
        <v>13719.81</v>
      </c>
    </row>
    <row r="415" spans="1:7">
      <c r="A415" s="690"/>
      <c r="B415" s="698">
        <v>3</v>
      </c>
      <c r="C415" s="696" t="s">
        <v>41</v>
      </c>
      <c r="D415" s="697" t="s">
        <v>1762</v>
      </c>
      <c r="E415" s="698">
        <f>'SSR-rates'!$L$69</f>
        <v>769</v>
      </c>
      <c r="F415" s="698" t="s">
        <v>41</v>
      </c>
      <c r="G415" s="700">
        <f t="shared" si="1"/>
        <v>2307</v>
      </c>
    </row>
    <row r="416" spans="1:7">
      <c r="A416" s="690"/>
      <c r="B416" s="699"/>
      <c r="C416" s="697"/>
      <c r="D416" s="697" t="s">
        <v>60</v>
      </c>
      <c r="E416" s="698"/>
      <c r="F416" s="697"/>
      <c r="G416" s="713">
        <f>SUM(G410:G415)</f>
        <v>71307.81</v>
      </c>
    </row>
    <row r="417" spans="1:8">
      <c r="A417" s="690"/>
      <c r="B417" s="790" t="s">
        <v>27</v>
      </c>
      <c r="C417" s="791" t="s">
        <v>61</v>
      </c>
      <c r="D417" s="702"/>
      <c r="E417" s="698"/>
      <c r="F417" s="697"/>
      <c r="G417" s="703"/>
    </row>
    <row r="418" spans="1:8" ht="30">
      <c r="A418" s="690"/>
      <c r="B418" s="698">
        <v>89.1</v>
      </c>
      <c r="C418" s="696" t="s">
        <v>31</v>
      </c>
      <c r="D418" s="706" t="s">
        <v>1763</v>
      </c>
      <c r="E418" s="698">
        <f>(lead!J5+lead!J6+lead!J7)/3</f>
        <v>1869.1846000381408</v>
      </c>
      <c r="F418" s="699" t="s">
        <v>31</v>
      </c>
      <c r="G418" s="700">
        <f>ROUND(B418*E418,2)</f>
        <v>166544.35</v>
      </c>
    </row>
    <row r="419" spans="1:8">
      <c r="A419" s="690"/>
      <c r="B419" s="698"/>
      <c r="C419" s="696"/>
      <c r="D419" s="697" t="s">
        <v>1764</v>
      </c>
      <c r="E419" s="698"/>
      <c r="F419" s="699"/>
      <c r="G419" s="700"/>
    </row>
    <row r="420" spans="1:8" ht="30">
      <c r="A420" s="690"/>
      <c r="B420" s="698">
        <v>118.8</v>
      </c>
      <c r="C420" s="696" t="s">
        <v>31</v>
      </c>
      <c r="D420" s="706" t="s">
        <v>1765</v>
      </c>
      <c r="E420" s="698">
        <f>(lead!J7+lead!J8+lead!J9+lead!J10+lead!J11)/5</f>
        <v>1798.5179333714739</v>
      </c>
      <c r="F420" s="699" t="s">
        <v>31</v>
      </c>
      <c r="G420" s="700">
        <f>ROUND(B420*E420,2)</f>
        <v>213663.93</v>
      </c>
    </row>
    <row r="421" spans="1:8">
      <c r="A421" s="690"/>
      <c r="B421" s="698"/>
      <c r="C421" s="696"/>
      <c r="D421" s="697" t="s">
        <v>1766</v>
      </c>
      <c r="E421" s="698"/>
      <c r="F421" s="699"/>
      <c r="G421" s="700"/>
    </row>
    <row r="422" spans="1:8" ht="30">
      <c r="A422" s="690"/>
      <c r="B422" s="698">
        <v>89.1</v>
      </c>
      <c r="C422" s="696" t="s">
        <v>31</v>
      </c>
      <c r="D422" s="793" t="s">
        <v>1767</v>
      </c>
      <c r="E422" s="698">
        <f>lead!J12</f>
        <v>1658.7679333714741</v>
      </c>
      <c r="F422" s="699" t="s">
        <v>31</v>
      </c>
      <c r="G422" s="700">
        <f>ROUND(B422*E422,2)</f>
        <v>147796.22</v>
      </c>
    </row>
    <row r="423" spans="1:8">
      <c r="A423" s="690"/>
      <c r="B423" s="704">
        <v>18</v>
      </c>
      <c r="C423" s="705" t="s">
        <v>1680</v>
      </c>
      <c r="D423" s="706" t="s">
        <v>1681</v>
      </c>
      <c r="E423" s="704">
        <f>IF(lead!$C$63="Y",'SSR-rates'!$L$112,0)</f>
        <v>0</v>
      </c>
      <c r="F423" s="704" t="s">
        <v>41</v>
      </c>
      <c r="G423" s="700">
        <f>ROUND(B423*E423,2)</f>
        <v>0</v>
      </c>
    </row>
    <row r="424" spans="1:8">
      <c r="A424" s="690"/>
      <c r="B424" s="698"/>
      <c r="C424" s="696"/>
      <c r="D424" s="697" t="s">
        <v>60</v>
      </c>
      <c r="E424" s="696"/>
      <c r="F424" s="697"/>
      <c r="G424" s="713">
        <f>SUM(G418:G423)</f>
        <v>528004.5</v>
      </c>
    </row>
    <row r="425" spans="1:8">
      <c r="A425" s="690"/>
      <c r="B425" s="686" t="s">
        <v>45</v>
      </c>
      <c r="C425" s="694" t="s">
        <v>1283</v>
      </c>
      <c r="D425" s="697"/>
      <c r="E425" s="696"/>
      <c r="F425" s="697"/>
      <c r="G425" s="713"/>
    </row>
    <row r="426" spans="1:8">
      <c r="A426" s="690"/>
      <c r="B426" s="732">
        <f>'Input Data'!$D$24</f>
        <v>0.13614999999999999</v>
      </c>
      <c r="C426" s="696"/>
      <c r="D426" s="711" t="str">
        <f>"Over head charges &amp; CP "&amp;'Input Data'!$D$24*100&amp;"%  on (A) + (B)+(C)"</f>
        <v>Over head charges &amp; CP 13.615%  on (A) + (B)+(C)</v>
      </c>
      <c r="E426" s="700">
        <f>G424+G416+G408</f>
        <v>606488.31000000006</v>
      </c>
      <c r="F426" s="697"/>
      <c r="G426" s="700">
        <f>E426*B426</f>
        <v>82573.383406499997</v>
      </c>
    </row>
    <row r="427" spans="1:8">
      <c r="A427" s="690"/>
      <c r="B427" s="744">
        <f>'Input Data'!$E$24</f>
        <v>0</v>
      </c>
      <c r="C427" s="710" t="s">
        <v>1314</v>
      </c>
      <c r="D427" s="702"/>
      <c r="E427" s="712">
        <f>E426+G426</f>
        <v>689061.69340650004</v>
      </c>
      <c r="F427" s="702"/>
      <c r="G427" s="700">
        <f>E427*B427</f>
        <v>0</v>
      </c>
    </row>
    <row r="428" spans="1:8">
      <c r="A428" s="690"/>
      <c r="B428" s="686" t="s">
        <v>47</v>
      </c>
      <c r="C428" s="694" t="s">
        <v>89</v>
      </c>
      <c r="D428" s="702"/>
      <c r="E428" s="696"/>
      <c r="F428" s="697"/>
      <c r="G428" s="713">
        <f>G408+G416+G424+G426+G427</f>
        <v>689061.69340650004</v>
      </c>
    </row>
    <row r="429" spans="1:8">
      <c r="A429" s="690"/>
      <c r="B429" s="698"/>
      <c r="C429" s="696"/>
      <c r="D429" s="697" t="s">
        <v>1768</v>
      </c>
      <c r="E429" s="696"/>
      <c r="F429" s="697"/>
      <c r="G429" s="713">
        <f>SUM(G428)</f>
        <v>689061.69340650004</v>
      </c>
    </row>
    <row r="430" spans="1:8">
      <c r="A430" s="690"/>
      <c r="B430" s="699"/>
      <c r="C430" s="697"/>
      <c r="D430" s="697" t="s">
        <v>217</v>
      </c>
      <c r="E430" s="696"/>
      <c r="F430" s="697"/>
      <c r="G430" s="700">
        <f>G429/225</f>
        <v>3062.49641514</v>
      </c>
    </row>
    <row r="431" spans="1:8">
      <c r="A431" s="690"/>
      <c r="B431" s="699"/>
      <c r="C431" s="697"/>
      <c r="D431" s="694" t="s">
        <v>1769</v>
      </c>
      <c r="E431" s="696"/>
      <c r="F431" s="697"/>
      <c r="G431" s="741">
        <f>ROUND(G430,2)</f>
        <v>3062.5</v>
      </c>
      <c r="H431" s="678" t="s">
        <v>956</v>
      </c>
    </row>
    <row r="432" spans="1:8">
      <c r="A432" s="690"/>
      <c r="B432" s="699"/>
      <c r="C432" s="697"/>
      <c r="D432" s="697"/>
      <c r="E432" s="696"/>
      <c r="F432" s="697"/>
      <c r="G432" s="713" t="s">
        <v>1770</v>
      </c>
    </row>
    <row r="433" spans="1:8" s="676" customFormat="1" ht="63.95" customHeight="1">
      <c r="A433" s="690">
        <f>A400+1</f>
        <v>7</v>
      </c>
      <c r="B433" s="3686" t="s">
        <v>1771</v>
      </c>
      <c r="C433" s="3686"/>
      <c r="D433" s="3686"/>
      <c r="E433" s="3686"/>
      <c r="F433" s="3686"/>
      <c r="G433" s="3686"/>
    </row>
    <row r="434" spans="1:8" s="676" customFormat="1">
      <c r="A434" s="690"/>
      <c r="B434" s="699" t="s">
        <v>1772</v>
      </c>
      <c r="C434" s="702"/>
      <c r="D434" s="694" t="s">
        <v>1773</v>
      </c>
      <c r="E434" s="711"/>
      <c r="F434" s="702"/>
      <c r="G434" s="703"/>
    </row>
    <row r="435" spans="1:8" s="676" customFormat="1">
      <c r="A435" s="690"/>
      <c r="B435" s="697" t="s">
        <v>1774</v>
      </c>
      <c r="C435" s="702"/>
      <c r="D435" s="702"/>
      <c r="E435" s="711"/>
      <c r="F435" s="702"/>
      <c r="G435" s="703"/>
    </row>
    <row r="436" spans="1:8">
      <c r="A436" s="690"/>
      <c r="B436" s="790" t="s">
        <v>36</v>
      </c>
      <c r="C436" s="794" t="s">
        <v>37</v>
      </c>
      <c r="D436" s="702"/>
      <c r="E436" s="711"/>
      <c r="F436" s="702"/>
      <c r="G436" s="703"/>
    </row>
    <row r="437" spans="1:8">
      <c r="A437" s="690"/>
      <c r="B437" s="698">
        <v>0.08</v>
      </c>
      <c r="C437" s="696" t="s">
        <v>106</v>
      </c>
      <c r="D437" s="702" t="s">
        <v>14</v>
      </c>
      <c r="E437" s="698">
        <f>'SSR-rates'!$L$58</f>
        <v>575</v>
      </c>
      <c r="F437" s="698" t="s">
        <v>38</v>
      </c>
      <c r="G437" s="700">
        <f>ROUND(B437*E437,2)</f>
        <v>46</v>
      </c>
    </row>
    <row r="438" spans="1:8">
      <c r="A438" s="690"/>
      <c r="B438" s="698">
        <v>2</v>
      </c>
      <c r="C438" s="696" t="s">
        <v>106</v>
      </c>
      <c r="D438" s="702" t="s">
        <v>59</v>
      </c>
      <c r="E438" s="698">
        <f>'SSR-rates'!$L$60</f>
        <v>575</v>
      </c>
      <c r="F438" s="698" t="s">
        <v>38</v>
      </c>
      <c r="G438" s="700">
        <f>ROUND(B438*E438,2)</f>
        <v>1150</v>
      </c>
    </row>
    <row r="439" spans="1:8">
      <c r="A439" s="690"/>
      <c r="B439" s="701">
        <f>'Input Data'!$D$23</f>
        <v>0</v>
      </c>
      <c r="C439" s="696"/>
      <c r="D439" s="702" t="s">
        <v>17</v>
      </c>
      <c r="E439" s="698"/>
      <c r="F439" s="699"/>
      <c r="G439" s="700">
        <f>(G437+G438)*B439</f>
        <v>0</v>
      </c>
    </row>
    <row r="440" spans="1:8">
      <c r="A440" s="690"/>
      <c r="B440" s="698"/>
      <c r="C440" s="698"/>
      <c r="D440" s="702" t="s">
        <v>60</v>
      </c>
      <c r="E440" s="698"/>
      <c r="F440" s="698"/>
      <c r="G440" s="700">
        <f>SUM(G437:G439)</f>
        <v>1196</v>
      </c>
    </row>
    <row r="441" spans="1:8">
      <c r="A441" s="690"/>
      <c r="B441" s="790" t="s">
        <v>39</v>
      </c>
      <c r="C441" s="794" t="s">
        <v>40</v>
      </c>
      <c r="D441" s="702"/>
      <c r="E441" s="698"/>
      <c r="F441" s="698"/>
      <c r="G441" s="700"/>
    </row>
    <row r="442" spans="1:8">
      <c r="A442" s="690"/>
      <c r="B442" s="698">
        <v>2.8</v>
      </c>
      <c r="C442" s="696" t="s">
        <v>41</v>
      </c>
      <c r="D442" s="793" t="s">
        <v>1775</v>
      </c>
      <c r="E442" s="698">
        <f>'SSR-rates'!$L$75</f>
        <v>440</v>
      </c>
      <c r="F442" s="698" t="s">
        <v>41</v>
      </c>
      <c r="G442" s="700">
        <f>ROUND(B442*E442,2)</f>
        <v>1232</v>
      </c>
    </row>
    <row r="443" spans="1:8">
      <c r="A443" s="690"/>
      <c r="B443" s="698">
        <v>2.8</v>
      </c>
      <c r="C443" s="696" t="s">
        <v>41</v>
      </c>
      <c r="D443" s="702" t="s">
        <v>1321</v>
      </c>
      <c r="E443" s="698">
        <f>'SSR-rates'!$L$73</f>
        <v>727.6</v>
      </c>
      <c r="F443" s="698" t="s">
        <v>41</v>
      </c>
      <c r="G443" s="700">
        <f>ROUND(B443*E443,2)</f>
        <v>2037.28</v>
      </c>
    </row>
    <row r="444" spans="1:8">
      <c r="A444" s="690"/>
      <c r="B444" s="698">
        <v>2</v>
      </c>
      <c r="C444" s="696" t="s">
        <v>41</v>
      </c>
      <c r="D444" s="793" t="s">
        <v>1776</v>
      </c>
      <c r="E444" s="698">
        <f>'SSR-rates'!L77</f>
        <v>1059</v>
      </c>
      <c r="F444" s="698" t="s">
        <v>41</v>
      </c>
      <c r="G444" s="700">
        <f>ROUND(B444*E444,2)</f>
        <v>2118</v>
      </c>
    </row>
    <row r="445" spans="1:8">
      <c r="A445" s="690"/>
      <c r="B445" s="698"/>
      <c r="C445" s="698"/>
      <c r="D445" s="702" t="s">
        <v>60</v>
      </c>
      <c r="E445" s="698"/>
      <c r="F445" s="698"/>
      <c r="G445" s="700">
        <f>SUM(G442:G444)</f>
        <v>5387.28</v>
      </c>
    </row>
    <row r="446" spans="1:8">
      <c r="A446" s="690"/>
      <c r="B446" s="790" t="s">
        <v>27</v>
      </c>
      <c r="C446" s="702" t="s">
        <v>61</v>
      </c>
      <c r="D446" s="702"/>
      <c r="E446" s="698"/>
      <c r="F446" s="698"/>
      <c r="G446" s="700"/>
    </row>
    <row r="447" spans="1:8">
      <c r="A447" s="690"/>
      <c r="B447" s="795">
        <v>0.96250000000000002</v>
      </c>
      <c r="C447" s="696" t="s">
        <v>66</v>
      </c>
      <c r="D447" s="691" t="s">
        <v>1777</v>
      </c>
      <c r="E447" s="782">
        <f>Emution_RS</f>
        <v>43276.860229723185</v>
      </c>
      <c r="F447" s="698" t="s">
        <v>66</v>
      </c>
      <c r="G447" s="700">
        <f>ROUND(B447*E447,2)</f>
        <v>41653.980000000003</v>
      </c>
      <c r="H447" s="678">
        <f>0.275*3500</f>
        <v>962.50000000000011</v>
      </c>
    </row>
    <row r="448" spans="1:8">
      <c r="A448" s="690"/>
      <c r="B448" s="698"/>
      <c r="C448" s="696"/>
      <c r="D448" s="702" t="s">
        <v>60</v>
      </c>
      <c r="E448" s="698"/>
      <c r="F448" s="698"/>
      <c r="G448" s="700">
        <f>SUM(G447)</f>
        <v>41653.980000000003</v>
      </c>
    </row>
    <row r="449" spans="1:8">
      <c r="A449" s="690"/>
      <c r="B449" s="686" t="s">
        <v>45</v>
      </c>
      <c r="C449" s="694" t="s">
        <v>1283</v>
      </c>
      <c r="D449" s="697"/>
      <c r="E449" s="696"/>
      <c r="F449" s="697"/>
      <c r="G449" s="713"/>
    </row>
    <row r="450" spans="1:8">
      <c r="A450" s="690"/>
      <c r="B450" s="732">
        <f>'Input Data'!$D$24</f>
        <v>0.13614999999999999</v>
      </c>
      <c r="C450" s="696" t="str">
        <f>"Over head charges &amp; CP  "&amp;'Input Data'!$D$24*100&amp;"%  on (A) + (B)+(C)"</f>
        <v>Over head charges &amp; CP  13.615%  on (A) + (B)+(C)</v>
      </c>
      <c r="D450" s="711"/>
      <c r="E450" s="700">
        <f>G448+G445+G440</f>
        <v>48237.26</v>
      </c>
      <c r="F450" s="697"/>
      <c r="G450" s="700">
        <f>E450*B450</f>
        <v>6567.5029489999997</v>
      </c>
    </row>
    <row r="451" spans="1:8">
      <c r="A451" s="690"/>
      <c r="B451" s="744">
        <f>'Input Data'!$E$24</f>
        <v>0</v>
      </c>
      <c r="C451" s="710" t="s">
        <v>1314</v>
      </c>
      <c r="D451" s="702"/>
      <c r="E451" s="712">
        <f>E450+G450</f>
        <v>54804.762949000004</v>
      </c>
      <c r="F451" s="702"/>
      <c r="G451" s="700">
        <f>E451*B451</f>
        <v>0</v>
      </c>
    </row>
    <row r="452" spans="1:8">
      <c r="A452" s="690"/>
      <c r="B452" s="686" t="s">
        <v>47</v>
      </c>
      <c r="C452" s="697" t="s">
        <v>89</v>
      </c>
      <c r="D452" s="702"/>
      <c r="E452" s="696"/>
      <c r="F452" s="697"/>
      <c r="G452" s="713">
        <f>G440+G445+G448+G450+G451</f>
        <v>54804.762949000004</v>
      </c>
    </row>
    <row r="453" spans="1:8">
      <c r="A453" s="690"/>
      <c r="B453" s="698"/>
      <c r="C453" s="696"/>
      <c r="D453" s="702" t="s">
        <v>1778</v>
      </c>
      <c r="E453" s="698"/>
      <c r="F453" s="698"/>
      <c r="G453" s="713">
        <f>SUM(G452:G452)</f>
        <v>54804.762949000004</v>
      </c>
    </row>
    <row r="454" spans="1:8">
      <c r="A454" s="690"/>
      <c r="B454" s="698"/>
      <c r="C454" s="696"/>
      <c r="D454" s="702" t="s">
        <v>1713</v>
      </c>
      <c r="E454" s="698"/>
      <c r="F454" s="698"/>
      <c r="G454" s="700">
        <f>ROUND(G453/3500,2)</f>
        <v>15.66</v>
      </c>
    </row>
    <row r="455" spans="1:8">
      <c r="A455" s="690"/>
      <c r="B455" s="699"/>
      <c r="C455" s="702"/>
      <c r="D455" s="702" t="s">
        <v>52</v>
      </c>
      <c r="E455" s="698"/>
      <c r="F455" s="698"/>
      <c r="G455" s="741">
        <f>ROUND(G454,2)</f>
        <v>15.66</v>
      </c>
      <c r="H455" s="678" t="s">
        <v>956</v>
      </c>
    </row>
    <row r="456" spans="1:8">
      <c r="A456" s="690"/>
      <c r="B456" s="699"/>
      <c r="C456" s="702"/>
      <c r="D456" s="702"/>
      <c r="E456" s="711"/>
      <c r="F456" s="702"/>
      <c r="G456" s="714" t="s">
        <v>137</v>
      </c>
    </row>
    <row r="457" spans="1:8" ht="68.099999999999994" customHeight="1">
      <c r="A457" s="690">
        <f>A433+1</f>
        <v>8</v>
      </c>
      <c r="B457" s="3765" t="s">
        <v>1779</v>
      </c>
      <c r="C457" s="3686"/>
      <c r="D457" s="3686"/>
      <c r="E457" s="3686"/>
      <c r="F457" s="3686"/>
      <c r="G457" s="3686"/>
      <c r="H457" s="676"/>
    </row>
    <row r="458" spans="1:8">
      <c r="A458" s="690"/>
      <c r="B458" s="699" t="s">
        <v>1772</v>
      </c>
      <c r="C458" s="702"/>
      <c r="D458" s="694" t="s">
        <v>1773</v>
      </c>
      <c r="E458" s="711"/>
      <c r="F458" s="702"/>
      <c r="G458" s="703"/>
      <c r="H458" s="676"/>
    </row>
    <row r="459" spans="1:8">
      <c r="A459" s="690"/>
      <c r="B459" s="697" t="s">
        <v>1774</v>
      </c>
      <c r="C459" s="702"/>
      <c r="D459" s="702"/>
      <c r="E459" s="711"/>
      <c r="F459" s="702"/>
      <c r="G459" s="703"/>
      <c r="H459" s="676"/>
    </row>
    <row r="460" spans="1:8">
      <c r="A460" s="690"/>
      <c r="B460" s="790" t="s">
        <v>36</v>
      </c>
      <c r="C460" s="794" t="s">
        <v>37</v>
      </c>
      <c r="D460" s="702"/>
      <c r="E460" s="711"/>
      <c r="F460" s="702"/>
      <c r="G460" s="703"/>
    </row>
    <row r="461" spans="1:8">
      <c r="A461" s="690"/>
      <c r="B461" s="698">
        <v>0.08</v>
      </c>
      <c r="C461" s="696" t="s">
        <v>106</v>
      </c>
      <c r="D461" s="702" t="s">
        <v>14</v>
      </c>
      <c r="E461" s="698">
        <f>'SSR-rates'!$L$58</f>
        <v>575</v>
      </c>
      <c r="F461" s="698" t="s">
        <v>38</v>
      </c>
      <c r="G461" s="700">
        <f>ROUND(B461*E461,2)</f>
        <v>46</v>
      </c>
    </row>
    <row r="462" spans="1:8">
      <c r="A462" s="690"/>
      <c r="B462" s="698">
        <v>2</v>
      </c>
      <c r="C462" s="696" t="s">
        <v>106</v>
      </c>
      <c r="D462" s="702" t="s">
        <v>59</v>
      </c>
      <c r="E462" s="698">
        <f>'SSR-rates'!$L$60</f>
        <v>575</v>
      </c>
      <c r="F462" s="698" t="s">
        <v>38</v>
      </c>
      <c r="G462" s="700">
        <f>ROUND(B462*E462,2)</f>
        <v>1150</v>
      </c>
    </row>
    <row r="463" spans="1:8">
      <c r="A463" s="690"/>
      <c r="B463" s="701">
        <f>'Input Data'!$D$23</f>
        <v>0</v>
      </c>
      <c r="C463" s="696"/>
      <c r="D463" s="702" t="s">
        <v>17</v>
      </c>
      <c r="E463" s="698"/>
      <c r="F463" s="699"/>
      <c r="G463" s="700">
        <f>(G461+G462)*B463</f>
        <v>0</v>
      </c>
    </row>
    <row r="464" spans="1:8">
      <c r="A464" s="690"/>
      <c r="B464" s="698"/>
      <c r="C464" s="698"/>
      <c r="D464" s="702" t="s">
        <v>60</v>
      </c>
      <c r="E464" s="698"/>
      <c r="F464" s="698"/>
      <c r="G464" s="700">
        <f>SUM(G461:G463)</f>
        <v>1196</v>
      </c>
    </row>
    <row r="465" spans="1:8">
      <c r="A465" s="690"/>
      <c r="B465" s="790" t="s">
        <v>39</v>
      </c>
      <c r="C465" s="794" t="s">
        <v>40</v>
      </c>
      <c r="D465" s="702"/>
      <c r="E465" s="698"/>
      <c r="F465" s="698"/>
      <c r="G465" s="700"/>
    </row>
    <row r="466" spans="1:8">
      <c r="A466" s="690"/>
      <c r="B466" s="698">
        <v>2.8</v>
      </c>
      <c r="C466" s="696" t="s">
        <v>41</v>
      </c>
      <c r="D466" s="793" t="s">
        <v>1775</v>
      </c>
      <c r="E466" s="698">
        <f>'SSR-rates'!$L$75</f>
        <v>440</v>
      </c>
      <c r="F466" s="698" t="s">
        <v>41</v>
      </c>
      <c r="G466" s="700">
        <f>ROUND(B466*E466,2)</f>
        <v>1232</v>
      </c>
    </row>
    <row r="467" spans="1:8">
      <c r="A467" s="690"/>
      <c r="B467" s="698">
        <v>2.8</v>
      </c>
      <c r="C467" s="696" t="s">
        <v>41</v>
      </c>
      <c r="D467" s="702" t="s">
        <v>1321</v>
      </c>
      <c r="E467" s="698">
        <f>'SSR-rates'!$L$73</f>
        <v>727.6</v>
      </c>
      <c r="F467" s="698" t="s">
        <v>41</v>
      </c>
      <c r="G467" s="700">
        <f>ROUND(B467*E467,2)</f>
        <v>2037.28</v>
      </c>
    </row>
    <row r="468" spans="1:8">
      <c r="A468" s="690"/>
      <c r="B468" s="698">
        <v>2</v>
      </c>
      <c r="C468" s="696" t="s">
        <v>41</v>
      </c>
      <c r="D468" s="793" t="s">
        <v>1776</v>
      </c>
      <c r="E468" s="698">
        <f>'SSR-rates'!$L$77</f>
        <v>1059</v>
      </c>
      <c r="F468" s="698" t="s">
        <v>41</v>
      </c>
      <c r="G468" s="700">
        <f>ROUND(B468*E468,2)</f>
        <v>2118</v>
      </c>
    </row>
    <row r="469" spans="1:8">
      <c r="A469" s="690"/>
      <c r="B469" s="698"/>
      <c r="C469" s="698"/>
      <c r="D469" s="702" t="s">
        <v>60</v>
      </c>
      <c r="E469" s="698"/>
      <c r="F469" s="698"/>
      <c r="G469" s="700">
        <f>SUM(G466:G468)</f>
        <v>5387.28</v>
      </c>
    </row>
    <row r="470" spans="1:8">
      <c r="A470" s="690"/>
      <c r="B470" s="790" t="s">
        <v>27</v>
      </c>
      <c r="C470" s="702" t="s">
        <v>61</v>
      </c>
      <c r="D470" s="702"/>
      <c r="E470" s="698"/>
      <c r="F470" s="698"/>
      <c r="G470" s="700"/>
    </row>
    <row r="471" spans="1:8">
      <c r="A471" s="690"/>
      <c r="B471" s="796">
        <v>0.7</v>
      </c>
      <c r="C471" s="696" t="s">
        <v>66</v>
      </c>
      <c r="D471" s="691" t="s">
        <v>1780</v>
      </c>
      <c r="E471" s="782">
        <f>Emution_RS</f>
        <v>43276.860229723185</v>
      </c>
      <c r="F471" s="698" t="s">
        <v>66</v>
      </c>
      <c r="G471" s="700">
        <f>ROUND(B471*E471,2)</f>
        <v>30293.8</v>
      </c>
      <c r="H471" s="678">
        <f>0.2*3500</f>
        <v>700</v>
      </c>
    </row>
    <row r="472" spans="1:8">
      <c r="A472" s="690"/>
      <c r="B472" s="704"/>
      <c r="C472" s="705"/>
      <c r="D472" s="706"/>
      <c r="E472" s="704"/>
      <c r="F472" s="704"/>
      <c r="G472" s="700"/>
    </row>
    <row r="473" spans="1:8">
      <c r="A473" s="690"/>
      <c r="B473" s="698"/>
      <c r="C473" s="696"/>
      <c r="D473" s="702" t="s">
        <v>60</v>
      </c>
      <c r="E473" s="698"/>
      <c r="F473" s="698"/>
      <c r="G473" s="700">
        <f>SUM(G471:G472)</f>
        <v>30293.8</v>
      </c>
    </row>
    <row r="474" spans="1:8">
      <c r="A474" s="690"/>
      <c r="B474" s="686" t="s">
        <v>45</v>
      </c>
      <c r="C474" s="694" t="s">
        <v>1283</v>
      </c>
      <c r="D474" s="697"/>
      <c r="E474" s="696"/>
      <c r="F474" s="697"/>
      <c r="G474" s="713"/>
    </row>
    <row r="475" spans="1:8">
      <c r="A475" s="690"/>
      <c r="B475" s="732">
        <f>'Input Data'!$D$24</f>
        <v>0.13614999999999999</v>
      </c>
      <c r="C475" s="696" t="str">
        <f>"Over head charges &amp; CP  "&amp;'Input Data'!$D$24*100&amp;"%  on (A) + (B)+(C)"</f>
        <v>Over head charges &amp; CP  13.615%  on (A) + (B)+(C)</v>
      </c>
      <c r="D475" s="711"/>
      <c r="E475" s="696">
        <f>G473+G469+G464</f>
        <v>36877.08</v>
      </c>
      <c r="F475" s="697"/>
      <c r="G475" s="700">
        <f>E475*B475</f>
        <v>5020.8144419999999</v>
      </c>
    </row>
    <row r="476" spans="1:8">
      <c r="A476" s="690"/>
      <c r="B476" s="686" t="s">
        <v>47</v>
      </c>
      <c r="C476" s="697" t="s">
        <v>89</v>
      </c>
      <c r="D476" s="702"/>
      <c r="E476" s="696"/>
      <c r="F476" s="697"/>
      <c r="G476" s="713">
        <f>G464+G469+G473+G475</f>
        <v>41897.894442000004</v>
      </c>
    </row>
    <row r="477" spans="1:8">
      <c r="A477" s="690"/>
      <c r="B477" s="698"/>
      <c r="C477" s="696"/>
      <c r="D477" s="702" t="s">
        <v>1778</v>
      </c>
      <c r="E477" s="698"/>
      <c r="F477" s="698"/>
      <c r="G477" s="713">
        <f>SUM(G476:G476)</f>
        <v>41897.894442000004</v>
      </c>
    </row>
    <row r="478" spans="1:8">
      <c r="A478" s="690"/>
      <c r="B478" s="698"/>
      <c r="C478" s="696"/>
      <c r="D478" s="702" t="s">
        <v>1713</v>
      </c>
      <c r="E478" s="698"/>
      <c r="F478" s="698"/>
      <c r="G478" s="700">
        <f>ROUND(G477/3500,2)</f>
        <v>11.97</v>
      </c>
    </row>
    <row r="479" spans="1:8">
      <c r="A479" s="690"/>
      <c r="B479" s="699"/>
      <c r="C479" s="702"/>
      <c r="D479" s="702" t="s">
        <v>52</v>
      </c>
      <c r="E479" s="698"/>
      <c r="F479" s="698"/>
      <c r="G479" s="741">
        <f>ROUND(G478,2)</f>
        <v>11.97</v>
      </c>
      <c r="H479" s="678" t="s">
        <v>956</v>
      </c>
    </row>
    <row r="480" spans="1:8">
      <c r="A480" s="690"/>
      <c r="B480" s="699"/>
      <c r="C480" s="702"/>
      <c r="D480" s="702"/>
      <c r="E480" s="711"/>
      <c r="F480" s="702"/>
      <c r="G480" s="714" t="s">
        <v>137</v>
      </c>
    </row>
    <row r="481" spans="1:8" ht="75" customHeight="1">
      <c r="A481" s="690">
        <f>A457+1</f>
        <v>9</v>
      </c>
      <c r="B481" s="3686" t="s">
        <v>1781</v>
      </c>
      <c r="C481" s="3686"/>
      <c r="D481" s="3686"/>
      <c r="E481" s="3686"/>
      <c r="F481" s="3686"/>
      <c r="G481" s="3686"/>
    </row>
    <row r="482" spans="1:8">
      <c r="A482" s="690"/>
      <c r="B482" s="699" t="s">
        <v>1772</v>
      </c>
      <c r="C482" s="702"/>
      <c r="D482" s="694" t="s">
        <v>1782</v>
      </c>
      <c r="E482" s="711"/>
      <c r="F482" s="702"/>
      <c r="G482" s="703"/>
    </row>
    <row r="483" spans="1:8">
      <c r="A483" s="690"/>
      <c r="B483" s="697" t="s">
        <v>1774</v>
      </c>
      <c r="C483" s="702"/>
      <c r="D483" s="702"/>
      <c r="E483" s="711"/>
      <c r="F483" s="702"/>
      <c r="G483" s="703"/>
    </row>
    <row r="484" spans="1:8">
      <c r="A484" s="690"/>
      <c r="B484" s="790" t="s">
        <v>36</v>
      </c>
      <c r="C484" s="794" t="s">
        <v>37</v>
      </c>
      <c r="D484" s="702"/>
      <c r="E484" s="711"/>
      <c r="F484" s="702"/>
      <c r="G484" s="703"/>
    </row>
    <row r="485" spans="1:8">
      <c r="A485" s="690"/>
      <c r="B485" s="698">
        <v>0.08</v>
      </c>
      <c r="C485" s="696" t="s">
        <v>106</v>
      </c>
      <c r="D485" s="702" t="s">
        <v>14</v>
      </c>
      <c r="E485" s="698">
        <f>'SSR-rates'!$L$58</f>
        <v>575</v>
      </c>
      <c r="F485" s="698" t="s">
        <v>38</v>
      </c>
      <c r="G485" s="700">
        <f>ROUND(B485*E485,2)</f>
        <v>46</v>
      </c>
    </row>
    <row r="486" spans="1:8">
      <c r="A486" s="690"/>
      <c r="B486" s="698">
        <v>2</v>
      </c>
      <c r="C486" s="696" t="s">
        <v>106</v>
      </c>
      <c r="D486" s="702" t="s">
        <v>59</v>
      </c>
      <c r="E486" s="698">
        <f>'SSR-rates'!$L$60</f>
        <v>575</v>
      </c>
      <c r="F486" s="698" t="s">
        <v>38</v>
      </c>
      <c r="G486" s="700">
        <f>ROUND(B486*E486,2)</f>
        <v>1150</v>
      </c>
    </row>
    <row r="487" spans="1:8">
      <c r="A487" s="690"/>
      <c r="B487" s="701">
        <f>'Input Data'!$D$23</f>
        <v>0</v>
      </c>
      <c r="C487" s="696"/>
      <c r="D487" s="702" t="s">
        <v>17</v>
      </c>
      <c r="E487" s="698"/>
      <c r="F487" s="699"/>
      <c r="G487" s="700">
        <f>(G485+G486)*B487</f>
        <v>0</v>
      </c>
    </row>
    <row r="488" spans="1:8">
      <c r="A488" s="690"/>
      <c r="B488" s="698"/>
      <c r="C488" s="698"/>
      <c r="D488" s="702" t="s">
        <v>60</v>
      </c>
      <c r="E488" s="698"/>
      <c r="F488" s="698"/>
      <c r="G488" s="713">
        <f>SUM(G485:G487)</f>
        <v>1196</v>
      </c>
    </row>
    <row r="489" spans="1:8">
      <c r="A489" s="690"/>
      <c r="B489" s="790" t="s">
        <v>39</v>
      </c>
      <c r="C489" s="794" t="s">
        <v>40</v>
      </c>
      <c r="D489" s="702"/>
      <c r="E489" s="698"/>
      <c r="F489" s="698"/>
      <c r="G489" s="700"/>
    </row>
    <row r="490" spans="1:8">
      <c r="A490" s="690"/>
      <c r="B490" s="698">
        <v>2.8</v>
      </c>
      <c r="C490" s="696" t="s">
        <v>41</v>
      </c>
      <c r="D490" s="793" t="s">
        <v>1775</v>
      </c>
      <c r="E490" s="698">
        <f>'SSR-rates'!L75</f>
        <v>440</v>
      </c>
      <c r="F490" s="698" t="s">
        <v>41</v>
      </c>
      <c r="G490" s="700">
        <f>ROUND(B490*E490,2)</f>
        <v>1232</v>
      </c>
    </row>
    <row r="491" spans="1:8">
      <c r="A491" s="690"/>
      <c r="B491" s="698">
        <v>2.8</v>
      </c>
      <c r="C491" s="696" t="s">
        <v>41</v>
      </c>
      <c r="D491" s="702" t="s">
        <v>1321</v>
      </c>
      <c r="E491" s="698">
        <f>'SSR-rates'!L73</f>
        <v>727.6</v>
      </c>
      <c r="F491" s="698" t="s">
        <v>41</v>
      </c>
      <c r="G491" s="700">
        <f>ROUND(B491*E491,2)</f>
        <v>2037.28</v>
      </c>
    </row>
    <row r="492" spans="1:8">
      <c r="A492" s="690"/>
      <c r="B492" s="698">
        <v>1</v>
      </c>
      <c r="C492" s="696" t="s">
        <v>41</v>
      </c>
      <c r="D492" s="702" t="s">
        <v>1783</v>
      </c>
      <c r="E492" s="698">
        <f>'SSR-rates'!$L$69</f>
        <v>769</v>
      </c>
      <c r="F492" s="698" t="s">
        <v>41</v>
      </c>
      <c r="G492" s="700">
        <f>ROUND(B492*E492,2)</f>
        <v>769</v>
      </c>
    </row>
    <row r="493" spans="1:8">
      <c r="A493" s="690"/>
      <c r="B493" s="698">
        <v>2</v>
      </c>
      <c r="C493" s="696" t="s">
        <v>41</v>
      </c>
      <c r="D493" s="793" t="s">
        <v>1784</v>
      </c>
      <c r="E493" s="698">
        <f>'SSR-rates'!L76</f>
        <v>1846</v>
      </c>
      <c r="F493" s="698" t="s">
        <v>41</v>
      </c>
      <c r="G493" s="700">
        <f>ROUND(B493*E493,2)</f>
        <v>3692</v>
      </c>
    </row>
    <row r="494" spans="1:8">
      <c r="A494" s="690"/>
      <c r="B494" s="698"/>
      <c r="C494" s="698"/>
      <c r="D494" s="702" t="s">
        <v>60</v>
      </c>
      <c r="E494" s="698"/>
      <c r="F494" s="698"/>
      <c r="G494" s="713">
        <f>SUM(G490:G493)</f>
        <v>7730.28</v>
      </c>
    </row>
    <row r="495" spans="1:8">
      <c r="A495" s="690"/>
      <c r="B495" s="790" t="s">
        <v>27</v>
      </c>
      <c r="C495" s="739" t="s">
        <v>61</v>
      </c>
      <c r="D495" s="702"/>
      <c r="E495" s="698"/>
      <c r="F495" s="698"/>
      <c r="G495" s="700"/>
    </row>
    <row r="496" spans="1:8">
      <c r="A496" s="690"/>
      <c r="B496" s="796">
        <v>2.1</v>
      </c>
      <c r="C496" s="696" t="s">
        <v>66</v>
      </c>
      <c r="D496" s="691" t="s">
        <v>1785</v>
      </c>
      <c r="E496" s="782">
        <f>Emultion_SS</f>
        <v>76970.860229723185</v>
      </c>
      <c r="F496" s="698" t="s">
        <v>66</v>
      </c>
      <c r="G496" s="700">
        <f>ROUND(B496*E496,2)</f>
        <v>161638.81</v>
      </c>
      <c r="H496" s="684">
        <f>3500*0.6</f>
        <v>2100</v>
      </c>
    </row>
    <row r="497" spans="1:8">
      <c r="A497" s="690"/>
      <c r="B497" s="704">
        <v>6</v>
      </c>
      <c r="C497" s="705" t="s">
        <v>1680</v>
      </c>
      <c r="D497" s="706" t="s">
        <v>1681</v>
      </c>
      <c r="E497" s="704">
        <f>IF(lead!$C$63="Y",'SSR-rates'!$L$112,0)</f>
        <v>0</v>
      </c>
      <c r="F497" s="704" t="s">
        <v>41</v>
      </c>
      <c r="G497" s="700">
        <f>ROUND(B497*E497,2)</f>
        <v>0</v>
      </c>
      <c r="H497" s="684"/>
    </row>
    <row r="498" spans="1:8">
      <c r="A498" s="690"/>
      <c r="B498" s="698"/>
      <c r="C498" s="696"/>
      <c r="D498" s="702" t="s">
        <v>60</v>
      </c>
      <c r="E498" s="698"/>
      <c r="F498" s="698"/>
      <c r="G498" s="700">
        <f>SUM(G496:G497)</f>
        <v>161638.81</v>
      </c>
    </row>
    <row r="499" spans="1:8">
      <c r="A499" s="690"/>
      <c r="B499" s="686" t="s">
        <v>45</v>
      </c>
      <c r="C499" s="694" t="s">
        <v>1283</v>
      </c>
      <c r="D499" s="697"/>
      <c r="E499" s="696"/>
      <c r="F499" s="697"/>
      <c r="G499" s="713"/>
    </row>
    <row r="500" spans="1:8">
      <c r="A500" s="690"/>
      <c r="B500" s="732">
        <f>'Input Data'!$D$24</f>
        <v>0.13614999999999999</v>
      </c>
      <c r="C500" s="696"/>
      <c r="D500" s="711" t="str">
        <f>"Over head charges &amp; CP "&amp;'Input Data'!$D$24*100&amp;"%  on (A) + (B)+(C)"</f>
        <v>Over head charges &amp; CP 13.615%  on (A) + (B)+(C)</v>
      </c>
      <c r="E500" s="700">
        <f>G498+G494+G488</f>
        <v>170565.09</v>
      </c>
      <c r="F500" s="697"/>
      <c r="G500" s="700">
        <f>E500*B500</f>
        <v>23222.437003499999</v>
      </c>
    </row>
    <row r="501" spans="1:8">
      <c r="A501" s="690"/>
      <c r="B501" s="744">
        <f>'Input Data'!$E$24</f>
        <v>0</v>
      </c>
      <c r="C501" s="710" t="s">
        <v>1314</v>
      </c>
      <c r="D501" s="702"/>
      <c r="E501" s="712">
        <f>E500+G500</f>
        <v>193787.5270035</v>
      </c>
      <c r="F501" s="702"/>
      <c r="G501" s="700">
        <f>E501*B501</f>
        <v>0</v>
      </c>
    </row>
    <row r="502" spans="1:8">
      <c r="A502" s="690"/>
      <c r="B502" s="686" t="s">
        <v>47</v>
      </c>
      <c r="C502" s="694" t="s">
        <v>89</v>
      </c>
      <c r="D502" s="702"/>
      <c r="E502" s="696"/>
      <c r="F502" s="697"/>
      <c r="G502" s="713">
        <f>G488+G494+G498+G500+G501</f>
        <v>193787.5270035</v>
      </c>
    </row>
    <row r="503" spans="1:8">
      <c r="A503" s="690"/>
      <c r="B503" s="698"/>
      <c r="C503" s="696"/>
      <c r="D503" s="739" t="s">
        <v>1778</v>
      </c>
      <c r="E503" s="698"/>
      <c r="F503" s="698"/>
      <c r="G503" s="713">
        <f>SUM(G502:G502)</f>
        <v>193787.5270035</v>
      </c>
    </row>
    <row r="504" spans="1:8">
      <c r="A504" s="690"/>
      <c r="B504" s="698"/>
      <c r="C504" s="696"/>
      <c r="D504" s="702" t="s">
        <v>1713</v>
      </c>
      <c r="E504" s="698"/>
      <c r="F504" s="698"/>
      <c r="G504" s="700">
        <f>ROUND(G503/3500,2)</f>
        <v>55.37</v>
      </c>
    </row>
    <row r="505" spans="1:8">
      <c r="A505" s="690"/>
      <c r="B505" s="699"/>
      <c r="C505" s="702"/>
      <c r="D505" s="702" t="s">
        <v>52</v>
      </c>
      <c r="E505" s="698"/>
      <c r="F505" s="698"/>
      <c r="G505" s="741">
        <f>ROUND(G504,2)</f>
        <v>55.37</v>
      </c>
      <c r="H505" s="678" t="s">
        <v>956</v>
      </c>
    </row>
    <row r="506" spans="1:8">
      <c r="A506" s="690"/>
      <c r="B506" s="699"/>
      <c r="C506" s="702"/>
      <c r="D506" s="702"/>
      <c r="E506" s="711"/>
      <c r="F506" s="702"/>
      <c r="G506" s="714" t="s">
        <v>137</v>
      </c>
    </row>
    <row r="507" spans="1:8" s="679" customFormat="1">
      <c r="A507" s="690">
        <f>A481+1</f>
        <v>10</v>
      </c>
      <c r="B507" s="3766" t="s">
        <v>1786</v>
      </c>
      <c r="C507" s="3766"/>
      <c r="D507" s="3766"/>
      <c r="E507" s="3766"/>
      <c r="F507" s="3766"/>
      <c r="G507" s="3766"/>
    </row>
    <row r="508" spans="1:8" s="679" customFormat="1">
      <c r="A508" s="690"/>
      <c r="B508" s="3686" t="s">
        <v>1787</v>
      </c>
      <c r="C508" s="3686"/>
      <c r="D508" s="3686"/>
      <c r="E508" s="3686"/>
      <c r="F508" s="3686"/>
      <c r="G508" s="3686"/>
    </row>
    <row r="509" spans="1:8" s="679" customFormat="1">
      <c r="A509" s="690"/>
      <c r="B509" s="699"/>
      <c r="C509" s="710" t="s">
        <v>10</v>
      </c>
      <c r="D509" s="697"/>
      <c r="E509" s="708" t="s">
        <v>1788</v>
      </c>
      <c r="F509" s="699"/>
      <c r="G509" s="703"/>
    </row>
    <row r="510" spans="1:8" s="679" customFormat="1">
      <c r="A510" s="690"/>
      <c r="B510" s="699"/>
      <c r="C510" s="697" t="s">
        <v>1789</v>
      </c>
      <c r="D510" s="697"/>
      <c r="E510" s="698"/>
      <c r="F510" s="699"/>
      <c r="G510" s="797"/>
    </row>
    <row r="511" spans="1:8" s="679" customFormat="1">
      <c r="A511" s="690"/>
      <c r="B511" s="3686" t="s">
        <v>1790</v>
      </c>
      <c r="C511" s="3686"/>
      <c r="D511" s="3686"/>
      <c r="E511" s="3686"/>
      <c r="F511" s="3686"/>
      <c r="G511" s="3686"/>
    </row>
    <row r="512" spans="1:8" s="679" customFormat="1">
      <c r="A512" s="690"/>
      <c r="B512" s="699"/>
      <c r="C512" s="690" t="s">
        <v>36</v>
      </c>
      <c r="D512" s="694" t="s">
        <v>37</v>
      </c>
      <c r="E512" s="698"/>
      <c r="F512" s="699"/>
      <c r="G512" s="703"/>
    </row>
    <row r="513" spans="1:7" s="679" customFormat="1">
      <c r="A513" s="690"/>
      <c r="B513" s="698">
        <v>0.84</v>
      </c>
      <c r="C513" s="798" t="s">
        <v>1263</v>
      </c>
      <c r="D513" s="697" t="s">
        <v>14</v>
      </c>
      <c r="E513" s="698">
        <f>'SSR-rates'!$L$58</f>
        <v>575</v>
      </c>
      <c r="F513" s="698" t="s">
        <v>1263</v>
      </c>
      <c r="G513" s="700">
        <f>ROUND(B513*E513,2)</f>
        <v>483</v>
      </c>
    </row>
    <row r="514" spans="1:7" s="679" customFormat="1" ht="30">
      <c r="A514" s="690"/>
      <c r="B514" s="698">
        <v>16</v>
      </c>
      <c r="C514" s="798" t="s">
        <v>1263</v>
      </c>
      <c r="D514" s="706" t="s">
        <v>1791</v>
      </c>
      <c r="E514" s="698">
        <f>'SSR-rates'!$L$60</f>
        <v>575</v>
      </c>
      <c r="F514" s="698" t="s">
        <v>1263</v>
      </c>
      <c r="G514" s="700">
        <f>ROUND(B514*E514,2)</f>
        <v>9200</v>
      </c>
    </row>
    <row r="515" spans="1:7" s="679" customFormat="1">
      <c r="A515" s="690"/>
      <c r="B515" s="698">
        <v>5</v>
      </c>
      <c r="C515" s="798" t="s">
        <v>1263</v>
      </c>
      <c r="D515" s="702" t="s">
        <v>1792</v>
      </c>
      <c r="E515" s="698">
        <f>'SSR-rates'!$L$59</f>
        <v>575</v>
      </c>
      <c r="F515" s="698" t="s">
        <v>1263</v>
      </c>
      <c r="G515" s="700">
        <f>ROUND(B515*E515,2)</f>
        <v>2875</v>
      </c>
    </row>
    <row r="516" spans="1:7" s="679" customFormat="1">
      <c r="A516" s="690"/>
      <c r="B516" s="701">
        <f>'Input Data'!$D$23</f>
        <v>0</v>
      </c>
      <c r="C516" s="696"/>
      <c r="D516" s="702" t="s">
        <v>17</v>
      </c>
      <c r="E516" s="698">
        <f>SUM(G513:G515)</f>
        <v>12558</v>
      </c>
      <c r="F516" s="699"/>
      <c r="G516" s="700">
        <f>B516*E516</f>
        <v>0</v>
      </c>
    </row>
    <row r="517" spans="1:7" s="679" customFormat="1">
      <c r="A517" s="690"/>
      <c r="B517" s="698"/>
      <c r="C517" s="798"/>
      <c r="D517" s="697" t="s">
        <v>60</v>
      </c>
      <c r="E517" s="698"/>
      <c r="F517" s="699"/>
      <c r="G517" s="713">
        <f>SUM(G513:G516)</f>
        <v>12558</v>
      </c>
    </row>
    <row r="518" spans="1:7" s="679" customFormat="1">
      <c r="A518" s="690"/>
      <c r="B518" s="699"/>
      <c r="C518" s="690" t="s">
        <v>39</v>
      </c>
      <c r="D518" s="694" t="s">
        <v>40</v>
      </c>
      <c r="E518" s="698"/>
      <c r="F518" s="699"/>
      <c r="G518" s="703"/>
    </row>
    <row r="519" spans="1:7" s="679" customFormat="1">
      <c r="A519" s="690"/>
      <c r="B519" s="799">
        <v>4</v>
      </c>
      <c r="C519" s="799" t="s">
        <v>41</v>
      </c>
      <c r="D519" s="800" t="s">
        <v>1265</v>
      </c>
      <c r="E519" s="799">
        <f>'SSR-rates'!$Q$78</f>
        <v>33344</v>
      </c>
      <c r="F519" s="698" t="s">
        <v>41</v>
      </c>
      <c r="G519" s="700">
        <f>ROUND(B519*E519,2)</f>
        <v>133376</v>
      </c>
    </row>
    <row r="520" spans="1:7" s="679" customFormat="1">
      <c r="A520" s="690"/>
      <c r="B520" s="799">
        <v>4</v>
      </c>
      <c r="C520" s="698" t="s">
        <v>41</v>
      </c>
      <c r="D520" s="697" t="s">
        <v>1793</v>
      </c>
      <c r="E520" s="698">
        <f>'SSR-rates'!$L$85</f>
        <v>2279</v>
      </c>
      <c r="F520" s="698" t="s">
        <v>41</v>
      </c>
      <c r="G520" s="700">
        <f>ROUND(B520*E520,2)</f>
        <v>9116</v>
      </c>
    </row>
    <row r="521" spans="1:7" s="679" customFormat="1">
      <c r="A521" s="690"/>
      <c r="B521" s="799">
        <v>4</v>
      </c>
      <c r="C521" s="698" t="s">
        <v>41</v>
      </c>
      <c r="D521" s="697" t="s">
        <v>1794</v>
      </c>
      <c r="E521" s="698">
        <f>'SSR-rates'!$L$65</f>
        <v>2028</v>
      </c>
      <c r="F521" s="698" t="s">
        <v>41</v>
      </c>
      <c r="G521" s="700">
        <f>ROUND(B521*E521,2)</f>
        <v>8112</v>
      </c>
    </row>
    <row r="522" spans="1:7" s="679" customFormat="1">
      <c r="A522" s="690"/>
      <c r="B522" s="698" t="s">
        <v>1795</v>
      </c>
      <c r="C522" s="698" t="s">
        <v>1796</v>
      </c>
      <c r="D522" s="706" t="s">
        <v>1797</v>
      </c>
      <c r="E522" s="698">
        <v>0</v>
      </c>
      <c r="F522" s="698" t="s">
        <v>1796</v>
      </c>
      <c r="G522" s="700">
        <v>0</v>
      </c>
    </row>
    <row r="523" spans="1:7" s="679" customFormat="1" ht="30">
      <c r="A523" s="690"/>
      <c r="B523" s="698"/>
      <c r="C523" s="698"/>
      <c r="D523" s="706" t="s">
        <v>1798</v>
      </c>
      <c r="E523" s="698"/>
      <c r="F523" s="698"/>
      <c r="G523" s="700">
        <v>0</v>
      </c>
    </row>
    <row r="524" spans="1:7" s="679" customFormat="1">
      <c r="A524" s="690"/>
      <c r="B524" s="801">
        <v>4</v>
      </c>
      <c r="C524" s="698" t="s">
        <v>41</v>
      </c>
      <c r="D524" s="706" t="s">
        <v>1799</v>
      </c>
      <c r="E524" s="698">
        <f>+'SSR-rates'!L80</f>
        <v>2771</v>
      </c>
      <c r="F524" s="698" t="s">
        <v>41</v>
      </c>
      <c r="G524" s="700">
        <f>ROUND(B524*E524,2)</f>
        <v>11084</v>
      </c>
    </row>
    <row r="525" spans="1:7" s="679" customFormat="1" ht="30">
      <c r="A525" s="690"/>
      <c r="B525" s="801">
        <v>4</v>
      </c>
      <c r="C525" s="698" t="s">
        <v>41</v>
      </c>
      <c r="D525" s="706" t="s">
        <v>1800</v>
      </c>
      <c r="E525" s="704">
        <f>'SSR-rates'!$L$68</f>
        <v>1749.6</v>
      </c>
      <c r="F525" s="704" t="s">
        <v>41</v>
      </c>
      <c r="G525" s="707">
        <f>ROUND(B525*E525,2)</f>
        <v>6998.4</v>
      </c>
    </row>
    <row r="526" spans="1:7" s="679" customFormat="1">
      <c r="A526" s="690"/>
      <c r="B526" s="698"/>
      <c r="C526" s="798"/>
      <c r="D526" s="697" t="s">
        <v>60</v>
      </c>
      <c r="E526" s="698"/>
      <c r="F526" s="699"/>
      <c r="G526" s="713">
        <f>SUM(G519:G525)</f>
        <v>168686.4</v>
      </c>
    </row>
    <row r="527" spans="1:7" s="679" customFormat="1">
      <c r="A527" s="690"/>
      <c r="B527" s="699"/>
      <c r="C527" s="690" t="s">
        <v>27</v>
      </c>
      <c r="D527" s="694" t="s">
        <v>61</v>
      </c>
      <c r="E527" s="698"/>
      <c r="F527" s="699"/>
      <c r="G527" s="703"/>
    </row>
    <row r="528" spans="1:7" s="679" customFormat="1">
      <c r="A528" s="690"/>
      <c r="B528" s="796">
        <v>14.97</v>
      </c>
      <c r="C528" s="698" t="s">
        <v>66</v>
      </c>
      <c r="D528" s="706" t="s">
        <v>1801</v>
      </c>
      <c r="E528" s="782">
        <f>BT_Rate_60_70</f>
        <v>43863.860229723185</v>
      </c>
      <c r="F528" s="699" t="s">
        <v>66</v>
      </c>
      <c r="G528" s="707">
        <f>ROUND(B528*E528,2)</f>
        <v>656641.99</v>
      </c>
    </row>
    <row r="529" spans="1:8" s="679" customFormat="1" ht="30">
      <c r="A529" s="690"/>
      <c r="B529" s="698">
        <v>276.75</v>
      </c>
      <c r="C529" s="698" t="s">
        <v>31</v>
      </c>
      <c r="D529" s="706" t="s">
        <v>1802</v>
      </c>
      <c r="E529" s="704">
        <f>(lead!$J$10+lead!$J$8+lead!$J$9)/3</f>
        <v>1768.8512667048074</v>
      </c>
      <c r="F529" s="699" t="s">
        <v>31</v>
      </c>
      <c r="G529" s="707">
        <f>ROUND(B529*E529,2)</f>
        <v>489529.59</v>
      </c>
    </row>
    <row r="530" spans="1:8" s="679" customFormat="1">
      <c r="A530" s="690"/>
      <c r="B530" s="698"/>
      <c r="C530" s="798"/>
      <c r="D530" s="697" t="s">
        <v>60</v>
      </c>
      <c r="E530" s="698"/>
      <c r="F530" s="699"/>
      <c r="G530" s="713">
        <f>SUM(G528:G529)</f>
        <v>1146171.58</v>
      </c>
    </row>
    <row r="531" spans="1:8" s="679" customFormat="1">
      <c r="A531" s="690"/>
      <c r="B531" s="686" t="s">
        <v>45</v>
      </c>
      <c r="C531" s="694" t="s">
        <v>1283</v>
      </c>
      <c r="D531" s="697"/>
      <c r="E531" s="698"/>
      <c r="F531" s="699"/>
      <c r="G531" s="700"/>
    </row>
    <row r="532" spans="1:8" s="679" customFormat="1" ht="30">
      <c r="A532" s="690"/>
      <c r="B532" s="732">
        <f>'Input Data'!$D$24</f>
        <v>0.13614999999999999</v>
      </c>
      <c r="C532" s="802"/>
      <c r="D532" s="803" t="str">
        <f>"Over head charges &amp; CP  "&amp;'Input Data'!$D$24*100&amp;"%  on (A) + (B)+(C)"</f>
        <v>Over head charges &amp; CP  13.615%  on (A) + (B)+(C)</v>
      </c>
      <c r="E532" s="698">
        <f>$G$517+$G$526+$G$530</f>
        <v>1327415.98</v>
      </c>
      <c r="F532" s="699"/>
      <c r="G532" s="700">
        <f>E532*B532</f>
        <v>180727.685677</v>
      </c>
    </row>
    <row r="533" spans="1:8" s="679" customFormat="1">
      <c r="A533" s="690"/>
      <c r="B533" s="686" t="s">
        <v>47</v>
      </c>
      <c r="C533" s="694" t="s">
        <v>89</v>
      </c>
      <c r="D533" s="697"/>
      <c r="E533" s="698"/>
      <c r="F533" s="699"/>
      <c r="G533" s="713">
        <f>G517+G526+G530+G532</f>
        <v>1508143.6656770001</v>
      </c>
    </row>
    <row r="534" spans="1:8" s="679" customFormat="1">
      <c r="A534" s="690"/>
      <c r="B534" s="698"/>
      <c r="C534" s="798"/>
      <c r="D534" s="697" t="s">
        <v>1803</v>
      </c>
      <c r="E534" s="698"/>
      <c r="F534" s="698"/>
      <c r="G534" s="804">
        <f>SUM(G533:G533)</f>
        <v>1508143.6656770001</v>
      </c>
    </row>
    <row r="535" spans="1:8" s="679" customFormat="1">
      <c r="A535" s="690"/>
      <c r="B535" s="698"/>
      <c r="C535" s="798"/>
      <c r="D535" s="697" t="s">
        <v>1804</v>
      </c>
      <c r="E535" s="698"/>
      <c r="F535" s="698"/>
      <c r="G535" s="700">
        <f>ROUND(G534/10250,2)</f>
        <v>147.13999999999999</v>
      </c>
    </row>
    <row r="536" spans="1:8" s="679" customFormat="1">
      <c r="A536" s="690"/>
      <c r="B536" s="698"/>
      <c r="C536" s="805"/>
      <c r="D536" s="694" t="s">
        <v>52</v>
      </c>
      <c r="E536" s="698"/>
      <c r="F536" s="698"/>
      <c r="G536" s="741">
        <f>ROUND(G535,2)</f>
        <v>147.13999999999999</v>
      </c>
      <c r="H536" s="679" t="s">
        <v>956</v>
      </c>
    </row>
    <row r="537" spans="1:8" s="679" customFormat="1">
      <c r="A537" s="690"/>
      <c r="B537" s="698"/>
      <c r="C537" s="805"/>
      <c r="D537" s="697"/>
      <c r="E537" s="698"/>
      <c r="F537" s="698"/>
      <c r="G537" s="741" t="s">
        <v>137</v>
      </c>
    </row>
    <row r="538" spans="1:8" s="679" customFormat="1">
      <c r="A538" s="806" t="s">
        <v>1805</v>
      </c>
      <c r="B538" s="698"/>
      <c r="C538" s="805"/>
      <c r="D538" s="697"/>
      <c r="E538" s="698"/>
      <c r="F538" s="698"/>
      <c r="G538" s="741"/>
    </row>
    <row r="539" spans="1:8" s="679" customFormat="1">
      <c r="A539" s="690">
        <v>15</v>
      </c>
      <c r="B539" s="694" t="s">
        <v>1806</v>
      </c>
      <c r="C539" s="807"/>
      <c r="D539" s="697"/>
      <c r="E539" s="698"/>
      <c r="F539" s="699"/>
      <c r="G539" s="714"/>
    </row>
    <row r="540" spans="1:8" s="679" customFormat="1">
      <c r="A540" s="690"/>
      <c r="B540" s="3688" t="s">
        <v>1807</v>
      </c>
      <c r="C540" s="3688"/>
      <c r="D540" s="3688"/>
      <c r="E540" s="3688"/>
      <c r="F540" s="3688"/>
      <c r="G540" s="3688"/>
    </row>
    <row r="541" spans="1:8" s="679" customFormat="1">
      <c r="A541" s="690"/>
      <c r="B541" s="808"/>
      <c r="C541" s="788"/>
      <c r="D541" s="797" t="s">
        <v>1206</v>
      </c>
      <c r="E541" s="708" t="s">
        <v>1808</v>
      </c>
      <c r="F541" s="788"/>
      <c r="G541" s="788"/>
    </row>
    <row r="542" spans="1:8" s="679" customFormat="1">
      <c r="A542" s="690"/>
      <c r="B542" s="699"/>
      <c r="C542" s="807"/>
      <c r="D542" s="706" t="s">
        <v>1809</v>
      </c>
      <c r="E542" s="698"/>
      <c r="F542" s="699"/>
      <c r="G542" s="714"/>
    </row>
    <row r="543" spans="1:8" s="679" customFormat="1">
      <c r="A543" s="690"/>
      <c r="B543" s="699"/>
      <c r="C543" s="807" t="s">
        <v>36</v>
      </c>
      <c r="D543" s="737" t="s">
        <v>37</v>
      </c>
      <c r="E543" s="698"/>
      <c r="F543" s="699"/>
      <c r="G543" s="714"/>
    </row>
    <row r="544" spans="1:8" s="679" customFormat="1">
      <c r="A544" s="690"/>
      <c r="B544" s="698">
        <v>0.24</v>
      </c>
      <c r="C544" s="698" t="s">
        <v>38</v>
      </c>
      <c r="D544" s="706" t="s">
        <v>1810</v>
      </c>
      <c r="E544" s="698">
        <f>'SSR-rates'!$L$58</f>
        <v>575</v>
      </c>
      <c r="F544" s="698" t="s">
        <v>1263</v>
      </c>
      <c r="G544" s="700">
        <f>ROUND(B544*E544,2)</f>
        <v>138</v>
      </c>
    </row>
    <row r="545" spans="1:8" s="679" customFormat="1">
      <c r="A545" s="690"/>
      <c r="B545" s="698">
        <v>6</v>
      </c>
      <c r="C545" s="698" t="s">
        <v>38</v>
      </c>
      <c r="D545" s="706" t="s">
        <v>1811</v>
      </c>
      <c r="E545" s="698">
        <f>'SSR-rates'!$L$60</f>
        <v>575</v>
      </c>
      <c r="F545" s="699" t="s">
        <v>38</v>
      </c>
      <c r="G545" s="700">
        <f>ROUND(B545*E545,2)</f>
        <v>3450</v>
      </c>
    </row>
    <row r="546" spans="1:8" s="679" customFormat="1">
      <c r="A546" s="690"/>
      <c r="B546" s="701">
        <f>'Input Data'!$D$23</f>
        <v>0</v>
      </c>
      <c r="C546" s="696"/>
      <c r="D546" s="702" t="s">
        <v>17</v>
      </c>
      <c r="E546" s="698">
        <f>SUM(G543:G545)</f>
        <v>3588</v>
      </c>
      <c r="F546" s="699"/>
      <c r="G546" s="700">
        <f>B546*E546</f>
        <v>0</v>
      </c>
    </row>
    <row r="547" spans="1:8" s="679" customFormat="1">
      <c r="A547" s="690"/>
      <c r="B547" s="701"/>
      <c r="C547" s="698"/>
      <c r="D547" s="706" t="s">
        <v>60</v>
      </c>
      <c r="E547" s="698"/>
      <c r="F547" s="699"/>
      <c r="G547" s="713">
        <f>SUM(G544:G546)</f>
        <v>3588</v>
      </c>
    </row>
    <row r="548" spans="1:8" s="679" customFormat="1">
      <c r="A548" s="690"/>
      <c r="B548" s="698"/>
      <c r="C548" s="698" t="s">
        <v>39</v>
      </c>
      <c r="D548" s="737" t="s">
        <v>40</v>
      </c>
      <c r="E548" s="698"/>
      <c r="F548" s="699"/>
      <c r="G548" s="714"/>
    </row>
    <row r="549" spans="1:8" s="679" customFormat="1">
      <c r="A549" s="690"/>
      <c r="B549" s="698">
        <v>6</v>
      </c>
      <c r="C549" s="698" t="s">
        <v>23</v>
      </c>
      <c r="D549" s="706" t="s">
        <v>1812</v>
      </c>
      <c r="E549" s="704">
        <f>'SSR-rates'!$L$81</f>
        <v>3163</v>
      </c>
      <c r="F549" s="698" t="s">
        <v>41</v>
      </c>
      <c r="G549" s="700">
        <f>ROUND(B549*E549,2)</f>
        <v>18978</v>
      </c>
    </row>
    <row r="550" spans="1:8" s="679" customFormat="1">
      <c r="A550" s="690"/>
      <c r="B550" s="698">
        <v>6</v>
      </c>
      <c r="C550" s="698" t="s">
        <v>23</v>
      </c>
      <c r="D550" s="696" t="s">
        <v>1813</v>
      </c>
      <c r="E550" s="698">
        <f>'SSR-rates'!$L$66</f>
        <v>1280.4000000000001</v>
      </c>
      <c r="F550" s="698" t="s">
        <v>41</v>
      </c>
      <c r="G550" s="700">
        <f>ROUND(B550*E550,2)</f>
        <v>7682.4</v>
      </c>
    </row>
    <row r="551" spans="1:8" s="679" customFormat="1">
      <c r="A551" s="690"/>
      <c r="B551" s="698">
        <v>6</v>
      </c>
      <c r="C551" s="698" t="s">
        <v>23</v>
      </c>
      <c r="D551" s="706" t="s">
        <v>1814</v>
      </c>
      <c r="E551" s="698">
        <f>'SSR-rates'!$L$65</f>
        <v>2028</v>
      </c>
      <c r="F551" s="698" t="s">
        <v>41</v>
      </c>
      <c r="G551" s="700">
        <f>ROUND(B551*E551,2)</f>
        <v>12168</v>
      </c>
    </row>
    <row r="552" spans="1:8" s="679" customFormat="1" ht="30">
      <c r="A552" s="690"/>
      <c r="B552" s="698">
        <v>6</v>
      </c>
      <c r="C552" s="698" t="s">
        <v>23</v>
      </c>
      <c r="D552" s="706" t="s">
        <v>1815</v>
      </c>
      <c r="E552" s="698">
        <f>'SSR-rates'!$L$76</f>
        <v>1846</v>
      </c>
      <c r="F552" s="698" t="s">
        <v>41</v>
      </c>
      <c r="G552" s="700">
        <f>ROUND(B552*E552,2)</f>
        <v>11076</v>
      </c>
    </row>
    <row r="553" spans="1:8" s="679" customFormat="1">
      <c r="A553" s="690"/>
      <c r="B553" s="698">
        <v>6</v>
      </c>
      <c r="C553" s="698" t="s">
        <v>23</v>
      </c>
      <c r="D553" s="706" t="s">
        <v>1816</v>
      </c>
      <c r="E553" s="698">
        <f>'SSR-rates'!$L$68</f>
        <v>1749.6</v>
      </c>
      <c r="F553" s="698" t="s">
        <v>41</v>
      </c>
      <c r="G553" s="700">
        <f>ROUND(B553*E553,2)</f>
        <v>10497.6</v>
      </c>
    </row>
    <row r="554" spans="1:8" s="679" customFormat="1">
      <c r="A554" s="690"/>
      <c r="B554" s="698"/>
      <c r="C554" s="698"/>
      <c r="D554" s="706" t="s">
        <v>60</v>
      </c>
      <c r="E554" s="698"/>
      <c r="F554" s="698"/>
      <c r="G554" s="713">
        <f>SUM(G549:G553)</f>
        <v>60402</v>
      </c>
    </row>
    <row r="555" spans="1:8" s="679" customFormat="1">
      <c r="A555" s="690"/>
      <c r="B555" s="698"/>
      <c r="C555" s="698" t="s">
        <v>27</v>
      </c>
      <c r="D555" s="737" t="s">
        <v>1817</v>
      </c>
      <c r="E555" s="698"/>
      <c r="F555" s="699"/>
      <c r="G555" s="700"/>
    </row>
    <row r="556" spans="1:8" s="679" customFormat="1">
      <c r="A556" s="690"/>
      <c r="B556" s="698">
        <v>10.050000000000001</v>
      </c>
      <c r="C556" s="698" t="s">
        <v>1217</v>
      </c>
      <c r="D556" s="706" t="s">
        <v>1818</v>
      </c>
      <c r="E556" s="704">
        <f>lead!$J$40</f>
        <v>43863.860229723185</v>
      </c>
      <c r="F556" s="698" t="s">
        <v>1217</v>
      </c>
      <c r="G556" s="700">
        <f>ROUND(B556*E556,2)</f>
        <v>440831.8</v>
      </c>
    </row>
    <row r="557" spans="1:8" s="679" customFormat="1" ht="45">
      <c r="A557" s="690"/>
      <c r="B557" s="698">
        <v>92.25</v>
      </c>
      <c r="C557" s="698" t="s">
        <v>31</v>
      </c>
      <c r="D557" s="706" t="s">
        <v>1819</v>
      </c>
      <c r="E557" s="704">
        <f>(lead!$J$9+lead!$J$10+lead!$J$11)/3</f>
        <v>1710.8512667048074</v>
      </c>
      <c r="F557" s="698" t="s">
        <v>31</v>
      </c>
      <c r="G557" s="700">
        <f>ROUND(B557*E557,2)</f>
        <v>157826.03</v>
      </c>
      <c r="H557" s="679">
        <f>0.98*10250</f>
        <v>10045</v>
      </c>
    </row>
    <row r="558" spans="1:8" s="679" customFormat="1">
      <c r="A558" s="690"/>
      <c r="B558" s="698"/>
      <c r="C558" s="698"/>
      <c r="D558" s="706"/>
      <c r="E558" s="704"/>
      <c r="F558" s="698"/>
      <c r="G558" s="713">
        <f>SUM(G556:G557)</f>
        <v>598657.82999999996</v>
      </c>
    </row>
    <row r="559" spans="1:8" s="679" customFormat="1">
      <c r="A559" s="690"/>
      <c r="B559" s="686" t="s">
        <v>45</v>
      </c>
      <c r="C559" s="694" t="s">
        <v>1332</v>
      </c>
      <c r="D559" s="697"/>
      <c r="E559" s="698"/>
      <c r="F559" s="699"/>
      <c r="G559" s="700"/>
    </row>
    <row r="560" spans="1:8" s="679" customFormat="1">
      <c r="A560" s="690"/>
      <c r="B560" s="732">
        <f>'Input Data'!$D$24</f>
        <v>0.13614999999999999</v>
      </c>
      <c r="C560" s="802"/>
      <c r="D560" s="809" t="str">
        <f>"Over head charges &amp; CP  "&amp;'Input Data'!$D$24*100&amp;"%  on (A) + (B)+(C)"</f>
        <v>Over head charges &amp; CP  13.615%  on (A) + (B)+(C)</v>
      </c>
      <c r="E560" s="698">
        <f>$G$547+$G$554+$G$558</f>
        <v>662647.82999999996</v>
      </c>
      <c r="F560" s="699"/>
      <c r="G560" s="700">
        <f>E560*B560</f>
        <v>90219.502054499986</v>
      </c>
    </row>
    <row r="561" spans="1:8" s="679" customFormat="1">
      <c r="A561" s="690"/>
      <c r="B561" s="686" t="s">
        <v>47</v>
      </c>
      <c r="C561" s="694" t="s">
        <v>89</v>
      </c>
      <c r="D561" s="697"/>
      <c r="E561" s="698"/>
      <c r="F561" s="699"/>
      <c r="G561" s="713">
        <f>G547+G554+G558+G560</f>
        <v>752867.3320545</v>
      </c>
    </row>
    <row r="562" spans="1:8" s="679" customFormat="1">
      <c r="A562" s="690"/>
      <c r="B562" s="698"/>
      <c r="C562" s="798"/>
      <c r="D562" s="697" t="s">
        <v>1803</v>
      </c>
      <c r="E562" s="698"/>
      <c r="F562" s="698"/>
      <c r="G562" s="804">
        <f>SUM(G561:G561)</f>
        <v>752867.3320545</v>
      </c>
    </row>
    <row r="563" spans="1:8" s="679" customFormat="1">
      <c r="A563" s="690"/>
      <c r="B563" s="698"/>
      <c r="C563" s="798"/>
      <c r="D563" s="697" t="s">
        <v>1804</v>
      </c>
      <c r="E563" s="698"/>
      <c r="F563" s="698"/>
      <c r="G563" s="700">
        <f>ROUND(G562/10250,2)</f>
        <v>73.45</v>
      </c>
    </row>
    <row r="564" spans="1:8" s="679" customFormat="1">
      <c r="A564" s="690"/>
      <c r="B564" s="698"/>
      <c r="C564" s="805"/>
      <c r="D564" s="694" t="s">
        <v>52</v>
      </c>
      <c r="E564" s="698"/>
      <c r="F564" s="698"/>
      <c r="G564" s="741">
        <f>ROUND(G563,2)</f>
        <v>73.45</v>
      </c>
      <c r="H564" s="679" t="s">
        <v>956</v>
      </c>
    </row>
    <row r="565" spans="1:8" s="679" customFormat="1">
      <c r="A565" s="690"/>
      <c r="B565" s="698"/>
      <c r="C565" s="805"/>
      <c r="D565" s="697"/>
      <c r="E565" s="698"/>
      <c r="F565" s="698"/>
      <c r="G565" s="741" t="s">
        <v>137</v>
      </c>
    </row>
    <row r="566" spans="1:8" s="679" customFormat="1">
      <c r="A566" s="806">
        <f>A507+1</f>
        <v>11</v>
      </c>
      <c r="B566" s="739" t="s">
        <v>1820</v>
      </c>
      <c r="C566" s="807"/>
      <c r="D566" s="697"/>
      <c r="E566" s="698"/>
      <c r="F566" s="699"/>
      <c r="G566" s="714"/>
    </row>
    <row r="567" spans="1:8" s="679" customFormat="1">
      <c r="A567" s="690"/>
      <c r="B567" s="3688" t="s">
        <v>1821</v>
      </c>
      <c r="C567" s="3688"/>
      <c r="D567" s="3688"/>
      <c r="E567" s="3688"/>
      <c r="F567" s="3688"/>
      <c r="G567" s="3688"/>
    </row>
    <row r="568" spans="1:8" s="679" customFormat="1">
      <c r="A568" s="690"/>
      <c r="B568" s="808"/>
      <c r="C568" s="788"/>
      <c r="D568" s="797" t="s">
        <v>1206</v>
      </c>
      <c r="E568" s="708" t="s">
        <v>1808</v>
      </c>
      <c r="F568" s="788"/>
      <c r="G568" s="788"/>
    </row>
    <row r="569" spans="1:8" s="679" customFormat="1">
      <c r="A569" s="690"/>
      <c r="B569" s="699"/>
      <c r="C569" s="807"/>
      <c r="D569" s="706" t="s">
        <v>1822</v>
      </c>
      <c r="E569" s="698"/>
      <c r="F569" s="699"/>
      <c r="G569" s="714"/>
    </row>
    <row r="570" spans="1:8" s="679" customFormat="1">
      <c r="A570" s="690"/>
      <c r="B570" s="699"/>
      <c r="C570" s="807" t="s">
        <v>36</v>
      </c>
      <c r="D570" s="737" t="s">
        <v>37</v>
      </c>
      <c r="E570" s="698"/>
      <c r="F570" s="699"/>
      <c r="G570" s="714"/>
    </row>
    <row r="571" spans="1:8" s="679" customFormat="1">
      <c r="A571" s="690"/>
      <c r="B571" s="698">
        <v>0.16</v>
      </c>
      <c r="C571" s="698" t="s">
        <v>38</v>
      </c>
      <c r="D571" s="706" t="s">
        <v>1810</v>
      </c>
      <c r="E571" s="698">
        <f>'SSR-rates'!$L$58</f>
        <v>575</v>
      </c>
      <c r="F571" s="698" t="s">
        <v>1263</v>
      </c>
      <c r="G571" s="700">
        <f>ROUND(B571*E571,2)</f>
        <v>92</v>
      </c>
    </row>
    <row r="572" spans="1:8" s="679" customFormat="1">
      <c r="A572" s="690"/>
      <c r="B572" s="698">
        <v>4</v>
      </c>
      <c r="C572" s="698" t="s">
        <v>38</v>
      </c>
      <c r="D572" s="706" t="s">
        <v>1811</v>
      </c>
      <c r="E572" s="698">
        <f>'SSR-rates'!$L$60</f>
        <v>575</v>
      </c>
      <c r="F572" s="699" t="s">
        <v>38</v>
      </c>
      <c r="G572" s="700">
        <f>ROUND(B572*E572,2)</f>
        <v>2300</v>
      </c>
    </row>
    <row r="573" spans="1:8" s="679" customFormat="1">
      <c r="A573" s="690"/>
      <c r="B573" s="701">
        <f>'Input Data'!$D$23</f>
        <v>0</v>
      </c>
      <c r="C573" s="696"/>
      <c r="D573" s="702" t="s">
        <v>17</v>
      </c>
      <c r="E573" s="698">
        <f>SUM(G571:G572)</f>
        <v>2392</v>
      </c>
      <c r="F573" s="699"/>
      <c r="G573" s="700">
        <f>B573*E573</f>
        <v>0</v>
      </c>
    </row>
    <row r="574" spans="1:8" s="679" customFormat="1">
      <c r="A574" s="690"/>
      <c r="B574" s="701"/>
      <c r="C574" s="698"/>
      <c r="D574" s="706" t="s">
        <v>60</v>
      </c>
      <c r="E574" s="698"/>
      <c r="F574" s="699"/>
      <c r="G574" s="713">
        <f>SUM(G571:G573)</f>
        <v>2392</v>
      </c>
    </row>
    <row r="575" spans="1:8" s="679" customFormat="1">
      <c r="A575" s="690"/>
      <c r="B575" s="698"/>
      <c r="C575" s="698" t="s">
        <v>39</v>
      </c>
      <c r="D575" s="737" t="s">
        <v>40</v>
      </c>
      <c r="E575" s="698"/>
      <c r="F575" s="699"/>
      <c r="G575" s="714"/>
    </row>
    <row r="576" spans="1:8" s="679" customFormat="1">
      <c r="A576" s="690"/>
      <c r="B576" s="799">
        <v>2</v>
      </c>
      <c r="C576" s="799" t="s">
        <v>23</v>
      </c>
      <c r="D576" s="800" t="s">
        <v>1265</v>
      </c>
      <c r="E576" s="799">
        <f>'SSR-rates'!$Q$78</f>
        <v>33344</v>
      </c>
      <c r="F576" s="698" t="s">
        <v>41</v>
      </c>
      <c r="G576" s="700">
        <f>ROUND(B576*E576,2)</f>
        <v>66688</v>
      </c>
    </row>
    <row r="577" spans="1:7" s="679" customFormat="1">
      <c r="A577" s="690"/>
      <c r="B577" s="698">
        <v>2</v>
      </c>
      <c r="C577" s="698" t="s">
        <v>23</v>
      </c>
      <c r="D577" s="706" t="s">
        <v>1823</v>
      </c>
      <c r="E577" s="698">
        <f>'SSR-rates'!$L$85</f>
        <v>2279</v>
      </c>
      <c r="F577" s="698" t="s">
        <v>41</v>
      </c>
      <c r="G577" s="700">
        <f>ROUND(B577*E577,2)</f>
        <v>4558</v>
      </c>
    </row>
    <row r="578" spans="1:7" s="679" customFormat="1">
      <c r="A578" s="690"/>
      <c r="B578" s="698">
        <v>2</v>
      </c>
      <c r="C578" s="698" t="s">
        <v>23</v>
      </c>
      <c r="D578" s="706" t="s">
        <v>1824</v>
      </c>
      <c r="E578" s="698">
        <f>'SSR-rates'!$L$65</f>
        <v>2028</v>
      </c>
      <c r="F578" s="698" t="s">
        <v>41</v>
      </c>
      <c r="G578" s="700">
        <f>ROUND(B578*E578,2)</f>
        <v>4056</v>
      </c>
    </row>
    <row r="579" spans="1:7" s="679" customFormat="1" ht="30">
      <c r="A579" s="690"/>
      <c r="B579" s="698" t="s">
        <v>1825</v>
      </c>
      <c r="C579" s="704" t="s">
        <v>1339</v>
      </c>
      <c r="D579" s="706" t="s">
        <v>1826</v>
      </c>
      <c r="E579" s="698">
        <v>0</v>
      </c>
      <c r="F579" s="698" t="s">
        <v>41</v>
      </c>
      <c r="G579" s="700">
        <v>0</v>
      </c>
    </row>
    <row r="580" spans="1:7" s="679" customFormat="1" ht="30">
      <c r="A580" s="690"/>
      <c r="B580" s="698"/>
      <c r="C580" s="698"/>
      <c r="D580" s="706" t="s">
        <v>1798</v>
      </c>
      <c r="E580" s="698">
        <v>0</v>
      </c>
      <c r="F580" s="698" t="s">
        <v>41</v>
      </c>
      <c r="G580" s="700">
        <f>ROUND(B580*E580,2)</f>
        <v>0</v>
      </c>
    </row>
    <row r="581" spans="1:7" s="679" customFormat="1">
      <c r="A581" s="690"/>
      <c r="B581" s="698">
        <v>2</v>
      </c>
      <c r="C581" s="698" t="s">
        <v>23</v>
      </c>
      <c r="D581" s="706" t="s">
        <v>1827</v>
      </c>
      <c r="E581" s="698">
        <f>'SSR-rates'!$L$80</f>
        <v>2771</v>
      </c>
      <c r="F581" s="698" t="s">
        <v>41</v>
      </c>
      <c r="G581" s="700">
        <f>ROUND(B581*E581,2)</f>
        <v>5542</v>
      </c>
    </row>
    <row r="582" spans="1:7" s="679" customFormat="1">
      <c r="A582" s="690"/>
      <c r="B582" s="698">
        <v>2</v>
      </c>
      <c r="C582" s="698" t="s">
        <v>23</v>
      </c>
      <c r="D582" s="706" t="s">
        <v>1828</v>
      </c>
      <c r="E582" s="698">
        <f>'SSR-rates'!$L$68</f>
        <v>1749.6</v>
      </c>
      <c r="F582" s="698" t="s">
        <v>41</v>
      </c>
      <c r="G582" s="700">
        <f>ROUND(B582*E582,2)</f>
        <v>3499.2</v>
      </c>
    </row>
    <row r="583" spans="1:7" s="679" customFormat="1">
      <c r="A583" s="690"/>
      <c r="B583" s="698"/>
      <c r="C583" s="698"/>
      <c r="D583" s="706" t="s">
        <v>60</v>
      </c>
      <c r="E583" s="698"/>
      <c r="F583" s="698"/>
      <c r="G583" s="713">
        <f>SUM(G576:G582)</f>
        <v>84343.2</v>
      </c>
    </row>
    <row r="584" spans="1:7" s="679" customFormat="1">
      <c r="A584" s="690"/>
      <c r="B584" s="698"/>
      <c r="C584" s="698" t="s">
        <v>27</v>
      </c>
      <c r="D584" s="737" t="s">
        <v>1817</v>
      </c>
      <c r="E584" s="698"/>
      <c r="F584" s="699"/>
      <c r="G584" s="700"/>
    </row>
    <row r="585" spans="1:7" s="679" customFormat="1">
      <c r="A585" s="690"/>
      <c r="B585" s="698">
        <v>5.34</v>
      </c>
      <c r="C585" s="698" t="s">
        <v>1217</v>
      </c>
      <c r="D585" s="706" t="s">
        <v>1829</v>
      </c>
      <c r="E585" s="782">
        <f>BT_Rate_60_70</f>
        <v>43863.860229723185</v>
      </c>
      <c r="F585" s="698" t="s">
        <v>1217</v>
      </c>
      <c r="G585" s="700">
        <f>ROUND(B585*E585,2)</f>
        <v>234233.01</v>
      </c>
    </row>
    <row r="586" spans="1:7" s="679" customFormat="1" ht="45">
      <c r="A586" s="690"/>
      <c r="B586" s="698">
        <v>47.16</v>
      </c>
      <c r="C586" s="698" t="s">
        <v>31</v>
      </c>
      <c r="D586" s="706" t="s">
        <v>1830</v>
      </c>
      <c r="E586" s="704">
        <f>(lead!$J$9+lead!$J$10+lead!$J$11)/3</f>
        <v>1710.8512667048074</v>
      </c>
      <c r="F586" s="698" t="s">
        <v>31</v>
      </c>
      <c r="G586" s="700">
        <f>ROUND(B586*E586,2)</f>
        <v>80683.75</v>
      </c>
    </row>
    <row r="587" spans="1:7" s="679" customFormat="1">
      <c r="A587" s="690"/>
      <c r="B587" s="698"/>
      <c r="C587" s="698"/>
      <c r="D587" s="706"/>
      <c r="E587" s="704"/>
      <c r="F587" s="698"/>
      <c r="G587" s="713">
        <f>SUM(G585:G586)</f>
        <v>314916.76</v>
      </c>
    </row>
    <row r="588" spans="1:7" s="679" customFormat="1">
      <c r="A588" s="690"/>
      <c r="B588" s="686" t="s">
        <v>45</v>
      </c>
      <c r="C588" s="694" t="s">
        <v>1332</v>
      </c>
      <c r="D588" s="697"/>
      <c r="E588" s="698"/>
      <c r="F588" s="699"/>
      <c r="G588" s="700"/>
    </row>
    <row r="589" spans="1:7" s="679" customFormat="1">
      <c r="A589" s="690"/>
      <c r="B589" s="732">
        <f>'Input Data'!$D$24</f>
        <v>0.13614999999999999</v>
      </c>
      <c r="C589" s="802"/>
      <c r="D589" s="809" t="str">
        <f>"Over head charges &amp; CP  "&amp;'Input Data'!$D$24*100&amp;"%  on (A) + (B)+(C)"</f>
        <v>Over head charges &amp; CP  13.615%  on (A) + (B)+(C)</v>
      </c>
      <c r="E589" s="698">
        <f>$G$574+$G$583+$G$587</f>
        <v>401651.96</v>
      </c>
      <c r="F589" s="699"/>
      <c r="G589" s="700">
        <f>E589*B589</f>
        <v>54684.914354</v>
      </c>
    </row>
    <row r="590" spans="1:7" s="679" customFormat="1">
      <c r="A590" s="690"/>
      <c r="B590" s="686" t="s">
        <v>47</v>
      </c>
      <c r="C590" s="694" t="s">
        <v>89</v>
      </c>
      <c r="D590" s="697"/>
      <c r="E590" s="698"/>
      <c r="F590" s="699"/>
      <c r="G590" s="713">
        <f>G574+G583+G587+G589</f>
        <v>456336.87435400003</v>
      </c>
    </row>
    <row r="591" spans="1:7" s="679" customFormat="1">
      <c r="A591" s="690"/>
      <c r="B591" s="698"/>
      <c r="C591" s="798"/>
      <c r="D591" s="697" t="s">
        <v>1831</v>
      </c>
      <c r="E591" s="698"/>
      <c r="F591" s="698"/>
      <c r="G591" s="804">
        <f>SUM(G590:G590)</f>
        <v>456336.87435400003</v>
      </c>
    </row>
    <row r="592" spans="1:7" s="679" customFormat="1">
      <c r="A592" s="690"/>
      <c r="B592" s="698"/>
      <c r="C592" s="798"/>
      <c r="D592" s="697" t="s">
        <v>1804</v>
      </c>
      <c r="E592" s="698"/>
      <c r="F592" s="698"/>
      <c r="G592" s="700">
        <f>ROUND(G591/7858,2)</f>
        <v>58.07</v>
      </c>
    </row>
    <row r="593" spans="1:7" s="679" customFormat="1">
      <c r="A593" s="690"/>
      <c r="B593" s="698"/>
      <c r="C593" s="805"/>
      <c r="D593" s="694" t="s">
        <v>52</v>
      </c>
      <c r="E593" s="698"/>
      <c r="F593" s="698"/>
      <c r="G593" s="741">
        <f>ROUND(G592,2)</f>
        <v>58.07</v>
      </c>
    </row>
    <row r="594" spans="1:7" s="679" customFormat="1">
      <c r="A594" s="806" t="s">
        <v>1805</v>
      </c>
      <c r="B594" s="698"/>
      <c r="C594" s="805"/>
      <c r="D594" s="697"/>
      <c r="E594" s="698"/>
      <c r="F594" s="698"/>
      <c r="G594" s="741" t="s">
        <v>137</v>
      </c>
    </row>
    <row r="595" spans="1:7" s="679" customFormat="1" ht="192" customHeight="1">
      <c r="A595" s="690">
        <v>10</v>
      </c>
      <c r="B595" s="3686" t="s">
        <v>1832</v>
      </c>
      <c r="C595" s="3686"/>
      <c r="D595" s="3686"/>
      <c r="E595" s="3686"/>
      <c r="F595" s="3686"/>
      <c r="G595" s="3686"/>
    </row>
    <row r="596" spans="1:7" s="679" customFormat="1">
      <c r="A596" s="690"/>
      <c r="B596" s="699"/>
      <c r="C596" s="807"/>
      <c r="D596" s="706" t="s">
        <v>10</v>
      </c>
      <c r="E596" s="698"/>
      <c r="F596" s="699"/>
      <c r="G596" s="714"/>
    </row>
    <row r="597" spans="1:7" s="679" customFormat="1">
      <c r="A597" s="690"/>
      <c r="B597" s="699"/>
      <c r="C597" s="807"/>
      <c r="D597" s="706" t="s">
        <v>1833</v>
      </c>
      <c r="E597" s="698"/>
      <c r="F597" s="699"/>
      <c r="G597" s="714"/>
    </row>
    <row r="598" spans="1:7" s="679" customFormat="1">
      <c r="A598" s="690"/>
      <c r="B598" s="699"/>
      <c r="C598" s="807"/>
      <c r="D598" s="706" t="s">
        <v>1834</v>
      </c>
      <c r="E598" s="698"/>
      <c r="F598" s="699"/>
      <c r="G598" s="714"/>
    </row>
    <row r="599" spans="1:7" s="679" customFormat="1">
      <c r="A599" s="690"/>
      <c r="B599" s="699"/>
      <c r="C599" s="807" t="s">
        <v>36</v>
      </c>
      <c r="D599" s="737" t="s">
        <v>37</v>
      </c>
      <c r="E599" s="698"/>
      <c r="F599" s="698"/>
      <c r="G599" s="700"/>
    </row>
    <row r="600" spans="1:7" s="681" customFormat="1">
      <c r="A600" s="690"/>
      <c r="B600" s="698">
        <v>5</v>
      </c>
      <c r="C600" s="698" t="s">
        <v>38</v>
      </c>
      <c r="D600" s="706" t="s">
        <v>1835</v>
      </c>
      <c r="E600" s="698">
        <f>'SSR-rates'!$L$53</f>
        <v>645</v>
      </c>
      <c r="F600" s="698" t="s">
        <v>1263</v>
      </c>
      <c r="G600" s="700">
        <f t="shared" ref="G600:G607" si="2">ROUND(B600*E600,2)</f>
        <v>3225</v>
      </c>
    </row>
    <row r="601" spans="1:7" s="681" customFormat="1">
      <c r="A601" s="690"/>
      <c r="B601" s="698">
        <v>5</v>
      </c>
      <c r="C601" s="698" t="s">
        <v>38</v>
      </c>
      <c r="D601" s="706" t="s">
        <v>1836</v>
      </c>
      <c r="E601" s="698">
        <f>'SSR-rates'!$L$54</f>
        <v>615</v>
      </c>
      <c r="F601" s="698" t="s">
        <v>1263</v>
      </c>
      <c r="G601" s="700">
        <f t="shared" si="2"/>
        <v>3075</v>
      </c>
    </row>
    <row r="602" spans="1:7" s="681" customFormat="1">
      <c r="A602" s="690"/>
      <c r="B602" s="698">
        <v>150</v>
      </c>
      <c r="C602" s="698" t="s">
        <v>38</v>
      </c>
      <c r="D602" s="706" t="s">
        <v>1837</v>
      </c>
      <c r="E602" s="698">
        <f>'SSR-rates'!$L$60</f>
        <v>575</v>
      </c>
      <c r="F602" s="698" t="s">
        <v>1263</v>
      </c>
      <c r="G602" s="700">
        <f t="shared" si="2"/>
        <v>86250</v>
      </c>
    </row>
    <row r="603" spans="1:7" s="681" customFormat="1">
      <c r="A603" s="690"/>
      <c r="B603" s="698">
        <v>6</v>
      </c>
      <c r="C603" s="698" t="s">
        <v>38</v>
      </c>
      <c r="D603" s="706" t="s">
        <v>1838</v>
      </c>
      <c r="E603" s="698">
        <f>'SSR-rates'!$L$59</f>
        <v>575</v>
      </c>
      <c r="F603" s="698" t="s">
        <v>1263</v>
      </c>
      <c r="G603" s="700">
        <f t="shared" si="2"/>
        <v>3450</v>
      </c>
    </row>
    <row r="604" spans="1:7" s="681" customFormat="1">
      <c r="A604" s="690"/>
      <c r="B604" s="698">
        <v>2</v>
      </c>
      <c r="C604" s="698" t="s">
        <v>38</v>
      </c>
      <c r="D604" s="706" t="s">
        <v>1839</v>
      </c>
      <c r="E604" s="698">
        <f>'SSR-rates'!$L$55</f>
        <v>1095</v>
      </c>
      <c r="F604" s="698" t="s">
        <v>1263</v>
      </c>
      <c r="G604" s="700">
        <f t="shared" si="2"/>
        <v>2190</v>
      </c>
    </row>
    <row r="605" spans="1:7" s="681" customFormat="1">
      <c r="A605" s="690"/>
      <c r="B605" s="698">
        <v>6</v>
      </c>
      <c r="C605" s="698" t="s">
        <v>38</v>
      </c>
      <c r="D605" s="706" t="s">
        <v>1840</v>
      </c>
      <c r="E605" s="698">
        <f>('SSR-rates'!$L$59+'SSR-rates'!$L$60)/2</f>
        <v>575</v>
      </c>
      <c r="F605" s="698" t="s">
        <v>1263</v>
      </c>
      <c r="G605" s="700">
        <f t="shared" si="2"/>
        <v>3450</v>
      </c>
    </row>
    <row r="606" spans="1:7" s="681" customFormat="1" ht="45">
      <c r="A606" s="690"/>
      <c r="B606" s="698">
        <v>1</v>
      </c>
      <c r="C606" s="698" t="s">
        <v>38</v>
      </c>
      <c r="D606" s="706" t="s">
        <v>1841</v>
      </c>
      <c r="E606" s="698">
        <f>'SSR-rates'!$L$56</f>
        <v>640</v>
      </c>
      <c r="F606" s="698" t="s">
        <v>1263</v>
      </c>
      <c r="G606" s="700">
        <f t="shared" si="2"/>
        <v>640</v>
      </c>
    </row>
    <row r="607" spans="1:7" s="679" customFormat="1">
      <c r="A607" s="690"/>
      <c r="B607" s="701">
        <f>'Input Data'!$D$23</f>
        <v>0</v>
      </c>
      <c r="C607" s="698"/>
      <c r="D607" s="706" t="s">
        <v>1842</v>
      </c>
      <c r="E607" s="698">
        <f>SUM(G599:G606)</f>
        <v>102280</v>
      </c>
      <c r="F607" s="699"/>
      <c r="G607" s="700">
        <f t="shared" si="2"/>
        <v>0</v>
      </c>
    </row>
    <row r="608" spans="1:7" s="679" customFormat="1">
      <c r="A608" s="690"/>
      <c r="B608" s="701"/>
      <c r="C608" s="698"/>
      <c r="D608" s="706" t="s">
        <v>60</v>
      </c>
      <c r="E608" s="698"/>
      <c r="F608" s="699"/>
      <c r="G608" s="713">
        <f>SUM(G600:G607)</f>
        <v>102280</v>
      </c>
    </row>
    <row r="609" spans="1:12" s="679" customFormat="1">
      <c r="A609" s="690"/>
      <c r="B609" s="698"/>
      <c r="C609" s="698" t="s">
        <v>39</v>
      </c>
      <c r="D609" s="737" t="s">
        <v>40</v>
      </c>
      <c r="E609" s="698"/>
      <c r="F609" s="699"/>
      <c r="G609" s="700"/>
    </row>
    <row r="610" spans="1:12" s="679" customFormat="1" ht="45">
      <c r="A610" s="690"/>
      <c r="B610" s="698">
        <v>36</v>
      </c>
      <c r="C610" s="698" t="s">
        <v>1843</v>
      </c>
      <c r="D610" s="706" t="s">
        <v>1844</v>
      </c>
      <c r="E610" s="698">
        <f>'SSR-rates'!$L$88</f>
        <v>697.9</v>
      </c>
      <c r="F610" s="699"/>
      <c r="G610" s="700">
        <f t="shared" ref="G610:G615" si="3">ROUND(B610*E610,2)</f>
        <v>25124.400000000001</v>
      </c>
    </row>
    <row r="611" spans="1:12" s="679" customFormat="1">
      <c r="A611" s="690"/>
      <c r="B611" s="698">
        <v>9</v>
      </c>
      <c r="C611" s="698" t="s">
        <v>1843</v>
      </c>
      <c r="D611" s="706" t="s">
        <v>1845</v>
      </c>
      <c r="E611" s="698">
        <v>246.1</v>
      </c>
      <c r="F611" s="699"/>
      <c r="G611" s="700">
        <f t="shared" si="3"/>
        <v>2214.9</v>
      </c>
    </row>
    <row r="612" spans="1:12" s="679" customFormat="1">
      <c r="A612" s="690"/>
      <c r="B612" s="698">
        <v>9</v>
      </c>
      <c r="C612" s="698" t="s">
        <v>1843</v>
      </c>
      <c r="D612" s="706" t="s">
        <v>1846</v>
      </c>
      <c r="E612" s="698"/>
      <c r="F612" s="699"/>
      <c r="G612" s="700">
        <f t="shared" si="3"/>
        <v>0</v>
      </c>
    </row>
    <row r="613" spans="1:12" s="679" customFormat="1">
      <c r="A613" s="690"/>
      <c r="B613" s="698">
        <v>9</v>
      </c>
      <c r="C613" s="698" t="s">
        <v>1843</v>
      </c>
      <c r="D613" s="706" t="s">
        <v>1847</v>
      </c>
      <c r="E613" s="698">
        <f>+'SSR-rates'!$L$91</f>
        <v>59</v>
      </c>
      <c r="F613" s="699"/>
      <c r="G613" s="700">
        <f t="shared" si="3"/>
        <v>531</v>
      </c>
    </row>
    <row r="614" spans="1:12" s="679" customFormat="1">
      <c r="A614" s="690"/>
      <c r="B614" s="698">
        <v>5</v>
      </c>
      <c r="C614" s="698" t="s">
        <v>1843</v>
      </c>
      <c r="D614" s="706" t="s">
        <v>1848</v>
      </c>
      <c r="E614" s="698">
        <f>'SSR-rates'!$L$69</f>
        <v>769</v>
      </c>
      <c r="F614" s="699"/>
      <c r="G614" s="700">
        <f t="shared" si="3"/>
        <v>3845</v>
      </c>
    </row>
    <row r="615" spans="1:12" s="679" customFormat="1">
      <c r="A615" s="690"/>
      <c r="B615" s="698">
        <v>2</v>
      </c>
      <c r="C615" s="698" t="s">
        <v>1843</v>
      </c>
      <c r="D615" s="706" t="s">
        <v>1849</v>
      </c>
      <c r="E615" s="698">
        <f>'SSR-rates'!$L$73</f>
        <v>727.6</v>
      </c>
      <c r="F615" s="699"/>
      <c r="G615" s="700">
        <f t="shared" si="3"/>
        <v>1455.2</v>
      </c>
    </row>
    <row r="616" spans="1:12" s="679" customFormat="1">
      <c r="A616" s="690"/>
      <c r="B616" s="698">
        <v>90</v>
      </c>
      <c r="C616" s="698" t="s">
        <v>2767</v>
      </c>
      <c r="D616" s="706" t="s">
        <v>2766</v>
      </c>
      <c r="E616" s="698">
        <v>55</v>
      </c>
      <c r="F616" s="699"/>
      <c r="G616" s="700">
        <f>E616*B616</f>
        <v>4950</v>
      </c>
    </row>
    <row r="617" spans="1:12" s="679" customFormat="1">
      <c r="A617" s="690"/>
      <c r="B617" s="698"/>
      <c r="C617" s="698"/>
      <c r="D617" s="706" t="s">
        <v>60</v>
      </c>
      <c r="E617" s="698"/>
      <c r="F617" s="699"/>
      <c r="G617" s="713">
        <f>SUM(G610:G616)</f>
        <v>38120.5</v>
      </c>
      <c r="J617" s="679">
        <f>75*350</f>
        <v>26250</v>
      </c>
    </row>
    <row r="618" spans="1:12" s="679" customFormat="1">
      <c r="A618" s="690"/>
      <c r="B618" s="698"/>
      <c r="C618" s="698" t="s">
        <v>27</v>
      </c>
      <c r="D618" s="737" t="s">
        <v>61</v>
      </c>
      <c r="E618" s="698"/>
      <c r="F618" s="699"/>
      <c r="G618" s="700"/>
      <c r="J618" s="679">
        <f>+J617*0.5%</f>
        <v>131.25</v>
      </c>
      <c r="K618" s="679">
        <v>122</v>
      </c>
      <c r="L618" s="679">
        <f>K618/J618</f>
        <v>0.92952380952380953</v>
      </c>
    </row>
    <row r="619" spans="1:12" s="679" customFormat="1" ht="45">
      <c r="A619" s="690"/>
      <c r="B619" s="698"/>
      <c r="C619" s="698"/>
      <c r="D619" s="706" t="s">
        <v>1850</v>
      </c>
      <c r="E619" s="698"/>
      <c r="F619" s="699"/>
      <c r="G619" s="700"/>
      <c r="J619" s="679">
        <f>J617*0.4%</f>
        <v>105</v>
      </c>
      <c r="K619" s="679">
        <f>J619*L618</f>
        <v>97.6</v>
      </c>
    </row>
    <row r="620" spans="1:12" s="679" customFormat="1">
      <c r="A620" s="690"/>
      <c r="B620" s="698">
        <v>22.95</v>
      </c>
      <c r="C620" s="698" t="s">
        <v>73</v>
      </c>
      <c r="D620" s="706" t="s">
        <v>491</v>
      </c>
      <c r="E620" s="704">
        <f>lead!$J$16</f>
        <v>2005.5179333714741</v>
      </c>
      <c r="F620" s="698" t="s">
        <v>73</v>
      </c>
      <c r="G620" s="700">
        <f t="shared" ref="G620:G625" si="4">ROUND(B620*E620,2)</f>
        <v>46026.64</v>
      </c>
      <c r="H620" s="679">
        <v>22.95</v>
      </c>
    </row>
    <row r="621" spans="1:12" s="679" customFormat="1">
      <c r="A621" s="690"/>
      <c r="B621" s="698">
        <v>44.55</v>
      </c>
      <c r="C621" s="698" t="s">
        <v>73</v>
      </c>
      <c r="D621" s="706" t="s">
        <v>1851</v>
      </c>
      <c r="E621" s="704">
        <f>lead!$J$18</f>
        <v>1754.5179333714741</v>
      </c>
      <c r="F621" s="698" t="s">
        <v>73</v>
      </c>
      <c r="G621" s="700">
        <f t="shared" si="4"/>
        <v>78163.77</v>
      </c>
      <c r="H621" s="679">
        <v>44.55</v>
      </c>
    </row>
    <row r="622" spans="1:12" s="679" customFormat="1" ht="30">
      <c r="A622" s="690"/>
      <c r="B622" s="698">
        <f>33.75/2</f>
        <v>16.875</v>
      </c>
      <c r="C622" s="698" t="s">
        <v>31</v>
      </c>
      <c r="D622" s="810" t="s">
        <v>1852</v>
      </c>
      <c r="E622" s="704">
        <f>lead!$J$31</f>
        <v>1812.3700655723276</v>
      </c>
      <c r="F622" s="698" t="s">
        <v>31</v>
      </c>
      <c r="G622" s="700">
        <f t="shared" si="4"/>
        <v>30583.74</v>
      </c>
    </row>
    <row r="623" spans="1:12" s="679" customFormat="1">
      <c r="A623" s="690"/>
      <c r="B623" s="698">
        <f>33.75/2</f>
        <v>16.875</v>
      </c>
      <c r="C623" s="698" t="s">
        <v>31</v>
      </c>
      <c r="D623" s="810" t="s">
        <v>1853</v>
      </c>
      <c r="E623" s="704">
        <f>lead!$J$33</f>
        <v>1447.5179333714741</v>
      </c>
      <c r="F623" s="698" t="s">
        <v>31</v>
      </c>
      <c r="G623" s="700">
        <f t="shared" si="4"/>
        <v>24426.87</v>
      </c>
    </row>
    <row r="624" spans="1:12" s="679" customFormat="1">
      <c r="A624" s="690"/>
      <c r="B624" s="698">
        <v>26.25</v>
      </c>
      <c r="C624" s="698" t="s">
        <v>1217</v>
      </c>
      <c r="D624" s="706" t="s">
        <v>1854</v>
      </c>
      <c r="E624" s="704">
        <f>lead!$J$36</f>
        <v>5000</v>
      </c>
      <c r="F624" s="698" t="s">
        <v>1217</v>
      </c>
      <c r="G624" s="700">
        <f t="shared" si="4"/>
        <v>131250</v>
      </c>
      <c r="H624" s="811">
        <f>0.35*75</f>
        <v>26.25</v>
      </c>
    </row>
    <row r="625" spans="1:9" s="679" customFormat="1">
      <c r="A625" s="690"/>
      <c r="B625" s="698">
        <v>412.5</v>
      </c>
      <c r="C625" s="698" t="s">
        <v>963</v>
      </c>
      <c r="D625" s="706" t="s">
        <v>1855</v>
      </c>
      <c r="E625" s="698">
        <f>'SSR-rates'!$L$39</f>
        <v>19</v>
      </c>
      <c r="F625" s="698" t="s">
        <v>963</v>
      </c>
      <c r="G625" s="700">
        <f t="shared" si="4"/>
        <v>7837.5</v>
      </c>
    </row>
    <row r="626" spans="1:9" s="679" customFormat="1" ht="60">
      <c r="A626" s="690"/>
      <c r="B626" s="698"/>
      <c r="C626" s="698"/>
      <c r="D626" s="706" t="s">
        <v>1856</v>
      </c>
      <c r="E626" s="698"/>
      <c r="F626" s="698"/>
      <c r="G626" s="700"/>
      <c r="H626" s="812" t="e">
        <f>#REF!</f>
        <v>#REF!</v>
      </c>
    </row>
    <row r="627" spans="1:9" s="679" customFormat="1" ht="30">
      <c r="A627" s="690"/>
      <c r="B627" s="698">
        <v>161.91</v>
      </c>
      <c r="C627" s="698" t="s">
        <v>191</v>
      </c>
      <c r="D627" s="706" t="s">
        <v>1857</v>
      </c>
      <c r="E627" s="704">
        <f>lead!$J$38/1000</f>
        <v>60</v>
      </c>
      <c r="F627" s="698" t="s">
        <v>191</v>
      </c>
      <c r="G627" s="700">
        <f t="shared" ref="G627:G635" si="5">ROUND(B627*E627,2)</f>
        <v>9714.6</v>
      </c>
    </row>
    <row r="628" spans="1:9" s="679" customFormat="1" ht="30">
      <c r="A628" s="690"/>
      <c r="B628" s="796">
        <v>5.0000000000000001E-3</v>
      </c>
      <c r="C628" s="698" t="s">
        <v>1217</v>
      </c>
      <c r="D628" s="706" t="s">
        <v>1858</v>
      </c>
      <c r="E628" s="782">
        <f>BT_Rate_60_70</f>
        <v>43863.860229723185</v>
      </c>
      <c r="F628" s="698" t="s">
        <v>1217</v>
      </c>
      <c r="G628" s="700">
        <f t="shared" si="5"/>
        <v>219.32</v>
      </c>
    </row>
    <row r="629" spans="1:9" s="679" customFormat="1" ht="30">
      <c r="A629" s="690"/>
      <c r="B629" s="698">
        <v>19</v>
      </c>
      <c r="C629" s="698" t="s">
        <v>1859</v>
      </c>
      <c r="D629" s="706" t="s">
        <v>1860</v>
      </c>
      <c r="E629" s="698">
        <f>'SSR-rates'!$L$40</f>
        <v>73</v>
      </c>
      <c r="F629" s="698" t="s">
        <v>1859</v>
      </c>
      <c r="G629" s="700">
        <f t="shared" si="5"/>
        <v>1387</v>
      </c>
    </row>
    <row r="630" spans="1:9" s="679" customFormat="1" ht="30">
      <c r="A630" s="690"/>
      <c r="B630" s="698">
        <v>90</v>
      </c>
      <c r="C630" s="698" t="s">
        <v>1861</v>
      </c>
      <c r="D630" s="706" t="s">
        <v>1862</v>
      </c>
      <c r="E630" s="698">
        <f>'SSR-rates'!$L$41</f>
        <v>9</v>
      </c>
      <c r="F630" s="698" t="s">
        <v>1861</v>
      </c>
      <c r="G630" s="700">
        <f t="shared" si="5"/>
        <v>810</v>
      </c>
    </row>
    <row r="631" spans="1:9" s="679" customFormat="1" ht="60">
      <c r="A631" s="690"/>
      <c r="B631" s="698">
        <v>90</v>
      </c>
      <c r="C631" s="698" t="s">
        <v>1861</v>
      </c>
      <c r="D631" s="706" t="s">
        <v>1863</v>
      </c>
      <c r="E631" s="698">
        <f>'SSR-rates'!$L$42</f>
        <v>11</v>
      </c>
      <c r="F631" s="698" t="s">
        <v>1861</v>
      </c>
      <c r="G631" s="700">
        <f t="shared" si="5"/>
        <v>990</v>
      </c>
    </row>
    <row r="632" spans="1:9" s="679" customFormat="1" ht="45">
      <c r="A632" s="690"/>
      <c r="B632" s="698">
        <v>483</v>
      </c>
      <c r="C632" s="698" t="s">
        <v>555</v>
      </c>
      <c r="D632" s="706" t="s">
        <v>1864</v>
      </c>
      <c r="E632" s="698">
        <v>0.5</v>
      </c>
      <c r="F632" s="698" t="s">
        <v>555</v>
      </c>
      <c r="G632" s="700">
        <f t="shared" si="5"/>
        <v>241.5</v>
      </c>
      <c r="I632" s="676"/>
    </row>
    <row r="633" spans="1:9" s="679" customFormat="1">
      <c r="A633" s="690"/>
      <c r="B633" s="813">
        <v>97.6</v>
      </c>
      <c r="C633" s="813" t="s">
        <v>1859</v>
      </c>
      <c r="D633" s="814" t="s">
        <v>1865</v>
      </c>
      <c r="E633" s="813">
        <f>'SSR-rates'!$L$44</f>
        <v>70</v>
      </c>
      <c r="F633" s="813" t="s">
        <v>1859</v>
      </c>
      <c r="G633" s="815">
        <f t="shared" si="5"/>
        <v>6832</v>
      </c>
    </row>
    <row r="634" spans="1:9" s="679" customFormat="1">
      <c r="A634" s="757"/>
      <c r="B634" s="698">
        <v>18</v>
      </c>
      <c r="C634" s="698" t="s">
        <v>1866</v>
      </c>
      <c r="D634" s="706" t="s">
        <v>1867</v>
      </c>
      <c r="E634" s="704">
        <f>IF(lead!$C$63="Y",'SSR-rates'!$L$112,0)</f>
        <v>0</v>
      </c>
      <c r="F634" s="704" t="s">
        <v>41</v>
      </c>
      <c r="G634" s="700">
        <f t="shared" si="5"/>
        <v>0</v>
      </c>
    </row>
    <row r="635" spans="1:9" s="679" customFormat="1">
      <c r="A635" s="690"/>
      <c r="B635" s="698">
        <v>3</v>
      </c>
      <c r="C635" s="698" t="s">
        <v>963</v>
      </c>
      <c r="D635" s="706" t="s">
        <v>1868</v>
      </c>
      <c r="E635" s="698">
        <f>'SSR-rates'!$L$43</f>
        <v>650</v>
      </c>
      <c r="F635" s="698" t="s">
        <v>963</v>
      </c>
      <c r="G635" s="700">
        <f t="shared" si="5"/>
        <v>1950</v>
      </c>
    </row>
    <row r="636" spans="1:9" s="679" customFormat="1">
      <c r="A636" s="690"/>
      <c r="B636" s="699"/>
      <c r="C636" s="807"/>
      <c r="D636" s="706" t="s">
        <v>1869</v>
      </c>
      <c r="E636" s="698"/>
      <c r="F636" s="699"/>
      <c r="G636" s="700"/>
    </row>
    <row r="637" spans="1:9" s="679" customFormat="1">
      <c r="A637" s="690"/>
      <c r="B637" s="699"/>
      <c r="C637" s="807"/>
      <c r="D637" s="706" t="s">
        <v>60</v>
      </c>
      <c r="E637" s="698"/>
      <c r="F637" s="699"/>
      <c r="G637" s="713">
        <f>SUM(G620:G636)</f>
        <v>340432.94</v>
      </c>
    </row>
    <row r="638" spans="1:9" s="679" customFormat="1">
      <c r="A638" s="690"/>
      <c r="B638" s="699"/>
      <c r="C638" s="807"/>
      <c r="D638" s="706"/>
      <c r="E638" s="698"/>
      <c r="F638" s="699"/>
      <c r="G638" s="713">
        <f>G637+G617+G608</f>
        <v>480833.44</v>
      </c>
    </row>
    <row r="639" spans="1:9" s="679" customFormat="1">
      <c r="A639" s="690"/>
      <c r="B639" s="699" t="s">
        <v>45</v>
      </c>
      <c r="C639" s="807"/>
      <c r="D639" s="706" t="s">
        <v>1870</v>
      </c>
      <c r="E639" s="698"/>
      <c r="F639" s="699"/>
      <c r="G639" s="713">
        <f>G638*3%</f>
        <v>14425.003199999999</v>
      </c>
    </row>
    <row r="640" spans="1:9" s="679" customFormat="1">
      <c r="A640" s="690"/>
      <c r="B640" s="686" t="s">
        <v>47</v>
      </c>
      <c r="C640" s="694" t="s">
        <v>1332</v>
      </c>
      <c r="D640" s="697"/>
      <c r="E640" s="698"/>
      <c r="F640" s="699"/>
      <c r="G640" s="700"/>
    </row>
    <row r="641" spans="1:7" s="679" customFormat="1" ht="30">
      <c r="A641" s="690"/>
      <c r="B641" s="732">
        <f>'Input Data'!$D$24</f>
        <v>0.13614999999999999</v>
      </c>
      <c r="C641" s="802"/>
      <c r="D641" s="803" t="str">
        <f>"Over head charges &amp; CP  "&amp;'Input Data'!$D$24*100&amp;"%  on (A) + (B)+(C)"</f>
        <v>Over head charges &amp; CP  13.615%  on (A) + (B)+(C)</v>
      </c>
      <c r="E641" s="698">
        <f>G638+G639</f>
        <v>495258.44319999998</v>
      </c>
      <c r="F641" s="699"/>
      <c r="G641" s="700">
        <f>E641*B641</f>
        <v>67429.437041679994</v>
      </c>
    </row>
    <row r="642" spans="1:7">
      <c r="A642" s="690"/>
      <c r="B642" s="744">
        <f>'Input Data'!$E$24</f>
        <v>0</v>
      </c>
      <c r="C642" s="710" t="s">
        <v>1314</v>
      </c>
      <c r="D642" s="702"/>
      <c r="E642" s="712">
        <f>E641+G641</f>
        <v>562687.88024167996</v>
      </c>
      <c r="F642" s="702"/>
      <c r="G642" s="700">
        <f>E642*B642</f>
        <v>0</v>
      </c>
    </row>
    <row r="643" spans="1:7" s="679" customFormat="1">
      <c r="A643" s="690"/>
      <c r="B643" s="686" t="s">
        <v>76</v>
      </c>
      <c r="C643" s="694" t="s">
        <v>77</v>
      </c>
      <c r="D643" s="697"/>
      <c r="E643" s="698"/>
      <c r="F643" s="699"/>
      <c r="G643" s="713">
        <f>SUM(G638:G642)</f>
        <v>562687.88024167996</v>
      </c>
    </row>
    <row r="644" spans="1:7" s="679" customFormat="1">
      <c r="A644" s="690"/>
      <c r="B644" s="698"/>
      <c r="C644" s="798"/>
      <c r="D644" s="697" t="s">
        <v>1871</v>
      </c>
      <c r="E644" s="698"/>
      <c r="F644" s="698"/>
      <c r="G644" s="804">
        <f>SUM(G643:G643)</f>
        <v>562687.88024167996</v>
      </c>
    </row>
    <row r="645" spans="1:7" s="679" customFormat="1">
      <c r="A645" s="690"/>
      <c r="B645" s="698"/>
      <c r="C645" s="798"/>
      <c r="D645" s="697" t="s">
        <v>1872</v>
      </c>
      <c r="E645" s="698"/>
      <c r="F645" s="698"/>
      <c r="G645" s="700">
        <f>ROUND(G644/75,2)</f>
        <v>7502.51</v>
      </c>
    </row>
    <row r="646" spans="1:7" s="679" customFormat="1">
      <c r="A646" s="690"/>
      <c r="B646" s="698"/>
      <c r="C646" s="805"/>
      <c r="D646" s="694" t="s">
        <v>52</v>
      </c>
      <c r="E646" s="698"/>
      <c r="F646" s="698"/>
      <c r="G646" s="741">
        <f>ROUND(G645,2)</f>
        <v>7502.51</v>
      </c>
    </row>
    <row r="647" spans="1:7" s="679" customFormat="1">
      <c r="A647" s="690" t="s">
        <v>1805</v>
      </c>
      <c r="B647" s="698"/>
      <c r="C647" s="805"/>
      <c r="D647" s="697"/>
      <c r="E647" s="698"/>
      <c r="F647" s="698"/>
      <c r="G647" s="741" t="s">
        <v>53</v>
      </c>
    </row>
    <row r="648" spans="1:7" s="679" customFormat="1" ht="83.1" customHeight="1">
      <c r="A648" s="816">
        <v>16</v>
      </c>
      <c r="B648" s="3774" t="s">
        <v>1873</v>
      </c>
      <c r="C648" s="3775"/>
      <c r="D648" s="3775"/>
      <c r="E648" s="3775"/>
      <c r="F648" s="3775"/>
      <c r="G648" s="3775"/>
    </row>
    <row r="649" spans="1:7" s="679" customFormat="1">
      <c r="A649" s="816"/>
      <c r="B649" s="817"/>
      <c r="C649" s="818" t="s">
        <v>130</v>
      </c>
      <c r="D649" s="819"/>
      <c r="E649" s="820"/>
      <c r="F649" s="817"/>
      <c r="G649" s="821"/>
    </row>
    <row r="650" spans="1:7" s="679" customFormat="1">
      <c r="A650" s="816"/>
      <c r="B650" s="817"/>
      <c r="C650" s="818"/>
      <c r="D650" s="822" t="s">
        <v>1874</v>
      </c>
      <c r="E650" s="820"/>
      <c r="F650" s="817"/>
      <c r="G650" s="821"/>
    </row>
    <row r="651" spans="1:7" s="679" customFormat="1">
      <c r="A651" s="816"/>
      <c r="B651" s="817"/>
      <c r="C651" s="823" t="s">
        <v>1875</v>
      </c>
      <c r="D651" s="819"/>
      <c r="E651" s="824"/>
      <c r="F651" s="817"/>
      <c r="G651" s="797"/>
    </row>
    <row r="652" spans="1:7" s="679" customFormat="1">
      <c r="A652" s="816"/>
      <c r="B652" s="817"/>
      <c r="C652" s="825" t="s">
        <v>36</v>
      </c>
      <c r="D652" s="826" t="s">
        <v>37</v>
      </c>
      <c r="E652" s="820"/>
      <c r="F652" s="817"/>
      <c r="G652" s="821"/>
    </row>
    <row r="653" spans="1:7" s="679" customFormat="1">
      <c r="A653" s="816"/>
      <c r="B653" s="820">
        <v>0.44</v>
      </c>
      <c r="C653" s="827" t="s">
        <v>1263</v>
      </c>
      <c r="D653" s="819" t="s">
        <v>14</v>
      </c>
      <c r="E653" s="698">
        <f>'SSR-rates'!$L$58</f>
        <v>575</v>
      </c>
      <c r="F653" s="820" t="s">
        <v>38</v>
      </c>
      <c r="G653" s="828">
        <f>ROUND(B653*E653,2)</f>
        <v>253</v>
      </c>
    </row>
    <row r="654" spans="1:7" s="679" customFormat="1" ht="60">
      <c r="A654" s="816"/>
      <c r="B654" s="820">
        <v>9</v>
      </c>
      <c r="C654" s="802" t="s">
        <v>1263</v>
      </c>
      <c r="D654" s="829" t="s">
        <v>1876</v>
      </c>
      <c r="E654" s="698">
        <f>'SSR-rates'!$L$60</f>
        <v>575</v>
      </c>
      <c r="F654" s="820" t="s">
        <v>38</v>
      </c>
      <c r="G654" s="828">
        <f>ROUND(B654*E654,2)</f>
        <v>5175</v>
      </c>
    </row>
    <row r="655" spans="1:7" s="679" customFormat="1">
      <c r="A655" s="816"/>
      <c r="B655" s="820">
        <v>2</v>
      </c>
      <c r="C655" s="802" t="s">
        <v>1263</v>
      </c>
      <c r="D655" s="829" t="s">
        <v>1877</v>
      </c>
      <c r="E655" s="698">
        <f>'SSR-rates'!$L$59</f>
        <v>575</v>
      </c>
      <c r="F655" s="820" t="s">
        <v>38</v>
      </c>
      <c r="G655" s="828">
        <f>ROUND(B655*E655,2)</f>
        <v>1150</v>
      </c>
    </row>
    <row r="656" spans="1:7" s="679" customFormat="1">
      <c r="A656" s="690"/>
      <c r="B656" s="701">
        <f>'Input Data'!$D$23</f>
        <v>0</v>
      </c>
      <c r="C656" s="696"/>
      <c r="D656" s="702" t="s">
        <v>17</v>
      </c>
      <c r="E656" s="698"/>
      <c r="F656" s="699"/>
      <c r="G656" s="700">
        <f>(G654+G655+G653)*B656</f>
        <v>0</v>
      </c>
    </row>
    <row r="657" spans="1:7" s="676" customFormat="1">
      <c r="A657" s="816"/>
      <c r="B657" s="820"/>
      <c r="C657" s="827"/>
      <c r="D657" s="819" t="s">
        <v>60</v>
      </c>
      <c r="E657" s="820"/>
      <c r="F657" s="820"/>
      <c r="G657" s="804">
        <f>SUM(G653:G656,)</f>
        <v>6578</v>
      </c>
    </row>
    <row r="658" spans="1:7" s="676" customFormat="1">
      <c r="A658" s="816"/>
      <c r="B658" s="817"/>
      <c r="C658" s="825" t="s">
        <v>39</v>
      </c>
      <c r="D658" s="826" t="s">
        <v>1878</v>
      </c>
      <c r="E658" s="820"/>
      <c r="F658" s="820"/>
      <c r="G658" s="828"/>
    </row>
    <row r="659" spans="1:7" s="676" customFormat="1">
      <c r="A659" s="816"/>
      <c r="B659" s="820">
        <v>7.2</v>
      </c>
      <c r="C659" s="802" t="s">
        <v>41</v>
      </c>
      <c r="D659" s="819" t="s">
        <v>1879</v>
      </c>
      <c r="E659" s="820">
        <f>'SSR-rates'!L75</f>
        <v>440</v>
      </c>
      <c r="F659" s="820" t="s">
        <v>41</v>
      </c>
      <c r="G659" s="828">
        <f t="shared" ref="G659:G665" si="6">(B659*E659)</f>
        <v>3168</v>
      </c>
    </row>
    <row r="660" spans="1:7">
      <c r="A660" s="816"/>
      <c r="B660" s="820">
        <v>7.2</v>
      </c>
      <c r="C660" s="802" t="s">
        <v>41</v>
      </c>
      <c r="D660" s="830" t="s">
        <v>1321</v>
      </c>
      <c r="E660" s="820">
        <f>'SSR-rates'!L73</f>
        <v>727.6</v>
      </c>
      <c r="F660" s="820" t="s">
        <v>41</v>
      </c>
      <c r="G660" s="828">
        <f t="shared" si="6"/>
        <v>5238.72</v>
      </c>
    </row>
    <row r="661" spans="1:7">
      <c r="A661" s="816"/>
      <c r="B661" s="820">
        <v>6</v>
      </c>
      <c r="C661" s="802" t="s">
        <v>41</v>
      </c>
      <c r="D661" s="830" t="s">
        <v>1880</v>
      </c>
      <c r="E661" s="820">
        <f>'SSR-rates'!L81</f>
        <v>3163</v>
      </c>
      <c r="F661" s="820"/>
      <c r="G661" s="828">
        <f t="shared" si="6"/>
        <v>18978</v>
      </c>
    </row>
    <row r="662" spans="1:7" s="676" customFormat="1" ht="45">
      <c r="A662" s="816"/>
      <c r="B662" s="820">
        <v>6</v>
      </c>
      <c r="C662" s="802"/>
      <c r="D662" s="831" t="s">
        <v>1881</v>
      </c>
      <c r="E662" s="832">
        <f>+'SSR-rates'!L66</f>
        <v>1280.4000000000001</v>
      </c>
      <c r="F662" s="833"/>
      <c r="G662" s="828">
        <f t="shared" si="6"/>
        <v>7682.4000000000005</v>
      </c>
    </row>
    <row r="663" spans="1:7" s="676" customFormat="1">
      <c r="A663" s="816"/>
      <c r="B663" s="820">
        <v>6</v>
      </c>
      <c r="C663" s="802" t="s">
        <v>41</v>
      </c>
      <c r="D663" s="819" t="s">
        <v>1882</v>
      </c>
      <c r="E663" s="820">
        <f>'SSR-rates'!$L$65</f>
        <v>2028</v>
      </c>
      <c r="F663" s="820"/>
      <c r="G663" s="828">
        <f t="shared" si="6"/>
        <v>12168</v>
      </c>
    </row>
    <row r="664" spans="1:7" s="676" customFormat="1">
      <c r="A664" s="816"/>
      <c r="B664" s="820">
        <v>6</v>
      </c>
      <c r="C664" s="802" t="s">
        <v>41</v>
      </c>
      <c r="D664" s="834" t="s">
        <v>1883</v>
      </c>
      <c r="E664" s="835">
        <f>'SSR-rates'!L76</f>
        <v>1846</v>
      </c>
      <c r="F664" s="834"/>
      <c r="G664" s="828">
        <f t="shared" si="6"/>
        <v>11076</v>
      </c>
    </row>
    <row r="665" spans="1:7" s="676" customFormat="1">
      <c r="A665" s="816"/>
      <c r="B665" s="820">
        <v>6</v>
      </c>
      <c r="C665" s="802" t="s">
        <v>41</v>
      </c>
      <c r="D665" s="834" t="s">
        <v>1884</v>
      </c>
      <c r="E665" s="835">
        <f>'SSR-rates'!L83</f>
        <v>1581</v>
      </c>
      <c r="F665" s="834"/>
      <c r="G665" s="828">
        <f t="shared" si="6"/>
        <v>9486</v>
      </c>
    </row>
    <row r="666" spans="1:7" s="676" customFormat="1">
      <c r="A666" s="816"/>
      <c r="B666" s="820"/>
      <c r="C666" s="827"/>
      <c r="D666" s="819" t="s">
        <v>60</v>
      </c>
      <c r="E666" s="820"/>
      <c r="F666" s="820"/>
      <c r="G666" s="804">
        <f>SUM(G659:G665)</f>
        <v>67797.119999999995</v>
      </c>
    </row>
    <row r="667" spans="1:7">
      <c r="A667" s="816"/>
      <c r="B667" s="817"/>
      <c r="C667" s="825" t="s">
        <v>27</v>
      </c>
      <c r="D667" s="826" t="s">
        <v>61</v>
      </c>
      <c r="E667" s="820"/>
      <c r="F667" s="820"/>
      <c r="G667" s="828"/>
    </row>
    <row r="668" spans="1:7" s="676" customFormat="1">
      <c r="A668" s="816"/>
      <c r="B668" s="820">
        <v>10.8</v>
      </c>
      <c r="C668" s="825" t="s">
        <v>66</v>
      </c>
      <c r="D668" s="834" t="s">
        <v>1885</v>
      </c>
      <c r="E668" s="782">
        <f>BT_Rate_60_70</f>
        <v>43863.860229723185</v>
      </c>
      <c r="F668" s="834"/>
      <c r="G668" s="828">
        <f>(B668*E668)</f>
        <v>473729.69048101042</v>
      </c>
    </row>
    <row r="669" spans="1:7" s="676" customFormat="1">
      <c r="A669" s="816"/>
      <c r="B669" s="817"/>
      <c r="C669" s="825"/>
      <c r="D669" s="834" t="s">
        <v>1886</v>
      </c>
      <c r="E669" s="832"/>
      <c r="F669" s="833"/>
      <c r="G669" s="833"/>
    </row>
    <row r="670" spans="1:7" s="676" customFormat="1" ht="30">
      <c r="A670" s="816"/>
      <c r="B670" s="820">
        <v>135</v>
      </c>
      <c r="C670" s="825" t="s">
        <v>31</v>
      </c>
      <c r="D670" s="833" t="s">
        <v>1887</v>
      </c>
      <c r="E670" s="832">
        <f>+lead!J7</f>
        <v>2005.5179333714741</v>
      </c>
      <c r="F670" s="833"/>
      <c r="G670" s="828">
        <f>(B670*E670)</f>
        <v>270744.92100514902</v>
      </c>
    </row>
    <row r="671" spans="1:7" s="676" customFormat="1">
      <c r="A671" s="816"/>
      <c r="B671" s="820"/>
      <c r="C671" s="802"/>
      <c r="D671" s="819" t="s">
        <v>60</v>
      </c>
      <c r="E671" s="820"/>
      <c r="F671" s="820"/>
      <c r="G671" s="804">
        <f>SUM(G668:G670)</f>
        <v>744474.6114861595</v>
      </c>
    </row>
    <row r="672" spans="1:7" s="676" customFormat="1">
      <c r="A672" s="816"/>
      <c r="B672" s="820"/>
      <c r="C672" s="802"/>
      <c r="D672" s="819"/>
      <c r="E672" s="820"/>
      <c r="F672" s="820"/>
      <c r="G672" s="804">
        <f>G671+G666+G657</f>
        <v>818849.73148615949</v>
      </c>
    </row>
    <row r="673" spans="1:7" s="676" customFormat="1">
      <c r="A673" s="816"/>
      <c r="B673" s="686" t="s">
        <v>45</v>
      </c>
      <c r="C673" s="694" t="s">
        <v>1283</v>
      </c>
      <c r="D673" s="697"/>
      <c r="E673" s="820"/>
      <c r="F673" s="820"/>
      <c r="G673" s="828"/>
    </row>
    <row r="674" spans="1:7" s="676" customFormat="1">
      <c r="A674" s="816"/>
      <c r="B674" s="686"/>
      <c r="C674" s="694"/>
      <c r="D674" s="697"/>
      <c r="E674" s="820" t="s">
        <v>60</v>
      </c>
      <c r="F674" s="820"/>
      <c r="G674" s="828"/>
    </row>
    <row r="675" spans="1:7" s="676" customFormat="1">
      <c r="A675" s="816"/>
      <c r="B675" s="732">
        <f>'Input Data'!$D$24</f>
        <v>0.13614999999999999</v>
      </c>
      <c r="C675" s="3776" t="str">
        <f>"Over head charges + CP"&amp;'Input Data'!$D$24*100&amp;"%  on (A) + (B)+(C)"</f>
        <v>Over head charges + CP13.615%  on (A) + (B)+(C)</v>
      </c>
      <c r="D675" s="3776"/>
      <c r="E675" s="820">
        <f>+G672</f>
        <v>818849.73148615949</v>
      </c>
      <c r="F675" s="817"/>
      <c r="G675" s="828">
        <f>E675*B675</f>
        <v>111486.39094184061</v>
      </c>
    </row>
    <row r="676" spans="1:7" s="676" customFormat="1">
      <c r="A676" s="816"/>
      <c r="B676" s="686" t="s">
        <v>47</v>
      </c>
      <c r="C676" s="694" t="s">
        <v>89</v>
      </c>
      <c r="D676" s="697"/>
      <c r="E676" s="698"/>
      <c r="F676" s="699"/>
      <c r="G676" s="713">
        <f>G672+G675</f>
        <v>930336.12242800009</v>
      </c>
    </row>
    <row r="677" spans="1:7" s="676" customFormat="1">
      <c r="A677" s="816"/>
      <c r="B677" s="820"/>
      <c r="C677" s="802"/>
      <c r="D677" s="819" t="s">
        <v>1888</v>
      </c>
      <c r="E677" s="820"/>
      <c r="F677" s="820"/>
      <c r="G677" s="804">
        <f>SUM(G676:G676)</f>
        <v>930336.12242800009</v>
      </c>
    </row>
    <row r="678" spans="1:7" s="676" customFormat="1">
      <c r="A678" s="690"/>
      <c r="B678" s="820"/>
      <c r="C678" s="802"/>
      <c r="D678" s="819" t="s">
        <v>1713</v>
      </c>
      <c r="E678" s="820"/>
      <c r="F678" s="820"/>
      <c r="G678" s="804">
        <f>ROUND(G677/9000,2)</f>
        <v>103.37</v>
      </c>
    </row>
    <row r="679" spans="1:7" s="676" customFormat="1">
      <c r="A679" s="690"/>
      <c r="B679" s="820"/>
      <c r="C679" s="827"/>
      <c r="D679" s="819" t="s">
        <v>52</v>
      </c>
      <c r="E679" s="820"/>
      <c r="F679" s="820"/>
      <c r="G679" s="741">
        <f>ROUND(G678,2)</f>
        <v>103.37</v>
      </c>
    </row>
    <row r="680" spans="1:7" s="676" customFormat="1">
      <c r="A680" s="690"/>
      <c r="B680" s="817"/>
      <c r="C680" s="836"/>
      <c r="D680" s="819"/>
      <c r="E680" s="820"/>
      <c r="F680" s="817"/>
      <c r="G680" s="714" t="s">
        <v>137</v>
      </c>
    </row>
    <row r="681" spans="1:7" s="676" customFormat="1" ht="14.1" customHeight="1">
      <c r="A681" s="690"/>
      <c r="B681" s="817"/>
      <c r="C681" s="836"/>
      <c r="D681" s="819"/>
      <c r="E681" s="820"/>
      <c r="F681" s="817"/>
      <c r="G681" s="714"/>
    </row>
    <row r="682" spans="1:7" ht="150" customHeight="1">
      <c r="A682" s="690">
        <v>17</v>
      </c>
      <c r="B682" s="3686" t="s">
        <v>1889</v>
      </c>
      <c r="C682" s="3772"/>
      <c r="D682" s="3772"/>
      <c r="E682" s="3772"/>
      <c r="F682" s="3772"/>
      <c r="G682" s="3772"/>
    </row>
    <row r="683" spans="1:7">
      <c r="A683" s="690"/>
      <c r="B683" s="699"/>
      <c r="C683" s="710" t="s">
        <v>10</v>
      </c>
      <c r="D683" s="837" t="s">
        <v>1890</v>
      </c>
      <c r="E683" s="698"/>
      <c r="F683" s="699"/>
      <c r="G683" s="703"/>
    </row>
    <row r="684" spans="1:7">
      <c r="A684" s="690"/>
      <c r="B684" s="699"/>
      <c r="C684" s="692" t="s">
        <v>1891</v>
      </c>
      <c r="D684" s="697"/>
      <c r="E684" s="698"/>
      <c r="F684" s="699"/>
      <c r="G684" s="702"/>
    </row>
    <row r="685" spans="1:7">
      <c r="A685" s="690"/>
      <c r="B685" s="699"/>
      <c r="C685" s="690" t="s">
        <v>36</v>
      </c>
      <c r="D685" s="694" t="s">
        <v>37</v>
      </c>
      <c r="E685" s="698"/>
      <c r="F685" s="699"/>
      <c r="G685" s="703"/>
    </row>
    <row r="686" spans="1:7">
      <c r="A686" s="690"/>
      <c r="B686" s="698">
        <v>0.84</v>
      </c>
      <c r="C686" s="798" t="s">
        <v>1263</v>
      </c>
      <c r="D686" s="697" t="s">
        <v>14</v>
      </c>
      <c r="E686" s="698">
        <f>'SSR-rates'!$L$58</f>
        <v>575</v>
      </c>
      <c r="F686" s="698" t="s">
        <v>1263</v>
      </c>
      <c r="G686" s="700">
        <f>ROUND(B686*E686,2)</f>
        <v>483</v>
      </c>
    </row>
    <row r="687" spans="1:7" ht="60">
      <c r="A687" s="690"/>
      <c r="B687" s="698">
        <v>16</v>
      </c>
      <c r="C687" s="798" t="s">
        <v>1263</v>
      </c>
      <c r="D687" s="693" t="s">
        <v>1892</v>
      </c>
      <c r="E687" s="698">
        <f>'SSR-rates'!$L$60</f>
        <v>575</v>
      </c>
      <c r="F687" s="698" t="s">
        <v>1263</v>
      </c>
      <c r="G687" s="700">
        <f>ROUND(B687*E687,2)</f>
        <v>9200</v>
      </c>
    </row>
    <row r="688" spans="1:7">
      <c r="A688" s="690"/>
      <c r="B688" s="698">
        <v>5</v>
      </c>
      <c r="C688" s="798" t="s">
        <v>1263</v>
      </c>
      <c r="D688" s="697" t="s">
        <v>15</v>
      </c>
      <c r="E688" s="698">
        <f>'SSR-rates'!$L$59</f>
        <v>575</v>
      </c>
      <c r="F688" s="698" t="s">
        <v>1263</v>
      </c>
      <c r="G688" s="700">
        <f>ROUND(B688*E688,2)</f>
        <v>2875</v>
      </c>
    </row>
    <row r="689" spans="1:8">
      <c r="A689" s="690"/>
      <c r="B689" s="701">
        <f>'Input Data'!$D$23</f>
        <v>0</v>
      </c>
      <c r="C689" s="696"/>
      <c r="D689" s="702" t="s">
        <v>17</v>
      </c>
      <c r="E689" s="698">
        <f>SUM(G686:G688)</f>
        <v>12558</v>
      </c>
      <c r="F689" s="699"/>
      <c r="G689" s="700">
        <f>B689*E689</f>
        <v>0</v>
      </c>
    </row>
    <row r="690" spans="1:8">
      <c r="A690" s="690"/>
      <c r="B690" s="698"/>
      <c r="C690" s="798"/>
      <c r="D690" s="697" t="s">
        <v>60</v>
      </c>
      <c r="E690" s="698"/>
      <c r="F690" s="699"/>
      <c r="G690" s="713">
        <f>SUM(G686:G689)</f>
        <v>12558</v>
      </c>
    </row>
    <row r="691" spans="1:8">
      <c r="A691" s="690"/>
      <c r="B691" s="699"/>
      <c r="C691" s="690" t="s">
        <v>39</v>
      </c>
      <c r="D691" s="694" t="s">
        <v>40</v>
      </c>
      <c r="E691" s="698"/>
      <c r="F691" s="699"/>
      <c r="G691" s="703"/>
    </row>
    <row r="692" spans="1:8">
      <c r="A692" s="690"/>
      <c r="B692" s="698">
        <v>6</v>
      </c>
      <c r="C692" s="798" t="s">
        <v>41</v>
      </c>
      <c r="D692" s="800" t="s">
        <v>1265</v>
      </c>
      <c r="E692" s="799">
        <f>'SSR-rates'!$Q$78</f>
        <v>33344</v>
      </c>
      <c r="F692" s="698" t="s">
        <v>41</v>
      </c>
      <c r="G692" s="700">
        <f t="shared" ref="G692:G698" si="7">ROUND(B692*E692,2)</f>
        <v>200064</v>
      </c>
    </row>
    <row r="693" spans="1:8">
      <c r="A693" s="690"/>
      <c r="B693" s="698">
        <v>6</v>
      </c>
      <c r="C693" s="798" t="s">
        <v>41</v>
      </c>
      <c r="D693" s="838" t="s">
        <v>1827</v>
      </c>
      <c r="E693" s="782">
        <f>'SSR-rates'!$L$80</f>
        <v>2771</v>
      </c>
      <c r="F693" s="698" t="s">
        <v>41</v>
      </c>
      <c r="G693" s="700">
        <f t="shared" si="7"/>
        <v>16626</v>
      </c>
    </row>
    <row r="694" spans="1:8">
      <c r="A694" s="690"/>
      <c r="B694" s="698">
        <v>6</v>
      </c>
      <c r="C694" s="798" t="s">
        <v>41</v>
      </c>
      <c r="D694" s="697" t="s">
        <v>1893</v>
      </c>
      <c r="E694" s="698">
        <f>'SSR-rates'!$L$85</f>
        <v>2279</v>
      </c>
      <c r="F694" s="698" t="s">
        <v>41</v>
      </c>
      <c r="G694" s="700">
        <f t="shared" si="7"/>
        <v>13674</v>
      </c>
    </row>
    <row r="695" spans="1:8">
      <c r="A695" s="690"/>
      <c r="B695" s="698">
        <v>6</v>
      </c>
      <c r="C695" s="798" t="s">
        <v>41</v>
      </c>
      <c r="D695" s="697" t="s">
        <v>1824</v>
      </c>
      <c r="E695" s="698">
        <f>'SSR-rates'!$L$65</f>
        <v>2028</v>
      </c>
      <c r="F695" s="698" t="s">
        <v>41</v>
      </c>
      <c r="G695" s="700">
        <f t="shared" si="7"/>
        <v>12168</v>
      </c>
    </row>
    <row r="696" spans="1:8" ht="30">
      <c r="A696" s="690"/>
      <c r="B696" s="698">
        <v>3.9</v>
      </c>
      <c r="C696" s="798" t="s">
        <v>41</v>
      </c>
      <c r="D696" s="693" t="s">
        <v>1266</v>
      </c>
      <c r="E696" s="704">
        <f>'SSR-rates'!$L$68</f>
        <v>1749.6</v>
      </c>
      <c r="F696" s="704" t="s">
        <v>41</v>
      </c>
      <c r="G696" s="707">
        <f t="shared" si="7"/>
        <v>6823.44</v>
      </c>
    </row>
    <row r="697" spans="1:8" ht="30">
      <c r="A697" s="690"/>
      <c r="B697" s="698">
        <v>3.9</v>
      </c>
      <c r="C697" s="798" t="s">
        <v>41</v>
      </c>
      <c r="D697" s="693" t="s">
        <v>1894</v>
      </c>
      <c r="E697" s="704">
        <f>'SSR-rates'!$L$67</f>
        <v>3517.9</v>
      </c>
      <c r="F697" s="704" t="s">
        <v>41</v>
      </c>
      <c r="G697" s="707">
        <f t="shared" si="7"/>
        <v>13719.81</v>
      </c>
    </row>
    <row r="698" spans="1:8" ht="30">
      <c r="A698" s="690"/>
      <c r="B698" s="698">
        <v>3.9</v>
      </c>
      <c r="C698" s="798" t="s">
        <v>41</v>
      </c>
      <c r="D698" s="693" t="s">
        <v>1895</v>
      </c>
      <c r="E698" s="704">
        <f>'SSR-rates'!$L$82</f>
        <v>2028</v>
      </c>
      <c r="F698" s="704" t="s">
        <v>41</v>
      </c>
      <c r="G698" s="707">
        <f t="shared" si="7"/>
        <v>7909.2</v>
      </c>
    </row>
    <row r="699" spans="1:8">
      <c r="A699" s="690"/>
      <c r="B699" s="698"/>
      <c r="C699" s="798"/>
      <c r="D699" s="697" t="s">
        <v>60</v>
      </c>
      <c r="E699" s="698"/>
      <c r="F699" s="699"/>
      <c r="G699" s="713">
        <f>SUM(G692:G698)</f>
        <v>270984.45</v>
      </c>
    </row>
    <row r="700" spans="1:8">
      <c r="A700" s="690"/>
      <c r="B700" s="699"/>
      <c r="C700" s="690" t="s">
        <v>27</v>
      </c>
      <c r="D700" s="694" t="s">
        <v>61</v>
      </c>
      <c r="E700" s="698"/>
      <c r="F700" s="699"/>
      <c r="G700" s="703"/>
    </row>
    <row r="701" spans="1:8" ht="30">
      <c r="A701" s="690"/>
      <c r="B701" s="698">
        <v>20.25</v>
      </c>
      <c r="C701" s="698" t="s">
        <v>66</v>
      </c>
      <c r="D701" s="706" t="s">
        <v>1896</v>
      </c>
      <c r="E701" s="782">
        <f>BT_Rate_60_70</f>
        <v>43863.860229723185</v>
      </c>
      <c r="F701" s="699" t="s">
        <v>66</v>
      </c>
      <c r="G701" s="707">
        <f>ROUND(B701*E701,2)</f>
        <v>888243.17</v>
      </c>
    </row>
    <row r="702" spans="1:8">
      <c r="A702" s="690"/>
      <c r="B702" s="698"/>
      <c r="C702" s="798"/>
      <c r="D702" s="693" t="s">
        <v>1270</v>
      </c>
      <c r="E702" s="698"/>
      <c r="F702" s="699"/>
      <c r="G702" s="703"/>
    </row>
    <row r="703" spans="1:8" s="679" customFormat="1">
      <c r="A703" s="690"/>
      <c r="B703" s="698"/>
      <c r="C703" s="798"/>
      <c r="D703" s="693" t="s">
        <v>2768</v>
      </c>
      <c r="E703" s="698"/>
      <c r="F703" s="699"/>
      <c r="G703" s="703"/>
      <c r="H703" s="679">
        <f>450*4.5%</f>
        <v>20.25</v>
      </c>
    </row>
    <row r="704" spans="1:8" s="679" customFormat="1" ht="30">
      <c r="A704" s="690"/>
      <c r="B704" s="698"/>
      <c r="C704" s="798"/>
      <c r="D704" s="693" t="s">
        <v>2769</v>
      </c>
      <c r="E704" s="698"/>
      <c r="F704" s="699"/>
      <c r="G704" s="703"/>
      <c r="H704" s="679">
        <f>450-20.25</f>
        <v>429.75</v>
      </c>
    </row>
    <row r="705" spans="1:9" s="679" customFormat="1">
      <c r="A705" s="690"/>
      <c r="B705" s="698"/>
      <c r="C705" s="798"/>
      <c r="D705" s="693" t="s">
        <v>1273</v>
      </c>
      <c r="E705" s="698"/>
      <c r="F705" s="699"/>
      <c r="G705" s="703"/>
      <c r="H705" s="679">
        <f>H704/1.5</f>
        <v>286.5</v>
      </c>
    </row>
    <row r="706" spans="1:9" s="679" customFormat="1">
      <c r="A706" s="690"/>
      <c r="B706" s="698"/>
      <c r="C706" s="798"/>
      <c r="D706" s="693" t="s">
        <v>2770</v>
      </c>
      <c r="E706" s="698"/>
      <c r="F706" s="699"/>
      <c r="G706" s="703"/>
      <c r="I706" s="840">
        <f>B709+B711+B713</f>
        <v>280.77000000000004</v>
      </c>
    </row>
    <row r="707" spans="1:9" s="679" customFormat="1">
      <c r="A707" s="690"/>
      <c r="B707" s="698"/>
      <c r="C707" s="798"/>
      <c r="D707" s="693" t="s">
        <v>1897</v>
      </c>
      <c r="E707" s="698"/>
      <c r="F707" s="699"/>
      <c r="G707" s="703"/>
      <c r="I707" s="840">
        <f>H705-I706</f>
        <v>5.7299999999999613</v>
      </c>
    </row>
    <row r="708" spans="1:9" s="679" customFormat="1">
      <c r="A708" s="690"/>
      <c r="B708" s="698"/>
      <c r="C708" s="798"/>
      <c r="D708" s="693" t="s">
        <v>1898</v>
      </c>
      <c r="E708" s="698"/>
      <c r="F708" s="699"/>
      <c r="G708" s="703"/>
    </row>
    <row r="709" spans="1:9" s="679" customFormat="1" ht="30">
      <c r="A709" s="690"/>
      <c r="B709" s="698">
        <f>286.5*30%</f>
        <v>85.95</v>
      </c>
      <c r="C709" s="798" t="s">
        <v>31</v>
      </c>
      <c r="D709" s="839" t="s">
        <v>1899</v>
      </c>
      <c r="E709" s="704">
        <f>(lead!$J$6+lead!$J$7+lead!$J$8+lead!$J$9)/4</f>
        <v>1877.5179333714741</v>
      </c>
      <c r="F709" s="699" t="s">
        <v>31</v>
      </c>
      <c r="G709" s="700">
        <f>ROUND(B709*E709,2)</f>
        <v>161372.67000000001</v>
      </c>
    </row>
    <row r="710" spans="1:9">
      <c r="A710" s="690"/>
      <c r="B710" s="698"/>
      <c r="C710" s="798"/>
      <c r="D710" s="693" t="s">
        <v>1900</v>
      </c>
      <c r="E710" s="698"/>
      <c r="F710" s="699"/>
      <c r="G710" s="703"/>
    </row>
    <row r="711" spans="1:9" s="679" customFormat="1" ht="30">
      <c r="A711" s="690"/>
      <c r="B711" s="796">
        <f>286.5*28%</f>
        <v>80.220000000000013</v>
      </c>
      <c r="C711" s="798" t="s">
        <v>31</v>
      </c>
      <c r="D711" s="839" t="s">
        <v>1901</v>
      </c>
      <c r="E711" s="704">
        <f>(lead!$J$9+lead!$J$10)/2</f>
        <v>1726.0179333714741</v>
      </c>
      <c r="F711" s="699" t="s">
        <v>31</v>
      </c>
      <c r="G711" s="700">
        <f>ROUND(B711*E711,2)</f>
        <v>138461.16</v>
      </c>
    </row>
    <row r="712" spans="1:9" s="679" customFormat="1" ht="30">
      <c r="A712" s="690"/>
      <c r="B712" s="698"/>
      <c r="C712" s="798"/>
      <c r="D712" s="693" t="s">
        <v>1902</v>
      </c>
      <c r="E712" s="704"/>
      <c r="F712" s="699"/>
      <c r="G712" s="700"/>
    </row>
    <row r="713" spans="1:9" s="679" customFormat="1" ht="30">
      <c r="A713" s="690"/>
      <c r="B713" s="698">
        <f>286.5*40%</f>
        <v>114.60000000000001</v>
      </c>
      <c r="C713" s="798" t="s">
        <v>31</v>
      </c>
      <c r="D713" s="839" t="s">
        <v>1903</v>
      </c>
      <c r="E713" s="704">
        <f>(lead!$J$11+lead!$J$12)/2</f>
        <v>1669.6429333714741</v>
      </c>
      <c r="F713" s="699" t="s">
        <v>31</v>
      </c>
      <c r="G713" s="700">
        <f>ROUND(B713*E713,2)</f>
        <v>191341.08</v>
      </c>
    </row>
    <row r="714" spans="1:9" s="679" customFormat="1">
      <c r="A714" s="690"/>
      <c r="B714" s="801">
        <f>286.5*2%</f>
        <v>5.73</v>
      </c>
      <c r="C714" s="798" t="s">
        <v>31</v>
      </c>
      <c r="D714" s="693" t="s">
        <v>2771</v>
      </c>
      <c r="E714" s="704">
        <f>lead!$J$12</f>
        <v>1658.7679333714741</v>
      </c>
      <c r="F714" s="699" t="s">
        <v>31</v>
      </c>
      <c r="G714" s="700">
        <f>ROUND(B714*E714,2)</f>
        <v>9504.74</v>
      </c>
      <c r="I714" s="679">
        <f>SUM(B709:B714)/195</f>
        <v>1.4692307692307696</v>
      </c>
    </row>
    <row r="715" spans="1:9" s="679" customFormat="1">
      <c r="A715" s="690"/>
      <c r="B715" s="698"/>
      <c r="C715" s="798"/>
      <c r="D715" s="697" t="s">
        <v>60</v>
      </c>
      <c r="E715" s="698"/>
      <c r="F715" s="699"/>
      <c r="G715" s="713">
        <f>SUM(G701:G714)</f>
        <v>1388922.82</v>
      </c>
    </row>
    <row r="716" spans="1:9" s="679" customFormat="1">
      <c r="A716" s="690"/>
      <c r="B716" s="686" t="s">
        <v>45</v>
      </c>
      <c r="C716" s="694" t="s">
        <v>1283</v>
      </c>
      <c r="D716" s="697"/>
      <c r="E716" s="698"/>
      <c r="F716" s="699"/>
      <c r="G716" s="700"/>
    </row>
    <row r="717" spans="1:9" s="679" customFormat="1" ht="30">
      <c r="A717" s="690"/>
      <c r="B717" s="732">
        <f>'Input Data'!$D$24</f>
        <v>0.13614999999999999</v>
      </c>
      <c r="C717" s="802"/>
      <c r="D717" s="803" t="str">
        <f>"Over head charges + CP "&amp;'Input Data'!$D$24*100&amp;"%  on (A) + (B)+(C)"</f>
        <v>Over head charges + CP 13.615%  on (A) + (B)+(C)</v>
      </c>
      <c r="E717" s="698">
        <f>+G715+G699+G690</f>
        <v>1672465.27</v>
      </c>
      <c r="F717" s="699"/>
      <c r="G717" s="700">
        <f>E717*B717</f>
        <v>227706.1465105</v>
      </c>
    </row>
    <row r="718" spans="1:9" s="679" customFormat="1">
      <c r="A718" s="690"/>
      <c r="B718" s="686" t="s">
        <v>47</v>
      </c>
      <c r="C718" s="694" t="s">
        <v>89</v>
      </c>
      <c r="D718" s="697"/>
      <c r="E718" s="698"/>
      <c r="F718" s="699"/>
      <c r="G718" s="713">
        <f>+G717+E717</f>
        <v>1900171.4165105</v>
      </c>
    </row>
    <row r="719" spans="1:9" s="679" customFormat="1">
      <c r="A719" s="690"/>
      <c r="B719" s="698"/>
      <c r="C719" s="798"/>
      <c r="D719" s="697" t="s">
        <v>1904</v>
      </c>
      <c r="E719" s="698"/>
      <c r="F719" s="698"/>
      <c r="G719" s="804">
        <f>SUM(G718:G718)</f>
        <v>1900171.4165105</v>
      </c>
    </row>
    <row r="720" spans="1:9" s="679" customFormat="1">
      <c r="A720" s="690"/>
      <c r="B720" s="698"/>
      <c r="C720" s="798"/>
      <c r="D720" s="697" t="s">
        <v>1286</v>
      </c>
      <c r="E720" s="698"/>
      <c r="F720" s="698"/>
      <c r="G720" s="700">
        <f>ROUND(G719/195,2)</f>
        <v>9744.4699999999993</v>
      </c>
    </row>
    <row r="721" spans="1:7" s="679" customFormat="1">
      <c r="A721" s="690"/>
      <c r="B721" s="698"/>
      <c r="C721" s="805"/>
      <c r="D721" s="697" t="s">
        <v>52</v>
      </c>
      <c r="E721" s="698"/>
      <c r="F721" s="698"/>
      <c r="G721" s="741">
        <f>ROUND(G720,2)</f>
        <v>9744.4699999999993</v>
      </c>
    </row>
    <row r="722" spans="1:7" s="679" customFormat="1">
      <c r="A722" s="690"/>
      <c r="B722" s="698"/>
      <c r="C722" s="805"/>
      <c r="D722" s="697"/>
      <c r="E722" s="698"/>
      <c r="F722" s="698"/>
      <c r="G722" s="713" t="s">
        <v>53</v>
      </c>
    </row>
    <row r="723" spans="1:7" s="679" customFormat="1" ht="126" customHeight="1">
      <c r="A723" s="690">
        <v>17</v>
      </c>
      <c r="B723" s="3686" t="s">
        <v>1905</v>
      </c>
      <c r="C723" s="3772"/>
      <c r="D723" s="3772"/>
      <c r="E723" s="3772"/>
      <c r="F723" s="3772"/>
      <c r="G723" s="3772"/>
    </row>
    <row r="724" spans="1:7">
      <c r="A724" s="690"/>
      <c r="B724" s="699"/>
      <c r="C724" s="710" t="s">
        <v>10</v>
      </c>
      <c r="D724" s="837" t="s">
        <v>1906</v>
      </c>
      <c r="E724" s="698"/>
      <c r="F724" s="699"/>
      <c r="G724" s="703"/>
    </row>
    <row r="725" spans="1:7">
      <c r="A725" s="690"/>
      <c r="B725" s="699"/>
      <c r="C725" s="692" t="s">
        <v>1907</v>
      </c>
      <c r="D725" s="697"/>
      <c r="E725" s="698"/>
      <c r="F725" s="699"/>
      <c r="G725" s="702"/>
    </row>
    <row r="726" spans="1:7">
      <c r="A726" s="690"/>
      <c r="B726" s="699"/>
      <c r="C726" s="690" t="s">
        <v>36</v>
      </c>
      <c r="D726" s="694" t="s">
        <v>37</v>
      </c>
      <c r="E726" s="698"/>
      <c r="F726" s="699"/>
      <c r="G726" s="703"/>
    </row>
    <row r="727" spans="1:7">
      <c r="A727" s="690"/>
      <c r="B727" s="698">
        <v>0.84</v>
      </c>
      <c r="C727" s="798" t="s">
        <v>1263</v>
      </c>
      <c r="D727" s="697" t="s">
        <v>14</v>
      </c>
      <c r="E727" s="698">
        <f>'SSR-rates'!$L$58</f>
        <v>575</v>
      </c>
      <c r="F727" s="698" t="s">
        <v>1263</v>
      </c>
      <c r="G727" s="700">
        <f>ROUND(B727*E727,2)</f>
        <v>483</v>
      </c>
    </row>
    <row r="728" spans="1:7" ht="45">
      <c r="A728" s="690"/>
      <c r="B728" s="698">
        <v>14</v>
      </c>
      <c r="C728" s="798" t="s">
        <v>1263</v>
      </c>
      <c r="D728" s="693" t="s">
        <v>1908</v>
      </c>
      <c r="E728" s="698">
        <f>'SSR-rates'!$L$60</f>
        <v>575</v>
      </c>
      <c r="F728" s="698" t="s">
        <v>1263</v>
      </c>
      <c r="G728" s="700">
        <f>ROUND(B728*E728,2)</f>
        <v>8050</v>
      </c>
    </row>
    <row r="729" spans="1:7">
      <c r="A729" s="690"/>
      <c r="B729" s="698">
        <v>5</v>
      </c>
      <c r="C729" s="798" t="s">
        <v>1263</v>
      </c>
      <c r="D729" s="697" t="s">
        <v>1909</v>
      </c>
      <c r="E729" s="698">
        <f>'SSR-rates'!$L$59</f>
        <v>575</v>
      </c>
      <c r="F729" s="698" t="s">
        <v>1263</v>
      </c>
      <c r="G729" s="700">
        <f>ROUND(B729*E729,2)</f>
        <v>2875</v>
      </c>
    </row>
    <row r="730" spans="1:7">
      <c r="A730" s="690"/>
      <c r="B730" s="701">
        <f>'Input Data'!$D$23</f>
        <v>0</v>
      </c>
      <c r="C730" s="696"/>
      <c r="D730" s="702" t="s">
        <v>17</v>
      </c>
      <c r="E730" s="698">
        <f>SUM(G727:G729)</f>
        <v>11408</v>
      </c>
      <c r="F730" s="699"/>
      <c r="G730" s="700">
        <f>B730*E730</f>
        <v>0</v>
      </c>
    </row>
    <row r="731" spans="1:7">
      <c r="A731" s="690"/>
      <c r="B731" s="698"/>
      <c r="C731" s="798"/>
      <c r="D731" s="697" t="s">
        <v>60</v>
      </c>
      <c r="E731" s="698"/>
      <c r="F731" s="699"/>
      <c r="G731" s="713">
        <f>SUM(G727:G730)</f>
        <v>11408</v>
      </c>
    </row>
    <row r="732" spans="1:7">
      <c r="A732" s="690"/>
      <c r="B732" s="699"/>
      <c r="C732" s="690" t="s">
        <v>39</v>
      </c>
      <c r="D732" s="694" t="s">
        <v>40</v>
      </c>
      <c r="E732" s="698"/>
      <c r="F732" s="699"/>
      <c r="G732" s="703"/>
    </row>
    <row r="733" spans="1:7">
      <c r="A733" s="690"/>
      <c r="B733" s="698">
        <v>6</v>
      </c>
      <c r="C733" s="798" t="s">
        <v>41</v>
      </c>
      <c r="D733" s="800" t="s">
        <v>1265</v>
      </c>
      <c r="E733" s="799">
        <f>'SSR-rates'!$Q$78</f>
        <v>33344</v>
      </c>
      <c r="F733" s="698" t="s">
        <v>41</v>
      </c>
      <c r="G733" s="700">
        <f t="shared" ref="G733:G741" si="8">ROUND(B733*E733,2)</f>
        <v>200064</v>
      </c>
    </row>
    <row r="734" spans="1:7" ht="30">
      <c r="A734" s="690"/>
      <c r="B734" s="698">
        <v>2.2000000000000002</v>
      </c>
      <c r="C734" s="798" t="s">
        <v>41</v>
      </c>
      <c r="D734" s="706" t="s">
        <v>1910</v>
      </c>
      <c r="E734" s="698">
        <f>'SSR-rates'!L75</f>
        <v>440</v>
      </c>
      <c r="F734" s="698" t="s">
        <v>41</v>
      </c>
      <c r="G734" s="700">
        <f t="shared" si="8"/>
        <v>968</v>
      </c>
    </row>
    <row r="735" spans="1:7">
      <c r="A735" s="690"/>
      <c r="B735" s="698">
        <v>2.2000000000000002</v>
      </c>
      <c r="C735" s="798" t="s">
        <v>41</v>
      </c>
      <c r="D735" s="697" t="s">
        <v>1321</v>
      </c>
      <c r="E735" s="698">
        <f>'SSR-rates'!$L$73</f>
        <v>727.6</v>
      </c>
      <c r="F735" s="698" t="s">
        <v>41</v>
      </c>
      <c r="G735" s="700">
        <f t="shared" si="8"/>
        <v>1600.72</v>
      </c>
    </row>
    <row r="736" spans="1:7">
      <c r="A736" s="690"/>
      <c r="B736" s="698">
        <v>6</v>
      </c>
      <c r="C736" s="798" t="s">
        <v>41</v>
      </c>
      <c r="D736" s="838" t="s">
        <v>1827</v>
      </c>
      <c r="E736" s="782">
        <f>'SSR-rates'!$L$80</f>
        <v>2771</v>
      </c>
      <c r="F736" s="698" t="s">
        <v>41</v>
      </c>
      <c r="G736" s="700">
        <f t="shared" si="8"/>
        <v>16626</v>
      </c>
    </row>
    <row r="737" spans="1:11">
      <c r="A737" s="690"/>
      <c r="B737" s="698">
        <v>6</v>
      </c>
      <c r="C737" s="798" t="s">
        <v>41</v>
      </c>
      <c r="D737" s="697" t="s">
        <v>1893</v>
      </c>
      <c r="E737" s="698">
        <f>'SSR-rates'!$L$85</f>
        <v>2279</v>
      </c>
      <c r="F737" s="698" t="s">
        <v>41</v>
      </c>
      <c r="G737" s="700">
        <f t="shared" si="8"/>
        <v>13674</v>
      </c>
    </row>
    <row r="738" spans="1:11">
      <c r="A738" s="690"/>
      <c r="B738" s="698">
        <v>6</v>
      </c>
      <c r="C738" s="798" t="s">
        <v>41</v>
      </c>
      <c r="D738" s="697" t="s">
        <v>1824</v>
      </c>
      <c r="E738" s="698">
        <f>'SSR-rates'!$L$65</f>
        <v>2028</v>
      </c>
      <c r="F738" s="698" t="s">
        <v>41</v>
      </c>
      <c r="G738" s="700">
        <f t="shared" si="8"/>
        <v>12168</v>
      </c>
    </row>
    <row r="739" spans="1:11" ht="30">
      <c r="A739" s="690"/>
      <c r="B739" s="698">
        <v>3.9</v>
      </c>
      <c r="C739" s="798" t="s">
        <v>41</v>
      </c>
      <c r="D739" s="693" t="s">
        <v>1266</v>
      </c>
      <c r="E739" s="704">
        <f>'SSR-rates'!$L$68</f>
        <v>1749.6</v>
      </c>
      <c r="F739" s="704" t="s">
        <v>41</v>
      </c>
      <c r="G739" s="707">
        <f t="shared" si="8"/>
        <v>6823.44</v>
      </c>
    </row>
    <row r="740" spans="1:11" ht="30">
      <c r="A740" s="690"/>
      <c r="B740" s="698">
        <v>3.9</v>
      </c>
      <c r="C740" s="798" t="s">
        <v>41</v>
      </c>
      <c r="D740" s="693" t="s">
        <v>1894</v>
      </c>
      <c r="E740" s="704">
        <f>'SSR-rates'!$L$67</f>
        <v>3517.9</v>
      </c>
      <c r="F740" s="704" t="s">
        <v>41</v>
      </c>
      <c r="G740" s="707">
        <f t="shared" si="8"/>
        <v>13719.81</v>
      </c>
    </row>
    <row r="741" spans="1:11" ht="30">
      <c r="A741" s="690"/>
      <c r="B741" s="698">
        <v>3.9</v>
      </c>
      <c r="C741" s="798" t="s">
        <v>41</v>
      </c>
      <c r="D741" s="693" t="s">
        <v>1895</v>
      </c>
      <c r="E741" s="704">
        <f>'SSR-rates'!$L$82</f>
        <v>2028</v>
      </c>
      <c r="F741" s="704" t="s">
        <v>41</v>
      </c>
      <c r="G741" s="707">
        <f t="shared" si="8"/>
        <v>7909.2</v>
      </c>
    </row>
    <row r="742" spans="1:11">
      <c r="A742" s="690"/>
      <c r="B742" s="698"/>
      <c r="C742" s="798"/>
      <c r="D742" s="697" t="s">
        <v>60</v>
      </c>
      <c r="E742" s="698"/>
      <c r="F742" s="699"/>
      <c r="G742" s="713">
        <f>SUM(G733:G741)</f>
        <v>273553.17000000004</v>
      </c>
    </row>
    <row r="743" spans="1:11">
      <c r="A743" s="690"/>
      <c r="B743" s="699"/>
      <c r="C743" s="690" t="s">
        <v>27</v>
      </c>
      <c r="D743" s="694" t="s">
        <v>61</v>
      </c>
      <c r="E743" s="698"/>
      <c r="F743" s="699"/>
      <c r="G743" s="703"/>
    </row>
    <row r="744" spans="1:11">
      <c r="A744" s="690"/>
      <c r="B744" s="698">
        <v>14.85</v>
      </c>
      <c r="C744" s="698" t="s">
        <v>66</v>
      </c>
      <c r="D744" s="706" t="s">
        <v>1911</v>
      </c>
      <c r="E744" s="782">
        <f>BT_Rate_60_70</f>
        <v>43863.860229723185</v>
      </c>
      <c r="F744" s="699" t="s">
        <v>66</v>
      </c>
      <c r="G744" s="707">
        <f>ROUND(B744*E744,2)</f>
        <v>651378.31999999995</v>
      </c>
    </row>
    <row r="745" spans="1:11">
      <c r="A745" s="690"/>
      <c r="B745" s="698"/>
      <c r="C745" s="798"/>
      <c r="D745" s="693" t="s">
        <v>1912</v>
      </c>
      <c r="E745" s="698"/>
      <c r="F745" s="699"/>
      <c r="G745" s="703"/>
    </row>
    <row r="746" spans="1:11">
      <c r="A746" s="690"/>
      <c r="B746" s="698"/>
      <c r="C746" s="798"/>
      <c r="D746" s="693" t="s">
        <v>1913</v>
      </c>
      <c r="E746" s="698"/>
      <c r="F746" s="699"/>
      <c r="G746" s="703"/>
    </row>
    <row r="747" spans="1:11" s="679" customFormat="1" ht="30">
      <c r="A747" s="690"/>
      <c r="B747" s="698"/>
      <c r="C747" s="798"/>
      <c r="D747" s="693" t="s">
        <v>1914</v>
      </c>
      <c r="E747" s="698"/>
      <c r="F747" s="699"/>
      <c r="G747" s="703"/>
    </row>
    <row r="748" spans="1:11" s="679" customFormat="1">
      <c r="A748" s="690"/>
      <c r="B748" s="698"/>
      <c r="C748" s="798"/>
      <c r="D748" s="693" t="s">
        <v>1273</v>
      </c>
      <c r="E748" s="698"/>
      <c r="F748" s="699"/>
      <c r="G748" s="703"/>
    </row>
    <row r="749" spans="1:11" s="679" customFormat="1">
      <c r="A749" s="690"/>
      <c r="B749" s="698"/>
      <c r="C749" s="798"/>
      <c r="D749" s="693" t="s">
        <v>1915</v>
      </c>
      <c r="E749" s="698"/>
      <c r="F749" s="699"/>
      <c r="G749" s="703"/>
      <c r="H749" s="812"/>
    </row>
    <row r="750" spans="1:11" s="679" customFormat="1">
      <c r="A750" s="690"/>
      <c r="B750" s="698"/>
      <c r="C750" s="798"/>
      <c r="D750" s="693" t="s">
        <v>1897</v>
      </c>
      <c r="E750" s="698"/>
      <c r="F750" s="699"/>
      <c r="G750" s="703"/>
    </row>
    <row r="751" spans="1:11" s="679" customFormat="1">
      <c r="A751" s="690"/>
      <c r="B751" s="698"/>
      <c r="C751" s="798"/>
      <c r="D751" s="706" t="s">
        <v>1916</v>
      </c>
      <c r="E751" s="698"/>
      <c r="F751" s="699"/>
      <c r="G751" s="703"/>
    </row>
    <row r="752" spans="1:11" s="679" customFormat="1" ht="30">
      <c r="A752" s="690"/>
      <c r="B752" s="698">
        <v>116.04</v>
      </c>
      <c r="C752" s="798" t="s">
        <v>31</v>
      </c>
      <c r="D752" s="839" t="s">
        <v>1899</v>
      </c>
      <c r="E752" s="704">
        <f>(lead!$J$6+lead!$J$7+lead!$J$8+lead!$J$9)/4</f>
        <v>1877.5179333714741</v>
      </c>
      <c r="F752" s="699" t="s">
        <v>31</v>
      </c>
      <c r="G752" s="700">
        <f>ROUND(B752*E752,2)</f>
        <v>217867.18</v>
      </c>
      <c r="K752" s="679">
        <f>290.1*0.2</f>
        <v>58.02000000000001</v>
      </c>
    </row>
    <row r="753" spans="1:10" s="679" customFormat="1">
      <c r="A753" s="690"/>
      <c r="B753" s="698"/>
      <c r="C753" s="798"/>
      <c r="D753" s="693" t="s">
        <v>1917</v>
      </c>
      <c r="E753" s="698"/>
      <c r="F753" s="699"/>
      <c r="G753" s="703"/>
      <c r="I753" s="679">
        <v>285</v>
      </c>
    </row>
    <row r="754" spans="1:10" ht="30">
      <c r="A754" s="690"/>
      <c r="B754" s="796">
        <v>116.04</v>
      </c>
      <c r="C754" s="798" t="s">
        <v>31</v>
      </c>
      <c r="D754" s="839" t="s">
        <v>1901</v>
      </c>
      <c r="E754" s="704">
        <f>(lead!$J$9+lead!$J$10)/2</f>
        <v>1726.0179333714741</v>
      </c>
      <c r="F754" s="699" t="s">
        <v>31</v>
      </c>
      <c r="G754" s="700">
        <f>ROUND(B754*E754,2)</f>
        <v>200287.12</v>
      </c>
    </row>
    <row r="755" spans="1:10" s="679" customFormat="1" ht="30">
      <c r="A755" s="690"/>
      <c r="B755" s="698"/>
      <c r="C755" s="798"/>
      <c r="D755" s="693" t="s">
        <v>1918</v>
      </c>
      <c r="E755" s="704"/>
      <c r="F755" s="699"/>
      <c r="G755" s="700"/>
      <c r="I755" s="812">
        <f>+B793+B795+B797</f>
        <v>278.12</v>
      </c>
      <c r="J755" s="811">
        <f>I753-I755</f>
        <v>6.8799999999999955</v>
      </c>
    </row>
    <row r="756" spans="1:10" s="679" customFormat="1" ht="30">
      <c r="A756" s="690"/>
      <c r="B756" s="698">
        <v>58.02</v>
      </c>
      <c r="C756" s="798" t="s">
        <v>31</v>
      </c>
      <c r="D756" s="839" t="s">
        <v>1903</v>
      </c>
      <c r="E756" s="704">
        <f>(lead!$J$11+lead!$J$12)/2</f>
        <v>1669.6429333714741</v>
      </c>
      <c r="F756" s="699" t="s">
        <v>31</v>
      </c>
      <c r="G756" s="700">
        <f>ROUND(B756*E756,2)</f>
        <v>96872.68</v>
      </c>
    </row>
    <row r="757" spans="1:10" s="679" customFormat="1">
      <c r="A757" s="690"/>
      <c r="B757" s="698"/>
      <c r="C757" s="798"/>
      <c r="D757" s="697" t="s">
        <v>60</v>
      </c>
      <c r="E757" s="698"/>
      <c r="F757" s="699"/>
      <c r="G757" s="713">
        <f>SUM(G744:G756)</f>
        <v>1166405.3</v>
      </c>
      <c r="I757" s="679">
        <f>SUM(B793:B798)/195</f>
        <v>1.4553641025641024</v>
      </c>
    </row>
    <row r="758" spans="1:10" s="679" customFormat="1">
      <c r="A758" s="690"/>
      <c r="B758" s="686" t="s">
        <v>45</v>
      </c>
      <c r="C758" s="694" t="s">
        <v>1283</v>
      </c>
      <c r="D758" s="697"/>
      <c r="E758" s="698"/>
      <c r="F758" s="699"/>
      <c r="G758" s="700"/>
    </row>
    <row r="759" spans="1:10" s="679" customFormat="1" ht="30">
      <c r="A759" s="690"/>
      <c r="B759" s="732">
        <f>'Input Data'!$D$24</f>
        <v>0.13614999999999999</v>
      </c>
      <c r="C759" s="802"/>
      <c r="D759" s="803" t="str">
        <f>"Over head charges + CP "&amp;'Input Data'!$D$24*100&amp;"%  on (A) + (B)+(C)"</f>
        <v>Over head charges + CP 13.615%  on (A) + (B)+(C)</v>
      </c>
      <c r="E759" s="698">
        <f>+G757+G742+G731</f>
        <v>1451366.4700000002</v>
      </c>
      <c r="F759" s="699"/>
      <c r="G759" s="700">
        <f>E759*B759</f>
        <v>197603.54489050002</v>
      </c>
    </row>
    <row r="760" spans="1:10" s="679" customFormat="1">
      <c r="A760" s="690"/>
      <c r="B760" s="686" t="s">
        <v>47</v>
      </c>
      <c r="C760" s="694" t="s">
        <v>89</v>
      </c>
      <c r="D760" s="697"/>
      <c r="E760" s="698"/>
      <c r="F760" s="699"/>
      <c r="G760" s="713">
        <f>+G759+E759</f>
        <v>1648970.0148905003</v>
      </c>
    </row>
    <row r="761" spans="1:10" s="679" customFormat="1">
      <c r="A761" s="690"/>
      <c r="B761" s="698"/>
      <c r="C761" s="798"/>
      <c r="D761" s="697" t="s">
        <v>1919</v>
      </c>
      <c r="E761" s="698"/>
      <c r="F761" s="698"/>
      <c r="G761" s="804">
        <f>SUM(G760:G760)</f>
        <v>1648970.0148905003</v>
      </c>
    </row>
    <row r="762" spans="1:10" s="679" customFormat="1">
      <c r="A762" s="690"/>
      <c r="B762" s="698"/>
      <c r="C762" s="798"/>
      <c r="D762" s="697" t="s">
        <v>1286</v>
      </c>
      <c r="E762" s="698"/>
      <c r="F762" s="698"/>
      <c r="G762" s="700">
        <f>ROUND(G761/205,2)</f>
        <v>8043.76</v>
      </c>
    </row>
    <row r="763" spans="1:10" s="679" customFormat="1">
      <c r="A763" s="690"/>
      <c r="B763" s="698"/>
      <c r="C763" s="805"/>
      <c r="D763" s="697" t="s">
        <v>52</v>
      </c>
      <c r="E763" s="698"/>
      <c r="F763" s="698"/>
      <c r="G763" s="741">
        <f>ROUND(G762,2)</f>
        <v>8043.76</v>
      </c>
    </row>
    <row r="764" spans="1:10" s="679" customFormat="1">
      <c r="A764" s="690"/>
      <c r="B764" s="698"/>
      <c r="C764" s="805"/>
      <c r="D764" s="697"/>
      <c r="E764" s="698"/>
      <c r="F764" s="698"/>
      <c r="G764" s="713" t="s">
        <v>53</v>
      </c>
    </row>
    <row r="765" spans="1:10" s="679" customFormat="1">
      <c r="A765" s="690"/>
      <c r="B765" s="698"/>
      <c r="C765" s="805"/>
      <c r="D765" s="697"/>
      <c r="E765" s="698"/>
      <c r="F765" s="698"/>
      <c r="G765" s="741"/>
    </row>
    <row r="766" spans="1:10" s="679" customFormat="1" ht="102" customHeight="1">
      <c r="A766" s="690">
        <v>11</v>
      </c>
      <c r="B766" s="3686" t="s">
        <v>1920</v>
      </c>
      <c r="C766" s="3772"/>
      <c r="D766" s="3772"/>
      <c r="E766" s="3772"/>
      <c r="F766" s="3772"/>
      <c r="G766" s="3772"/>
    </row>
    <row r="767" spans="1:10" s="679" customFormat="1">
      <c r="A767" s="690"/>
      <c r="B767" s="699"/>
      <c r="C767" s="710" t="s">
        <v>10</v>
      </c>
      <c r="D767" s="837" t="s">
        <v>1921</v>
      </c>
      <c r="E767" s="698"/>
      <c r="F767" s="699"/>
      <c r="G767" s="703"/>
    </row>
    <row r="768" spans="1:10" s="679" customFormat="1">
      <c r="A768" s="690"/>
      <c r="B768" s="699"/>
      <c r="C768" s="692" t="s">
        <v>1922</v>
      </c>
      <c r="D768" s="697"/>
      <c r="E768" s="698"/>
      <c r="F768" s="699"/>
      <c r="G768" s="702"/>
    </row>
    <row r="769" spans="1:7" s="679" customFormat="1">
      <c r="A769" s="690"/>
      <c r="B769" s="699"/>
      <c r="C769" s="690" t="s">
        <v>36</v>
      </c>
      <c r="D769" s="694" t="s">
        <v>37</v>
      </c>
      <c r="E769" s="698"/>
      <c r="F769" s="699"/>
      <c r="G769" s="703"/>
    </row>
    <row r="770" spans="1:7" s="679" customFormat="1">
      <c r="A770" s="690"/>
      <c r="B770" s="698">
        <v>0.84</v>
      </c>
      <c r="C770" s="798" t="s">
        <v>1263</v>
      </c>
      <c r="D770" s="697" t="s">
        <v>14</v>
      </c>
      <c r="E770" s="698">
        <f>'SSR-rates'!$L$58</f>
        <v>575</v>
      </c>
      <c r="F770" s="698" t="s">
        <v>1263</v>
      </c>
      <c r="G770" s="700">
        <f>ROUND(B770*E770,2)</f>
        <v>483</v>
      </c>
    </row>
    <row r="771" spans="1:7" s="679" customFormat="1" ht="60">
      <c r="A771" s="690"/>
      <c r="B771" s="698">
        <v>16</v>
      </c>
      <c r="C771" s="798" t="s">
        <v>1263</v>
      </c>
      <c r="D771" s="693" t="s">
        <v>1892</v>
      </c>
      <c r="E771" s="698">
        <f>'SSR-rates'!$L$60</f>
        <v>575</v>
      </c>
      <c r="F771" s="698" t="s">
        <v>1263</v>
      </c>
      <c r="G771" s="700">
        <f>ROUND(B771*E771,2)</f>
        <v>9200</v>
      </c>
    </row>
    <row r="772" spans="1:7" s="679" customFormat="1">
      <c r="A772" s="690"/>
      <c r="B772" s="698">
        <v>5</v>
      </c>
      <c r="C772" s="798" t="s">
        <v>1263</v>
      </c>
      <c r="D772" s="697" t="s">
        <v>15</v>
      </c>
      <c r="E772" s="698">
        <f>'SSR-rates'!$L$59</f>
        <v>575</v>
      </c>
      <c r="F772" s="698" t="s">
        <v>1263</v>
      </c>
      <c r="G772" s="700">
        <f>ROUND(B772*E772,2)</f>
        <v>2875</v>
      </c>
    </row>
    <row r="773" spans="1:7" s="679" customFormat="1">
      <c r="A773" s="690"/>
      <c r="B773" s="701">
        <f>'Input Data'!$D$23</f>
        <v>0</v>
      </c>
      <c r="C773" s="696"/>
      <c r="D773" s="702" t="s">
        <v>17</v>
      </c>
      <c r="E773" s="698">
        <f>SUM(G770:G772)</f>
        <v>12558</v>
      </c>
      <c r="F773" s="699"/>
      <c r="G773" s="700">
        <f>B773*E773</f>
        <v>0</v>
      </c>
    </row>
    <row r="774" spans="1:7" s="679" customFormat="1">
      <c r="A774" s="690"/>
      <c r="B774" s="698"/>
      <c r="C774" s="798"/>
      <c r="D774" s="697" t="s">
        <v>60</v>
      </c>
      <c r="E774" s="698"/>
      <c r="F774" s="699"/>
      <c r="G774" s="713">
        <f>SUM(G770:G773)</f>
        <v>12558</v>
      </c>
    </row>
    <row r="775" spans="1:7" s="679" customFormat="1">
      <c r="A775" s="690"/>
      <c r="B775" s="699"/>
      <c r="C775" s="690" t="s">
        <v>39</v>
      </c>
      <c r="D775" s="694" t="s">
        <v>40</v>
      </c>
      <c r="E775" s="698"/>
      <c r="F775" s="699"/>
      <c r="G775" s="703"/>
    </row>
    <row r="776" spans="1:7" s="679" customFormat="1">
      <c r="A776" s="690"/>
      <c r="B776" s="698">
        <v>6</v>
      </c>
      <c r="C776" s="798" t="s">
        <v>41</v>
      </c>
      <c r="D776" s="800" t="s">
        <v>1265</v>
      </c>
      <c r="E776" s="799">
        <f>'SSR-rates'!$Q$78</f>
        <v>33344</v>
      </c>
      <c r="F776" s="698" t="s">
        <v>41</v>
      </c>
      <c r="G776" s="700">
        <f t="shared" ref="G776:G782" si="9">ROUND(B776*E776,2)</f>
        <v>200064</v>
      </c>
    </row>
    <row r="777" spans="1:7" s="679" customFormat="1">
      <c r="A777" s="690"/>
      <c r="B777" s="698">
        <v>6</v>
      </c>
      <c r="C777" s="798" t="s">
        <v>41</v>
      </c>
      <c r="D777" s="838" t="s">
        <v>1827</v>
      </c>
      <c r="E777" s="782">
        <f>'SSR-rates'!$L$80</f>
        <v>2771</v>
      </c>
      <c r="F777" s="698" t="s">
        <v>41</v>
      </c>
      <c r="G777" s="700">
        <f t="shared" si="9"/>
        <v>16626</v>
      </c>
    </row>
    <row r="778" spans="1:7" s="679" customFormat="1">
      <c r="A778" s="690"/>
      <c r="B778" s="698">
        <v>6</v>
      </c>
      <c r="C778" s="798" t="s">
        <v>41</v>
      </c>
      <c r="D778" s="697" t="s">
        <v>1893</v>
      </c>
      <c r="E778" s="698">
        <f>'SSR-rates'!$L$85</f>
        <v>2279</v>
      </c>
      <c r="F778" s="698" t="s">
        <v>41</v>
      </c>
      <c r="G778" s="700">
        <f t="shared" si="9"/>
        <v>13674</v>
      </c>
    </row>
    <row r="779" spans="1:7" s="679" customFormat="1">
      <c r="A779" s="690"/>
      <c r="B779" s="698">
        <v>6</v>
      </c>
      <c r="C779" s="798" t="s">
        <v>41</v>
      </c>
      <c r="D779" s="697" t="s">
        <v>1824</v>
      </c>
      <c r="E779" s="698">
        <f>'SSR-rates'!$L$65</f>
        <v>2028</v>
      </c>
      <c r="F779" s="698" t="s">
        <v>41</v>
      </c>
      <c r="G779" s="700">
        <f t="shared" si="9"/>
        <v>12168</v>
      </c>
    </row>
    <row r="780" spans="1:7" s="679" customFormat="1" ht="30">
      <c r="A780" s="690"/>
      <c r="B780" s="698">
        <v>3.9</v>
      </c>
      <c r="C780" s="798" t="s">
        <v>41</v>
      </c>
      <c r="D780" s="693" t="s">
        <v>1266</v>
      </c>
      <c r="E780" s="704">
        <f>'SSR-rates'!$L$68</f>
        <v>1749.6</v>
      </c>
      <c r="F780" s="704" t="s">
        <v>41</v>
      </c>
      <c r="G780" s="707">
        <f t="shared" si="9"/>
        <v>6823.44</v>
      </c>
    </row>
    <row r="781" spans="1:7" s="679" customFormat="1" ht="30">
      <c r="A781" s="690"/>
      <c r="B781" s="698">
        <v>3.9</v>
      </c>
      <c r="C781" s="798" t="s">
        <v>41</v>
      </c>
      <c r="D781" s="693" t="s">
        <v>1894</v>
      </c>
      <c r="E781" s="704">
        <f>'SSR-rates'!$L$67</f>
        <v>3517.9</v>
      </c>
      <c r="F781" s="704" t="s">
        <v>41</v>
      </c>
      <c r="G781" s="707">
        <f t="shared" si="9"/>
        <v>13719.81</v>
      </c>
    </row>
    <row r="782" spans="1:7" s="679" customFormat="1" ht="30">
      <c r="A782" s="690"/>
      <c r="B782" s="698">
        <v>3.9</v>
      </c>
      <c r="C782" s="798" t="s">
        <v>41</v>
      </c>
      <c r="D782" s="693" t="s">
        <v>1895</v>
      </c>
      <c r="E782" s="704">
        <f>'SSR-rates'!$L$82</f>
        <v>2028</v>
      </c>
      <c r="F782" s="704" t="s">
        <v>41</v>
      </c>
      <c r="G782" s="707">
        <f t="shared" si="9"/>
        <v>7909.2</v>
      </c>
    </row>
    <row r="783" spans="1:7" s="679" customFormat="1">
      <c r="A783" s="690"/>
      <c r="B783" s="698"/>
      <c r="C783" s="798"/>
      <c r="D783" s="697" t="s">
        <v>60</v>
      </c>
      <c r="E783" s="698"/>
      <c r="F783" s="699"/>
      <c r="G783" s="713">
        <f>SUM(G776:G782)</f>
        <v>270984.45</v>
      </c>
    </row>
    <row r="784" spans="1:7" s="679" customFormat="1">
      <c r="A784" s="690"/>
      <c r="B784" s="699"/>
      <c r="C784" s="690" t="s">
        <v>27</v>
      </c>
      <c r="D784" s="694" t="s">
        <v>61</v>
      </c>
      <c r="E784" s="698"/>
      <c r="F784" s="699"/>
      <c r="G784" s="703"/>
    </row>
    <row r="785" spans="1:9" s="679" customFormat="1">
      <c r="A785" s="690"/>
      <c r="B785" s="698">
        <v>24.3</v>
      </c>
      <c r="C785" s="698" t="s">
        <v>66</v>
      </c>
      <c r="D785" s="706" t="s">
        <v>1923</v>
      </c>
      <c r="E785" s="782">
        <f>BT_Rate_60_70</f>
        <v>43863.860229723185</v>
      </c>
      <c r="F785" s="699" t="s">
        <v>66</v>
      </c>
      <c r="G785" s="707">
        <f>ROUND(B785*E785,2)</f>
        <v>1065891.8</v>
      </c>
    </row>
    <row r="786" spans="1:9" s="679" customFormat="1">
      <c r="A786" s="690"/>
      <c r="B786" s="698"/>
      <c r="C786" s="798"/>
      <c r="D786" s="693" t="s">
        <v>1270</v>
      </c>
      <c r="E786" s="698"/>
      <c r="F786" s="699"/>
      <c r="G786" s="703"/>
    </row>
    <row r="787" spans="1:9" s="679" customFormat="1">
      <c r="A787" s="690"/>
      <c r="B787" s="698"/>
      <c r="C787" s="798"/>
      <c r="D787" s="693" t="s">
        <v>1271</v>
      </c>
      <c r="E787" s="698"/>
      <c r="F787" s="699"/>
      <c r="G787" s="703"/>
    </row>
    <row r="788" spans="1:9" s="679" customFormat="1" ht="30">
      <c r="A788" s="690"/>
      <c r="B788" s="698"/>
      <c r="C788" s="798"/>
      <c r="D788" s="693" t="s">
        <v>1272</v>
      </c>
      <c r="E788" s="698"/>
      <c r="F788" s="699"/>
      <c r="G788" s="703"/>
    </row>
    <row r="789" spans="1:9" s="679" customFormat="1">
      <c r="A789" s="690"/>
      <c r="B789" s="698"/>
      <c r="C789" s="798"/>
      <c r="D789" s="693" t="s">
        <v>1273</v>
      </c>
      <c r="E789" s="698"/>
      <c r="F789" s="699"/>
      <c r="G789" s="703"/>
    </row>
    <row r="790" spans="1:9" s="679" customFormat="1">
      <c r="A790" s="690"/>
      <c r="B790" s="698"/>
      <c r="C790" s="798"/>
      <c r="D790" s="693" t="s">
        <v>1274</v>
      </c>
      <c r="E790" s="698"/>
      <c r="F790" s="699"/>
      <c r="G790" s="703"/>
    </row>
    <row r="791" spans="1:9" s="679" customFormat="1">
      <c r="A791" s="690"/>
      <c r="B791" s="698"/>
      <c r="C791" s="798"/>
      <c r="D791" s="841" t="s">
        <v>1275</v>
      </c>
      <c r="E791" s="698"/>
      <c r="F791" s="699"/>
      <c r="G791" s="703"/>
    </row>
    <row r="792" spans="1:9" s="679" customFormat="1" ht="30">
      <c r="A792" s="690"/>
      <c r="B792" s="698"/>
      <c r="C792" s="798"/>
      <c r="D792" s="693" t="s">
        <v>1276</v>
      </c>
      <c r="E792" s="698"/>
      <c r="F792" s="699"/>
      <c r="G792" s="703"/>
    </row>
    <row r="793" spans="1:9" s="679" customFormat="1" ht="30">
      <c r="A793" s="690"/>
      <c r="B793" s="758">
        <v>85.14</v>
      </c>
      <c r="C793" s="798" t="s">
        <v>31</v>
      </c>
      <c r="D793" s="839" t="s">
        <v>1924</v>
      </c>
      <c r="E793" s="704">
        <f>(lead!$J$8+lead!$J$9)/2</f>
        <v>1804.5179333714741</v>
      </c>
      <c r="F793" s="699" t="s">
        <v>31</v>
      </c>
      <c r="G793" s="700">
        <f>ROUND(B793*E793,2)</f>
        <v>153636.66</v>
      </c>
    </row>
    <row r="794" spans="1:9" s="679" customFormat="1">
      <c r="A794" s="690"/>
      <c r="B794" s="758"/>
      <c r="C794" s="798"/>
      <c r="D794" s="693" t="s">
        <v>1278</v>
      </c>
      <c r="E794" s="698"/>
      <c r="F794" s="699"/>
      <c r="G794" s="703"/>
    </row>
    <row r="795" spans="1:9" s="679" customFormat="1" ht="30">
      <c r="A795" s="690"/>
      <c r="B795" s="842">
        <v>70.95</v>
      </c>
      <c r="C795" s="798" t="s">
        <v>31</v>
      </c>
      <c r="D795" s="839" t="s">
        <v>1925</v>
      </c>
      <c r="E795" s="704">
        <f>(lead!$J$9+lead!$J$10)/2</f>
        <v>1726.0179333714741</v>
      </c>
      <c r="F795" s="699" t="s">
        <v>31</v>
      </c>
      <c r="G795" s="700">
        <f>ROUND(B795*E795,2)</f>
        <v>122460.97</v>
      </c>
    </row>
    <row r="796" spans="1:9" s="679" customFormat="1" ht="30">
      <c r="A796" s="690"/>
      <c r="B796" s="758"/>
      <c r="C796" s="798"/>
      <c r="D796" s="693" t="s">
        <v>1280</v>
      </c>
      <c r="E796" s="704"/>
      <c r="F796" s="699"/>
      <c r="G796" s="700"/>
      <c r="I796" s="811"/>
    </row>
    <row r="797" spans="1:9" s="679" customFormat="1" ht="30">
      <c r="A797" s="690"/>
      <c r="B797" s="758">
        <v>122.03</v>
      </c>
      <c r="C797" s="798" t="s">
        <v>31</v>
      </c>
      <c r="D797" s="839" t="s">
        <v>1903</v>
      </c>
      <c r="E797" s="704">
        <f>(lead!$J$11+lead!$J$12)/2</f>
        <v>1669.6429333714741</v>
      </c>
      <c r="F797" s="699" t="s">
        <v>31</v>
      </c>
      <c r="G797" s="700">
        <f>ROUND(B797*E797,2)</f>
        <v>203746.53</v>
      </c>
      <c r="I797" s="811"/>
    </row>
    <row r="798" spans="1:9" s="679" customFormat="1">
      <c r="A798" s="690"/>
      <c r="B798" s="842">
        <v>5.6760000000000002</v>
      </c>
      <c r="C798" s="798" t="s">
        <v>31</v>
      </c>
      <c r="D798" s="693" t="s">
        <v>2772</v>
      </c>
      <c r="E798" s="704">
        <f>lead!$J$27</f>
        <v>1506.5179333714741</v>
      </c>
      <c r="F798" s="699" t="s">
        <v>31</v>
      </c>
      <c r="G798" s="700">
        <f>ROUND(B798*E798,2)</f>
        <v>8551</v>
      </c>
    </row>
    <row r="799" spans="1:9" s="679" customFormat="1">
      <c r="A799" s="690"/>
      <c r="B799" s="698"/>
      <c r="C799" s="798"/>
      <c r="D799" s="697" t="s">
        <v>60</v>
      </c>
      <c r="E799" s="698"/>
      <c r="F799" s="699"/>
      <c r="G799" s="713">
        <f>SUM(G785:G798)</f>
        <v>1554286.96</v>
      </c>
    </row>
    <row r="800" spans="1:9" s="679" customFormat="1">
      <c r="A800" s="690"/>
      <c r="B800" s="686" t="s">
        <v>45</v>
      </c>
      <c r="C800" s="694" t="s">
        <v>1283</v>
      </c>
      <c r="D800" s="697"/>
      <c r="E800" s="698"/>
      <c r="F800" s="699"/>
      <c r="G800" s="713"/>
    </row>
    <row r="801" spans="1:8" s="679" customFormat="1">
      <c r="A801" s="690"/>
      <c r="B801" s="732">
        <f>'Input Data'!$D$24</f>
        <v>0.13614999999999999</v>
      </c>
      <c r="C801" s="802"/>
      <c r="D801" s="803" t="str">
        <f>"Over head charges "&amp;'Input Data'!$D$24*100&amp;"%  on (A) + (B)+(C)"</f>
        <v>Over head charges 13.615%  on (A) + (B)+(C)</v>
      </c>
      <c r="E801" s="698">
        <f>+G799+G783+G774</f>
        <v>1837829.41</v>
      </c>
      <c r="F801" s="699"/>
      <c r="G801" s="700">
        <f>E801*B801</f>
        <v>250220.47417149998</v>
      </c>
    </row>
    <row r="802" spans="1:8">
      <c r="A802" s="690"/>
      <c r="B802" s="744">
        <f>'Input Data'!$E$24</f>
        <v>0</v>
      </c>
      <c r="C802" s="710" t="s">
        <v>1314</v>
      </c>
      <c r="D802" s="702"/>
      <c r="E802" s="712">
        <f>E801+G801</f>
        <v>2088049.8841714999</v>
      </c>
      <c r="F802" s="702"/>
      <c r="G802" s="700">
        <f>E802*B802</f>
        <v>0</v>
      </c>
    </row>
    <row r="803" spans="1:8" s="679" customFormat="1">
      <c r="A803" s="690"/>
      <c r="B803" s="686" t="s">
        <v>47</v>
      </c>
      <c r="C803" s="694" t="s">
        <v>89</v>
      </c>
      <c r="D803" s="697"/>
      <c r="E803" s="698"/>
      <c r="F803" s="699"/>
      <c r="G803" s="713">
        <f>G774+G783+G799+G801+G802</f>
        <v>2088049.8841714999</v>
      </c>
    </row>
    <row r="804" spans="1:8" s="679" customFormat="1">
      <c r="A804" s="690"/>
      <c r="B804" s="698"/>
      <c r="C804" s="798"/>
      <c r="D804" s="697" t="s">
        <v>1926</v>
      </c>
      <c r="E804" s="698"/>
      <c r="F804" s="698"/>
      <c r="G804" s="804">
        <f>SUM(G803:G803)</f>
        <v>2088049.8841714999</v>
      </c>
    </row>
    <row r="805" spans="1:8" s="679" customFormat="1">
      <c r="A805" s="690"/>
      <c r="B805" s="698"/>
      <c r="C805" s="798"/>
      <c r="D805" s="697" t="s">
        <v>1286</v>
      </c>
      <c r="E805" s="698"/>
      <c r="F805" s="698"/>
      <c r="G805" s="700">
        <f>ROUND(G804/191,2)</f>
        <v>10932.2</v>
      </c>
    </row>
    <row r="806" spans="1:8" s="679" customFormat="1">
      <c r="A806" s="690"/>
      <c r="B806" s="698"/>
      <c r="C806" s="805"/>
      <c r="D806" s="697" t="s">
        <v>52</v>
      </c>
      <c r="E806" s="698"/>
      <c r="F806" s="698"/>
      <c r="G806" s="741">
        <f>ROUND(G805,2)</f>
        <v>10932.2</v>
      </c>
    </row>
    <row r="807" spans="1:8">
      <c r="A807" s="690"/>
      <c r="B807" s="698"/>
      <c r="C807" s="805"/>
      <c r="D807" s="697"/>
      <c r="E807" s="698"/>
      <c r="F807" s="698"/>
      <c r="G807" s="741" t="s">
        <v>53</v>
      </c>
    </row>
    <row r="808" spans="1:8" ht="96" customHeight="1">
      <c r="A808" s="690">
        <v>19</v>
      </c>
      <c r="B808" s="3686" t="s">
        <v>2761</v>
      </c>
      <c r="C808" s="3772"/>
      <c r="D808" s="3772"/>
      <c r="E808" s="3772"/>
      <c r="F808" s="3772"/>
      <c r="G808" s="3772"/>
    </row>
    <row r="809" spans="1:8">
      <c r="A809" s="690"/>
      <c r="B809" s="698"/>
      <c r="C809" s="805"/>
      <c r="D809" s="805" t="s">
        <v>10</v>
      </c>
      <c r="E809" s="698"/>
      <c r="F809" s="698"/>
      <c r="G809" s="741"/>
    </row>
    <row r="810" spans="1:8">
      <c r="A810" s="690"/>
      <c r="B810" s="698"/>
      <c r="C810" s="805"/>
      <c r="D810" s="805" t="s">
        <v>1927</v>
      </c>
      <c r="E810" s="698"/>
      <c r="F810" s="698"/>
      <c r="G810" s="741"/>
    </row>
    <row r="811" spans="1:8">
      <c r="A811" s="690"/>
      <c r="B811" s="698"/>
      <c r="C811" s="805"/>
      <c r="D811" s="805" t="s">
        <v>1928</v>
      </c>
      <c r="E811" s="698"/>
      <c r="F811" s="698"/>
      <c r="G811" s="741"/>
      <c r="H811" s="684"/>
    </row>
    <row r="812" spans="1:8">
      <c r="A812" s="690"/>
      <c r="B812" s="796">
        <v>0.84</v>
      </c>
      <c r="C812" s="698" t="s">
        <v>38</v>
      </c>
      <c r="D812" s="697" t="s">
        <v>14</v>
      </c>
      <c r="E812" s="698">
        <f>'SSR-rates'!$L$58</f>
        <v>575</v>
      </c>
      <c r="F812" s="698" t="s">
        <v>38</v>
      </c>
      <c r="G812" s="700">
        <f t="shared" ref="G812:G814" si="10">ROUND(B812*E812,2)</f>
        <v>483</v>
      </c>
    </row>
    <row r="813" spans="1:8" ht="60">
      <c r="A813" s="690"/>
      <c r="B813" s="796">
        <v>16</v>
      </c>
      <c r="C813" s="698" t="s">
        <v>38</v>
      </c>
      <c r="D813" s="706" t="s">
        <v>1929</v>
      </c>
      <c r="E813" s="698">
        <f>'SSR-rates'!$L$60</f>
        <v>575</v>
      </c>
      <c r="F813" s="698" t="s">
        <v>38</v>
      </c>
      <c r="G813" s="700">
        <f t="shared" si="10"/>
        <v>9200</v>
      </c>
    </row>
    <row r="814" spans="1:8">
      <c r="A814" s="690"/>
      <c r="B814" s="796">
        <v>5</v>
      </c>
      <c r="C814" s="698" t="s">
        <v>38</v>
      </c>
      <c r="D814" s="697" t="s">
        <v>1792</v>
      </c>
      <c r="E814" s="698">
        <f>'SSR-rates'!$L$59</f>
        <v>575</v>
      </c>
      <c r="F814" s="698" t="s">
        <v>38</v>
      </c>
      <c r="G814" s="700">
        <f t="shared" si="10"/>
        <v>2875</v>
      </c>
    </row>
    <row r="815" spans="1:8">
      <c r="A815" s="690"/>
      <c r="B815" s="701">
        <f>'Input Data'!$D$23</f>
        <v>0</v>
      </c>
      <c r="C815" s="696"/>
      <c r="D815" s="702" t="s">
        <v>17</v>
      </c>
      <c r="E815" s="698">
        <f>SUM(G812:G814)</f>
        <v>12558</v>
      </c>
      <c r="F815" s="699"/>
      <c r="G815" s="700">
        <f>B815*E815</f>
        <v>0</v>
      </c>
    </row>
    <row r="816" spans="1:8">
      <c r="A816" s="690"/>
      <c r="B816" s="796"/>
      <c r="C816" s="698"/>
      <c r="D816" s="697" t="s">
        <v>60</v>
      </c>
      <c r="E816" s="698"/>
      <c r="F816" s="698"/>
      <c r="G816" s="713">
        <f>SUM(G812:G815)</f>
        <v>12558</v>
      </c>
    </row>
    <row r="817" spans="1:7">
      <c r="A817" s="690"/>
      <c r="B817" s="796"/>
      <c r="C817" s="698"/>
      <c r="D817" s="694" t="s">
        <v>1930</v>
      </c>
      <c r="E817" s="698"/>
      <c r="F817" s="698"/>
      <c r="G817" s="741"/>
    </row>
    <row r="818" spans="1:7">
      <c r="A818" s="690"/>
      <c r="B818" s="796">
        <v>6</v>
      </c>
      <c r="C818" s="698" t="s">
        <v>23</v>
      </c>
      <c r="D818" s="706" t="s">
        <v>1931</v>
      </c>
      <c r="E818" s="799">
        <f>'SSR-rates'!$Q$78</f>
        <v>33344</v>
      </c>
      <c r="F818" s="698" t="s">
        <v>23</v>
      </c>
      <c r="G818" s="700">
        <f t="shared" ref="G818:G824" si="11">ROUND(B818*E818,2)</f>
        <v>200064</v>
      </c>
    </row>
    <row r="819" spans="1:7">
      <c r="A819" s="690"/>
      <c r="B819" s="796">
        <v>6</v>
      </c>
      <c r="C819" s="698" t="s">
        <v>23</v>
      </c>
      <c r="D819" s="843" t="s">
        <v>1827</v>
      </c>
      <c r="E819" s="782">
        <f>'SSR-rates'!$L$80</f>
        <v>2771</v>
      </c>
      <c r="F819" s="698" t="s">
        <v>23</v>
      </c>
      <c r="G819" s="700">
        <f t="shared" si="11"/>
        <v>16626</v>
      </c>
    </row>
    <row r="820" spans="1:7">
      <c r="A820" s="690"/>
      <c r="B820" s="796">
        <v>6</v>
      </c>
      <c r="C820" s="698" t="s">
        <v>23</v>
      </c>
      <c r="D820" s="706" t="s">
        <v>1893</v>
      </c>
      <c r="E820" s="698">
        <f>'SSR-rates'!$L$85</f>
        <v>2279</v>
      </c>
      <c r="F820" s="698" t="s">
        <v>23</v>
      </c>
      <c r="G820" s="700">
        <f t="shared" si="11"/>
        <v>13674</v>
      </c>
    </row>
    <row r="821" spans="1:7">
      <c r="A821" s="690"/>
      <c r="B821" s="796">
        <v>6</v>
      </c>
      <c r="C821" s="698" t="s">
        <v>23</v>
      </c>
      <c r="D821" s="706" t="s">
        <v>1824</v>
      </c>
      <c r="E821" s="698">
        <f>'SSR-rates'!$L$65</f>
        <v>2028</v>
      </c>
      <c r="F821" s="698" t="s">
        <v>23</v>
      </c>
      <c r="G821" s="700">
        <f t="shared" si="11"/>
        <v>12168</v>
      </c>
    </row>
    <row r="822" spans="1:7" ht="30">
      <c r="A822" s="690"/>
      <c r="B822" s="698">
        <v>3.9</v>
      </c>
      <c r="C822" s="698" t="s">
        <v>23</v>
      </c>
      <c r="D822" s="706" t="s">
        <v>1932</v>
      </c>
      <c r="E822" s="704">
        <f>'SSR-rates'!$L$68</f>
        <v>1749.6</v>
      </c>
      <c r="F822" s="698" t="s">
        <v>23</v>
      </c>
      <c r="G822" s="700">
        <f t="shared" si="11"/>
        <v>6823.44</v>
      </c>
    </row>
    <row r="823" spans="1:7" ht="30">
      <c r="A823" s="690"/>
      <c r="B823" s="698">
        <v>3.9</v>
      </c>
      <c r="C823" s="698" t="s">
        <v>23</v>
      </c>
      <c r="D823" s="706" t="s">
        <v>1933</v>
      </c>
      <c r="E823" s="704">
        <f>'SSR-rates'!$L$67</f>
        <v>3517.9</v>
      </c>
      <c r="F823" s="698" t="s">
        <v>23</v>
      </c>
      <c r="G823" s="700">
        <f t="shared" si="11"/>
        <v>13719.81</v>
      </c>
    </row>
    <row r="824" spans="1:7" ht="30">
      <c r="A824" s="690"/>
      <c r="B824" s="698">
        <v>3.9</v>
      </c>
      <c r="C824" s="698" t="s">
        <v>23</v>
      </c>
      <c r="D824" s="706" t="s">
        <v>1934</v>
      </c>
      <c r="E824" s="704">
        <f>'SSR-rates'!$L$82</f>
        <v>2028</v>
      </c>
      <c r="F824" s="698" t="s">
        <v>23</v>
      </c>
      <c r="G824" s="700">
        <f t="shared" si="11"/>
        <v>7909.2</v>
      </c>
    </row>
    <row r="825" spans="1:7">
      <c r="A825" s="690"/>
      <c r="B825" s="698"/>
      <c r="C825" s="698"/>
      <c r="D825" s="697" t="s">
        <v>60</v>
      </c>
      <c r="E825" s="698"/>
      <c r="F825" s="699"/>
      <c r="G825" s="713">
        <f>SUM(G818:G824)</f>
        <v>270984.45</v>
      </c>
    </row>
    <row r="826" spans="1:7">
      <c r="A826" s="690"/>
      <c r="B826" s="796"/>
      <c r="C826" s="698"/>
      <c r="D826" s="737" t="s">
        <v>1935</v>
      </c>
      <c r="E826" s="698"/>
      <c r="F826" s="698"/>
      <c r="G826" s="741"/>
    </row>
    <row r="827" spans="1:7">
      <c r="A827" s="690"/>
      <c r="B827" s="796"/>
      <c r="C827" s="698"/>
      <c r="D827" s="706" t="s">
        <v>1936</v>
      </c>
      <c r="E827" s="698"/>
      <c r="F827" s="698"/>
      <c r="G827" s="741"/>
    </row>
    <row r="828" spans="1:7" ht="30">
      <c r="A828" s="690"/>
      <c r="B828" s="796">
        <v>22.5</v>
      </c>
      <c r="C828" s="698" t="s">
        <v>66</v>
      </c>
      <c r="D828" s="706" t="s">
        <v>1937</v>
      </c>
      <c r="E828" s="782">
        <f>BT_Rate_60_70</f>
        <v>43863.860229723185</v>
      </c>
      <c r="F828" s="699" t="s">
        <v>66</v>
      </c>
      <c r="G828" s="707">
        <f>ROUND(B828*E828,2)</f>
        <v>986936.86</v>
      </c>
    </row>
    <row r="829" spans="1:7">
      <c r="A829" s="690"/>
      <c r="B829" s="796"/>
      <c r="C829" s="698"/>
      <c r="D829" s="706" t="s">
        <v>1938</v>
      </c>
      <c r="E829" s="698"/>
      <c r="F829" s="698"/>
      <c r="G829" s="741"/>
    </row>
    <row r="830" spans="1:7">
      <c r="A830" s="690"/>
      <c r="B830" s="796"/>
      <c r="C830" s="698"/>
      <c r="D830" s="706" t="s">
        <v>1939</v>
      </c>
      <c r="E830" s="698"/>
      <c r="F830" s="698"/>
      <c r="G830" s="741"/>
    </row>
    <row r="831" spans="1:7">
      <c r="A831" s="690"/>
      <c r="B831" s="796"/>
      <c r="C831" s="698"/>
      <c r="D831" s="706" t="s">
        <v>1270</v>
      </c>
      <c r="E831" s="698"/>
      <c r="F831" s="698"/>
      <c r="G831" s="741"/>
    </row>
    <row r="832" spans="1:7">
      <c r="A832" s="690"/>
      <c r="B832" s="796"/>
      <c r="C832" s="698"/>
      <c r="D832" s="706" t="s">
        <v>1940</v>
      </c>
      <c r="E832" s="698"/>
      <c r="F832" s="698"/>
      <c r="G832" s="741"/>
    </row>
    <row r="833" spans="1:8" ht="30">
      <c r="A833" s="690"/>
      <c r="B833" s="796"/>
      <c r="C833" s="698"/>
      <c r="D833" s="706" t="s">
        <v>1941</v>
      </c>
      <c r="E833" s="698"/>
      <c r="F833" s="698"/>
      <c r="G833" s="741"/>
    </row>
    <row r="834" spans="1:8">
      <c r="A834" s="690"/>
      <c r="B834" s="796"/>
      <c r="C834" s="698"/>
      <c r="D834" s="706" t="s">
        <v>1942</v>
      </c>
      <c r="E834" s="698"/>
      <c r="F834" s="698"/>
      <c r="G834" s="741"/>
    </row>
    <row r="835" spans="1:8">
      <c r="A835" s="690"/>
      <c r="B835" s="796"/>
      <c r="C835" s="698"/>
      <c r="D835" s="706" t="s">
        <v>1943</v>
      </c>
      <c r="E835" s="698"/>
      <c r="F835" s="698"/>
      <c r="G835" s="741"/>
    </row>
    <row r="836" spans="1:8">
      <c r="A836" s="690"/>
      <c r="B836" s="796">
        <v>162.44999999999999</v>
      </c>
      <c r="C836" s="698" t="s">
        <v>31</v>
      </c>
      <c r="D836" s="706" t="s">
        <v>1944</v>
      </c>
      <c r="E836" s="698">
        <f>+(lead!J9+lead!J10)/2</f>
        <v>1726.0179333714741</v>
      </c>
      <c r="F836" s="698" t="s">
        <v>31</v>
      </c>
      <c r="G836" s="700">
        <f t="shared" ref="G836:G838" si="12">ROUND(B836*E836,2)</f>
        <v>280391.61</v>
      </c>
    </row>
    <row r="837" spans="1:8">
      <c r="A837" s="690"/>
      <c r="B837" s="796">
        <v>116.85</v>
      </c>
      <c r="C837" s="698" t="s">
        <v>31</v>
      </c>
      <c r="D837" s="706" t="s">
        <v>1945</v>
      </c>
      <c r="E837" s="698">
        <f>(lead!J11+lead!J12)/2</f>
        <v>1669.6429333714741</v>
      </c>
      <c r="F837" s="698" t="s">
        <v>31</v>
      </c>
      <c r="G837" s="700">
        <f t="shared" si="12"/>
        <v>195097.78</v>
      </c>
    </row>
    <row r="838" spans="1:8">
      <c r="A838" s="690"/>
      <c r="B838" s="844">
        <v>5.7</v>
      </c>
      <c r="C838" s="698" t="s">
        <v>31</v>
      </c>
      <c r="D838" s="706" t="s">
        <v>1946</v>
      </c>
      <c r="E838" s="698">
        <f>lead!J12</f>
        <v>1658.7679333714741</v>
      </c>
      <c r="F838" s="698" t="s">
        <v>31</v>
      </c>
      <c r="G838" s="700">
        <f t="shared" si="12"/>
        <v>9454.98</v>
      </c>
    </row>
    <row r="839" spans="1:8">
      <c r="A839" s="690"/>
      <c r="B839" s="698"/>
      <c r="C839" s="805"/>
      <c r="D839" s="697" t="s">
        <v>60</v>
      </c>
      <c r="E839" s="698"/>
      <c r="F839" s="699"/>
      <c r="G839" s="713">
        <f>SUM(G828:G838)</f>
        <v>1471881.23</v>
      </c>
    </row>
    <row r="840" spans="1:8">
      <c r="A840" s="690"/>
      <c r="B840" s="686" t="s">
        <v>45</v>
      </c>
      <c r="C840" s="694" t="s">
        <v>1283</v>
      </c>
      <c r="D840" s="697"/>
      <c r="E840" s="698"/>
      <c r="F840" s="699"/>
      <c r="G840" s="700"/>
    </row>
    <row r="841" spans="1:8">
      <c r="A841" s="690"/>
      <c r="B841" s="732">
        <f>'Input Data'!$D$24</f>
        <v>0.13614999999999999</v>
      </c>
      <c r="C841" s="802"/>
      <c r="D841" s="803" t="str">
        <f>"Over head charges "&amp;'Input Data'!$D$24*100&amp;"%  on (A) + (B)+(C)"</f>
        <v>Over head charges 13.615%  on (A) + (B)+(C)</v>
      </c>
      <c r="E841" s="698">
        <f>+G839+G825+G816</f>
        <v>1755423.68</v>
      </c>
      <c r="F841" s="699"/>
      <c r="G841" s="700">
        <f>E841*B841</f>
        <v>239000.93403199999</v>
      </c>
    </row>
    <row r="842" spans="1:8">
      <c r="A842" s="690"/>
      <c r="B842" s="686" t="s">
        <v>47</v>
      </c>
      <c r="C842" s="694" t="s">
        <v>89</v>
      </c>
      <c r="D842" s="697"/>
      <c r="E842" s="698"/>
      <c r="F842" s="699"/>
      <c r="G842" s="713">
        <f>G816+G825+G839+G841</f>
        <v>1994424.6140319998</v>
      </c>
      <c r="H842" s="684"/>
    </row>
    <row r="843" spans="1:8">
      <c r="A843" s="690"/>
      <c r="B843" s="698"/>
      <c r="C843" s="798"/>
      <c r="D843" s="697" t="s">
        <v>1904</v>
      </c>
      <c r="E843" s="698"/>
      <c r="F843" s="698"/>
      <c r="G843" s="804">
        <f>SUM(G842:G842)</f>
        <v>1994424.6140319998</v>
      </c>
    </row>
    <row r="844" spans="1:8">
      <c r="A844" s="690"/>
      <c r="B844" s="698"/>
      <c r="C844" s="798"/>
      <c r="D844" s="697" t="s">
        <v>1286</v>
      </c>
      <c r="E844" s="698"/>
      <c r="F844" s="698"/>
      <c r="G844" s="700">
        <f>ROUND(G843/195,2)</f>
        <v>10227.82</v>
      </c>
    </row>
    <row r="845" spans="1:8">
      <c r="A845" s="690"/>
      <c r="B845" s="698"/>
      <c r="C845" s="805"/>
      <c r="D845" s="697" t="s">
        <v>52</v>
      </c>
      <c r="E845" s="698"/>
      <c r="F845" s="698"/>
      <c r="G845" s="741">
        <f>ROUND(G844,2)</f>
        <v>10227.82</v>
      </c>
    </row>
    <row r="846" spans="1:8">
      <c r="A846" s="690"/>
      <c r="B846" s="698"/>
      <c r="C846" s="805"/>
      <c r="D846" s="697"/>
      <c r="E846" s="698"/>
      <c r="F846" s="698"/>
      <c r="G846" s="741" t="s">
        <v>53</v>
      </c>
    </row>
    <row r="847" spans="1:8" ht="119.1" customHeight="1">
      <c r="A847" s="690">
        <v>23</v>
      </c>
      <c r="B847" s="3686" t="s">
        <v>1947</v>
      </c>
      <c r="C847" s="3686"/>
      <c r="D847" s="3686"/>
      <c r="E847" s="3686"/>
      <c r="F847" s="3686"/>
      <c r="G847" s="3686"/>
    </row>
    <row r="848" spans="1:8">
      <c r="A848" s="690"/>
      <c r="B848" s="699"/>
      <c r="C848" s="702"/>
      <c r="D848" s="711" t="s">
        <v>10</v>
      </c>
      <c r="E848" s="711"/>
      <c r="F848" s="702"/>
      <c r="G848" s="702"/>
    </row>
    <row r="849" spans="1:7">
      <c r="A849" s="690"/>
      <c r="B849" s="699"/>
      <c r="C849" s="702"/>
      <c r="D849" s="694" t="s">
        <v>55</v>
      </c>
      <c r="E849" s="711"/>
      <c r="F849" s="702"/>
      <c r="G849" s="702"/>
    </row>
    <row r="850" spans="1:7">
      <c r="A850" s="690"/>
      <c r="B850" s="699"/>
      <c r="C850" s="702"/>
      <c r="D850" s="711" t="s">
        <v>56</v>
      </c>
      <c r="E850" s="711"/>
      <c r="F850" s="702"/>
      <c r="G850" s="702"/>
    </row>
    <row r="851" spans="1:7">
      <c r="A851" s="690"/>
      <c r="B851" s="686" t="s">
        <v>36</v>
      </c>
      <c r="C851" s="845" t="s">
        <v>37</v>
      </c>
      <c r="D851" s="702"/>
      <c r="E851" s="711"/>
      <c r="F851" s="702"/>
      <c r="G851" s="703"/>
    </row>
    <row r="852" spans="1:7">
      <c r="A852" s="690"/>
      <c r="B852" s="698">
        <v>0.86</v>
      </c>
      <c r="C852" s="697" t="s">
        <v>57</v>
      </c>
      <c r="D852" s="711" t="s">
        <v>14</v>
      </c>
      <c r="E852" s="698">
        <f>'SSR-rates'!$L$58</f>
        <v>575</v>
      </c>
      <c r="F852" s="699" t="s">
        <v>38</v>
      </c>
      <c r="G852" s="700">
        <f>ROUND(B852*E852,2)</f>
        <v>494.5</v>
      </c>
    </row>
    <row r="853" spans="1:7">
      <c r="A853" s="690"/>
      <c r="B853" s="698">
        <v>1.5</v>
      </c>
      <c r="C853" s="697" t="s">
        <v>57</v>
      </c>
      <c r="D853" s="711" t="s">
        <v>58</v>
      </c>
      <c r="E853" s="698">
        <f>+'SSR-rates'!$L$96</f>
        <v>645</v>
      </c>
      <c r="F853" s="699" t="s">
        <v>38</v>
      </c>
      <c r="G853" s="700">
        <f>ROUND(B853*E853,2)</f>
        <v>967.5</v>
      </c>
    </row>
    <row r="854" spans="1:7">
      <c r="A854" s="690"/>
      <c r="B854" s="698">
        <v>20</v>
      </c>
      <c r="C854" s="697" t="s">
        <v>57</v>
      </c>
      <c r="D854" s="711" t="s">
        <v>59</v>
      </c>
      <c r="E854" s="698">
        <f>'SSR-rates'!$L$60</f>
        <v>575</v>
      </c>
      <c r="F854" s="699" t="s">
        <v>38</v>
      </c>
      <c r="G854" s="700">
        <f>ROUND(B854*E854,2)</f>
        <v>11500</v>
      </c>
    </row>
    <row r="855" spans="1:7">
      <c r="A855" s="690"/>
      <c r="B855" s="701">
        <f>+'Input Data'!D23</f>
        <v>0</v>
      </c>
      <c r="C855" s="696"/>
      <c r="D855" s="702" t="s">
        <v>17</v>
      </c>
      <c r="E855" s="698">
        <f>SUM(G852:G854)</f>
        <v>12962</v>
      </c>
      <c r="F855" s="699"/>
      <c r="G855" s="700">
        <f>B855*E855</f>
        <v>0</v>
      </c>
    </row>
    <row r="856" spans="1:7">
      <c r="A856" s="690"/>
      <c r="B856" s="698"/>
      <c r="C856" s="702"/>
      <c r="D856" s="711" t="s">
        <v>60</v>
      </c>
      <c r="E856" s="698"/>
      <c r="F856" s="698"/>
      <c r="G856" s="700">
        <f>SUM(G852:G855)</f>
        <v>12962</v>
      </c>
    </row>
    <row r="857" spans="1:7">
      <c r="A857" s="690"/>
      <c r="B857" s="686" t="s">
        <v>39</v>
      </c>
      <c r="C857" s="845" t="s">
        <v>61</v>
      </c>
      <c r="D857" s="702"/>
      <c r="E857" s="698"/>
      <c r="F857" s="698"/>
      <c r="G857" s="700"/>
    </row>
    <row r="858" spans="1:7">
      <c r="A858" s="690"/>
      <c r="B858" s="698">
        <v>5.4</v>
      </c>
      <c r="C858" s="697" t="s">
        <v>31</v>
      </c>
      <c r="D858" s="711" t="s">
        <v>62</v>
      </c>
      <c r="E858" s="698">
        <f>lead!J14</f>
        <v>1706.5179333714741</v>
      </c>
      <c r="F858" s="698" t="s">
        <v>31</v>
      </c>
      <c r="G858" s="700">
        <f t="shared" ref="G858:G863" si="13">ROUND(B858*E858,2)</f>
        <v>9215.2000000000007</v>
      </c>
    </row>
    <row r="859" spans="1:7">
      <c r="A859" s="690"/>
      <c r="B859" s="698">
        <v>5.4</v>
      </c>
      <c r="C859" s="697" t="s">
        <v>31</v>
      </c>
      <c r="D859" s="702" t="s">
        <v>63</v>
      </c>
      <c r="E859" s="698">
        <f>lead!J16</f>
        <v>2005.5179333714741</v>
      </c>
      <c r="F859" s="698" t="s">
        <v>31</v>
      </c>
      <c r="G859" s="700">
        <f t="shared" si="13"/>
        <v>10829.8</v>
      </c>
    </row>
    <row r="860" spans="1:7">
      <c r="A860" s="690"/>
      <c r="B860" s="698">
        <v>2.7</v>
      </c>
      <c r="C860" s="697" t="s">
        <v>31</v>
      </c>
      <c r="D860" s="702" t="s">
        <v>64</v>
      </c>
      <c r="E860" s="698">
        <f>lead!J18</f>
        <v>1754.5179333714741</v>
      </c>
      <c r="F860" s="698" t="s">
        <v>31</v>
      </c>
      <c r="G860" s="700">
        <f t="shared" si="13"/>
        <v>4737.2</v>
      </c>
    </row>
    <row r="861" spans="1:7" ht="30">
      <c r="A861" s="690"/>
      <c r="B861" s="698">
        <f>6.75/2</f>
        <v>3.375</v>
      </c>
      <c r="C861" s="697" t="s">
        <v>31</v>
      </c>
      <c r="D861" s="810" t="s">
        <v>1852</v>
      </c>
      <c r="E861" s="704">
        <f>lead!$J$31</f>
        <v>1812.3700655723276</v>
      </c>
      <c r="F861" s="698" t="s">
        <v>31</v>
      </c>
      <c r="G861" s="700">
        <f t="shared" si="13"/>
        <v>6116.75</v>
      </c>
    </row>
    <row r="862" spans="1:7">
      <c r="A862" s="690"/>
      <c r="B862" s="698">
        <f>6.75/2</f>
        <v>3.375</v>
      </c>
      <c r="C862" s="697"/>
      <c r="D862" s="810" t="s">
        <v>1853</v>
      </c>
      <c r="E862" s="704">
        <f>lead!$J$33</f>
        <v>1447.5179333714741</v>
      </c>
      <c r="F862" s="698"/>
      <c r="G862" s="700">
        <f t="shared" si="13"/>
        <v>4885.37</v>
      </c>
    </row>
    <row r="863" spans="1:7">
      <c r="A863" s="690"/>
      <c r="B863" s="698">
        <v>5.16</v>
      </c>
      <c r="C863" s="697" t="s">
        <v>66</v>
      </c>
      <c r="D863" s="711" t="s">
        <v>67</v>
      </c>
      <c r="E863" s="698">
        <f>lead!J36</f>
        <v>5000</v>
      </c>
      <c r="F863" s="698" t="s">
        <v>66</v>
      </c>
      <c r="G863" s="700">
        <f t="shared" si="13"/>
        <v>25800</v>
      </c>
    </row>
    <row r="864" spans="1:7">
      <c r="A864" s="690"/>
      <c r="B864" s="698"/>
      <c r="C864" s="696"/>
      <c r="D864" s="711" t="s">
        <v>60</v>
      </c>
      <c r="E864" s="698"/>
      <c r="F864" s="698"/>
      <c r="G864" s="700">
        <f>SUM(G858:G863)</f>
        <v>61584.32</v>
      </c>
    </row>
    <row r="865" spans="1:7">
      <c r="A865" s="690"/>
      <c r="B865" s="686" t="s">
        <v>1948</v>
      </c>
      <c r="C865" s="845" t="s">
        <v>40</v>
      </c>
      <c r="D865" s="702"/>
      <c r="E865" s="698"/>
      <c r="F865" s="698"/>
      <c r="G865" s="700"/>
    </row>
    <row r="866" spans="1:7">
      <c r="A866" s="690"/>
      <c r="B866" s="698">
        <v>6</v>
      </c>
      <c r="C866" s="697" t="s">
        <v>41</v>
      </c>
      <c r="D866" s="711" t="s">
        <v>68</v>
      </c>
      <c r="E866" s="698">
        <f>'SSR-rates'!L88</f>
        <v>697.9</v>
      </c>
      <c r="F866" s="698" t="s">
        <v>41</v>
      </c>
      <c r="G866" s="700">
        <f>ROUND(B866*E866,2)</f>
        <v>4187.3999999999996</v>
      </c>
    </row>
    <row r="867" spans="1:7">
      <c r="A867" s="690"/>
      <c r="B867" s="698">
        <v>6</v>
      </c>
      <c r="C867" s="697" t="s">
        <v>41</v>
      </c>
      <c r="D867" s="711" t="s">
        <v>69</v>
      </c>
      <c r="E867" s="698">
        <f>'SSR-rates'!L87</f>
        <v>1323.5</v>
      </c>
      <c r="F867" s="698" t="s">
        <v>41</v>
      </c>
      <c r="G867" s="700">
        <f>ROUND(B867*E867,2)</f>
        <v>7941</v>
      </c>
    </row>
    <row r="868" spans="1:7">
      <c r="A868" s="690"/>
      <c r="B868" s="698"/>
      <c r="C868" s="696"/>
      <c r="D868" s="711" t="s">
        <v>60</v>
      </c>
      <c r="E868" s="698"/>
      <c r="F868" s="698"/>
      <c r="G868" s="700">
        <f>SUM(G866:G867)</f>
        <v>12128.4</v>
      </c>
    </row>
    <row r="869" spans="1:7">
      <c r="A869" s="690"/>
      <c r="B869" s="686" t="s">
        <v>45</v>
      </c>
      <c r="C869" s="694" t="s">
        <v>95</v>
      </c>
      <c r="D869" s="702"/>
      <c r="E869" s="696"/>
      <c r="F869" s="697"/>
      <c r="G869" s="713"/>
    </row>
    <row r="870" spans="1:7">
      <c r="A870" s="690"/>
      <c r="B870" s="698">
        <v>4</v>
      </c>
      <c r="C870" s="696" t="s">
        <v>29</v>
      </c>
      <c r="D870" s="711" t="s">
        <v>1949</v>
      </c>
      <c r="E870" s="696"/>
      <c r="F870" s="697"/>
      <c r="G870" s="700">
        <f>ROUND((G856+G864+G868)*B870/100,2)</f>
        <v>3466.99</v>
      </c>
    </row>
    <row r="871" spans="1:7">
      <c r="A871" s="690"/>
      <c r="B871" s="846"/>
      <c r="C871" s="694" t="s">
        <v>1332</v>
      </c>
      <c r="D871" s="702"/>
      <c r="E871" s="696"/>
      <c r="F871" s="697"/>
      <c r="G871" s="713"/>
    </row>
    <row r="872" spans="1:7">
      <c r="A872" s="690"/>
      <c r="B872" s="732">
        <f>'Input Data'!$D$24</f>
        <v>0.13614999999999999</v>
      </c>
      <c r="C872" s="696" t="s">
        <v>1950</v>
      </c>
      <c r="D872" s="718"/>
      <c r="E872" s="698">
        <f>G870+G868+G864+G856</f>
        <v>90141.709999999992</v>
      </c>
      <c r="F872" s="697"/>
      <c r="G872" s="700">
        <f>E872*B872</f>
        <v>12272.793816499998</v>
      </c>
    </row>
    <row r="873" spans="1:7">
      <c r="A873" s="690"/>
      <c r="B873" s="686" t="s">
        <v>76</v>
      </c>
      <c r="C873" s="694" t="s">
        <v>89</v>
      </c>
      <c r="D873" s="702"/>
      <c r="E873" s="696"/>
      <c r="F873" s="697"/>
      <c r="G873" s="713">
        <f>G856+G864+G868+G872+G870</f>
        <v>102414.5038165</v>
      </c>
    </row>
    <row r="874" spans="1:7">
      <c r="A874" s="690"/>
      <c r="B874" s="698"/>
      <c r="C874" s="697"/>
      <c r="D874" s="845" t="s">
        <v>1951</v>
      </c>
      <c r="E874" s="698"/>
      <c r="F874" s="698"/>
      <c r="G874" s="713">
        <f>SUM(G873:G873)</f>
        <v>102414.5038165</v>
      </c>
    </row>
    <row r="875" spans="1:7">
      <c r="A875" s="690"/>
      <c r="B875" s="698"/>
      <c r="C875" s="697"/>
      <c r="D875" s="711" t="s">
        <v>81</v>
      </c>
      <c r="E875" s="698"/>
      <c r="F875" s="698"/>
      <c r="G875" s="700">
        <f>ROUND(G874/15,2)</f>
        <v>6827.63</v>
      </c>
    </row>
    <row r="876" spans="1:7">
      <c r="A876" s="690"/>
      <c r="B876" s="699"/>
      <c r="C876" s="702"/>
      <c r="D876" s="711" t="s">
        <v>52</v>
      </c>
      <c r="E876" s="698"/>
      <c r="F876" s="698"/>
      <c r="G876" s="741">
        <f>ROUND(G875,2)</f>
        <v>6827.63</v>
      </c>
    </row>
    <row r="877" spans="1:7">
      <c r="A877" s="690"/>
      <c r="B877" s="699"/>
      <c r="C877" s="702"/>
      <c r="D877" s="711"/>
      <c r="E877" s="698"/>
      <c r="F877" s="698"/>
      <c r="G877" s="713" t="s">
        <v>53</v>
      </c>
    </row>
    <row r="878" spans="1:7">
      <c r="A878" s="690"/>
      <c r="B878" s="699"/>
      <c r="C878" s="702"/>
      <c r="D878" s="711"/>
      <c r="E878" s="698"/>
      <c r="F878" s="698"/>
      <c r="G878" s="713"/>
    </row>
    <row r="879" spans="1:7" ht="105.95" customHeight="1">
      <c r="A879" s="690">
        <v>24</v>
      </c>
      <c r="B879" s="3686" t="s">
        <v>1952</v>
      </c>
      <c r="C879" s="3686"/>
      <c r="D879" s="3686"/>
      <c r="E879" s="3686"/>
      <c r="F879" s="3686"/>
      <c r="G879" s="3686"/>
    </row>
    <row r="880" spans="1:7">
      <c r="A880" s="690"/>
      <c r="B880" s="699"/>
      <c r="C880" s="702"/>
      <c r="D880" s="711" t="s">
        <v>10</v>
      </c>
      <c r="E880" s="711"/>
      <c r="F880" s="702"/>
      <c r="G880" s="702"/>
    </row>
    <row r="881" spans="1:7">
      <c r="A881" s="690"/>
      <c r="B881" s="699"/>
      <c r="C881" s="702"/>
      <c r="D881" s="694" t="s">
        <v>93</v>
      </c>
      <c r="E881" s="711"/>
      <c r="F881" s="702"/>
      <c r="G881" s="702"/>
    </row>
    <row r="882" spans="1:7">
      <c r="A882" s="690"/>
      <c r="B882" s="699"/>
      <c r="C882" s="702"/>
      <c r="D882" s="711" t="s">
        <v>56</v>
      </c>
      <c r="E882" s="711"/>
      <c r="F882" s="702"/>
      <c r="G882" s="702"/>
    </row>
    <row r="883" spans="1:7">
      <c r="A883" s="690"/>
      <c r="B883" s="686" t="s">
        <v>36</v>
      </c>
      <c r="C883" s="845" t="s">
        <v>37</v>
      </c>
      <c r="D883" s="702"/>
      <c r="E883" s="711"/>
      <c r="F883" s="702"/>
      <c r="G883" s="702"/>
    </row>
    <row r="884" spans="1:7">
      <c r="A884" s="690"/>
      <c r="B884" s="698">
        <v>0.86</v>
      </c>
      <c r="C884" s="697" t="s">
        <v>57</v>
      </c>
      <c r="D884" s="711" t="s">
        <v>14</v>
      </c>
      <c r="E884" s="698">
        <f>'SSR-rates'!$L$58</f>
        <v>575</v>
      </c>
      <c r="F884" s="699" t="s">
        <v>38</v>
      </c>
      <c r="G884" s="700">
        <f>ROUND(B884*E884,2)</f>
        <v>494.5</v>
      </c>
    </row>
    <row r="885" spans="1:7">
      <c r="A885" s="690"/>
      <c r="B885" s="698">
        <v>1.5</v>
      </c>
      <c r="C885" s="697" t="s">
        <v>57</v>
      </c>
      <c r="D885" s="711" t="s">
        <v>58</v>
      </c>
      <c r="E885" s="698">
        <f>+'SSR-rates'!$L$96</f>
        <v>645</v>
      </c>
      <c r="F885" s="699" t="s">
        <v>38</v>
      </c>
      <c r="G885" s="711">
        <f>ROUND(B885*E885,2)</f>
        <v>967.5</v>
      </c>
    </row>
    <row r="886" spans="1:7">
      <c r="A886" s="690"/>
      <c r="B886" s="698">
        <v>20</v>
      </c>
      <c r="C886" s="697" t="s">
        <v>57</v>
      </c>
      <c r="D886" s="711" t="s">
        <v>59</v>
      </c>
      <c r="E886" s="698">
        <f>'SSR-rates'!$L$60</f>
        <v>575</v>
      </c>
      <c r="F886" s="699" t="s">
        <v>38</v>
      </c>
      <c r="G886" s="711">
        <f>ROUND(B886*E886,2)</f>
        <v>11500</v>
      </c>
    </row>
    <row r="887" spans="1:7">
      <c r="A887" s="690"/>
      <c r="B887" s="701">
        <f>+'Input Data'!D23</f>
        <v>0</v>
      </c>
      <c r="C887" s="696"/>
      <c r="D887" s="702" t="s">
        <v>17</v>
      </c>
      <c r="E887" s="698">
        <f>SUM(G884:G886)</f>
        <v>12962</v>
      </c>
      <c r="F887" s="699"/>
      <c r="G887" s="711">
        <f>B887*E887</f>
        <v>0</v>
      </c>
    </row>
    <row r="888" spans="1:7">
      <c r="A888" s="690"/>
      <c r="B888" s="698"/>
      <c r="C888" s="702"/>
      <c r="D888" s="711" t="s">
        <v>60</v>
      </c>
      <c r="E888" s="698"/>
      <c r="F888" s="698"/>
      <c r="G888" s="711">
        <f>SUM(G884:G887)</f>
        <v>12962</v>
      </c>
    </row>
    <row r="889" spans="1:7">
      <c r="A889" s="690"/>
      <c r="B889" s="686" t="s">
        <v>39</v>
      </c>
      <c r="C889" s="845" t="s">
        <v>61</v>
      </c>
      <c r="D889" s="702"/>
      <c r="E889" s="698"/>
      <c r="F889" s="698"/>
      <c r="G889" s="711"/>
    </row>
    <row r="890" spans="1:7">
      <c r="A890" s="690"/>
      <c r="B890" s="698">
        <v>8.1</v>
      </c>
      <c r="C890" s="697" t="s">
        <v>31</v>
      </c>
      <c r="D890" s="702" t="s">
        <v>63</v>
      </c>
      <c r="E890" s="698">
        <f>E859</f>
        <v>2005.5179333714741</v>
      </c>
      <c r="F890" s="698" t="s">
        <v>31</v>
      </c>
      <c r="G890" s="711">
        <f>ROUND(B890*E890,2)</f>
        <v>16244.7</v>
      </c>
    </row>
    <row r="891" spans="1:7">
      <c r="A891" s="690"/>
      <c r="B891" s="698">
        <v>5.4</v>
      </c>
      <c r="C891" s="697" t="s">
        <v>31</v>
      </c>
      <c r="D891" s="702" t="s">
        <v>64</v>
      </c>
      <c r="E891" s="698">
        <f>E860</f>
        <v>1754.5179333714741</v>
      </c>
      <c r="F891" s="698" t="s">
        <v>31</v>
      </c>
      <c r="G891" s="711">
        <f>ROUND(B891*E891,2)</f>
        <v>9474.4</v>
      </c>
    </row>
    <row r="892" spans="1:7" ht="30">
      <c r="A892" s="690"/>
      <c r="B892" s="698">
        <f t="shared" ref="B892:B893" si="14">6.75/2</f>
        <v>3.375</v>
      </c>
      <c r="C892" s="697" t="s">
        <v>31</v>
      </c>
      <c r="D892" s="810" t="s">
        <v>1852</v>
      </c>
      <c r="E892" s="704">
        <f>lead!$J$31</f>
        <v>1812.3700655723276</v>
      </c>
      <c r="F892" s="698" t="s">
        <v>31</v>
      </c>
      <c r="G892" s="711">
        <f>ROUND(B892*E892,2)</f>
        <v>6116.75</v>
      </c>
    </row>
    <row r="893" spans="1:7">
      <c r="A893" s="690"/>
      <c r="B893" s="698">
        <f t="shared" si="14"/>
        <v>3.375</v>
      </c>
      <c r="C893" s="697"/>
      <c r="D893" s="810" t="s">
        <v>1853</v>
      </c>
      <c r="E893" s="704">
        <f>lead!$J$33</f>
        <v>1447.5179333714741</v>
      </c>
      <c r="F893" s="698"/>
      <c r="G893" s="711">
        <f>ROUND(B893*E893,2)</f>
        <v>4885.37</v>
      </c>
    </row>
    <row r="894" spans="1:7">
      <c r="A894" s="690"/>
      <c r="B894" s="698">
        <v>5.21</v>
      </c>
      <c r="C894" s="697" t="s">
        <v>66</v>
      </c>
      <c r="D894" s="711" t="s">
        <v>67</v>
      </c>
      <c r="E894" s="698">
        <f>E863</f>
        <v>5000</v>
      </c>
      <c r="F894" s="698" t="s">
        <v>66</v>
      </c>
      <c r="G894" s="711">
        <f>ROUND(B894*E894,2)</f>
        <v>26050</v>
      </c>
    </row>
    <row r="895" spans="1:7">
      <c r="A895" s="690"/>
      <c r="B895" s="698"/>
      <c r="C895" s="696"/>
      <c r="D895" s="711" t="s">
        <v>60</v>
      </c>
      <c r="E895" s="698"/>
      <c r="F895" s="698"/>
      <c r="G895" s="711">
        <f>SUM(G890:G894)</f>
        <v>62771.22</v>
      </c>
    </row>
    <row r="896" spans="1:7">
      <c r="A896" s="690"/>
      <c r="B896" s="686" t="s">
        <v>94</v>
      </c>
      <c r="C896" s="845" t="s">
        <v>40</v>
      </c>
      <c r="D896" s="702"/>
      <c r="E896" s="698"/>
      <c r="F896" s="698"/>
      <c r="G896" s="711"/>
    </row>
    <row r="897" spans="1:7">
      <c r="A897" s="690"/>
      <c r="B897" s="698">
        <v>6</v>
      </c>
      <c r="C897" s="697" t="s">
        <v>41</v>
      </c>
      <c r="D897" s="711" t="s">
        <v>68</v>
      </c>
      <c r="E897" s="698">
        <v>472.6</v>
      </c>
      <c r="F897" s="698" t="s">
        <v>41</v>
      </c>
      <c r="G897" s="711">
        <f>ROUND(B897*E897,2)</f>
        <v>2835.6</v>
      </c>
    </row>
    <row r="898" spans="1:7">
      <c r="A898" s="690"/>
      <c r="B898" s="698">
        <v>6</v>
      </c>
      <c r="C898" s="697" t="s">
        <v>41</v>
      </c>
      <c r="D898" s="711" t="s">
        <v>69</v>
      </c>
      <c r="E898" s="698">
        <v>842.2</v>
      </c>
      <c r="F898" s="698" t="s">
        <v>41</v>
      </c>
      <c r="G898" s="711">
        <f>ROUND(B898*E898,2)</f>
        <v>5053.2</v>
      </c>
    </row>
    <row r="899" spans="1:7">
      <c r="A899" s="690"/>
      <c r="B899" s="698"/>
      <c r="C899" s="696"/>
      <c r="D899" s="711" t="s">
        <v>60</v>
      </c>
      <c r="E899" s="698"/>
      <c r="F899" s="698"/>
      <c r="G899" s="711">
        <f>SUM(G897:G898)</f>
        <v>7888.7999999999993</v>
      </c>
    </row>
    <row r="900" spans="1:7">
      <c r="A900" s="690"/>
      <c r="B900" s="686" t="s">
        <v>45</v>
      </c>
      <c r="C900" s="694" t="s">
        <v>149</v>
      </c>
      <c r="D900" s="702"/>
      <c r="E900" s="696"/>
      <c r="F900" s="697"/>
      <c r="G900" s="845"/>
    </row>
    <row r="901" spans="1:7">
      <c r="A901" s="690"/>
      <c r="B901" s="698">
        <v>10</v>
      </c>
      <c r="C901" s="696" t="s">
        <v>29</v>
      </c>
      <c r="D901" s="711" t="s">
        <v>1953</v>
      </c>
      <c r="E901" s="696"/>
      <c r="F901" s="697"/>
      <c r="G901" s="711">
        <f>ROUND((G888+G895+G899)*B901/100,2)</f>
        <v>8362.2000000000007</v>
      </c>
    </row>
    <row r="902" spans="1:7">
      <c r="A902" s="690"/>
      <c r="B902" s="686" t="s">
        <v>47</v>
      </c>
      <c r="C902" s="694" t="s">
        <v>1332</v>
      </c>
      <c r="D902" s="702"/>
      <c r="E902" s="696"/>
      <c r="F902" s="697"/>
      <c r="G902" s="845"/>
    </row>
    <row r="903" spans="1:7">
      <c r="A903" s="690"/>
      <c r="B903" s="732">
        <f>'Input Data'!$D$24</f>
        <v>0.13614999999999999</v>
      </c>
      <c r="C903" s="3773" t="s">
        <v>1950</v>
      </c>
      <c r="D903" s="3773"/>
      <c r="E903" s="698">
        <f>G901+G899+G895+G888</f>
        <v>91984.22</v>
      </c>
      <c r="F903" s="697"/>
      <c r="G903" s="711">
        <f>E903*B903</f>
        <v>12523.651553</v>
      </c>
    </row>
    <row r="904" spans="1:7">
      <c r="A904" s="690"/>
      <c r="B904" s="686" t="s">
        <v>76</v>
      </c>
      <c r="C904" s="694" t="s">
        <v>89</v>
      </c>
      <c r="D904" s="702"/>
      <c r="E904" s="696"/>
      <c r="F904" s="697"/>
      <c r="G904" s="845">
        <f>G888+G895+G899+G903+G901</f>
        <v>104507.871553</v>
      </c>
    </row>
    <row r="905" spans="1:7">
      <c r="A905" s="690"/>
      <c r="B905" s="698"/>
      <c r="C905" s="697"/>
      <c r="D905" s="845" t="s">
        <v>1951</v>
      </c>
      <c r="E905" s="698"/>
      <c r="F905" s="698"/>
      <c r="G905" s="845">
        <f>SUM(G904:G904)</f>
        <v>104507.871553</v>
      </c>
    </row>
    <row r="906" spans="1:7">
      <c r="A906" s="690"/>
      <c r="B906" s="698"/>
      <c r="C906" s="697"/>
      <c r="D906" s="711" t="s">
        <v>81</v>
      </c>
      <c r="E906" s="698"/>
      <c r="F906" s="698"/>
      <c r="G906" s="711">
        <f>ROUND(G905/15,2)</f>
        <v>6967.19</v>
      </c>
    </row>
    <row r="907" spans="1:7">
      <c r="A907" s="690"/>
      <c r="B907" s="699"/>
      <c r="C907" s="702"/>
      <c r="D907" s="711" t="s">
        <v>52</v>
      </c>
      <c r="E907" s="698"/>
      <c r="F907" s="698"/>
      <c r="G907" s="847">
        <f>ROUND(G906,2)</f>
        <v>6967.19</v>
      </c>
    </row>
    <row r="908" spans="1:7">
      <c r="A908" s="690"/>
      <c r="B908" s="699"/>
      <c r="C908" s="702"/>
      <c r="D908" s="711"/>
      <c r="E908" s="698"/>
      <c r="F908" s="698"/>
      <c r="G908" s="713" t="s">
        <v>53</v>
      </c>
    </row>
    <row r="909" spans="1:7">
      <c r="A909" s="690"/>
      <c r="B909" s="699"/>
      <c r="C909" s="702"/>
      <c r="D909" s="711"/>
      <c r="E909" s="698"/>
      <c r="F909" s="698"/>
      <c r="G909" s="713"/>
    </row>
    <row r="910" spans="1:7" ht="80.099999999999994" customHeight="1">
      <c r="A910" s="690">
        <v>20</v>
      </c>
      <c r="B910" s="3686" t="s">
        <v>1954</v>
      </c>
      <c r="C910" s="3686"/>
      <c r="D910" s="3686"/>
      <c r="E910" s="3686"/>
      <c r="F910" s="3686"/>
      <c r="G910" s="3686"/>
    </row>
    <row r="911" spans="1:7">
      <c r="A911" s="690"/>
      <c r="B911" s="3759" t="s">
        <v>33</v>
      </c>
      <c r="C911" s="3759"/>
      <c r="D911" s="694" t="s">
        <v>1955</v>
      </c>
      <c r="E911" s="688"/>
      <c r="F911" s="687"/>
      <c r="G911" s="687"/>
    </row>
    <row r="912" spans="1:7">
      <c r="A912" s="690"/>
      <c r="B912" s="3759" t="s">
        <v>35</v>
      </c>
      <c r="C912" s="3759"/>
      <c r="D912" s="3759"/>
      <c r="E912" s="688"/>
      <c r="F912" s="687"/>
      <c r="G912" s="687"/>
    </row>
    <row r="913" spans="1:7">
      <c r="A913" s="690"/>
      <c r="B913" s="686" t="s">
        <v>36</v>
      </c>
      <c r="C913" s="694" t="s">
        <v>37</v>
      </c>
      <c r="D913" s="686"/>
      <c r="E913" s="688"/>
      <c r="F913" s="687"/>
      <c r="G913" s="687"/>
    </row>
    <row r="914" spans="1:7">
      <c r="A914" s="690"/>
      <c r="B914" s="698"/>
      <c r="C914" s="696"/>
      <c r="D914" s="697"/>
      <c r="E914" s="698"/>
      <c r="F914" s="699"/>
      <c r="G914" s="700"/>
    </row>
    <row r="915" spans="1:7">
      <c r="A915" s="690"/>
      <c r="B915" s="698">
        <v>0.08</v>
      </c>
      <c r="C915" s="696" t="s">
        <v>38</v>
      </c>
      <c r="D915" s="697" t="s">
        <v>156</v>
      </c>
      <c r="E915" s="698">
        <f>'SSR-rates'!$L$58</f>
        <v>575</v>
      </c>
      <c r="F915" s="699" t="s">
        <v>38</v>
      </c>
      <c r="G915" s="700">
        <f>ROUND(B915*E915,2)</f>
        <v>46</v>
      </c>
    </row>
    <row r="916" spans="1:7">
      <c r="A916" s="690"/>
      <c r="B916" s="698">
        <v>2</v>
      </c>
      <c r="C916" s="696" t="s">
        <v>38</v>
      </c>
      <c r="D916" s="697" t="s">
        <v>16</v>
      </c>
      <c r="E916" s="698">
        <f>'SSR-rates'!$L$60</f>
        <v>575</v>
      </c>
      <c r="F916" s="699" t="s">
        <v>38</v>
      </c>
      <c r="G916" s="700">
        <f>ROUND(B916*E916,2)</f>
        <v>1150</v>
      </c>
    </row>
    <row r="917" spans="1:7">
      <c r="A917" s="690"/>
      <c r="B917" s="701">
        <f>'Input Data'!$D$23</f>
        <v>0</v>
      </c>
      <c r="C917" s="696"/>
      <c r="D917" s="702" t="s">
        <v>17</v>
      </c>
      <c r="E917" s="698">
        <f>SUM(G914:G916)</f>
        <v>1196</v>
      </c>
      <c r="F917" s="699"/>
      <c r="G917" s="711">
        <f>B917*E917</f>
        <v>0</v>
      </c>
    </row>
    <row r="918" spans="1:7">
      <c r="A918" s="690"/>
      <c r="B918" s="698"/>
      <c r="C918" s="696"/>
      <c r="D918" s="697"/>
      <c r="E918" s="698"/>
      <c r="F918" s="699"/>
      <c r="G918" s="713">
        <f>SUM(G915:G917)</f>
        <v>1196</v>
      </c>
    </row>
    <row r="919" spans="1:7">
      <c r="A919" s="690"/>
      <c r="B919" s="686" t="s">
        <v>39</v>
      </c>
      <c r="C919" s="694" t="s">
        <v>40</v>
      </c>
      <c r="D919" s="702"/>
      <c r="E919" s="696"/>
      <c r="F919" s="697"/>
      <c r="G919" s="703"/>
    </row>
    <row r="920" spans="1:7" ht="30">
      <c r="A920" s="690"/>
      <c r="B920" s="704">
        <v>6</v>
      </c>
      <c r="C920" s="705" t="s">
        <v>1956</v>
      </c>
      <c r="D920" s="706" t="s">
        <v>1957</v>
      </c>
      <c r="E920" s="704">
        <f>'SSR-rates'!L64</f>
        <v>3557.7</v>
      </c>
      <c r="F920" s="704" t="s">
        <v>31</v>
      </c>
      <c r="G920" s="707">
        <f>ROUND(B920*E920,2)</f>
        <v>21346.2</v>
      </c>
    </row>
    <row r="921" spans="1:7">
      <c r="A921" s="690"/>
      <c r="B921" s="704">
        <v>11</v>
      </c>
      <c r="C921" s="705" t="s">
        <v>1956</v>
      </c>
      <c r="D921" s="697" t="s">
        <v>1958</v>
      </c>
      <c r="E921" s="698">
        <f>'SSR-rates'!L66</f>
        <v>1280.4000000000001</v>
      </c>
      <c r="F921" s="698"/>
      <c r="G921" s="707">
        <f>ROUND(B921*E921,2)</f>
        <v>14084.4</v>
      </c>
    </row>
    <row r="922" spans="1:7">
      <c r="A922" s="690"/>
      <c r="B922" s="704"/>
      <c r="C922" s="705"/>
      <c r="D922" s="697"/>
      <c r="E922" s="3767" t="s">
        <v>60</v>
      </c>
      <c r="F922" s="3767"/>
      <c r="G922" s="848">
        <f>SUM(G920:G921)</f>
        <v>35430.6</v>
      </c>
    </row>
    <row r="923" spans="1:7">
      <c r="A923" s="690"/>
      <c r="B923" s="686" t="s">
        <v>27</v>
      </c>
      <c r="C923" s="694" t="s">
        <v>44</v>
      </c>
      <c r="D923" s="702"/>
      <c r="E923" s="711"/>
      <c r="F923" s="702"/>
      <c r="G923" s="703"/>
    </row>
    <row r="924" spans="1:7" ht="30">
      <c r="A924" s="690"/>
      <c r="B924" s="732">
        <f>'Input Data'!$D$24</f>
        <v>0.13614999999999999</v>
      </c>
      <c r="C924" s="696"/>
      <c r="D924" s="705" t="s">
        <v>1950</v>
      </c>
      <c r="E924" s="711">
        <f>G922+G918</f>
        <v>36626.6</v>
      </c>
      <c r="F924" s="702"/>
      <c r="G924" s="700">
        <f>E924*B924</f>
        <v>4986.7115899999999</v>
      </c>
    </row>
    <row r="925" spans="1:7">
      <c r="A925" s="690"/>
      <c r="B925" s="686" t="s">
        <v>45</v>
      </c>
      <c r="C925" s="694" t="s">
        <v>46</v>
      </c>
      <c r="D925" s="702"/>
      <c r="E925" s="696"/>
      <c r="F925" s="697"/>
      <c r="G925" s="713">
        <f>G922+G924+G918</f>
        <v>41613.311589999998</v>
      </c>
    </row>
    <row r="926" spans="1:7">
      <c r="A926" s="690"/>
      <c r="B926" s="699"/>
      <c r="C926" s="694" t="s">
        <v>1959</v>
      </c>
      <c r="D926" s="697"/>
      <c r="E926" s="696"/>
      <c r="F926" s="697"/>
      <c r="G926" s="713">
        <f>SUM(G925:G925)</f>
        <v>41613.311589999998</v>
      </c>
    </row>
    <row r="927" spans="1:7">
      <c r="A927" s="690"/>
      <c r="B927" s="699"/>
      <c r="C927" s="697" t="s">
        <v>216</v>
      </c>
      <c r="D927" s="697"/>
      <c r="E927" s="696"/>
      <c r="F927" s="697"/>
      <c r="G927" s="700">
        <f>G926/240</f>
        <v>173.38879829166666</v>
      </c>
    </row>
    <row r="928" spans="1:7">
      <c r="A928" s="690"/>
      <c r="B928" s="698"/>
      <c r="C928" s="711"/>
      <c r="D928" s="740" t="s">
        <v>217</v>
      </c>
      <c r="E928" s="700"/>
      <c r="F928" s="711"/>
      <c r="G928" s="741">
        <f>ROUND(G927,2)</f>
        <v>173.39</v>
      </c>
    </row>
    <row r="929" spans="1:7">
      <c r="A929" s="690"/>
      <c r="B929" s="698"/>
      <c r="C929" s="711"/>
      <c r="D929" s="742"/>
      <c r="E929" s="700"/>
      <c r="F929" s="711"/>
      <c r="G929" s="714" t="s">
        <v>53</v>
      </c>
    </row>
    <row r="930" spans="1:7" ht="69.95" customHeight="1">
      <c r="A930" s="690">
        <v>21</v>
      </c>
      <c r="B930" s="3686" t="s">
        <v>1960</v>
      </c>
      <c r="C930" s="3686"/>
      <c r="D930" s="3686"/>
      <c r="E930" s="3686"/>
      <c r="F930" s="3686"/>
      <c r="G930" s="3686"/>
    </row>
    <row r="931" spans="1:7">
      <c r="A931" s="690"/>
      <c r="B931" s="698" t="s">
        <v>1961</v>
      </c>
      <c r="C931" s="697"/>
      <c r="D931" s="694" t="s">
        <v>1668</v>
      </c>
      <c r="E931" s="696"/>
      <c r="F931" s="697"/>
      <c r="G931" s="702"/>
    </row>
    <row r="932" spans="1:7">
      <c r="A932" s="690"/>
      <c r="B932" s="696" t="s">
        <v>1962</v>
      </c>
      <c r="C932" s="697"/>
      <c r="D932" s="697"/>
      <c r="E932" s="696"/>
      <c r="F932" s="697"/>
      <c r="G932" s="702"/>
    </row>
    <row r="933" spans="1:7">
      <c r="A933" s="690"/>
      <c r="B933" s="686" t="s">
        <v>36</v>
      </c>
      <c r="C933" s="694" t="s">
        <v>37</v>
      </c>
      <c r="D933" s="686"/>
      <c r="E933" s="688"/>
      <c r="F933" s="687"/>
      <c r="G933" s="849"/>
    </row>
    <row r="934" spans="1:7">
      <c r="A934" s="690"/>
      <c r="B934" s="698">
        <v>0.12</v>
      </c>
      <c r="C934" s="696" t="s">
        <v>38</v>
      </c>
      <c r="D934" s="792" t="s">
        <v>14</v>
      </c>
      <c r="E934" s="698">
        <f>'SSR-rates'!$L$58</f>
        <v>575</v>
      </c>
      <c r="F934" s="699" t="s">
        <v>38</v>
      </c>
      <c r="G934" s="700">
        <f>ROUND(B934*E934,2)</f>
        <v>69</v>
      </c>
    </row>
    <row r="935" spans="1:7">
      <c r="A935" s="690"/>
      <c r="B935" s="698">
        <v>3</v>
      </c>
      <c r="C935" s="696" t="s">
        <v>38</v>
      </c>
      <c r="D935" s="792" t="s">
        <v>59</v>
      </c>
      <c r="E935" s="698">
        <f>'SSR-rates'!$L$60</f>
        <v>575</v>
      </c>
      <c r="F935" s="699" t="s">
        <v>38</v>
      </c>
      <c r="G935" s="700">
        <f>ROUND(B935*E935,2)</f>
        <v>1725</v>
      </c>
    </row>
    <row r="936" spans="1:7">
      <c r="A936" s="690"/>
      <c r="B936" s="701">
        <f>'Input Data'!$D$23</f>
        <v>0</v>
      </c>
      <c r="C936" s="696"/>
      <c r="D936" s="702" t="s">
        <v>17</v>
      </c>
      <c r="E936" s="698">
        <f>SUM(G933:G935)</f>
        <v>1794</v>
      </c>
      <c r="F936" s="699"/>
      <c r="G936" s="711">
        <f>B936*E936</f>
        <v>0</v>
      </c>
    </row>
    <row r="937" spans="1:7">
      <c r="A937" s="690"/>
      <c r="B937" s="699"/>
      <c r="C937" s="697"/>
      <c r="D937" s="697" t="s">
        <v>85</v>
      </c>
      <c r="E937" s="696"/>
      <c r="F937" s="697"/>
      <c r="G937" s="713">
        <f>SUM(G934:G936)</f>
        <v>1794</v>
      </c>
    </row>
    <row r="938" spans="1:7">
      <c r="A938" s="690"/>
      <c r="B938" s="686" t="s">
        <v>39</v>
      </c>
      <c r="C938" s="694" t="s">
        <v>40</v>
      </c>
      <c r="D938" s="702"/>
      <c r="E938" s="696"/>
      <c r="F938" s="697"/>
      <c r="G938" s="703"/>
    </row>
    <row r="939" spans="1:7">
      <c r="A939" s="690"/>
      <c r="B939" s="698">
        <v>6</v>
      </c>
      <c r="C939" s="696" t="s">
        <v>41</v>
      </c>
      <c r="D939" s="792" t="s">
        <v>1963</v>
      </c>
      <c r="E939" s="698">
        <f>'SSR-rates'!$L$62</f>
        <v>3164.8</v>
      </c>
      <c r="F939" s="698" t="s">
        <v>41</v>
      </c>
      <c r="G939" s="700">
        <f>ROUND(B939*E939,2)</f>
        <v>18988.8</v>
      </c>
    </row>
    <row r="940" spans="1:7">
      <c r="A940" s="690"/>
      <c r="B940" s="699"/>
      <c r="C940" s="697"/>
      <c r="D940" s="697"/>
      <c r="E940" s="696"/>
      <c r="F940" s="697"/>
      <c r="G940" s="713">
        <f>SUM(G939:G939)</f>
        <v>18988.8</v>
      </c>
    </row>
    <row r="941" spans="1:7">
      <c r="A941" s="690"/>
      <c r="B941" s="686" t="s">
        <v>27</v>
      </c>
      <c r="C941" s="694" t="s">
        <v>1283</v>
      </c>
      <c r="D941" s="697"/>
      <c r="E941" s="696"/>
      <c r="F941" s="697"/>
      <c r="G941" s="713"/>
    </row>
    <row r="942" spans="1:7" ht="30">
      <c r="A942" s="690"/>
      <c r="B942" s="732">
        <f>'Input Data'!$D$24</f>
        <v>0.13614999999999999</v>
      </c>
      <c r="C942" s="696"/>
      <c r="D942" s="705" t="s">
        <v>1950</v>
      </c>
      <c r="E942" s="696">
        <f>G940+G937</f>
        <v>20782.8</v>
      </c>
      <c r="F942" s="697"/>
      <c r="G942" s="700">
        <f>E942*B942</f>
        <v>2829.5782199999999</v>
      </c>
    </row>
    <row r="943" spans="1:7">
      <c r="A943" s="690"/>
      <c r="B943" s="699"/>
      <c r="C943" s="697"/>
      <c r="D943" s="697" t="s">
        <v>1964</v>
      </c>
      <c r="E943" s="696"/>
      <c r="F943" s="697"/>
      <c r="G943" s="700">
        <f>G937+G940+G942</f>
        <v>23612.378219999999</v>
      </c>
    </row>
    <row r="944" spans="1:7">
      <c r="A944" s="690"/>
      <c r="B944" s="699"/>
      <c r="C944" s="697"/>
      <c r="D944" s="697" t="s">
        <v>1872</v>
      </c>
      <c r="E944" s="696"/>
      <c r="F944" s="697"/>
      <c r="G944" s="700">
        <f>ROUND(G943/108,2)</f>
        <v>218.63</v>
      </c>
    </row>
    <row r="945" spans="1:7">
      <c r="A945" s="690"/>
      <c r="B945" s="698"/>
      <c r="C945" s="696"/>
      <c r="D945" s="711" t="s">
        <v>52</v>
      </c>
      <c r="E945" s="700"/>
      <c r="F945" s="711"/>
      <c r="G945" s="741">
        <f>ROUND(G944,2)</f>
        <v>218.63</v>
      </c>
    </row>
    <row r="946" spans="1:7">
      <c r="A946" s="690"/>
      <c r="B946" s="699"/>
      <c r="C946" s="697"/>
      <c r="D946" s="697"/>
      <c r="E946" s="696"/>
      <c r="F946" s="697"/>
      <c r="G946" s="714" t="s">
        <v>53</v>
      </c>
    </row>
    <row r="947" spans="1:7">
      <c r="A947" s="690"/>
      <c r="B947" s="699"/>
      <c r="C947" s="702"/>
      <c r="D947" s="702"/>
      <c r="E947" s="711"/>
      <c r="F947" s="702"/>
      <c r="G947" s="850"/>
    </row>
    <row r="948" spans="1:7">
      <c r="A948" s="690"/>
      <c r="B948" s="699"/>
      <c r="C948" s="702"/>
      <c r="D948" s="702"/>
      <c r="E948" s="711"/>
      <c r="F948" s="702"/>
      <c r="G948" s="850"/>
    </row>
    <row r="949" spans="1:7" ht="45" customHeight="1">
      <c r="A949" s="690">
        <v>27</v>
      </c>
      <c r="B949" s="3686" t="s">
        <v>1965</v>
      </c>
      <c r="C949" s="3686"/>
      <c r="D949" s="3686"/>
      <c r="E949" s="3686"/>
      <c r="F949" s="3686"/>
      <c r="G949" s="3686"/>
    </row>
    <row r="950" spans="1:7">
      <c r="A950" s="686"/>
      <c r="B950" s="699" t="s">
        <v>1689</v>
      </c>
      <c r="C950" s="702"/>
      <c r="D950" s="694" t="s">
        <v>1966</v>
      </c>
      <c r="E950" s="711"/>
      <c r="F950" s="702"/>
      <c r="G950" s="702"/>
    </row>
    <row r="951" spans="1:7">
      <c r="A951" s="686"/>
      <c r="B951" s="697"/>
      <c r="C951" s="702"/>
      <c r="D951" s="702"/>
      <c r="E951" s="711"/>
      <c r="F951" s="702"/>
      <c r="G951" s="702"/>
    </row>
    <row r="952" spans="1:7">
      <c r="A952" s="686"/>
      <c r="B952" s="698"/>
      <c r="C952" s="696"/>
      <c r="D952" s="851" t="s">
        <v>1967</v>
      </c>
      <c r="E952" s="782"/>
      <c r="F952" s="698"/>
      <c r="G952" s="700"/>
    </row>
    <row r="953" spans="1:7">
      <c r="A953" s="686"/>
      <c r="B953" s="698">
        <v>0.04</v>
      </c>
      <c r="C953" s="700" t="s">
        <v>38</v>
      </c>
      <c r="D953" s="702" t="s">
        <v>14</v>
      </c>
      <c r="E953" s="698">
        <f>'SSR-rates'!$L$58</f>
        <v>575</v>
      </c>
      <c r="F953" s="698" t="s">
        <v>38</v>
      </c>
      <c r="G953" s="700">
        <f>ROUND(B953*E953,2)</f>
        <v>23</v>
      </c>
    </row>
    <row r="954" spans="1:7">
      <c r="A954" s="686"/>
      <c r="B954" s="698">
        <v>0.9</v>
      </c>
      <c r="C954" s="700" t="s">
        <v>38</v>
      </c>
      <c r="D954" s="702" t="s">
        <v>59</v>
      </c>
      <c r="E954" s="698">
        <f>'SSR-rates'!$L$60</f>
        <v>575</v>
      </c>
      <c r="F954" s="698" t="s">
        <v>38</v>
      </c>
      <c r="G954" s="700">
        <f>ROUND(B954*E954,2)</f>
        <v>517.5</v>
      </c>
    </row>
    <row r="955" spans="1:7">
      <c r="A955" s="686"/>
      <c r="B955" s="701">
        <f>'Input Data'!$D$23</f>
        <v>0</v>
      </c>
      <c r="C955" s="696"/>
      <c r="D955" s="702" t="s">
        <v>17</v>
      </c>
      <c r="E955" s="698">
        <f>SUM(G952:G954)</f>
        <v>540.5</v>
      </c>
      <c r="F955" s="699"/>
      <c r="G955" s="711">
        <f>B955*E955</f>
        <v>0</v>
      </c>
    </row>
    <row r="956" spans="1:7">
      <c r="A956" s="686"/>
      <c r="B956" s="698"/>
      <c r="C956" s="698"/>
      <c r="D956" s="702" t="s">
        <v>60</v>
      </c>
      <c r="E956" s="698"/>
      <c r="F956" s="698"/>
      <c r="G956" s="700">
        <f>SUM(G953:G955)</f>
        <v>540.5</v>
      </c>
    </row>
    <row r="957" spans="1:7">
      <c r="A957" s="686"/>
      <c r="B957" s="790"/>
      <c r="C957" s="739" t="s">
        <v>61</v>
      </c>
      <c r="D957" s="702"/>
      <c r="E957" s="698"/>
      <c r="F957" s="698"/>
      <c r="G957" s="700"/>
    </row>
    <row r="958" spans="1:7">
      <c r="A958" s="686"/>
      <c r="B958" s="698">
        <v>0.51</v>
      </c>
      <c r="C958" s="696" t="s">
        <v>73</v>
      </c>
      <c r="D958" s="852" t="s">
        <v>1968</v>
      </c>
      <c r="E958" s="698">
        <f>+lead!J36</f>
        <v>5000</v>
      </c>
      <c r="F958" s="698" t="s">
        <v>73</v>
      </c>
      <c r="G958" s="700">
        <f>ROUND(B958*E958,2)</f>
        <v>2550</v>
      </c>
    </row>
    <row r="959" spans="1:7" ht="30">
      <c r="A959" s="686"/>
      <c r="B959" s="853">
        <f>1.05/2</f>
        <v>0.52500000000000002</v>
      </c>
      <c r="C959" s="854" t="s">
        <v>73</v>
      </c>
      <c r="D959" s="855" t="s">
        <v>1852</v>
      </c>
      <c r="E959" s="698">
        <f>lead!$J$30</f>
        <v>2032.3700655723276</v>
      </c>
      <c r="F959" s="856" t="s">
        <v>73</v>
      </c>
      <c r="G959" s="857">
        <f t="shared" ref="G959:G960" si="15">ROUND(B959*E959,2)</f>
        <v>1066.99</v>
      </c>
    </row>
    <row r="960" spans="1:7">
      <c r="A960" s="686"/>
      <c r="B960" s="853">
        <f>1.05/2</f>
        <v>0.52500000000000002</v>
      </c>
      <c r="C960" s="854" t="s">
        <v>73</v>
      </c>
      <c r="D960" s="855" t="s">
        <v>1853</v>
      </c>
      <c r="E960" s="698">
        <f>lead!$J$33</f>
        <v>1447.5179333714741</v>
      </c>
      <c r="F960" s="856" t="s">
        <v>73</v>
      </c>
      <c r="G960" s="857">
        <f t="shared" si="15"/>
        <v>759.95</v>
      </c>
    </row>
    <row r="961" spans="1:7">
      <c r="A961" s="686"/>
      <c r="B961" s="698"/>
      <c r="C961" s="696"/>
      <c r="D961" s="702" t="s">
        <v>60</v>
      </c>
      <c r="E961" s="698"/>
      <c r="F961" s="698"/>
      <c r="G961" s="700">
        <f>SUM(G958:G960)</f>
        <v>4376.9399999999996</v>
      </c>
    </row>
    <row r="962" spans="1:7">
      <c r="A962" s="686"/>
      <c r="B962" s="698"/>
      <c r="C962" s="696"/>
      <c r="D962" s="702" t="s">
        <v>1967</v>
      </c>
      <c r="E962" s="698"/>
      <c r="F962" s="698"/>
      <c r="G962" s="713">
        <f>+G961+G956</f>
        <v>4917.4399999999996</v>
      </c>
    </row>
    <row r="963" spans="1:7">
      <c r="A963" s="686"/>
      <c r="B963" s="698"/>
      <c r="C963" s="696"/>
      <c r="D963" s="702"/>
      <c r="E963" s="698"/>
      <c r="F963" s="698"/>
      <c r="G963" s="713"/>
    </row>
    <row r="964" spans="1:7">
      <c r="A964" s="686"/>
      <c r="B964" s="697" t="s">
        <v>1969</v>
      </c>
      <c r="C964" s="702"/>
      <c r="D964" s="702"/>
      <c r="E964" s="711"/>
      <c r="F964" s="702"/>
      <c r="G964" s="702"/>
    </row>
    <row r="965" spans="1:7">
      <c r="A965" s="686"/>
      <c r="B965" s="790" t="s">
        <v>36</v>
      </c>
      <c r="C965" s="794" t="s">
        <v>37</v>
      </c>
      <c r="D965" s="702"/>
      <c r="E965" s="711"/>
      <c r="F965" s="702"/>
      <c r="G965" s="702"/>
    </row>
    <row r="966" spans="1:7">
      <c r="A966" s="686"/>
      <c r="B966" s="698">
        <v>0.1</v>
      </c>
      <c r="C966" s="700" t="s">
        <v>38</v>
      </c>
      <c r="D966" s="702" t="s">
        <v>14</v>
      </c>
      <c r="E966" s="698">
        <f>'SSR-rates'!$L$58</f>
        <v>575</v>
      </c>
      <c r="F966" s="698" t="s">
        <v>38</v>
      </c>
      <c r="G966" s="700">
        <f>ROUND(B966*E966,2)</f>
        <v>57.5</v>
      </c>
    </row>
    <row r="967" spans="1:7">
      <c r="A967" s="686"/>
      <c r="B967" s="698">
        <v>1.2</v>
      </c>
      <c r="C967" s="700" t="s">
        <v>38</v>
      </c>
      <c r="D967" s="702" t="s">
        <v>59</v>
      </c>
      <c r="E967" s="698">
        <f>'SSR-rates'!$L$60</f>
        <v>575</v>
      </c>
      <c r="F967" s="698" t="s">
        <v>38</v>
      </c>
      <c r="G967" s="700">
        <f>ROUND(B967*E967,2)</f>
        <v>690</v>
      </c>
    </row>
    <row r="968" spans="1:7">
      <c r="A968" s="690"/>
      <c r="B968" s="698">
        <v>1.2</v>
      </c>
      <c r="C968" s="712" t="s">
        <v>38</v>
      </c>
      <c r="D968" s="697" t="s">
        <v>15</v>
      </c>
      <c r="E968" s="698">
        <f>'SSR-rates'!$L$59</f>
        <v>575</v>
      </c>
      <c r="F968" s="698" t="s">
        <v>38</v>
      </c>
      <c r="G968" s="700">
        <f>ROUND(B968*E968,2)</f>
        <v>690</v>
      </c>
    </row>
    <row r="969" spans="1:7">
      <c r="A969" s="686"/>
      <c r="B969" s="701">
        <f>'Input Data'!$D$23</f>
        <v>0</v>
      </c>
      <c r="C969" s="696"/>
      <c r="D969" s="702" t="s">
        <v>17</v>
      </c>
      <c r="E969" s="698"/>
      <c r="F969" s="699"/>
      <c r="G969" s="700">
        <f>(G966+G967+G965)*B969</f>
        <v>0</v>
      </c>
    </row>
    <row r="970" spans="1:7">
      <c r="A970" s="686"/>
      <c r="B970" s="698"/>
      <c r="C970" s="698"/>
      <c r="D970" s="702" t="s">
        <v>60</v>
      </c>
      <c r="E970" s="698"/>
      <c r="F970" s="698"/>
      <c r="G970" s="713">
        <f>SUM(G966:G969)</f>
        <v>1437.5</v>
      </c>
    </row>
    <row r="971" spans="1:7">
      <c r="A971" s="686"/>
      <c r="B971" s="790" t="s">
        <v>39</v>
      </c>
      <c r="C971" s="739" t="s">
        <v>61</v>
      </c>
      <c r="D971" s="702"/>
      <c r="E971" s="698"/>
      <c r="F971" s="698"/>
      <c r="G971" s="700"/>
    </row>
    <row r="972" spans="1:7">
      <c r="A972" s="686"/>
      <c r="B972" s="698">
        <v>1</v>
      </c>
      <c r="C972" s="696" t="s">
        <v>73</v>
      </c>
      <c r="D972" s="852" t="s">
        <v>1970</v>
      </c>
      <c r="E972" s="698">
        <f>lead!$J$28</f>
        <v>1173.5179333714741</v>
      </c>
      <c r="F972" s="698" t="s">
        <v>73</v>
      </c>
      <c r="G972" s="700">
        <f>ROUND(B972*E972,2)</f>
        <v>1173.52</v>
      </c>
    </row>
    <row r="973" spans="1:7">
      <c r="A973" s="686"/>
      <c r="B973" s="698">
        <v>7</v>
      </c>
      <c r="C973" s="696" t="s">
        <v>555</v>
      </c>
      <c r="D973" s="852" t="s">
        <v>1971</v>
      </c>
      <c r="E973" s="698">
        <f>lead!$J$29</f>
        <v>2130.8512667048071</v>
      </c>
      <c r="F973" s="698" t="s">
        <v>1263</v>
      </c>
      <c r="G973" s="700">
        <f>ROUND(B973*E973,2)</f>
        <v>14915.96</v>
      </c>
    </row>
    <row r="974" spans="1:7">
      <c r="A974" s="686"/>
      <c r="B974" s="698">
        <v>0.33</v>
      </c>
      <c r="C974" s="696" t="s">
        <v>73</v>
      </c>
      <c r="D974" s="852" t="s">
        <v>1972</v>
      </c>
      <c r="E974" s="698">
        <f>+G962</f>
        <v>4917.4399999999996</v>
      </c>
      <c r="F974" s="698" t="s">
        <v>73</v>
      </c>
      <c r="G974" s="700">
        <f>ROUND(B974*E974,2)</f>
        <v>1622.76</v>
      </c>
    </row>
    <row r="975" spans="1:7">
      <c r="A975" s="686"/>
      <c r="B975" s="698"/>
      <c r="C975" s="696"/>
      <c r="D975" s="852"/>
      <c r="E975" s="782"/>
      <c r="F975" s="698"/>
      <c r="G975" s="713">
        <f>SUM(G972:G974)</f>
        <v>17712.239999999998</v>
      </c>
    </row>
    <row r="976" spans="1:7">
      <c r="A976" s="686"/>
      <c r="B976" s="686" t="s">
        <v>45</v>
      </c>
      <c r="C976" s="694" t="s">
        <v>1283</v>
      </c>
      <c r="D976" s="697"/>
      <c r="E976" s="696"/>
      <c r="F976" s="697"/>
      <c r="G976" s="713"/>
    </row>
    <row r="977" spans="1:7" ht="30">
      <c r="A977" s="686"/>
      <c r="B977" s="732">
        <f>'Input Data'!$D$24</f>
        <v>0.13614999999999999</v>
      </c>
      <c r="C977" s="696"/>
      <c r="D977" s="780" t="str">
        <f>"Over head charges &amp; CP "&amp;'Input Data'!$D$24*100&amp;"%  on (A) + (B)+(C)"</f>
        <v>Over head charges &amp; CP 13.615%  on (A) + (B)+(C)</v>
      </c>
      <c r="E977" s="698">
        <f>+G975+G970</f>
        <v>19149.739999999998</v>
      </c>
      <c r="F977" s="697"/>
      <c r="G977" s="700">
        <f>E977*B977</f>
        <v>2607.2371009999997</v>
      </c>
    </row>
    <row r="978" spans="1:7">
      <c r="A978" s="686"/>
      <c r="B978" s="686" t="s">
        <v>47</v>
      </c>
      <c r="C978" s="694" t="s">
        <v>89</v>
      </c>
      <c r="D978" s="702"/>
      <c r="E978" s="696"/>
      <c r="F978" s="697"/>
      <c r="G978" s="713">
        <f>+G977+G975+G970</f>
        <v>21756.977100999997</v>
      </c>
    </row>
    <row r="979" spans="1:7">
      <c r="A979" s="686"/>
      <c r="B979" s="698"/>
      <c r="C979" s="696"/>
      <c r="D979" s="739" t="s">
        <v>1973</v>
      </c>
      <c r="E979" s="698"/>
      <c r="F979" s="698"/>
      <c r="G979" s="713">
        <f>SUM(G978:G978)</f>
        <v>21756.977100999997</v>
      </c>
    </row>
    <row r="980" spans="1:7">
      <c r="A980" s="686"/>
      <c r="B980" s="698"/>
      <c r="C980" s="696"/>
      <c r="D980" s="702" t="s">
        <v>1872</v>
      </c>
      <c r="E980" s="698"/>
      <c r="F980" s="698"/>
      <c r="G980" s="700">
        <f>ROUND(G979/1,2)</f>
        <v>21756.98</v>
      </c>
    </row>
    <row r="981" spans="1:7">
      <c r="A981" s="686"/>
      <c r="B981" s="699"/>
      <c r="C981" s="702"/>
      <c r="D981" s="702" t="s">
        <v>52</v>
      </c>
      <c r="E981" s="698"/>
      <c r="F981" s="698"/>
      <c r="G981" s="741">
        <f>ROUND(G980,2)</f>
        <v>21756.98</v>
      </c>
    </row>
    <row r="982" spans="1:7">
      <c r="A982" s="686"/>
      <c r="B982" s="699"/>
      <c r="C982" s="702"/>
      <c r="D982" s="702"/>
      <c r="E982" s="711"/>
      <c r="F982" s="702"/>
      <c r="G982" s="714" t="s">
        <v>53</v>
      </c>
    </row>
    <row r="985" spans="1:7">
      <c r="D985" s="683" t="str">
        <f>GA!B34</f>
        <v>Assistant Engineer,</v>
      </c>
      <c r="E985" s="3768" t="str">
        <f>GA!C34</f>
        <v>Dy. Exe. Engineer</v>
      </c>
      <c r="F985" s="3768"/>
      <c r="G985" s="3768"/>
    </row>
    <row r="986" spans="1:7">
      <c r="D986" s="683" t="str">
        <f>GA!B35</f>
        <v>PRSD, Wanaparthy</v>
      </c>
      <c r="E986" s="3768" t="str">
        <f>GA!C35</f>
        <v>PRSD, Wanaparthy</v>
      </c>
      <c r="F986" s="3768"/>
      <c r="G986" s="3768"/>
    </row>
    <row r="989" spans="1:7">
      <c r="D989" s="683" t="str">
        <f>GA!B37</f>
        <v>District Panchayat Raj Engineer,</v>
      </c>
      <c r="E989" s="3768" t="str">
        <f>GA!C37</f>
        <v>Superintending Engineer</v>
      </c>
      <c r="F989" s="3768"/>
      <c r="G989" s="3768"/>
    </row>
    <row r="990" spans="1:7">
      <c r="D990" s="683" t="str">
        <f>GA!B38</f>
        <v>PIU, Wanaparthy</v>
      </c>
      <c r="E990" s="3768" t="str">
        <f>GA!C38</f>
        <v>PR, Circle, Warangal</v>
      </c>
      <c r="F990" s="3768"/>
      <c r="G990" s="3768"/>
    </row>
  </sheetData>
  <mergeCells count="70">
    <mergeCell ref="E985:G985"/>
    <mergeCell ref="E986:G986"/>
    <mergeCell ref="E989:G989"/>
    <mergeCell ref="E990:G990"/>
    <mergeCell ref="D2:G3"/>
    <mergeCell ref="B808:G808"/>
    <mergeCell ref="B847:G847"/>
    <mergeCell ref="B879:G879"/>
    <mergeCell ref="C903:D903"/>
    <mergeCell ref="B910:G910"/>
    <mergeCell ref="B648:G648"/>
    <mergeCell ref="C675:D675"/>
    <mergeCell ref="B682:G682"/>
    <mergeCell ref="B723:G723"/>
    <mergeCell ref="B766:G766"/>
    <mergeCell ref="B508:G508"/>
    <mergeCell ref="B911:C911"/>
    <mergeCell ref="B912:D912"/>
    <mergeCell ref="E922:F922"/>
    <mergeCell ref="B930:G930"/>
    <mergeCell ref="B949:G949"/>
    <mergeCell ref="B511:G511"/>
    <mergeCell ref="B540:G540"/>
    <mergeCell ref="B567:G567"/>
    <mergeCell ref="B595:G595"/>
    <mergeCell ref="B400:G400"/>
    <mergeCell ref="B433:G433"/>
    <mergeCell ref="B457:G457"/>
    <mergeCell ref="B481:G481"/>
    <mergeCell ref="B507:G507"/>
    <mergeCell ref="B293:G293"/>
    <mergeCell ref="B294:G294"/>
    <mergeCell ref="B295:G295"/>
    <mergeCell ref="B327:G327"/>
    <mergeCell ref="B366:G366"/>
    <mergeCell ref="B228:G228"/>
    <mergeCell ref="B229:C229"/>
    <mergeCell ref="B230:D230"/>
    <mergeCell ref="B255:G255"/>
    <mergeCell ref="B272:G272"/>
    <mergeCell ref="B161:G161"/>
    <mergeCell ref="B162:C162"/>
    <mergeCell ref="B163:D163"/>
    <mergeCell ref="B194:G194"/>
    <mergeCell ref="B206:G206"/>
    <mergeCell ref="C134:D134"/>
    <mergeCell ref="B137:G137"/>
    <mergeCell ref="B138:C138"/>
    <mergeCell ref="B139:D139"/>
    <mergeCell ref="C159:D159"/>
    <mergeCell ref="B98:C98"/>
    <mergeCell ref="B99:D99"/>
    <mergeCell ref="B117:G117"/>
    <mergeCell ref="B118:C118"/>
    <mergeCell ref="B119:D119"/>
    <mergeCell ref="B49:D49"/>
    <mergeCell ref="B65:C65"/>
    <mergeCell ref="B81:C81"/>
    <mergeCell ref="B82:D82"/>
    <mergeCell ref="B97:G97"/>
    <mergeCell ref="B6:D6"/>
    <mergeCell ref="B7:D7"/>
    <mergeCell ref="B24:G24"/>
    <mergeCell ref="B46:G46"/>
    <mergeCell ref="B48:C48"/>
    <mergeCell ref="B1:G1"/>
    <mergeCell ref="A2:C2"/>
    <mergeCell ref="A3:C3"/>
    <mergeCell ref="B4:C4"/>
    <mergeCell ref="B5:G5"/>
  </mergeCells>
  <conditionalFormatting sqref="A24:A25">
    <cfRule type="cellIs" dxfId="24" priority="5" stopIfTrue="1" operator="equal">
      <formula>A1703</formula>
    </cfRule>
  </conditionalFormatting>
  <conditionalFormatting sqref="A24:A26 A31 A35:A36 A42 A45">
    <cfRule type="cellIs" dxfId="23" priority="21" stopIfTrue="1" operator="equal">
      <formula>#REF!</formula>
    </cfRule>
  </conditionalFormatting>
  <conditionalFormatting sqref="A25">
    <cfRule type="cellIs" dxfId="22" priority="2" stopIfTrue="1" operator="equal">
      <formula>A24</formula>
    </cfRule>
  </conditionalFormatting>
  <conditionalFormatting sqref="A26">
    <cfRule type="cellIs" dxfId="21" priority="10" stopIfTrue="1" operator="equal">
      <formula>A24</formula>
    </cfRule>
  </conditionalFormatting>
  <conditionalFormatting sqref="A32:A41 A27:A30 A43:A44">
    <cfRule type="cellIs" dxfId="20" priority="25" stopIfTrue="1" operator="equal">
      <formula>A26</formula>
    </cfRule>
  </conditionalFormatting>
  <conditionalFormatting sqref="A33:A34">
    <cfRule type="cellIs" dxfId="19" priority="4" stopIfTrue="1" operator="equal">
      <formula>A32</formula>
    </cfRule>
  </conditionalFormatting>
  <conditionalFormatting sqref="A37">
    <cfRule type="cellIs" dxfId="18" priority="6" stopIfTrue="1" operator="equal">
      <formula>A35</formula>
    </cfRule>
  </conditionalFormatting>
  <printOptions horizontalCentered="1"/>
  <pageMargins left="0.59055118110236204" right="0.196850393700787" top="0.59055118110236204" bottom="0.39370078740157499" header="0.27559055118110198" footer="0.35433070866141703"/>
  <pageSetup paperSize="9" scale="95" orientation="portrait" r:id="rId1"/>
  <headerFooter scaleWithDoc="0" alignWithMargins="0">
    <oddHeader>&amp;CPage &amp;P of &amp;N</oddHeader>
  </headerFooter>
  <rowBreaks count="1" manualBreakCount="1">
    <brk id="941" max="6" man="1"/>
  </rowBreaks>
</worksheet>
</file>

<file path=xl/worksheets/sheet36.xml><?xml version="1.0" encoding="utf-8"?>
<worksheet xmlns="http://schemas.openxmlformats.org/spreadsheetml/2006/main" xmlns:r="http://schemas.openxmlformats.org/officeDocument/2006/relationships">
  <sheetPr codeName="Sheet37">
    <tabColor theme="5" tint="-0.249977111117893"/>
  </sheetPr>
  <dimension ref="A1:Z118"/>
  <sheetViews>
    <sheetView showGridLines="0" view="pageBreakPreview" topLeftCell="A106" workbookViewId="0">
      <selection activeCell="L69" sqref="L69"/>
    </sheetView>
  </sheetViews>
  <sheetFormatPr defaultColWidth="9.140625" defaultRowHeight="15"/>
  <cols>
    <col min="1" max="1" width="4" style="1219" customWidth="1"/>
    <col min="2" max="2" width="22" style="1220" customWidth="1"/>
    <col min="3" max="3" width="5.5703125" style="1212" customWidth="1"/>
    <col min="4" max="4" width="2.5703125" style="1212" customWidth="1"/>
    <col min="5" max="5" width="4.7109375" style="1212" customWidth="1"/>
    <col min="6" max="6" width="7.7109375" style="1212" customWidth="1"/>
    <col min="7" max="7" width="10.28515625" style="1212" customWidth="1"/>
    <col min="8" max="8" width="10.140625" style="1212" customWidth="1"/>
    <col min="9" max="10" width="9.85546875" style="1212" customWidth="1"/>
    <col min="11" max="11" width="6.5703125" style="1212" customWidth="1"/>
    <col min="12" max="12" width="12.28515625" style="1221" customWidth="1"/>
    <col min="13" max="13" width="9.140625" style="1220" hidden="1" customWidth="1"/>
    <col min="14" max="14" width="13.85546875" style="1220" hidden="1" customWidth="1"/>
    <col min="15" max="15" width="11" style="1220" hidden="1" customWidth="1"/>
    <col min="16" max="16" width="6.28515625" style="1220" hidden="1" customWidth="1"/>
    <col min="17" max="26" width="9.140625" style="1220" hidden="1" customWidth="1"/>
    <col min="27" max="16384" width="9.140625" style="1220"/>
  </cols>
  <sheetData>
    <row r="1" spans="1:15" ht="18" customHeight="1">
      <c r="A1" s="3777" t="s">
        <v>2765</v>
      </c>
      <c r="B1" s="3778"/>
      <c r="C1" s="3778"/>
      <c r="D1" s="3778"/>
      <c r="E1" s="3778"/>
      <c r="F1" s="3778"/>
      <c r="G1" s="3778"/>
      <c r="H1" s="3778"/>
      <c r="I1" s="3778"/>
      <c r="J1" s="3778"/>
      <c r="K1" s="3778"/>
      <c r="L1" s="3779"/>
    </row>
    <row r="2" spans="1:15" ht="30" customHeight="1">
      <c r="A2" s="3780" t="s">
        <v>677</v>
      </c>
      <c r="B2" s="3781"/>
      <c r="C2" s="1222"/>
      <c r="D2" s="1222"/>
      <c r="E2" s="1222"/>
      <c r="F2" s="3782" t="str">
        <f>'Input Data'!E1</f>
        <v>R/F A to B in Wanaparthy Mandal of Wanaparthy District</v>
      </c>
      <c r="G2" s="3782"/>
      <c r="H2" s="3782"/>
      <c r="I2" s="3782"/>
      <c r="J2" s="3782"/>
      <c r="K2" s="3782"/>
      <c r="L2" s="3783"/>
    </row>
    <row r="3" spans="1:15" s="1212" customFormat="1" ht="21.75" customHeight="1">
      <c r="A3" s="3784" t="s">
        <v>1434</v>
      </c>
      <c r="B3" s="3785"/>
      <c r="C3" s="3785"/>
      <c r="D3" s="3785"/>
      <c r="E3" s="3785"/>
      <c r="F3" s="3785"/>
      <c r="G3" s="3785"/>
      <c r="H3" s="3785"/>
      <c r="I3" s="3785"/>
      <c r="J3" s="3785"/>
      <c r="K3" s="3785"/>
      <c r="L3" s="3786"/>
    </row>
    <row r="4" spans="1:15" s="1212" customFormat="1" ht="33" customHeight="1">
      <c r="A4" s="1223" t="s">
        <v>1380</v>
      </c>
      <c r="B4" s="1224" t="s">
        <v>953</v>
      </c>
      <c r="C4" s="3787" t="s">
        <v>954</v>
      </c>
      <c r="D4" s="3787"/>
      <c r="E4" s="3787"/>
      <c r="F4" s="1224" t="s">
        <v>180</v>
      </c>
      <c r="G4" s="1224" t="s">
        <v>781</v>
      </c>
      <c r="H4" s="1224" t="s">
        <v>955</v>
      </c>
      <c r="I4" s="1261" t="s">
        <v>3</v>
      </c>
      <c r="J4" s="1262" t="s">
        <v>5</v>
      </c>
      <c r="K4" s="1262" t="s">
        <v>580</v>
      </c>
      <c r="L4" s="1263" t="s">
        <v>7</v>
      </c>
    </row>
    <row r="5" spans="1:15" s="1212" customFormat="1">
      <c r="A5" s="1225">
        <v>1</v>
      </c>
      <c r="B5" s="1226">
        <v>2</v>
      </c>
      <c r="C5" s="3788">
        <v>3</v>
      </c>
      <c r="D5" s="3788"/>
      <c r="E5" s="3788"/>
      <c r="F5" s="1226">
        <v>4</v>
      </c>
      <c r="G5" s="1226">
        <v>5</v>
      </c>
      <c r="H5" s="1226">
        <v>6</v>
      </c>
      <c r="I5" s="1226">
        <v>7</v>
      </c>
      <c r="J5" s="1226">
        <v>8</v>
      </c>
      <c r="K5" s="1226">
        <v>9</v>
      </c>
      <c r="L5" s="1264">
        <v>10</v>
      </c>
    </row>
    <row r="6" spans="1:15" ht="88.5" customHeight="1">
      <c r="A6" s="1227">
        <v>1</v>
      </c>
      <c r="B6" s="3789" t="str">
        <f>'Pipe data'!B4:G4</f>
        <v>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v>
      </c>
      <c r="C6" s="3789"/>
      <c r="D6" s="3789"/>
      <c r="E6" s="3789"/>
      <c r="F6" s="3789"/>
      <c r="G6" s="3789"/>
      <c r="H6" s="3789"/>
      <c r="I6" s="3789"/>
      <c r="J6" s="3789"/>
      <c r="K6" s="3789"/>
      <c r="L6" s="1265"/>
      <c r="O6" s="1266"/>
    </row>
    <row r="7" spans="1:15" ht="20.100000000000001" customHeight="1">
      <c r="A7" s="1228"/>
      <c r="B7" s="1229" t="s">
        <v>1397</v>
      </c>
      <c r="C7" s="1230">
        <v>1</v>
      </c>
      <c r="D7" s="1230" t="s">
        <v>956</v>
      </c>
      <c r="E7" s="1230">
        <v>2</v>
      </c>
      <c r="F7" s="1230">
        <v>8.4499999999999993</v>
      </c>
      <c r="G7" s="1230">
        <v>3.5</v>
      </c>
      <c r="H7" s="1230">
        <v>2.15</v>
      </c>
      <c r="I7" s="1230">
        <f>ROUND(PRODUCT(C7:H7),2)</f>
        <v>127.17</v>
      </c>
      <c r="J7" s="1233"/>
      <c r="K7" s="1267"/>
      <c r="L7" s="1268"/>
      <c r="O7" s="1266"/>
    </row>
    <row r="8" spans="1:15" ht="30" customHeight="1">
      <c r="A8" s="1228"/>
      <c r="B8" s="1229" t="s">
        <v>1398</v>
      </c>
      <c r="C8" s="1230">
        <v>2</v>
      </c>
      <c r="D8" s="1230" t="s">
        <v>956</v>
      </c>
      <c r="E8" s="1230">
        <v>2</v>
      </c>
      <c r="F8" s="1230">
        <v>3.5</v>
      </c>
      <c r="G8" s="1231" t="s">
        <v>1399</v>
      </c>
      <c r="H8" s="1230">
        <v>2.15</v>
      </c>
      <c r="I8" s="1230">
        <f>ROUND(PRODUCT(C8:H8)*(2.37+1.85)/2,2)</f>
        <v>63.51</v>
      </c>
      <c r="J8" s="1233"/>
      <c r="K8" s="1267"/>
      <c r="L8" s="1268"/>
      <c r="O8" s="1266"/>
    </row>
    <row r="9" spans="1:15" ht="15" customHeight="1">
      <c r="A9" s="1228"/>
      <c r="B9" s="1232"/>
      <c r="C9" s="1233"/>
      <c r="D9" s="1233"/>
      <c r="E9" s="1233"/>
      <c r="F9" s="1233"/>
      <c r="G9" s="1234"/>
      <c r="H9" s="1234"/>
      <c r="I9" s="1269">
        <f>SUM(I7:I8)</f>
        <v>190.68</v>
      </c>
      <c r="J9" s="1233">
        <f>'Pipe data'!G20</f>
        <v>123.69927804166667</v>
      </c>
      <c r="K9" s="1233">
        <v>1</v>
      </c>
      <c r="L9" s="1270">
        <f>ROUND(I9*J9,0)</f>
        <v>23587</v>
      </c>
      <c r="O9" s="1266"/>
    </row>
    <row r="10" spans="1:15" ht="12.75" customHeight="1">
      <c r="A10" s="1228"/>
      <c r="B10" s="1232"/>
      <c r="C10" s="1233"/>
      <c r="D10" s="1233"/>
      <c r="E10" s="1233"/>
      <c r="F10" s="1233"/>
      <c r="G10" s="1234"/>
      <c r="H10" s="1234"/>
      <c r="I10" s="1233" t="s">
        <v>31</v>
      </c>
      <c r="J10" s="1233"/>
      <c r="K10" s="1233" t="s">
        <v>31</v>
      </c>
      <c r="L10" s="1270"/>
    </row>
    <row r="11" spans="1:15" ht="45.6" hidden="1" customHeight="1">
      <c r="A11" s="1235">
        <v>2</v>
      </c>
      <c r="B11" s="3790" t="str">
        <f>'Pipe data'!B55:G55</f>
        <v>Sand  Filling  in foundation trenches as per drawing and technical specification Clause 304 of MORTH including overhead charges &amp; Contractors profit etc complete.</v>
      </c>
      <c r="C11" s="3790"/>
      <c r="D11" s="3790"/>
      <c r="E11" s="3790"/>
      <c r="F11" s="3790"/>
      <c r="G11" s="3790"/>
      <c r="H11" s="3790"/>
      <c r="I11" s="3790"/>
      <c r="J11" s="3790"/>
      <c r="K11" s="3790"/>
      <c r="L11" s="1271"/>
      <c r="N11" s="1266"/>
    </row>
    <row r="12" spans="1:15" s="1213" customFormat="1" ht="20.45" hidden="1" customHeight="1">
      <c r="A12" s="1237"/>
      <c r="B12" s="1238" t="s">
        <v>1400</v>
      </c>
      <c r="C12" s="1239">
        <v>1</v>
      </c>
      <c r="D12" s="1239" t="s">
        <v>956</v>
      </c>
      <c r="E12" s="1239">
        <v>1</v>
      </c>
      <c r="F12" s="1239">
        <v>0</v>
      </c>
      <c r="G12" s="1239">
        <v>3</v>
      </c>
      <c r="H12" s="1239">
        <v>0.15</v>
      </c>
      <c r="I12" s="1239">
        <f>ROUND(C12*E12*F12*G12*H12,2)</f>
        <v>0</v>
      </c>
      <c r="J12" s="1272"/>
      <c r="K12" s="1273"/>
      <c r="L12" s="1274"/>
      <c r="O12" s="1275"/>
    </row>
    <row r="13" spans="1:15" ht="15" hidden="1" customHeight="1">
      <c r="A13" s="1235"/>
      <c r="B13" s="1240"/>
      <c r="C13" s="1241"/>
      <c r="D13" s="1241"/>
      <c r="E13" s="1241"/>
      <c r="F13" s="1241"/>
      <c r="G13" s="1234"/>
      <c r="H13" s="1234"/>
      <c r="I13" s="1233">
        <f>SUM(I12:I12)</f>
        <v>0</v>
      </c>
      <c r="J13" s="1233">
        <f>'Pipe data'!G72</f>
        <v>1237.43</v>
      </c>
      <c r="K13" s="1233">
        <v>1</v>
      </c>
      <c r="L13" s="1270"/>
    </row>
    <row r="14" spans="1:15" ht="15" hidden="1" customHeight="1">
      <c r="A14" s="1235"/>
      <c r="B14" s="1240"/>
      <c r="C14" s="1241"/>
      <c r="D14" s="1241"/>
      <c r="E14" s="1241"/>
      <c r="F14" s="1241"/>
      <c r="G14" s="1234"/>
      <c r="H14" s="1234"/>
      <c r="I14" s="1233" t="s">
        <v>31</v>
      </c>
      <c r="J14" s="1233"/>
      <c r="K14" s="1233" t="s">
        <v>31</v>
      </c>
      <c r="L14" s="1270"/>
    </row>
    <row r="15" spans="1:15" ht="102" customHeight="1">
      <c r="A15" s="1235">
        <v>2</v>
      </c>
      <c r="B15" s="3790" t="str">
        <f>'Slab-Culverts Data'!B5:J5</f>
        <v>Providing Plain Cement Concrete (1:3:6) mix using 40mm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C15" s="3790"/>
      <c r="D15" s="3790"/>
      <c r="E15" s="3790"/>
      <c r="F15" s="3790"/>
      <c r="G15" s="3790"/>
      <c r="H15" s="3790"/>
      <c r="I15" s="3790"/>
      <c r="J15" s="3790"/>
      <c r="K15" s="3790"/>
      <c r="L15" s="1271"/>
    </row>
    <row r="16" spans="1:15" ht="20.100000000000001" customHeight="1">
      <c r="A16" s="1228"/>
      <c r="B16" s="1229" t="s">
        <v>1397</v>
      </c>
      <c r="C16" s="1230">
        <v>1</v>
      </c>
      <c r="D16" s="1230" t="s">
        <v>956</v>
      </c>
      <c r="E16" s="1230">
        <v>2</v>
      </c>
      <c r="F16" s="1230">
        <v>8.4499999999999993</v>
      </c>
      <c r="G16" s="1230">
        <v>3.5</v>
      </c>
      <c r="H16" s="1230">
        <v>0.15</v>
      </c>
      <c r="I16" s="1230">
        <f>ROUND(PRODUCT(C16:H16),2)</f>
        <v>8.8699999999999992</v>
      </c>
      <c r="J16" s="1233"/>
      <c r="K16" s="1267"/>
      <c r="L16" s="1268"/>
    </row>
    <row r="17" spans="1:12" ht="30" customHeight="1">
      <c r="A17" s="1228"/>
      <c r="B17" s="1229" t="s">
        <v>1398</v>
      </c>
      <c r="C17" s="1230">
        <v>2</v>
      </c>
      <c r="D17" s="1230" t="s">
        <v>956</v>
      </c>
      <c r="E17" s="1230">
        <v>2</v>
      </c>
      <c r="F17" s="1230">
        <v>3.5</v>
      </c>
      <c r="G17" s="1231" t="s">
        <v>1435</v>
      </c>
      <c r="H17" s="1230">
        <v>0.15</v>
      </c>
      <c r="I17" s="1230">
        <f>ROUND(PRODUCT(C17:H17)*(2.38+1.85)/2,2)</f>
        <v>4.4400000000000004</v>
      </c>
      <c r="J17" s="1233"/>
      <c r="K17" s="1267"/>
      <c r="L17" s="1268"/>
    </row>
    <row r="18" spans="1:12" ht="15" customHeight="1">
      <c r="A18" s="1228"/>
      <c r="B18" s="1242"/>
      <c r="C18" s="1243"/>
      <c r="D18" s="1243"/>
      <c r="E18" s="1243"/>
      <c r="F18" s="1243"/>
      <c r="G18" s="1243"/>
      <c r="H18" s="1243"/>
      <c r="I18" s="1269">
        <f>SUM(I16:I17)</f>
        <v>13.309999999999999</v>
      </c>
      <c r="J18" s="1233">
        <f>'Slab-Culverts Data'!J31</f>
        <v>5706.01</v>
      </c>
      <c r="K18" s="1233">
        <v>1</v>
      </c>
      <c r="L18" s="1270">
        <f>ROUND(I18*J18,0)</f>
        <v>75947</v>
      </c>
    </row>
    <row r="19" spans="1:12" ht="15" customHeight="1">
      <c r="A19" s="1228"/>
      <c r="B19" s="1232"/>
      <c r="C19" s="1233"/>
      <c r="D19" s="1233"/>
      <c r="E19" s="1233"/>
      <c r="F19" s="1234"/>
      <c r="G19" s="1234"/>
      <c r="H19" s="1234"/>
      <c r="I19" s="1233" t="s">
        <v>31</v>
      </c>
      <c r="J19" s="1233"/>
      <c r="K19" s="1233" t="s">
        <v>31</v>
      </c>
      <c r="L19" s="1270"/>
    </row>
    <row r="20" spans="1:12" ht="102.75" customHeight="1">
      <c r="A20" s="1235">
        <v>3</v>
      </c>
      <c r="B20" s="3790" t="str">
        <f>'Slab-Culverts Data'!B33:J33</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C20" s="3790"/>
      <c r="D20" s="3790"/>
      <c r="E20" s="3790"/>
      <c r="F20" s="3790"/>
      <c r="G20" s="3790"/>
      <c r="H20" s="3790"/>
      <c r="I20" s="3790"/>
      <c r="J20" s="3790"/>
      <c r="K20" s="3790"/>
      <c r="L20" s="1271"/>
    </row>
    <row r="21" spans="1:12" ht="20.100000000000001" customHeight="1">
      <c r="A21" s="1228"/>
      <c r="B21" s="1244" t="s">
        <v>1401</v>
      </c>
      <c r="C21" s="1234"/>
      <c r="D21" s="1234"/>
      <c r="E21" s="1234"/>
      <c r="F21" s="1233"/>
      <c r="G21" s="1233"/>
      <c r="H21" s="1233"/>
      <c r="I21" s="1233"/>
      <c r="J21" s="1233"/>
      <c r="K21" s="1267"/>
      <c r="L21" s="1268"/>
    </row>
    <row r="22" spans="1:12" s="1214" customFormat="1" ht="20.100000000000001" customHeight="1">
      <c r="A22" s="1245"/>
      <c r="B22" s="1246" t="s">
        <v>1402</v>
      </c>
      <c r="C22" s="1247">
        <v>1</v>
      </c>
      <c r="D22" s="1247" t="s">
        <v>956</v>
      </c>
      <c r="E22" s="1247">
        <v>2</v>
      </c>
      <c r="F22" s="1247">
        <v>8.25</v>
      </c>
      <c r="G22" s="1247">
        <v>3.3</v>
      </c>
      <c r="H22" s="1247">
        <v>0.2</v>
      </c>
      <c r="I22" s="1247">
        <f>ROUNDDOWN(PRODUCT(C22:H22),2)</f>
        <v>10.89</v>
      </c>
      <c r="J22" s="1247"/>
      <c r="K22" s="1247"/>
      <c r="L22" s="1276"/>
    </row>
    <row r="23" spans="1:12" s="1214" customFormat="1" ht="20.100000000000001" customHeight="1">
      <c r="A23" s="1245"/>
      <c r="B23" s="1246" t="s">
        <v>1403</v>
      </c>
      <c r="C23" s="1247">
        <v>1</v>
      </c>
      <c r="D23" s="1247" t="s">
        <v>956</v>
      </c>
      <c r="E23" s="1247">
        <v>2</v>
      </c>
      <c r="F23" s="1247">
        <f>F22</f>
        <v>8.25</v>
      </c>
      <c r="G23" s="1247">
        <v>2.9</v>
      </c>
      <c r="H23" s="1247">
        <v>0.2</v>
      </c>
      <c r="I23" s="1247">
        <f>ROUNDDOWN(PRODUCT(C23:H23),2)</f>
        <v>9.57</v>
      </c>
      <c r="J23" s="1247"/>
      <c r="K23" s="1247"/>
      <c r="L23" s="1276"/>
    </row>
    <row r="24" spans="1:12" s="1214" customFormat="1" ht="20.100000000000001" customHeight="1">
      <c r="A24" s="1245"/>
      <c r="B24" s="1246" t="s">
        <v>1404</v>
      </c>
      <c r="C24" s="1247">
        <v>1</v>
      </c>
      <c r="D24" s="1247" t="s">
        <v>956</v>
      </c>
      <c r="E24" s="1247">
        <v>2</v>
      </c>
      <c r="F24" s="1247">
        <f>F23</f>
        <v>8.25</v>
      </c>
      <c r="G24" s="1247">
        <v>2.5</v>
      </c>
      <c r="H24" s="1247">
        <v>0.4</v>
      </c>
      <c r="I24" s="1247">
        <f>ROUNDDOWN(PRODUCT(C24:H24),2)</f>
        <v>16.5</v>
      </c>
      <c r="J24" s="1247"/>
      <c r="K24" s="1247"/>
      <c r="L24" s="1276"/>
    </row>
    <row r="25" spans="1:12" s="1214" customFormat="1" ht="28.5" customHeight="1">
      <c r="A25" s="1245"/>
      <c r="B25" s="1246" t="s">
        <v>1405</v>
      </c>
      <c r="C25" s="1247">
        <v>1</v>
      </c>
      <c r="D25" s="1247" t="s">
        <v>956</v>
      </c>
      <c r="E25" s="1247">
        <v>2</v>
      </c>
      <c r="F25" s="1247">
        <f>F24</f>
        <v>8.25</v>
      </c>
      <c r="G25" s="1248" t="s">
        <v>1436</v>
      </c>
      <c r="H25" s="1247">
        <v>0.4</v>
      </c>
      <c r="I25" s="1247">
        <f>ROUNDDOWN(PRODUCT(C25:H25)*(2.5+2.1)/2,2)</f>
        <v>15.18</v>
      </c>
      <c r="J25" s="1247"/>
      <c r="K25" s="1247"/>
      <c r="L25" s="1276"/>
    </row>
    <row r="26" spans="1:12" ht="29.25" customHeight="1">
      <c r="A26" s="1228"/>
      <c r="B26" s="1249" t="s">
        <v>1437</v>
      </c>
      <c r="C26" s="1247">
        <v>1</v>
      </c>
      <c r="D26" s="1247" t="s">
        <v>956</v>
      </c>
      <c r="E26" s="1247">
        <v>2</v>
      </c>
      <c r="F26" s="1247">
        <v>8.25</v>
      </c>
      <c r="G26" s="1248" t="s">
        <v>1438</v>
      </c>
      <c r="H26" s="1247">
        <v>0.8</v>
      </c>
      <c r="I26" s="1247">
        <f>ROUNDDOWN(PRODUCT(C26:H26)*(2.1+1.82)/2,2)</f>
        <v>25.87</v>
      </c>
      <c r="J26" s="1233"/>
      <c r="K26" s="1233"/>
      <c r="L26" s="1270"/>
    </row>
    <row r="27" spans="1:12" s="1214" customFormat="1" ht="20.100000000000001" customHeight="1">
      <c r="A27" s="1245"/>
      <c r="B27" s="1246" t="s">
        <v>1398</v>
      </c>
      <c r="C27" s="1247">
        <v>2</v>
      </c>
      <c r="D27" s="1247" t="s">
        <v>956</v>
      </c>
      <c r="E27" s="1247">
        <v>2</v>
      </c>
      <c r="F27" s="1247">
        <v>3.5</v>
      </c>
      <c r="G27" s="1248">
        <v>2.5299999999999998</v>
      </c>
      <c r="H27" s="1247">
        <v>0.4</v>
      </c>
      <c r="I27" s="1247">
        <f>ROUNDDOWN(PRODUCT(C27:H27),2)</f>
        <v>14.16</v>
      </c>
      <c r="J27" s="1247"/>
      <c r="K27" s="1247"/>
      <c r="L27" s="1276"/>
    </row>
    <row r="28" spans="1:12" s="1214" customFormat="1" ht="20.100000000000001" customHeight="1">
      <c r="A28" s="1245"/>
      <c r="B28" s="1246" t="s">
        <v>1408</v>
      </c>
      <c r="C28" s="1247">
        <v>2</v>
      </c>
      <c r="D28" s="1247" t="s">
        <v>956</v>
      </c>
      <c r="E28" s="1247">
        <v>2</v>
      </c>
      <c r="F28" s="1247">
        <v>3.5</v>
      </c>
      <c r="G28" s="1248">
        <v>2.13</v>
      </c>
      <c r="H28" s="1247">
        <v>0.4</v>
      </c>
      <c r="I28" s="1247">
        <f>ROUNDDOWN(PRODUCT(C28:H28),2)</f>
        <v>11.92</v>
      </c>
      <c r="J28" s="1247"/>
      <c r="K28" s="1247"/>
      <c r="L28" s="1276"/>
    </row>
    <row r="29" spans="1:12" s="1214" customFormat="1" ht="26.25" customHeight="1">
      <c r="A29" s="1245"/>
      <c r="B29" s="1246" t="s">
        <v>1410</v>
      </c>
      <c r="C29" s="1247">
        <v>2</v>
      </c>
      <c r="D29" s="1247" t="s">
        <v>956</v>
      </c>
      <c r="E29" s="1247">
        <v>2</v>
      </c>
      <c r="F29" s="1247">
        <v>3.5</v>
      </c>
      <c r="G29" s="1248" t="s">
        <v>1439</v>
      </c>
      <c r="H29" s="1247">
        <v>0.4</v>
      </c>
      <c r="I29" s="1247">
        <f>ROUNDDOWN(PRODUCT(C29:H29)*(2.13+1.73)/2,2)</f>
        <v>10.8</v>
      </c>
      <c r="J29" s="1247"/>
      <c r="K29" s="1247"/>
      <c r="L29" s="1276"/>
    </row>
    <row r="30" spans="1:12" ht="25.5" customHeight="1">
      <c r="A30" s="1228"/>
      <c r="B30" s="1250" t="s">
        <v>1440</v>
      </c>
      <c r="C30" s="1251">
        <v>2</v>
      </c>
      <c r="D30" s="1251" t="s">
        <v>956</v>
      </c>
      <c r="E30" s="1251">
        <v>2</v>
      </c>
      <c r="F30" s="1247">
        <v>3.5</v>
      </c>
      <c r="G30" s="1248" t="s">
        <v>1441</v>
      </c>
      <c r="H30" s="1247">
        <v>0.8</v>
      </c>
      <c r="I30" s="1247">
        <f>ROUNDDOWN(PRODUCT(C30:H30)*(1.73+1.38)/2,2)</f>
        <v>17.41</v>
      </c>
      <c r="J30" s="1233"/>
      <c r="K30" s="1233"/>
      <c r="L30" s="1270"/>
    </row>
    <row r="31" spans="1:12" ht="20.100000000000001" customHeight="1">
      <c r="A31" s="1228"/>
      <c r="B31" s="1232"/>
      <c r="C31" s="1233"/>
      <c r="D31" s="1233"/>
      <c r="E31" s="1233"/>
      <c r="F31" s="1234"/>
      <c r="G31" s="1234"/>
      <c r="H31" s="1234"/>
      <c r="I31" s="1269">
        <f>SUM(I22:I30)</f>
        <v>132.30000000000001</v>
      </c>
      <c r="J31" s="1233">
        <f>'Slab-Culverts Data'!J62</f>
        <v>6381.51</v>
      </c>
      <c r="K31" s="1233">
        <v>1</v>
      </c>
      <c r="L31" s="1270">
        <f>ROUND(I31*J31,0)</f>
        <v>844274</v>
      </c>
    </row>
    <row r="32" spans="1:12" ht="20.100000000000001" customHeight="1">
      <c r="A32" s="1228"/>
      <c r="B32" s="1232"/>
      <c r="C32" s="1233"/>
      <c r="D32" s="1233"/>
      <c r="E32" s="1233"/>
      <c r="F32" s="1234"/>
      <c r="G32" s="1234"/>
      <c r="H32" s="1234"/>
      <c r="I32" s="1233" t="s">
        <v>31</v>
      </c>
      <c r="J32" s="1233"/>
      <c r="K32" s="1233" t="s">
        <v>31</v>
      </c>
      <c r="L32" s="1270"/>
    </row>
    <row r="33" spans="1:12" ht="102.75" customHeight="1">
      <c r="A33" s="1235">
        <v>4</v>
      </c>
      <c r="B33" s="3790" t="str">
        <f>'Slab-Culverts Data'!B177:J177</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v>
      </c>
      <c r="C33" s="3790"/>
      <c r="D33" s="3790"/>
      <c r="E33" s="3790"/>
      <c r="F33" s="3790"/>
      <c r="G33" s="3790"/>
      <c r="H33" s="3790"/>
      <c r="I33" s="3790"/>
      <c r="J33" s="3790"/>
      <c r="K33" s="3790"/>
      <c r="L33" s="1270"/>
    </row>
    <row r="34" spans="1:12" ht="27" customHeight="1">
      <c r="A34" s="1228"/>
      <c r="B34" s="1246" t="s">
        <v>1412</v>
      </c>
      <c r="C34" s="1247">
        <v>1</v>
      </c>
      <c r="D34" s="1247" t="s">
        <v>956</v>
      </c>
      <c r="E34" s="1247">
        <f>E26</f>
        <v>2</v>
      </c>
      <c r="F34" s="1247">
        <v>8.25</v>
      </c>
      <c r="G34" s="1248" t="s">
        <v>1442</v>
      </c>
      <c r="H34" s="1247">
        <v>1.5</v>
      </c>
      <c r="I34" s="1247">
        <f>ROUNDDOWN(PRODUCT(C34:H34)*(1.82+1.3)/2,2)</f>
        <v>38.61</v>
      </c>
      <c r="J34" s="1233"/>
      <c r="K34" s="1233"/>
      <c r="L34" s="1270"/>
    </row>
    <row r="35" spans="1:12" ht="20.100000000000001" customHeight="1">
      <c r="A35" s="1228"/>
      <c r="B35" s="1246" t="s">
        <v>1414</v>
      </c>
      <c r="C35" s="1247">
        <v>1</v>
      </c>
      <c r="D35" s="1247" t="s">
        <v>956</v>
      </c>
      <c r="E35" s="1247">
        <v>2</v>
      </c>
      <c r="F35" s="1247">
        <v>8.25</v>
      </c>
      <c r="G35" s="1247">
        <v>0.3</v>
      </c>
      <c r="H35" s="1247">
        <v>0.2</v>
      </c>
      <c r="I35" s="1247">
        <f>ROUNDDOWN(PRODUCT(C35:H35),2)</f>
        <v>0.99</v>
      </c>
      <c r="J35" s="1233"/>
      <c r="K35" s="1233"/>
      <c r="L35" s="1270"/>
    </row>
    <row r="36" spans="1:12" ht="27.75" customHeight="1">
      <c r="A36" s="1228"/>
      <c r="B36" s="1252" t="s">
        <v>1443</v>
      </c>
      <c r="C36" s="1251">
        <v>2</v>
      </c>
      <c r="D36" s="1251" t="s">
        <v>956</v>
      </c>
      <c r="E36" s="1251">
        <v>2</v>
      </c>
      <c r="F36" s="1247">
        <v>3.5</v>
      </c>
      <c r="G36" s="1248" t="s">
        <v>1444</v>
      </c>
      <c r="H36" s="1247">
        <v>2</v>
      </c>
      <c r="I36" s="1247">
        <f>ROUNDDOWN(PRODUCT(C36:H36)*(1.38+0.5)/2,2)</f>
        <v>26.32</v>
      </c>
      <c r="J36" s="1233"/>
      <c r="K36" s="1233"/>
      <c r="L36" s="1270"/>
    </row>
    <row r="37" spans="1:12" ht="20.100000000000001" customHeight="1">
      <c r="A37" s="1228"/>
      <c r="B37" s="1253"/>
      <c r="C37" s="1243"/>
      <c r="D37" s="1243"/>
      <c r="E37" s="1243"/>
      <c r="F37" s="1243"/>
      <c r="G37" s="1243"/>
      <c r="H37" s="1243"/>
      <c r="I37" s="1269">
        <f>SUM(I34:I36)</f>
        <v>65.92</v>
      </c>
      <c r="J37" s="1233">
        <f>'Slab-Culverts Data'!J206</f>
        <v>6749.67</v>
      </c>
      <c r="K37" s="1233">
        <v>1</v>
      </c>
      <c r="L37" s="1270">
        <f>ROUND(I37*J37,0)</f>
        <v>444938</v>
      </c>
    </row>
    <row r="38" spans="1:12" ht="18" customHeight="1">
      <c r="A38" s="1228"/>
      <c r="B38" s="1232"/>
      <c r="C38" s="1233"/>
      <c r="D38" s="1233"/>
      <c r="E38" s="1233"/>
      <c r="F38" s="1234"/>
      <c r="G38" s="1234"/>
      <c r="H38" s="1234"/>
      <c r="I38" s="1233" t="s">
        <v>31</v>
      </c>
      <c r="J38" s="1233"/>
      <c r="K38" s="1233" t="s">
        <v>31</v>
      </c>
      <c r="L38" s="1270"/>
    </row>
    <row r="39" spans="1:12" ht="7.5" customHeight="1">
      <c r="A39" s="1235"/>
      <c r="B39" s="1240"/>
      <c r="C39" s="1241"/>
      <c r="D39" s="1241"/>
      <c r="E39" s="1241"/>
      <c r="F39" s="1234"/>
      <c r="G39" s="1234"/>
      <c r="H39" s="1234"/>
      <c r="I39" s="1233"/>
      <c r="J39" s="1233"/>
      <c r="K39" s="1233"/>
      <c r="L39" s="1270"/>
    </row>
    <row r="40" spans="1:12" ht="109.5" customHeight="1">
      <c r="A40" s="1235">
        <v>5</v>
      </c>
      <c r="B40" s="3790" t="str">
        <f>'Slab-Culverts Data'!B239:J239</f>
        <v>Providing reinforced concrete of M25 mix using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Sub-structure.for  Bed blocks &amp; Backing walls</v>
      </c>
      <c r="C40" s="3790"/>
      <c r="D40" s="3790"/>
      <c r="E40" s="3790"/>
      <c r="F40" s="3790"/>
      <c r="G40" s="3790"/>
      <c r="H40" s="3790"/>
      <c r="I40" s="3790"/>
      <c r="J40" s="3790"/>
      <c r="K40" s="3790"/>
      <c r="L40" s="1270"/>
    </row>
    <row r="41" spans="1:12" ht="31.5" customHeight="1">
      <c r="A41" s="1228"/>
      <c r="B41" s="1252" t="s">
        <v>1417</v>
      </c>
      <c r="C41" s="1247">
        <v>1</v>
      </c>
      <c r="D41" s="1247" t="s">
        <v>956</v>
      </c>
      <c r="E41" s="1247">
        <v>2</v>
      </c>
      <c r="F41" s="1247">
        <v>8.25</v>
      </c>
      <c r="G41" s="1247">
        <v>1.375</v>
      </c>
      <c r="H41" s="1247">
        <v>0.3</v>
      </c>
      <c r="I41" s="1247">
        <f>ROUND(PRODUCT(C41:H41),2)</f>
        <v>6.81</v>
      </c>
      <c r="J41" s="1233"/>
      <c r="K41" s="1233"/>
      <c r="L41" s="1270"/>
    </row>
    <row r="42" spans="1:12" s="1215" customFormat="1" ht="20.100000000000001" hidden="1" customHeight="1">
      <c r="A42" s="1254"/>
      <c r="B42" s="1252"/>
      <c r="C42" s="1251"/>
      <c r="D42" s="1251"/>
      <c r="E42" s="1251"/>
      <c r="F42" s="1251"/>
      <c r="G42" s="1251"/>
      <c r="H42" s="1251"/>
      <c r="I42" s="1251"/>
      <c r="J42" s="1251"/>
      <c r="K42" s="1251"/>
      <c r="L42" s="1277"/>
    </row>
    <row r="43" spans="1:12" s="1215" customFormat="1" ht="20.100000000000001" customHeight="1">
      <c r="A43" s="1254"/>
      <c r="B43" s="1250" t="s">
        <v>1445</v>
      </c>
      <c r="C43" s="1251">
        <v>1</v>
      </c>
      <c r="D43" s="1251" t="s">
        <v>956</v>
      </c>
      <c r="E43" s="1251">
        <v>2</v>
      </c>
      <c r="F43" s="1251">
        <v>8.25</v>
      </c>
      <c r="G43" s="1251">
        <v>0.92</v>
      </c>
      <c r="H43" s="1251">
        <v>0.2</v>
      </c>
      <c r="I43" s="1251">
        <f>ROUNDDOWN(PRODUCT(C43:H43),2)</f>
        <v>3.03</v>
      </c>
      <c r="J43" s="1251"/>
      <c r="K43" s="1251"/>
      <c r="L43" s="1277"/>
    </row>
    <row r="44" spans="1:12" s="1215" customFormat="1" ht="20.100000000000001" customHeight="1">
      <c r="A44" s="1254"/>
      <c r="B44" s="1252" t="s">
        <v>1419</v>
      </c>
      <c r="C44" s="1251">
        <v>1</v>
      </c>
      <c r="D44" s="1251" t="s">
        <v>956</v>
      </c>
      <c r="E44" s="1251">
        <v>2</v>
      </c>
      <c r="F44" s="1251">
        <v>15.6</v>
      </c>
      <c r="G44" s="1251">
        <v>0.47499999999999998</v>
      </c>
      <c r="H44" s="1251">
        <v>0.27500000000000002</v>
      </c>
      <c r="I44" s="1251">
        <f>ROUNDDOWN(PRODUCT(C44:H44),2)</f>
        <v>4.07</v>
      </c>
      <c r="J44" s="1251"/>
      <c r="K44" s="1251"/>
      <c r="L44" s="1277"/>
    </row>
    <row r="45" spans="1:12" ht="20.100000000000001" customHeight="1">
      <c r="A45" s="1228"/>
      <c r="B45" s="1232"/>
      <c r="C45" s="1233"/>
      <c r="D45" s="1233"/>
      <c r="E45" s="1233"/>
      <c r="F45" s="1234"/>
      <c r="G45" s="1234"/>
      <c r="H45" s="1234"/>
      <c r="I45" s="1278">
        <f>SUM(I41:I44)</f>
        <v>13.91</v>
      </c>
      <c r="J45" s="1233">
        <f>'Slab-Culverts Data'!J267</f>
        <v>7666.61</v>
      </c>
      <c r="K45" s="1233">
        <v>1</v>
      </c>
      <c r="L45" s="1270">
        <f>ROUND(I45*J45,0)</f>
        <v>106643</v>
      </c>
    </row>
    <row r="46" spans="1:12" ht="18" customHeight="1">
      <c r="A46" s="1228"/>
      <c r="B46" s="1232"/>
      <c r="C46" s="1233"/>
      <c r="D46" s="1233"/>
      <c r="E46" s="1233"/>
      <c r="F46" s="1234"/>
      <c r="G46" s="1234"/>
      <c r="H46" s="1234"/>
      <c r="I46" s="1233" t="s">
        <v>31</v>
      </c>
      <c r="J46" s="1233"/>
      <c r="K46" s="1233" t="s">
        <v>31</v>
      </c>
      <c r="L46" s="1270"/>
    </row>
    <row r="47" spans="1:12" ht="130.5" customHeight="1">
      <c r="A47" s="1255">
        <v>7</v>
      </c>
      <c r="B47" s="3791" t="str">
        <f>'Slab-Culverts Data'!B338:J338</f>
        <v xml:space="preserve">Vibrated reinforced cement concrete M 25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MoRT&amp;H specification  1500,1600,1700 &amp; 2200  (5th revision ) and  as directed by the Engineer-in-Charge </v>
      </c>
      <c r="C47" s="3792"/>
      <c r="D47" s="3792"/>
      <c r="E47" s="3792"/>
      <c r="F47" s="3792"/>
      <c r="G47" s="3792"/>
      <c r="H47" s="3792"/>
      <c r="I47" s="3792"/>
      <c r="J47" s="3792"/>
      <c r="K47" s="3793"/>
      <c r="L47" s="1279"/>
    </row>
    <row r="48" spans="1:12" ht="15.6" customHeight="1">
      <c r="A48" s="1235"/>
      <c r="B48" s="1240" t="s">
        <v>1420</v>
      </c>
      <c r="C48" s="1241"/>
      <c r="D48" s="1241"/>
      <c r="E48" s="1241"/>
      <c r="F48" s="1241"/>
      <c r="G48" s="1241"/>
      <c r="H48" s="1241"/>
      <c r="I48" s="1241"/>
      <c r="J48" s="1241"/>
      <c r="K48" s="1241"/>
      <c r="L48" s="1271"/>
    </row>
    <row r="49" spans="1:14" s="1216" customFormat="1" ht="18" customHeight="1">
      <c r="A49" s="1256"/>
      <c r="B49" s="1257" t="s">
        <v>1421</v>
      </c>
      <c r="C49" s="1251">
        <v>1</v>
      </c>
      <c r="D49" s="1251" t="s">
        <v>956</v>
      </c>
      <c r="E49" s="1251">
        <v>1</v>
      </c>
      <c r="F49" s="1251">
        <v>8.25</v>
      </c>
      <c r="G49" s="1251">
        <v>6.76</v>
      </c>
      <c r="H49" s="1251">
        <v>0.5</v>
      </c>
      <c r="I49" s="1251">
        <f>ROUNDDOWN(PRODUCT(C49:H49),2)</f>
        <v>27.88</v>
      </c>
      <c r="J49" s="1239"/>
      <c r="K49" s="1280"/>
      <c r="L49" s="1281"/>
      <c r="M49" s="1282"/>
      <c r="N49" s="1283"/>
    </row>
    <row r="50" spans="1:14" ht="15" customHeight="1">
      <c r="A50" s="1235"/>
      <c r="B50" s="1240"/>
      <c r="C50" s="1241"/>
      <c r="D50" s="1241"/>
      <c r="E50" s="1241"/>
      <c r="F50" s="1234"/>
      <c r="G50" s="1233"/>
      <c r="H50" s="1234"/>
      <c r="I50" s="1278">
        <f>I49</f>
        <v>27.88</v>
      </c>
      <c r="J50" s="1233">
        <f>'Slab-Culverts Data'!J366</f>
        <v>8336.31</v>
      </c>
      <c r="K50" s="1233">
        <v>1</v>
      </c>
      <c r="L50" s="1270">
        <f>ROUND(I50*J50,0)</f>
        <v>232416</v>
      </c>
    </row>
    <row r="51" spans="1:14" ht="15" customHeight="1">
      <c r="A51" s="1235"/>
      <c r="B51" s="1240"/>
      <c r="C51" s="1241"/>
      <c r="D51" s="1241"/>
      <c r="E51" s="1241"/>
      <c r="F51" s="1234"/>
      <c r="G51" s="1234"/>
      <c r="H51" s="1234"/>
      <c r="I51" s="1233" t="s">
        <v>31</v>
      </c>
      <c r="J51" s="1233"/>
      <c r="K51" s="1233" t="s">
        <v>31</v>
      </c>
      <c r="L51" s="1270"/>
    </row>
    <row r="52" spans="1:14" ht="7.5" customHeight="1">
      <c r="A52" s="1235"/>
      <c r="B52" s="1240"/>
      <c r="C52" s="1241"/>
      <c r="D52" s="1241"/>
      <c r="E52" s="1241"/>
      <c r="F52" s="1234"/>
      <c r="G52" s="1234"/>
      <c r="H52" s="1234"/>
      <c r="I52" s="1233"/>
      <c r="J52" s="1233"/>
      <c r="K52" s="1233"/>
      <c r="L52" s="1270"/>
    </row>
    <row r="53" spans="1:14" ht="102.6" hidden="1" customHeight="1">
      <c r="A53" s="1235">
        <v>7</v>
      </c>
      <c r="B53" s="3790" t="str">
        <f>'Slab-Culverts Data'!B369:J369</f>
        <v>Vibrated reinforced cement concrete M 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MoRT&amp;H  specification 1500, 1600, 1700&amp; 2300 as directed by the Engineer-in-Charge for  superstructure (Deck Slab)</v>
      </c>
      <c r="C53" s="3790"/>
      <c r="D53" s="3790"/>
      <c r="E53" s="3790"/>
      <c r="F53" s="3790"/>
      <c r="G53" s="3790"/>
      <c r="H53" s="3790"/>
      <c r="I53" s="3790"/>
      <c r="J53" s="3790"/>
      <c r="K53" s="3790"/>
      <c r="L53" s="1270"/>
    </row>
    <row r="54" spans="1:14" ht="15.6" hidden="1" customHeight="1">
      <c r="A54" s="1235"/>
      <c r="B54" s="1240" t="s">
        <v>1420</v>
      </c>
      <c r="C54" s="1241"/>
      <c r="D54" s="1241"/>
      <c r="E54" s="1241"/>
      <c r="F54" s="1241"/>
      <c r="G54" s="1241"/>
      <c r="H54" s="1241"/>
      <c r="I54" s="1241"/>
      <c r="J54" s="1241"/>
      <c r="K54" s="1236"/>
      <c r="L54" s="1271"/>
    </row>
    <row r="55" spans="1:14" s="1216" customFormat="1" ht="18" hidden="1" customHeight="1">
      <c r="A55" s="1256"/>
      <c r="B55" s="1257" t="s">
        <v>1421</v>
      </c>
      <c r="C55" s="1239">
        <v>1</v>
      </c>
      <c r="D55" s="1239" t="s">
        <v>956</v>
      </c>
      <c r="E55" s="1239">
        <v>1</v>
      </c>
      <c r="F55" s="1239">
        <v>7.5</v>
      </c>
      <c r="G55" s="1239">
        <v>7</v>
      </c>
      <c r="H55" s="1239">
        <v>0.3</v>
      </c>
      <c r="I55" s="1239">
        <f>ROUND(C55*E55*F55*G55*H55,2)</f>
        <v>15.75</v>
      </c>
      <c r="J55" s="1239"/>
      <c r="K55" s="1284"/>
      <c r="L55" s="1281"/>
      <c r="M55" s="1282"/>
      <c r="N55" s="1283"/>
    </row>
    <row r="56" spans="1:14" ht="15" hidden="1" customHeight="1">
      <c r="A56" s="1235"/>
      <c r="B56" s="1240"/>
      <c r="C56" s="1241"/>
      <c r="D56" s="1241"/>
      <c r="E56" s="1241"/>
      <c r="F56" s="1234"/>
      <c r="G56" s="1233"/>
      <c r="H56" s="1234"/>
      <c r="I56" s="1233"/>
      <c r="J56" s="1233">
        <f>'Slab-Culverts Data'!J397</f>
        <v>8444.74</v>
      </c>
      <c r="K56" s="1233">
        <v>1</v>
      </c>
      <c r="L56" s="1270">
        <f>ROUND(I56*J56,0)</f>
        <v>0</v>
      </c>
    </row>
    <row r="57" spans="1:14" ht="15" hidden="1" customHeight="1">
      <c r="A57" s="1235"/>
      <c r="B57" s="1240"/>
      <c r="C57" s="1241"/>
      <c r="D57" s="1241"/>
      <c r="E57" s="1241"/>
      <c r="F57" s="1234"/>
      <c r="G57" s="1234"/>
      <c r="H57" s="1234"/>
      <c r="I57" s="1233" t="s">
        <v>31</v>
      </c>
      <c r="J57" s="1233"/>
      <c r="K57" s="1233" t="s">
        <v>31</v>
      </c>
      <c r="L57" s="1270"/>
    </row>
    <row r="58" spans="1:14" ht="60.75" customHeight="1">
      <c r="A58" s="1235">
        <v>6</v>
      </c>
      <c r="B58" s="3790" t="str">
        <f>'Slab-Culverts Data'!B605:J605</f>
        <v xml:space="preserve">Back filling behind abutment, wing wall and return wall complete as per drawing and Technical Specification  and specifications of  IRC:78 &amp; 2200 MORTH  and  as directed by the Engineer-in-Charge including overhead charges &amp; Contractors profit ,But Seignarage charges. </v>
      </c>
      <c r="C58" s="3790"/>
      <c r="D58" s="3790"/>
      <c r="E58" s="3790"/>
      <c r="F58" s="3790"/>
      <c r="G58" s="3790"/>
      <c r="H58" s="3790"/>
      <c r="I58" s="3790"/>
      <c r="J58" s="3790"/>
      <c r="K58" s="3790"/>
      <c r="L58" s="1270"/>
    </row>
    <row r="59" spans="1:14" ht="30" customHeight="1">
      <c r="A59" s="1228"/>
      <c r="B59" s="1229" t="s">
        <v>1422</v>
      </c>
      <c r="C59" s="1230">
        <v>1</v>
      </c>
      <c r="D59" s="1230" t="s">
        <v>956</v>
      </c>
      <c r="E59" s="1230">
        <v>2</v>
      </c>
      <c r="F59" s="1230">
        <v>3.5</v>
      </c>
      <c r="G59" s="1230">
        <v>6.6</v>
      </c>
      <c r="H59" s="1231" t="s">
        <v>1423</v>
      </c>
      <c r="I59" s="1230">
        <f>ROUNDDOWN(PRODUCT(C59:H59)*(2+0.5)/2,2)</f>
        <v>57.75</v>
      </c>
      <c r="J59" s="1260"/>
      <c r="K59" s="1285"/>
      <c r="L59" s="1286"/>
    </row>
    <row r="60" spans="1:14" ht="20.100000000000001" customHeight="1">
      <c r="A60" s="1228"/>
      <c r="B60" s="1232"/>
      <c r="C60" s="1233"/>
      <c r="D60" s="1233"/>
      <c r="E60" s="1233"/>
      <c r="F60" s="1234"/>
      <c r="G60" s="1233"/>
      <c r="H60" s="1234"/>
      <c r="I60" s="1278">
        <f>I59</f>
        <v>57.75</v>
      </c>
      <c r="J60" s="1233">
        <f>'Slab-Culverts Data'!J625</f>
        <v>691.79</v>
      </c>
      <c r="K60" s="1233">
        <v>1</v>
      </c>
      <c r="L60" s="1270">
        <f>ROUND(I60*J60,0)</f>
        <v>39951</v>
      </c>
    </row>
    <row r="61" spans="1:14" ht="18" customHeight="1">
      <c r="A61" s="1228"/>
      <c r="B61" s="1232"/>
      <c r="C61" s="1233"/>
      <c r="D61" s="1233"/>
      <c r="E61" s="1233"/>
      <c r="F61" s="1234"/>
      <c r="G61" s="1234"/>
      <c r="H61" s="1234"/>
      <c r="I61" s="1233" t="s">
        <v>31</v>
      </c>
      <c r="J61" s="1233"/>
      <c r="K61" s="1233" t="s">
        <v>31</v>
      </c>
      <c r="L61" s="1270"/>
    </row>
    <row r="62" spans="1:14" ht="122.25" customHeight="1">
      <c r="A62" s="1235">
        <v>7</v>
      </c>
      <c r="B62" s="3790" t="str">
        <f>'Slab-Culverts Data'!B400:J400</f>
        <v>Vibrated cement concrete M 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1500, 1600, 1700 &amp; 2702 as directed by the Engineer-in-Charge for Wearing Coat.</v>
      </c>
      <c r="C62" s="3790"/>
      <c r="D62" s="3790"/>
      <c r="E62" s="3790"/>
      <c r="F62" s="3790"/>
      <c r="G62" s="3790"/>
      <c r="H62" s="3790"/>
      <c r="I62" s="3790"/>
      <c r="J62" s="3790"/>
      <c r="K62" s="3790"/>
      <c r="L62" s="1270"/>
    </row>
    <row r="63" spans="1:14" s="1217" customFormat="1" ht="20.100000000000001" customHeight="1">
      <c r="A63" s="1258"/>
      <c r="B63" s="1259" t="s">
        <v>1424</v>
      </c>
      <c r="C63" s="1260">
        <v>1</v>
      </c>
      <c r="D63" s="1260" t="s">
        <v>956</v>
      </c>
      <c r="E63" s="1260">
        <v>1</v>
      </c>
      <c r="F63" s="1260">
        <v>7.5</v>
      </c>
      <c r="G63" s="1260">
        <v>6.76</v>
      </c>
      <c r="H63" s="1260">
        <v>0.1</v>
      </c>
      <c r="I63" s="1287">
        <f>ROUNDDOWN(PRODUCT(C63:H63),2)</f>
        <v>5.07</v>
      </c>
      <c r="J63" s="1260"/>
      <c r="K63" s="1285"/>
      <c r="L63" s="1286"/>
      <c r="M63" s="1288"/>
      <c r="N63" s="1289"/>
    </row>
    <row r="64" spans="1:14" s="1217" customFormat="1" ht="20.100000000000001" customHeight="1">
      <c r="A64" s="1258"/>
      <c r="B64" s="1259" t="s">
        <v>1446</v>
      </c>
      <c r="C64" s="1260">
        <v>1</v>
      </c>
      <c r="D64" s="1260" t="s">
        <v>956</v>
      </c>
      <c r="E64" s="1260">
        <v>2</v>
      </c>
      <c r="F64" s="1260">
        <v>3.5</v>
      </c>
      <c r="G64" s="1260">
        <v>7.5</v>
      </c>
      <c r="H64" s="1260">
        <v>0.1</v>
      </c>
      <c r="I64" s="1287">
        <f>ROUNDDOWN(PRODUCT(C64:H64),2)</f>
        <v>5.25</v>
      </c>
      <c r="J64" s="1260"/>
      <c r="K64" s="1285"/>
      <c r="L64" s="1286"/>
      <c r="M64" s="1288"/>
      <c r="N64" s="1289"/>
    </row>
    <row r="65" spans="1:12" ht="20.100000000000001" customHeight="1">
      <c r="A65" s="1228"/>
      <c r="B65" s="1232"/>
      <c r="C65" s="1233"/>
      <c r="D65" s="1233"/>
      <c r="E65" s="1233"/>
      <c r="F65" s="1234"/>
      <c r="G65" s="1233"/>
      <c r="H65" s="1234"/>
      <c r="I65" s="1278">
        <f>SUM(I63:I64)</f>
        <v>10.32</v>
      </c>
      <c r="J65" s="1233">
        <f>'Slab-Culverts Data'!J428</f>
        <v>7037.28</v>
      </c>
      <c r="K65" s="1233">
        <v>1</v>
      </c>
      <c r="L65" s="1270">
        <f>ROUND(I65*J65,0)</f>
        <v>72625</v>
      </c>
    </row>
    <row r="66" spans="1:12" ht="18" customHeight="1">
      <c r="A66" s="1228"/>
      <c r="B66" s="1232"/>
      <c r="C66" s="1233"/>
      <c r="D66" s="1233"/>
      <c r="E66" s="1233"/>
      <c r="F66" s="1234"/>
      <c r="G66" s="1234"/>
      <c r="H66" s="1234"/>
      <c r="I66" s="1233" t="s">
        <v>31</v>
      </c>
      <c r="J66" s="1233"/>
      <c r="K66" s="1233" t="s">
        <v>31</v>
      </c>
      <c r="L66" s="1270"/>
    </row>
    <row r="67" spans="1:12" s="1218" customFormat="1" ht="120.75" customHeight="1">
      <c r="A67" s="1290">
        <v>8</v>
      </c>
      <c r="B67" s="3790" t="str">
        <f>'Road data'!B161:G161</f>
        <v>Forming Embankment with material obtained from borrowed useful earth from outside road boundary by mechanical means upto SDR with all leads and lifts including pre-watering of soil at borrow area, removal of top soil, excavation of soils at borrowed area, conveyance of soil, depositing the soil on the embankment, spreading soil, breaking clods, sectioning, grading and consolidation with 8 to 10 Tonnes Vibratory Road Roller @ OMC to meet requirement of table 300-2 of MoRT&amp;H, including  all hire and operational charges of T&amp;P, complete for finished item of work as per MoRT&amp;H specification 305 (5th revision). (The soil CBR&gt;10%, PI&lt;18% &amp; MDD&gt;1.8 g/cc)</v>
      </c>
      <c r="C67" s="3790"/>
      <c r="D67" s="3790"/>
      <c r="E67" s="3790"/>
      <c r="F67" s="3790"/>
      <c r="G67" s="3790"/>
      <c r="H67" s="3790"/>
      <c r="I67" s="3790"/>
      <c r="J67" s="3790"/>
      <c r="K67" s="3790"/>
      <c r="L67" s="1306"/>
    </row>
    <row r="68" spans="1:12" ht="30" customHeight="1">
      <c r="A68" s="1228"/>
      <c r="B68" s="1229" t="s">
        <v>1425</v>
      </c>
      <c r="C68" s="1230">
        <v>1</v>
      </c>
      <c r="D68" s="1230" t="s">
        <v>956</v>
      </c>
      <c r="E68" s="1230">
        <v>2</v>
      </c>
      <c r="F68" s="1230">
        <v>5</v>
      </c>
      <c r="G68" s="1231" t="s">
        <v>1447</v>
      </c>
      <c r="H68" s="1231" t="s">
        <v>1448</v>
      </c>
      <c r="I68" s="1230">
        <f>ROUND(PRODUCT(C68:H68)*(13.5+7.5)/2*(2+0.3)/2,2)</f>
        <v>120.75</v>
      </c>
      <c r="J68" s="1229"/>
      <c r="K68" s="1307"/>
      <c r="L68" s="1308"/>
    </row>
    <row r="69" spans="1:12" ht="20.100000000000001" customHeight="1">
      <c r="A69" s="1228"/>
      <c r="B69" s="1291"/>
      <c r="C69" s="1243"/>
      <c r="D69" s="1243"/>
      <c r="E69" s="1243"/>
      <c r="F69" s="1292"/>
      <c r="G69" s="1292"/>
      <c r="H69" s="1292"/>
      <c r="I69" s="1269">
        <f>SUM(I68:I68)</f>
        <v>120.75</v>
      </c>
      <c r="J69" s="1292">
        <f>'Road data'!G188</f>
        <v>270.81</v>
      </c>
      <c r="K69" s="1309" t="s">
        <v>1428</v>
      </c>
      <c r="L69" s="1270">
        <f>ROUND(I69*J69,0)</f>
        <v>32700</v>
      </c>
    </row>
    <row r="70" spans="1:12" ht="15" customHeight="1">
      <c r="A70" s="1228"/>
      <c r="B70" s="1232"/>
      <c r="C70" s="1233"/>
      <c r="D70" s="1233"/>
      <c r="E70" s="1233"/>
      <c r="F70" s="1234"/>
      <c r="G70" s="1234"/>
      <c r="H70" s="1234"/>
      <c r="I70" s="1233" t="s">
        <v>73</v>
      </c>
      <c r="J70" s="1233"/>
      <c r="K70" s="1233"/>
      <c r="L70" s="1270"/>
    </row>
    <row r="71" spans="1:12" ht="104.25" customHeight="1">
      <c r="A71" s="1235">
        <v>9</v>
      </c>
      <c r="B71" s="3790" t="str">
        <f>'Slab-Culverts Data'!B506:J506</f>
        <v>Vibrated  cement concrete M 15 Grade Concrete using 40mm , 20mm and 10mm size HBG crushed stone aggregate (Coarse aggregate conforming to table 1000-1 and fine aggregate(Natural sand 50%+Manufactured sand(Rock Sand)50% ) conforming to table 1000-2) including cost, (excluding  seigniorage) and conveyance of all  materials to site and all labour charges ,centering, machine mixing, laying in position, Compacting , Vibrating and curing including all other incidental and all other operational charges of T&amp;P required etc., complete as per MoRT&amp;H Specification 1500,1700, 2100 (5th Revision)  for levelling course.</v>
      </c>
      <c r="C71" s="3790"/>
      <c r="D71" s="3790"/>
      <c r="E71" s="3790"/>
      <c r="F71" s="3790"/>
      <c r="G71" s="3790"/>
      <c r="H71" s="3790"/>
      <c r="I71" s="3790"/>
      <c r="J71" s="3790"/>
      <c r="K71" s="3790"/>
      <c r="L71" s="1310"/>
    </row>
    <row r="72" spans="1:12" ht="20.100000000000001" customHeight="1">
      <c r="A72" s="1228"/>
      <c r="B72" s="1229" t="s">
        <v>1425</v>
      </c>
      <c r="C72" s="1230">
        <v>1</v>
      </c>
      <c r="D72" s="1230" t="s">
        <v>956</v>
      </c>
      <c r="E72" s="1230">
        <v>2</v>
      </c>
      <c r="F72" s="1230">
        <f>F59</f>
        <v>3.5</v>
      </c>
      <c r="G72" s="1230">
        <v>6.5</v>
      </c>
      <c r="H72" s="1230">
        <v>0.15</v>
      </c>
      <c r="I72" s="1230">
        <f>ROUND(PRODUCT(C72:H72),2)</f>
        <v>6.83</v>
      </c>
      <c r="J72" s="1229"/>
      <c r="K72" s="1307"/>
      <c r="L72" s="1308"/>
    </row>
    <row r="73" spans="1:12" ht="20.100000000000001" customHeight="1">
      <c r="A73" s="1228"/>
      <c r="B73" s="1291"/>
      <c r="C73" s="1243"/>
      <c r="D73" s="1243"/>
      <c r="E73" s="1243"/>
      <c r="F73" s="1292"/>
      <c r="G73" s="1292"/>
      <c r="H73" s="1292"/>
      <c r="I73" s="1269">
        <f>SUM(I72:I72)</f>
        <v>6.83</v>
      </c>
      <c r="J73" s="1292">
        <f>'Slab-Culverts Data'!J535</f>
        <v>6139.47</v>
      </c>
      <c r="K73" s="1309" t="s">
        <v>1428</v>
      </c>
      <c r="L73" s="1270">
        <f>ROUND(I73*J73,0)</f>
        <v>41933</v>
      </c>
    </row>
    <row r="74" spans="1:12" ht="15" customHeight="1">
      <c r="A74" s="1228"/>
      <c r="B74" s="1232"/>
      <c r="C74" s="1233"/>
      <c r="D74" s="1233"/>
      <c r="E74" s="1233"/>
      <c r="F74" s="1234"/>
      <c r="G74" s="1234"/>
      <c r="H74" s="1234"/>
      <c r="I74" s="1233" t="s">
        <v>73</v>
      </c>
      <c r="J74" s="1233"/>
      <c r="K74" s="1233"/>
      <c r="L74" s="1270"/>
    </row>
    <row r="75" spans="1:12" ht="135.75" customHeight="1">
      <c r="A75" s="1235">
        <v>10</v>
      </c>
      <c r="B75" s="3790" t="str">
        <f>'Slab-Culverts Data'!B476:J476</f>
        <v>Vibrated reinforced cement concrete M30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all other incidental and operational charges of all T&amp;P  etc., complete for finished item of work as per Approved drawing but excluding  cost of steel  and its fabrication charges as per MoRT&amp;H specification   1500, 1600,1700,  &amp; 2704  (5th Revision) and  as directed by the Engineer-in-Charge for Approach slab.</v>
      </c>
      <c r="C75" s="3790"/>
      <c r="D75" s="3790"/>
      <c r="E75" s="3790"/>
      <c r="F75" s="3790"/>
      <c r="G75" s="3790"/>
      <c r="H75" s="3790"/>
      <c r="I75" s="3790"/>
      <c r="J75" s="3790"/>
      <c r="K75" s="3790"/>
      <c r="L75" s="1310"/>
    </row>
    <row r="76" spans="1:12" ht="20.100000000000001" customHeight="1">
      <c r="A76" s="1228"/>
      <c r="B76" s="1229" t="s">
        <v>1429</v>
      </c>
      <c r="C76" s="1230">
        <v>1</v>
      </c>
      <c r="D76" s="1230" t="s">
        <v>956</v>
      </c>
      <c r="E76" s="1230">
        <v>2</v>
      </c>
      <c r="F76" s="1230">
        <v>3.5</v>
      </c>
      <c r="G76" s="1230">
        <v>7.5</v>
      </c>
      <c r="H76" s="1230">
        <v>0.3</v>
      </c>
      <c r="I76" s="1230">
        <f>ROUND(PRODUCT(C76:H76),2)</f>
        <v>15.75</v>
      </c>
      <c r="J76" s="1229"/>
      <c r="K76" s="1307"/>
      <c r="L76" s="1308"/>
    </row>
    <row r="77" spans="1:12" ht="20.100000000000001" customHeight="1">
      <c r="A77" s="1228"/>
      <c r="B77" s="1291"/>
      <c r="C77" s="1243"/>
      <c r="D77" s="1243"/>
      <c r="E77" s="1243"/>
      <c r="F77" s="1292"/>
      <c r="G77" s="1292"/>
      <c r="H77" s="1292"/>
      <c r="I77" s="1269">
        <f>SUM(I76:I76)</f>
        <v>15.75</v>
      </c>
      <c r="J77" s="1292">
        <f>'Slab-Culverts Data'!J504</f>
        <v>7131.83</v>
      </c>
      <c r="K77" s="1309" t="s">
        <v>1428</v>
      </c>
      <c r="L77" s="1311">
        <f>ROUND(I77*J77,0)</f>
        <v>112326</v>
      </c>
    </row>
    <row r="78" spans="1:12" ht="15" customHeight="1">
      <c r="A78" s="1228"/>
      <c r="B78" s="1291"/>
      <c r="C78" s="1243"/>
      <c r="D78" s="1243"/>
      <c r="E78" s="1243"/>
      <c r="F78" s="1292"/>
      <c r="G78" s="1292"/>
      <c r="H78" s="1292"/>
      <c r="I78" s="1233" t="s">
        <v>73</v>
      </c>
      <c r="J78" s="1292"/>
      <c r="K78" s="1309"/>
      <c r="L78" s="1311"/>
    </row>
    <row r="79" spans="1:12" ht="95.25" customHeight="1">
      <c r="A79" s="1235">
        <v>11</v>
      </c>
      <c r="B79" s="3790" t="str">
        <f>'Slab-Culverts Data'!B627:J627</f>
        <v>Construction of p  RCC railing of M 25 grade , aggregate size not exceeding 12 mm, true to line and grade, tolerance of vertical RCC post not to exceed 1 in 500, centre to center spacing between vertical post not to exceed 2000 mm , leaving adequate space between vertiacal post for expansion, complete as per approved drawings and Technical Specifications as per MoRTH spn nos.2703,1500,1600,&amp;1700 excluding cost of steel and its fabrication charges</v>
      </c>
      <c r="C79" s="3790"/>
      <c r="D79" s="3790"/>
      <c r="E79" s="3790"/>
      <c r="F79" s="3790"/>
      <c r="G79" s="3790"/>
      <c r="H79" s="3790"/>
      <c r="I79" s="3790"/>
      <c r="J79" s="3790"/>
      <c r="K79" s="3790"/>
      <c r="L79" s="1310"/>
    </row>
    <row r="80" spans="1:12" ht="20.100000000000001" customHeight="1">
      <c r="A80" s="1235"/>
      <c r="B80" s="1293"/>
      <c r="C80" s="1294">
        <v>1</v>
      </c>
      <c r="D80" s="1294" t="s">
        <v>956</v>
      </c>
      <c r="E80" s="1294">
        <v>2</v>
      </c>
      <c r="F80" s="1294">
        <v>15.6</v>
      </c>
      <c r="G80" s="1294"/>
      <c r="H80" s="1294"/>
      <c r="I80" s="1294">
        <f>ROUND(PRODUCT(C80:H80),2)</f>
        <v>31.2</v>
      </c>
      <c r="J80" s="1293"/>
      <c r="K80" s="1312"/>
      <c r="L80" s="1313"/>
    </row>
    <row r="81" spans="1:12" ht="20.100000000000001" customHeight="1">
      <c r="A81" s="1235"/>
      <c r="B81" s="1295"/>
      <c r="C81" s="1296"/>
      <c r="D81" s="1296"/>
      <c r="E81" s="1296"/>
      <c r="F81" s="1297"/>
      <c r="G81" s="1297"/>
      <c r="H81" s="1297"/>
      <c r="I81" s="1314">
        <f>SUM(I80:I80)</f>
        <v>31.2</v>
      </c>
      <c r="J81" s="1297">
        <f>'Slab-Culverts Data'!J673</f>
        <v>613.8489567984376</v>
      </c>
      <c r="K81" s="1315" t="s">
        <v>1062</v>
      </c>
      <c r="L81" s="1310">
        <f>ROUND(I81*J81,0)</f>
        <v>19152</v>
      </c>
    </row>
    <row r="82" spans="1:12" ht="15" customHeight="1">
      <c r="A82" s="1235"/>
      <c r="B82" s="1295"/>
      <c r="C82" s="1296"/>
      <c r="D82" s="1296"/>
      <c r="E82" s="1296"/>
      <c r="F82" s="1297"/>
      <c r="G82" s="1297"/>
      <c r="H82" s="1297"/>
      <c r="I82" s="1233" t="s">
        <v>1062</v>
      </c>
      <c r="J82" s="1297"/>
      <c r="K82" s="1315"/>
      <c r="L82" s="1310"/>
    </row>
    <row r="83" spans="1:12" ht="107.25" customHeight="1">
      <c r="A83" s="1235">
        <v>12</v>
      </c>
      <c r="B83" s="3790" t="str">
        <f>'Slab-Culverts Data'!B291:J291</f>
        <v xml:space="preserve">Providing Weep holes in VCC Abutment/ Wing wall/return wall with 100mm Diameter AC pipe  extending through the full width of the structure at 1.00m C/C in both horizontal and vertical direction so that the weep holes in each horizontal direction is staggered from the weep holes laying above and below lines as shown in drawing including cost and conveyance of the A.C pipes and labour charges for cutting to required length, placing the pipe with a slope of about 1V : 20H towards stream side face etc., complete for finished item of work for weep holes as per SSR Data </v>
      </c>
      <c r="C83" s="3790"/>
      <c r="D83" s="3790"/>
      <c r="E83" s="3790"/>
      <c r="F83" s="3790"/>
      <c r="G83" s="3790"/>
      <c r="H83" s="3790"/>
      <c r="I83" s="3790"/>
      <c r="J83" s="3790"/>
      <c r="K83" s="3790"/>
      <c r="L83" s="1310"/>
    </row>
    <row r="84" spans="1:12" ht="20.100000000000001" customHeight="1">
      <c r="A84" s="1228"/>
      <c r="B84" s="1229"/>
      <c r="C84" s="1230">
        <v>2</v>
      </c>
      <c r="D84" s="1230" t="s">
        <v>956</v>
      </c>
      <c r="E84" s="1230">
        <v>2</v>
      </c>
      <c r="F84" s="1230">
        <v>15</v>
      </c>
      <c r="G84" s="1230"/>
      <c r="H84" s="1230"/>
      <c r="I84" s="1230">
        <f>ROUND(PRODUCT(C84:H84),2)</f>
        <v>60</v>
      </c>
      <c r="J84" s="1229"/>
      <c r="K84" s="1307"/>
      <c r="L84" s="1308"/>
    </row>
    <row r="85" spans="1:12" ht="20.100000000000001" customHeight="1">
      <c r="A85" s="1228"/>
      <c r="B85" s="1291"/>
      <c r="C85" s="1243"/>
      <c r="D85" s="1243"/>
      <c r="E85" s="1243"/>
      <c r="F85" s="1292"/>
      <c r="G85" s="1292"/>
      <c r="H85" s="1292"/>
      <c r="I85" s="1269">
        <f>SUM(I84:I84)</f>
        <v>60</v>
      </c>
      <c r="J85" s="1292">
        <f>'Slab-Culverts Data'!J312</f>
        <v>614.2736666666666</v>
      </c>
      <c r="K85" s="1309" t="s">
        <v>1062</v>
      </c>
      <c r="L85" s="1311">
        <f>ROUND(I85*J85,0)</f>
        <v>36856</v>
      </c>
    </row>
    <row r="86" spans="1:12" ht="15" customHeight="1">
      <c r="A86" s="1228"/>
      <c r="B86" s="1291"/>
      <c r="C86" s="1243"/>
      <c r="D86" s="1243"/>
      <c r="E86" s="1243"/>
      <c r="F86" s="1292"/>
      <c r="G86" s="1292"/>
      <c r="H86" s="1292"/>
      <c r="I86" s="1233" t="s">
        <v>73</v>
      </c>
      <c r="J86" s="1292"/>
      <c r="K86" s="1309"/>
      <c r="L86" s="1311"/>
    </row>
    <row r="87" spans="1:12" ht="123.75" customHeight="1">
      <c r="A87" s="1235">
        <v>13</v>
      </c>
      <c r="B87" s="3790" t="str">
        <f>'Slab-Culverts Data'!B313:J313</f>
        <v xml:space="preserve">Providing and laying of  filter media using 50% of 150 mm IRC soling  stone and  50 % of 40 mm  HBG metal satisfying the requirements laid down in clause 2504.2.2 of MoRT&amp;H specifications to a thickness of not less than 600mm with smaller size towards the soil and bigger size towards the wall and provided over the entire surface behind the abutment, wing wall and return wall to the full height compacted to a firm condition including cost and conveyance of all metal (excluding  seigniorage) charges ,and all labour charges  as directed  by  the departmental officers as per drawing and Technical specifications as per clause 710.1.1 of IRC:78 and Clause 2200 of MoRT&amp;H (5th Revision) for finished item of work. </v>
      </c>
      <c r="C87" s="3790"/>
      <c r="D87" s="3790"/>
      <c r="E87" s="3790"/>
      <c r="F87" s="3790"/>
      <c r="G87" s="3790"/>
      <c r="H87" s="3790"/>
      <c r="I87" s="3790"/>
      <c r="J87" s="3790"/>
      <c r="K87" s="3790"/>
      <c r="L87" s="1310"/>
    </row>
    <row r="88" spans="1:12" ht="20.100000000000001" customHeight="1">
      <c r="A88" s="1228"/>
      <c r="B88" s="1229"/>
      <c r="C88" s="1230">
        <v>1</v>
      </c>
      <c r="D88" s="1230" t="s">
        <v>956</v>
      </c>
      <c r="E88" s="1230">
        <v>2</v>
      </c>
      <c r="F88" s="1230">
        <v>13.5</v>
      </c>
      <c r="G88" s="1230">
        <v>0.23</v>
      </c>
      <c r="H88" s="1230">
        <v>1.5</v>
      </c>
      <c r="I88" s="1230">
        <f>ROUND(PRODUCT(C88:H88),2)</f>
        <v>9.32</v>
      </c>
      <c r="J88" s="1229"/>
      <c r="K88" s="1307"/>
      <c r="L88" s="1308"/>
    </row>
    <row r="89" spans="1:12" ht="20.100000000000001" customHeight="1">
      <c r="A89" s="1228"/>
      <c r="B89" s="1291"/>
      <c r="C89" s="1243"/>
      <c r="D89" s="1243"/>
      <c r="E89" s="1243"/>
      <c r="F89" s="1292"/>
      <c r="G89" s="1292"/>
      <c r="H89" s="1292"/>
      <c r="I89" s="1269">
        <f>SUM(I88:I88)</f>
        <v>9.32</v>
      </c>
      <c r="J89" s="1292">
        <f>'Slab-Culverts Data'!J335</f>
        <v>2392.09</v>
      </c>
      <c r="K89" s="1309" t="s">
        <v>73</v>
      </c>
      <c r="L89" s="1311">
        <f>ROUND(I89*J89,0)</f>
        <v>22294</v>
      </c>
    </row>
    <row r="90" spans="1:12" ht="15" customHeight="1">
      <c r="A90" s="1228"/>
      <c r="B90" s="1291"/>
      <c r="C90" s="1243"/>
      <c r="D90" s="1243"/>
      <c r="E90" s="1243"/>
      <c r="F90" s="1292"/>
      <c r="G90" s="1292"/>
      <c r="H90" s="1292"/>
      <c r="I90" s="1233" t="s">
        <v>73</v>
      </c>
      <c r="J90" s="1292"/>
      <c r="K90" s="1309"/>
      <c r="L90" s="1311"/>
    </row>
    <row r="91" spans="1:12" ht="60" customHeight="1">
      <c r="A91" s="1235">
        <v>14</v>
      </c>
      <c r="B91" s="3790" t="str">
        <f>'Slab-Culverts Data'!B538:J538</f>
        <v xml:space="preserve">Providing and laying boulders apron for bed protection against scour with stone boulders weighing not less than 40kg each complete as per drawing and specification. complete for finished item of work as per MoRT&amp;H specification 2504 ( 5th revision ) and as directed by the Engineer-in-Charge </v>
      </c>
      <c r="C91" s="3790"/>
      <c r="D91" s="3790"/>
      <c r="E91" s="3790"/>
      <c r="F91" s="3790"/>
      <c r="G91" s="3790"/>
      <c r="H91" s="3790"/>
      <c r="I91" s="3790"/>
      <c r="J91" s="3790"/>
      <c r="K91" s="3790"/>
      <c r="L91" s="1310"/>
    </row>
    <row r="92" spans="1:12" ht="20.100000000000001" customHeight="1">
      <c r="A92" s="1228"/>
      <c r="B92" s="1229" t="s">
        <v>1430</v>
      </c>
      <c r="C92" s="1230">
        <v>1</v>
      </c>
      <c r="D92" s="1230" t="s">
        <v>956</v>
      </c>
      <c r="E92" s="1230">
        <v>1</v>
      </c>
      <c r="F92" s="1230">
        <v>8.25</v>
      </c>
      <c r="G92" s="1230">
        <v>6</v>
      </c>
      <c r="H92" s="1230">
        <v>0.3</v>
      </c>
      <c r="I92" s="1230">
        <f>ROUND(PRODUCT(C92:H92),2)</f>
        <v>14.85</v>
      </c>
      <c r="J92" s="1229"/>
      <c r="K92" s="1307"/>
      <c r="L92" s="1308"/>
    </row>
    <row r="93" spans="1:12" ht="20.100000000000001" customHeight="1">
      <c r="A93" s="1228"/>
      <c r="B93" s="1229" t="s">
        <v>1431</v>
      </c>
      <c r="C93" s="1230">
        <v>1</v>
      </c>
      <c r="D93" s="1230" t="s">
        <v>956</v>
      </c>
      <c r="E93" s="1230">
        <v>1</v>
      </c>
      <c r="F93" s="1230">
        <v>14</v>
      </c>
      <c r="G93" s="1230">
        <v>1.5</v>
      </c>
      <c r="H93" s="1230">
        <v>0.3</v>
      </c>
      <c r="I93" s="1230">
        <f>ROUND(PRODUCT(C93:H93),2)</f>
        <v>6.3</v>
      </c>
      <c r="J93" s="1229"/>
      <c r="K93" s="1307"/>
      <c r="L93" s="1308"/>
    </row>
    <row r="94" spans="1:12" ht="20.100000000000001" customHeight="1">
      <c r="A94" s="1228"/>
      <c r="B94" s="1229" t="s">
        <v>1432</v>
      </c>
      <c r="C94" s="1230">
        <v>1</v>
      </c>
      <c r="D94" s="1230" t="s">
        <v>956</v>
      </c>
      <c r="E94" s="1230">
        <v>1</v>
      </c>
      <c r="F94" s="1230">
        <v>14</v>
      </c>
      <c r="G94" s="1230">
        <v>3</v>
      </c>
      <c r="H94" s="1230">
        <v>0.3</v>
      </c>
      <c r="I94" s="1230">
        <f>ROUND(PRODUCT(C94:H94),2)</f>
        <v>12.6</v>
      </c>
      <c r="J94" s="1229"/>
      <c r="K94" s="1307"/>
      <c r="L94" s="1308"/>
    </row>
    <row r="95" spans="1:12" ht="20.100000000000001" customHeight="1">
      <c r="A95" s="1228"/>
      <c r="B95" s="1291"/>
      <c r="C95" s="1243"/>
      <c r="D95" s="1243"/>
      <c r="E95" s="1243"/>
      <c r="F95" s="1292"/>
      <c r="G95" s="1292"/>
      <c r="H95" s="1292"/>
      <c r="I95" s="1269">
        <f>SUM(I92:I94)</f>
        <v>33.75</v>
      </c>
      <c r="J95" s="1292">
        <f>'Slab-Culverts Data'!J559</f>
        <v>2028.19</v>
      </c>
      <c r="K95" s="1309" t="s">
        <v>73</v>
      </c>
      <c r="L95" s="1311">
        <f>ROUND(I95*J95,0)</f>
        <v>68451</v>
      </c>
    </row>
    <row r="96" spans="1:12" ht="20.100000000000001" customHeight="1">
      <c r="A96" s="1228"/>
      <c r="B96" s="1232"/>
      <c r="C96" s="1233"/>
      <c r="D96" s="1233"/>
      <c r="E96" s="1233"/>
      <c r="F96" s="1234"/>
      <c r="G96" s="1234"/>
      <c r="H96" s="1234"/>
      <c r="I96" s="1233" t="s">
        <v>73</v>
      </c>
      <c r="J96" s="1233"/>
      <c r="K96" s="1233"/>
      <c r="L96" s="1270"/>
    </row>
    <row r="97" spans="1:12" ht="20.100000000000001" customHeight="1">
      <c r="A97" s="1235"/>
      <c r="B97" s="1240"/>
      <c r="C97" s="1241"/>
      <c r="D97" s="1241"/>
      <c r="E97" s="1241"/>
      <c r="F97" s="1234"/>
      <c r="G97" s="1234"/>
      <c r="H97" s="1234"/>
      <c r="I97" s="1233"/>
      <c r="J97" s="1233"/>
      <c r="K97" s="1233"/>
      <c r="L97" s="1270"/>
    </row>
    <row r="98" spans="1:12" ht="130.5" customHeight="1">
      <c r="A98" s="1235">
        <v>15</v>
      </c>
      <c r="B98" s="3790" t="str">
        <f>'Slab-Culverts Data'!B155:J155</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&amp;2200  (5th revision) in foundation.</v>
      </c>
      <c r="C98" s="3790"/>
      <c r="D98" s="3790"/>
      <c r="E98" s="3790"/>
      <c r="F98" s="3790"/>
      <c r="G98" s="3790"/>
      <c r="H98" s="3790"/>
      <c r="I98" s="3790"/>
      <c r="J98" s="3790"/>
      <c r="K98" s="3790"/>
      <c r="L98" s="1270"/>
    </row>
    <row r="99" spans="1:12" ht="20.100000000000001" customHeight="1">
      <c r="A99" s="1228"/>
      <c r="B99" s="1232"/>
      <c r="C99" s="1233"/>
      <c r="D99" s="1233"/>
      <c r="E99" s="1233"/>
      <c r="F99" s="1234"/>
      <c r="G99" s="1234"/>
      <c r="H99" s="1234"/>
      <c r="I99" s="1233">
        <v>0.61199999999999999</v>
      </c>
      <c r="J99" s="1233">
        <f>'Slab-Culverts Data'!J175</f>
        <v>64656.02</v>
      </c>
      <c r="K99" s="1233">
        <v>1</v>
      </c>
      <c r="L99" s="1270">
        <f>ROUND(I99*J99,0)</f>
        <v>39569</v>
      </c>
    </row>
    <row r="100" spans="1:12" ht="20.100000000000001" customHeight="1">
      <c r="A100" s="1228"/>
      <c r="B100" s="1232"/>
      <c r="C100" s="1233"/>
      <c r="D100" s="1233"/>
      <c r="E100" s="1233"/>
      <c r="F100" s="1234"/>
      <c r="G100" s="1234"/>
      <c r="H100" s="1234"/>
      <c r="I100" s="1233" t="s">
        <v>66</v>
      </c>
      <c r="J100" s="1233"/>
      <c r="K100" s="1233" t="s">
        <v>66</v>
      </c>
      <c r="L100" s="1270"/>
    </row>
    <row r="101" spans="1:12" ht="15" customHeight="1">
      <c r="A101" s="1235"/>
      <c r="B101" s="1240"/>
      <c r="C101" s="1241"/>
      <c r="D101" s="1241"/>
      <c r="E101" s="1241"/>
      <c r="F101" s="1234"/>
      <c r="G101" s="1234"/>
      <c r="H101" s="1234"/>
      <c r="I101" s="1233"/>
      <c r="J101" s="1233"/>
      <c r="K101" s="1233"/>
      <c r="L101" s="1270"/>
    </row>
    <row r="102" spans="1:12" ht="132" customHeight="1">
      <c r="A102" s="1235">
        <v>16</v>
      </c>
      <c r="B102" s="3790" t="str">
        <f>'Slab-Culverts Data'!B269:J269</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&amp;2200  (5th revision) in sub-structure.</v>
      </c>
      <c r="C102" s="3790"/>
      <c r="D102" s="3790"/>
      <c r="E102" s="3790"/>
      <c r="F102" s="3790"/>
      <c r="G102" s="3790"/>
      <c r="H102" s="3790"/>
      <c r="I102" s="3790"/>
      <c r="J102" s="3790"/>
      <c r="K102" s="3790"/>
      <c r="L102" s="1270"/>
    </row>
    <row r="103" spans="1:12" ht="20.100000000000001" customHeight="1">
      <c r="A103" s="1228"/>
      <c r="B103" s="1232"/>
      <c r="C103" s="1233"/>
      <c r="D103" s="1233"/>
      <c r="E103" s="1233"/>
      <c r="F103" s="1234"/>
      <c r="G103" s="1234"/>
      <c r="H103" s="1234"/>
      <c r="I103" s="1233">
        <v>0.61199999999999999</v>
      </c>
      <c r="J103" s="1233">
        <f>'Slab-Culverts Data'!J290</f>
        <v>64943.47</v>
      </c>
      <c r="K103" s="1233">
        <v>1</v>
      </c>
      <c r="L103" s="1270">
        <f>ROUND(I103*J103,0)</f>
        <v>39745</v>
      </c>
    </row>
    <row r="104" spans="1:12" ht="20.100000000000001" customHeight="1">
      <c r="A104" s="1228"/>
      <c r="B104" s="1232"/>
      <c r="C104" s="1233"/>
      <c r="D104" s="1233"/>
      <c r="E104" s="1233"/>
      <c r="F104" s="1234"/>
      <c r="G104" s="1234"/>
      <c r="H104" s="1234"/>
      <c r="I104" s="1233" t="s">
        <v>66</v>
      </c>
      <c r="J104" s="1233"/>
      <c r="K104" s="1233" t="s">
        <v>66</v>
      </c>
      <c r="L104" s="1270"/>
    </row>
    <row r="105" spans="1:12" ht="134.25" customHeight="1">
      <c r="A105" s="1235">
        <v>17</v>
      </c>
      <c r="B105" s="3790" t="str">
        <f>'Slab-Culverts Data'!B431:J431</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 2200  (5th revision) in super structure.</v>
      </c>
      <c r="C105" s="3790"/>
      <c r="D105" s="3790"/>
      <c r="E105" s="3790"/>
      <c r="F105" s="3790"/>
      <c r="G105" s="3790"/>
      <c r="H105" s="3790"/>
      <c r="I105" s="3790"/>
      <c r="J105" s="3790"/>
      <c r="K105" s="3790"/>
      <c r="L105" s="1271"/>
    </row>
    <row r="106" spans="1:12" ht="20.100000000000001" customHeight="1">
      <c r="A106" s="1228"/>
      <c r="B106" s="1232"/>
      <c r="C106" s="1233"/>
      <c r="D106" s="1233"/>
      <c r="E106" s="1233"/>
      <c r="F106" s="1234"/>
      <c r="G106" s="1234"/>
      <c r="H106" s="1234"/>
      <c r="I106" s="1233">
        <v>4</v>
      </c>
      <c r="J106" s="1233">
        <f>'Slab-Culverts Data'!J451</f>
        <v>66904.47</v>
      </c>
      <c r="K106" s="1233">
        <v>1</v>
      </c>
      <c r="L106" s="1270">
        <f>ROUND(I106*J106,0)</f>
        <v>267618</v>
      </c>
    </row>
    <row r="107" spans="1:12" ht="20.100000000000001" customHeight="1">
      <c r="A107" s="1298"/>
      <c r="B107" s="1299"/>
      <c r="C107" s="1300"/>
      <c r="D107" s="1300"/>
      <c r="E107" s="1300"/>
      <c r="F107" s="1301"/>
      <c r="G107" s="1301"/>
      <c r="H107" s="1301"/>
      <c r="I107" s="1300" t="s">
        <v>66</v>
      </c>
      <c r="J107" s="1300"/>
      <c r="K107" s="1300" t="s">
        <v>66</v>
      </c>
      <c r="L107" s="1316"/>
    </row>
    <row r="108" spans="1:12" ht="23.25" customHeight="1">
      <c r="A108" s="1302"/>
      <c r="B108" s="1299"/>
      <c r="C108" s="1300"/>
      <c r="D108" s="1300"/>
      <c r="E108" s="1300"/>
      <c r="F108" s="1301"/>
      <c r="G108" s="1301"/>
      <c r="H108" s="1301"/>
      <c r="I108" s="1300"/>
      <c r="J108" s="1301" t="s">
        <v>1394</v>
      </c>
      <c r="K108" s="1301"/>
      <c r="L108" s="1317">
        <f>SUM(L6:L107)</f>
        <v>2521025</v>
      </c>
    </row>
    <row r="109" spans="1:12" ht="12.75" customHeight="1">
      <c r="L109" s="1318"/>
    </row>
    <row r="112" spans="1:12" ht="15" customHeight="1">
      <c r="B112" s="1303" t="s">
        <v>949</v>
      </c>
      <c r="F112" s="3794" t="s">
        <v>791</v>
      </c>
      <c r="G112" s="3794"/>
      <c r="H112" s="3794"/>
      <c r="J112" s="1303" t="s">
        <v>1449</v>
      </c>
    </row>
    <row r="113" spans="1:20" ht="15" customHeight="1">
      <c r="B113" s="1303" t="str">
        <f>'Slab Culvert 1V 5m x 2m span'!F105</f>
        <v>PRSD, Wanaparthy</v>
      </c>
      <c r="F113" s="3794" t="str">
        <f>'Slab Culvert 1V 5m x 2m span'!J105</f>
        <v>PRSD, Wanaparthy</v>
      </c>
      <c r="G113" s="3794"/>
      <c r="H113" s="3794"/>
      <c r="J113" s="1303" t="str">
        <f>'Slab Culvert 1V 5m x 2m span'!F110</f>
        <v>PIU, Wanaparthy</v>
      </c>
    </row>
    <row r="114" spans="1:20">
      <c r="B114" s="1303"/>
      <c r="F114" s="1303"/>
      <c r="J114" s="1304"/>
      <c r="K114" s="1304"/>
    </row>
    <row r="115" spans="1:20">
      <c r="B115" s="1303"/>
      <c r="F115" s="1303"/>
      <c r="J115" s="1304"/>
      <c r="K115" s="1304"/>
    </row>
    <row r="116" spans="1:20">
      <c r="B116" s="1305"/>
      <c r="F116" s="1304"/>
      <c r="J116" s="1305"/>
      <c r="K116" s="1304"/>
    </row>
    <row r="117" spans="1:20" ht="15" customHeight="1">
      <c r="B117" s="1303"/>
      <c r="I117" s="3794"/>
      <c r="J117" s="3794"/>
      <c r="K117" s="3794"/>
    </row>
    <row r="118" spans="1:20" s="1212" customFormat="1">
      <c r="A118" s="1219"/>
      <c r="B118" s="1303"/>
      <c r="I118" s="3795"/>
      <c r="J118" s="3795"/>
      <c r="K118" s="3795"/>
      <c r="L118" s="1221"/>
      <c r="M118" s="1220"/>
      <c r="N118" s="1220"/>
      <c r="O118" s="1220"/>
      <c r="P118" s="1220"/>
      <c r="Q118" s="1220"/>
      <c r="R118" s="1220"/>
      <c r="S118" s="1220"/>
      <c r="T118" s="1220"/>
    </row>
  </sheetData>
  <protectedRanges>
    <protectedRange sqref="J112:J113 B112:B118 F114:F116" name="Range4"/>
    <protectedRange sqref="I117 H112:H113 F112:F113 J114:J116 K114:K118" name="Range4_1"/>
  </protectedRanges>
  <mergeCells count="30">
    <mergeCell ref="B105:K105"/>
    <mergeCell ref="F112:H112"/>
    <mergeCell ref="F113:H113"/>
    <mergeCell ref="I117:K117"/>
    <mergeCell ref="I118:K118"/>
    <mergeCell ref="B83:K83"/>
    <mergeCell ref="B87:K87"/>
    <mergeCell ref="B91:K91"/>
    <mergeCell ref="B98:K98"/>
    <mergeCell ref="B102:K102"/>
    <mergeCell ref="B62:K62"/>
    <mergeCell ref="B67:K67"/>
    <mergeCell ref="B71:K71"/>
    <mergeCell ref="B75:K75"/>
    <mergeCell ref="B79:K79"/>
    <mergeCell ref="B33:K33"/>
    <mergeCell ref="B40:K40"/>
    <mergeCell ref="B47:K47"/>
    <mergeCell ref="B53:K53"/>
    <mergeCell ref="B58:K58"/>
    <mergeCell ref="C5:E5"/>
    <mergeCell ref="B6:K6"/>
    <mergeCell ref="B11:K11"/>
    <mergeCell ref="B15:K15"/>
    <mergeCell ref="B20:K20"/>
    <mergeCell ref="A1:L1"/>
    <mergeCell ref="A2:B2"/>
    <mergeCell ref="F2:L2"/>
    <mergeCell ref="A3:L3"/>
    <mergeCell ref="C4:E4"/>
  </mergeCells>
  <printOptions horizontalCentered="1"/>
  <pageMargins left="0.59055118110236204" right="0.196850393700787" top="0.59055118110236204" bottom="0.39370078740157499" header="0.31496062992126" footer="0.31496062992126"/>
  <pageSetup paperSize="9" scale="91" orientation="portrait" r:id="rId1"/>
</worksheet>
</file>

<file path=xl/worksheets/sheet37.xml><?xml version="1.0" encoding="utf-8"?>
<worksheet xmlns="http://schemas.openxmlformats.org/spreadsheetml/2006/main" xmlns:r="http://schemas.openxmlformats.org/officeDocument/2006/relationships">
  <sheetPr codeName="Sheet38">
    <tabColor theme="5" tint="-0.249977111117893"/>
  </sheetPr>
  <dimension ref="A1:Y118"/>
  <sheetViews>
    <sheetView showGridLines="0" topLeftCell="A102" workbookViewId="0">
      <selection activeCell="J65" sqref="J65"/>
    </sheetView>
  </sheetViews>
  <sheetFormatPr defaultColWidth="9.140625" defaultRowHeight="15"/>
  <cols>
    <col min="1" max="1" width="5" style="973" customWidth="1"/>
    <col min="2" max="2" width="18.85546875" style="1047" customWidth="1"/>
    <col min="3" max="4" width="2.5703125" style="1067" customWidth="1"/>
    <col min="5" max="5" width="4.7109375" style="1067" customWidth="1"/>
    <col min="6" max="6" width="7.7109375" style="1067" customWidth="1"/>
    <col min="7" max="7" width="12" style="1067" customWidth="1"/>
    <col min="8" max="8" width="10.42578125" style="1067" customWidth="1"/>
    <col min="9" max="9" width="8.7109375" style="1067" customWidth="1"/>
    <col min="10" max="10" width="10" style="1067" customWidth="1"/>
    <col min="11" max="11" width="8" style="1067" customWidth="1"/>
    <col min="12" max="12" width="13.42578125" style="1066" customWidth="1"/>
    <col min="13" max="13" width="9.140625" style="1047" hidden="1" customWidth="1"/>
    <col min="14" max="14" width="13.85546875" style="1047" hidden="1" customWidth="1"/>
    <col min="15" max="15" width="11" style="1047" hidden="1" customWidth="1"/>
    <col min="16" max="16" width="6.28515625" style="1047" hidden="1" customWidth="1"/>
    <col min="17" max="25" width="9.140625" style="1047" hidden="1" customWidth="1"/>
    <col min="26" max="16384" width="9.140625" style="1047"/>
  </cols>
  <sheetData>
    <row r="1" spans="1:15" ht="18" customHeight="1">
      <c r="A1" s="3711" t="s">
        <v>1396</v>
      </c>
      <c r="B1" s="3712"/>
      <c r="C1" s="3712"/>
      <c r="D1" s="3712"/>
      <c r="E1" s="3712"/>
      <c r="F1" s="3712"/>
      <c r="G1" s="3712"/>
      <c r="H1" s="3712"/>
      <c r="I1" s="3712"/>
      <c r="J1" s="3712"/>
      <c r="K1" s="3712"/>
      <c r="L1" s="3712"/>
    </row>
    <row r="2" spans="1:15" ht="30" customHeight="1">
      <c r="A2" s="3796" t="s">
        <v>677</v>
      </c>
      <c r="B2" s="3796"/>
      <c r="C2" s="1074"/>
      <c r="D2" s="1074"/>
      <c r="E2" s="1074"/>
      <c r="F2" s="3797" t="str">
        <f>'Input Data'!E1</f>
        <v>R/F A to B in Wanaparthy Mandal of Wanaparthy District</v>
      </c>
      <c r="G2" s="3797"/>
      <c r="H2" s="3797"/>
      <c r="I2" s="3797"/>
      <c r="J2" s="3797"/>
      <c r="K2" s="3797"/>
      <c r="L2" s="3797"/>
    </row>
    <row r="3" spans="1:15" s="1066" customFormat="1" ht="21.75" customHeight="1">
      <c r="A3" s="3715" t="s">
        <v>1477</v>
      </c>
      <c r="B3" s="3715"/>
      <c r="C3" s="3715"/>
      <c r="D3" s="3715"/>
      <c r="E3" s="3715"/>
      <c r="F3" s="3715"/>
      <c r="G3" s="3715"/>
      <c r="H3" s="3715"/>
      <c r="I3" s="3715"/>
      <c r="J3" s="3715"/>
      <c r="K3" s="3715"/>
      <c r="L3" s="3715"/>
    </row>
    <row r="4" spans="1:15" s="1067" customFormat="1" ht="33" customHeight="1">
      <c r="A4" s="975" t="s">
        <v>1380</v>
      </c>
      <c r="B4" s="976" t="s">
        <v>953</v>
      </c>
      <c r="C4" s="3798" t="s">
        <v>954</v>
      </c>
      <c r="D4" s="3798"/>
      <c r="E4" s="3798"/>
      <c r="F4" s="976" t="s">
        <v>180</v>
      </c>
      <c r="G4" s="976" t="s">
        <v>781</v>
      </c>
      <c r="H4" s="976" t="s">
        <v>955</v>
      </c>
      <c r="I4" s="1010" t="s">
        <v>3</v>
      </c>
      <c r="J4" s="978" t="s">
        <v>5</v>
      </c>
      <c r="K4" s="978" t="s">
        <v>580</v>
      </c>
      <c r="L4" s="976" t="s">
        <v>7</v>
      </c>
    </row>
    <row r="5" spans="1:15" s="1066" customFormat="1">
      <c r="A5" s="977">
        <v>1</v>
      </c>
      <c r="B5" s="978">
        <v>2</v>
      </c>
      <c r="C5" s="3799">
        <v>3</v>
      </c>
      <c r="D5" s="3799"/>
      <c r="E5" s="3799"/>
      <c r="F5" s="978">
        <v>4</v>
      </c>
      <c r="G5" s="978">
        <v>5</v>
      </c>
      <c r="H5" s="978">
        <v>6</v>
      </c>
      <c r="I5" s="1011">
        <v>7</v>
      </c>
      <c r="J5" s="978">
        <v>8</v>
      </c>
      <c r="K5" s="978">
        <v>9</v>
      </c>
      <c r="L5" s="978">
        <v>10</v>
      </c>
    </row>
    <row r="6" spans="1:15" ht="90.75" customHeight="1">
      <c r="A6" s="979">
        <v>1</v>
      </c>
      <c r="B6" s="3722" t="str">
        <f>'Pipe data'!B4:G4</f>
        <v>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v>
      </c>
      <c r="C6" s="3722"/>
      <c r="D6" s="3722"/>
      <c r="E6" s="3722"/>
      <c r="F6" s="3722"/>
      <c r="G6" s="3722"/>
      <c r="H6" s="3722"/>
      <c r="I6" s="3722"/>
      <c r="J6" s="3722"/>
      <c r="K6" s="3722"/>
      <c r="L6" s="1012"/>
      <c r="O6" s="1096"/>
    </row>
    <row r="7" spans="1:15" ht="20.100000000000001" customHeight="1">
      <c r="A7" s="983"/>
      <c r="B7" s="1075" t="s">
        <v>1397</v>
      </c>
      <c r="C7" s="1076">
        <v>1</v>
      </c>
      <c r="D7" s="1076" t="s">
        <v>956</v>
      </c>
      <c r="E7" s="1076">
        <v>2</v>
      </c>
      <c r="F7" s="1077">
        <v>8.4499999999999993</v>
      </c>
      <c r="G7" s="1077">
        <v>3.5</v>
      </c>
      <c r="H7" s="1077">
        <v>2.15</v>
      </c>
      <c r="I7" s="1077">
        <f>ROUND(PRODUCT(C7:H7),2)</f>
        <v>127.17</v>
      </c>
      <c r="J7" s="987"/>
      <c r="K7" s="987"/>
      <c r="L7" s="1015"/>
      <c r="O7" s="1096"/>
    </row>
    <row r="8" spans="1:15" ht="20.100000000000001" customHeight="1">
      <c r="A8" s="983"/>
      <c r="B8" s="1075" t="s">
        <v>1478</v>
      </c>
      <c r="C8" s="1076">
        <v>1</v>
      </c>
      <c r="D8" s="1076" t="s">
        <v>956</v>
      </c>
      <c r="E8" s="1076">
        <v>1</v>
      </c>
      <c r="F8" s="1077">
        <v>8.3800000000000008</v>
      </c>
      <c r="G8" s="1077">
        <v>3.35</v>
      </c>
      <c r="H8" s="1077">
        <v>2.15</v>
      </c>
      <c r="I8" s="1077">
        <f>ROUND(PRODUCT(C8:H8),2)</f>
        <v>60.36</v>
      </c>
      <c r="J8" s="987"/>
      <c r="K8" s="987"/>
      <c r="L8" s="1015"/>
      <c r="O8" s="1096"/>
    </row>
    <row r="9" spans="1:15" ht="35.1" customHeight="1">
      <c r="A9" s="983"/>
      <c r="B9" s="1075" t="s">
        <v>1398</v>
      </c>
      <c r="C9" s="1076">
        <v>2</v>
      </c>
      <c r="D9" s="1076" t="s">
        <v>956</v>
      </c>
      <c r="E9" s="1076">
        <v>2</v>
      </c>
      <c r="F9" s="1077">
        <v>3.5</v>
      </c>
      <c r="G9" s="1078" t="s">
        <v>1479</v>
      </c>
      <c r="H9" s="1077">
        <v>2.15</v>
      </c>
      <c r="I9" s="1077">
        <f>ROUND(PRODUCT(C9:H9)*(2.38+1.85)/2,2)</f>
        <v>63.66</v>
      </c>
      <c r="J9" s="987"/>
      <c r="K9" s="987"/>
      <c r="L9" s="1015"/>
      <c r="O9" s="1096"/>
    </row>
    <row r="10" spans="1:15" ht="20.100000000000001" customHeight="1">
      <c r="A10" s="983"/>
      <c r="B10" s="986"/>
      <c r="C10" s="987"/>
      <c r="D10" s="987"/>
      <c r="E10" s="987"/>
      <c r="F10" s="987"/>
      <c r="G10" s="983"/>
      <c r="H10" s="983"/>
      <c r="I10" s="1097">
        <f>SUM(I7:I9)</f>
        <v>251.19</v>
      </c>
      <c r="J10" s="988">
        <f>'Pipe data'!G20</f>
        <v>123.69927804166667</v>
      </c>
      <c r="K10" s="987">
        <v>1</v>
      </c>
      <c r="L10" s="1017">
        <f>ROUND(I10*J10,0)</f>
        <v>31072</v>
      </c>
      <c r="O10" s="1096"/>
    </row>
    <row r="11" spans="1:15" ht="20.100000000000001" customHeight="1">
      <c r="A11" s="983"/>
      <c r="B11" s="986"/>
      <c r="C11" s="987"/>
      <c r="D11" s="987"/>
      <c r="E11" s="987"/>
      <c r="F11" s="987"/>
      <c r="G11" s="983"/>
      <c r="H11" s="983"/>
      <c r="I11" s="1018" t="s">
        <v>31</v>
      </c>
      <c r="J11" s="988"/>
      <c r="K11" s="987" t="s">
        <v>31</v>
      </c>
      <c r="L11" s="1017"/>
    </row>
    <row r="12" spans="1:15" ht="45.6" hidden="1" customHeight="1">
      <c r="A12" s="989">
        <v>2</v>
      </c>
      <c r="B12" s="3723" t="str">
        <f>'Pipe data'!B55:G55</f>
        <v>Sand  Filling  in foundation trenches as per drawing and technical specification Clause 304 of MORTH including overhead charges &amp; Contractors profit etc complete.</v>
      </c>
      <c r="C12" s="3724"/>
      <c r="D12" s="3724"/>
      <c r="E12" s="3724"/>
      <c r="F12" s="3724"/>
      <c r="G12" s="3724"/>
      <c r="H12" s="3724"/>
      <c r="I12" s="3724"/>
      <c r="J12" s="3724"/>
      <c r="K12" s="3724"/>
      <c r="L12" s="1019"/>
      <c r="N12" s="1096"/>
    </row>
    <row r="13" spans="1:15" s="1068" customFormat="1" ht="20.45" hidden="1" customHeight="1">
      <c r="A13" s="1038"/>
      <c r="B13" s="1039" t="s">
        <v>1400</v>
      </c>
      <c r="C13" s="1079">
        <v>1</v>
      </c>
      <c r="D13" s="1079" t="s">
        <v>956</v>
      </c>
      <c r="E13" s="1079">
        <v>1</v>
      </c>
      <c r="F13" s="1080">
        <v>0</v>
      </c>
      <c r="G13" s="1080">
        <v>3</v>
      </c>
      <c r="H13" s="1080">
        <v>0.15</v>
      </c>
      <c r="I13" s="1080">
        <f>ROUND(C13*E13*F13*G13*H13,2)</f>
        <v>0</v>
      </c>
      <c r="J13" s="1040"/>
      <c r="K13" s="1040"/>
      <c r="L13" s="1043"/>
      <c r="O13" s="1098"/>
    </row>
    <row r="14" spans="1:15" ht="15" hidden="1" customHeight="1">
      <c r="A14" s="989"/>
      <c r="B14" s="990"/>
      <c r="C14" s="1053"/>
      <c r="D14" s="1053"/>
      <c r="E14" s="1053"/>
      <c r="F14" s="1053"/>
      <c r="G14" s="983"/>
      <c r="H14" s="983"/>
      <c r="I14" s="1018">
        <f>SUM(I13:I13)</f>
        <v>0</v>
      </c>
      <c r="J14" s="988">
        <f>'Pipe data'!G72</f>
        <v>1237.43</v>
      </c>
      <c r="K14" s="987">
        <v>1</v>
      </c>
      <c r="L14" s="1017">
        <f>ROUND(I14*J14,0)</f>
        <v>0</v>
      </c>
    </row>
    <row r="15" spans="1:15" ht="15" hidden="1" customHeight="1">
      <c r="A15" s="989"/>
      <c r="B15" s="990"/>
      <c r="C15" s="1053"/>
      <c r="D15" s="1053"/>
      <c r="E15" s="1053"/>
      <c r="F15" s="1053"/>
      <c r="G15" s="983"/>
      <c r="H15" s="983"/>
      <c r="I15" s="1018" t="s">
        <v>31</v>
      </c>
      <c r="J15" s="988"/>
      <c r="K15" s="987" t="s">
        <v>31</v>
      </c>
      <c r="L15" s="1017"/>
    </row>
    <row r="16" spans="1:15" ht="108" customHeight="1">
      <c r="A16" s="989">
        <v>2</v>
      </c>
      <c r="B16" s="3724" t="str">
        <f>'Slab-Culverts Data'!B5:J5</f>
        <v>Providing Plain Cement Concrete (1:3:6) mix using 40mm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C16" s="3724"/>
      <c r="D16" s="3724"/>
      <c r="E16" s="3724"/>
      <c r="F16" s="3724"/>
      <c r="G16" s="3724"/>
      <c r="H16" s="3724"/>
      <c r="I16" s="3724"/>
      <c r="J16" s="3724"/>
      <c r="K16" s="3724"/>
      <c r="L16" s="1019"/>
    </row>
    <row r="17" spans="1:12" ht="20.100000000000001" customHeight="1">
      <c r="A17" s="983"/>
      <c r="B17" s="1075" t="s">
        <v>1397</v>
      </c>
      <c r="C17" s="1076">
        <v>1</v>
      </c>
      <c r="D17" s="1076" t="s">
        <v>956</v>
      </c>
      <c r="E17" s="1076">
        <v>2</v>
      </c>
      <c r="F17" s="1077">
        <v>8.4499999999999993</v>
      </c>
      <c r="G17" s="1077">
        <v>3.5</v>
      </c>
      <c r="H17" s="1077">
        <v>0.15</v>
      </c>
      <c r="I17" s="1077">
        <f>ROUND(PRODUCT(C17:H17),2)</f>
        <v>8.8699999999999992</v>
      </c>
      <c r="J17" s="987"/>
      <c r="K17" s="987"/>
      <c r="L17" s="1099"/>
    </row>
    <row r="18" spans="1:12" ht="20.100000000000001" customHeight="1">
      <c r="A18" s="983"/>
      <c r="B18" s="1075" t="s">
        <v>1478</v>
      </c>
      <c r="C18" s="1076">
        <v>1</v>
      </c>
      <c r="D18" s="1076" t="s">
        <v>956</v>
      </c>
      <c r="E18" s="1076">
        <v>1</v>
      </c>
      <c r="F18" s="1077">
        <v>8.3800000000000008</v>
      </c>
      <c r="G18" s="1077">
        <v>3.35</v>
      </c>
      <c r="H18" s="1077">
        <v>0.15</v>
      </c>
      <c r="I18" s="1077">
        <f>ROUND(PRODUCT(C18:H18),2)</f>
        <v>4.21</v>
      </c>
      <c r="J18" s="987"/>
      <c r="K18" s="987"/>
      <c r="L18" s="1099"/>
    </row>
    <row r="19" spans="1:12" ht="35.1" customHeight="1">
      <c r="A19" s="983"/>
      <c r="B19" s="1075" t="s">
        <v>1398</v>
      </c>
      <c r="C19" s="1076">
        <v>2</v>
      </c>
      <c r="D19" s="1076" t="s">
        <v>956</v>
      </c>
      <c r="E19" s="1076">
        <v>2</v>
      </c>
      <c r="F19" s="1077">
        <v>3.5</v>
      </c>
      <c r="G19" s="1078" t="s">
        <v>1479</v>
      </c>
      <c r="H19" s="1077">
        <v>0.15</v>
      </c>
      <c r="I19" s="1077">
        <f>ROUND(PRODUCT(C19:H19)*(2.38+1.85)/2,2)</f>
        <v>4.4400000000000004</v>
      </c>
      <c r="J19" s="987"/>
      <c r="K19" s="987"/>
      <c r="L19" s="1099"/>
    </row>
    <row r="20" spans="1:12" ht="20.100000000000001" customHeight="1">
      <c r="A20" s="983"/>
      <c r="B20" s="1081"/>
      <c r="C20" s="1082"/>
      <c r="D20" s="1082"/>
      <c r="E20" s="1082"/>
      <c r="F20" s="1083"/>
      <c r="G20" s="1083"/>
      <c r="H20" s="1083"/>
      <c r="I20" s="1097">
        <f>SUM(I17:I19)</f>
        <v>17.52</v>
      </c>
      <c r="J20" s="988">
        <f>'Slab-Culverts Data'!J31</f>
        <v>5706.01</v>
      </c>
      <c r="K20" s="987">
        <v>1</v>
      </c>
      <c r="L20" s="1017">
        <f>ROUND(I20*J20,0)</f>
        <v>99969</v>
      </c>
    </row>
    <row r="21" spans="1:12" ht="20.100000000000001" customHeight="1">
      <c r="A21" s="983"/>
      <c r="B21" s="986"/>
      <c r="C21" s="987"/>
      <c r="D21" s="987"/>
      <c r="E21" s="987"/>
      <c r="F21" s="983"/>
      <c r="G21" s="983"/>
      <c r="H21" s="983"/>
      <c r="I21" s="1018" t="s">
        <v>31</v>
      </c>
      <c r="J21" s="988"/>
      <c r="K21" s="987" t="s">
        <v>31</v>
      </c>
      <c r="L21" s="1017"/>
    </row>
    <row r="22" spans="1:12" ht="103.5" customHeight="1">
      <c r="A22" s="989">
        <v>3</v>
      </c>
      <c r="B22" s="3723" t="str">
        <f>'Slab-Culverts Data'!B33:J33</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C22" s="3724"/>
      <c r="D22" s="3724"/>
      <c r="E22" s="3724"/>
      <c r="F22" s="3724"/>
      <c r="G22" s="3724"/>
      <c r="H22" s="3724"/>
      <c r="I22" s="3724"/>
      <c r="J22" s="3724"/>
      <c r="K22" s="3724"/>
      <c r="L22" s="1019"/>
    </row>
    <row r="23" spans="1:12" ht="20.100000000000001" customHeight="1">
      <c r="A23" s="983"/>
      <c r="B23" s="1051" t="s">
        <v>1401</v>
      </c>
      <c r="C23" s="983"/>
      <c r="D23" s="983"/>
      <c r="E23" s="983"/>
      <c r="F23" s="987"/>
      <c r="G23" s="987"/>
      <c r="H23" s="987"/>
      <c r="I23" s="987"/>
      <c r="J23" s="987"/>
      <c r="K23" s="987"/>
      <c r="L23" s="1099"/>
    </row>
    <row r="24" spans="1:12" s="1069" customFormat="1" ht="20.100000000000001" customHeight="1">
      <c r="A24" s="1075"/>
      <c r="B24" s="1075" t="s">
        <v>1402</v>
      </c>
      <c r="C24" s="1076">
        <v>1</v>
      </c>
      <c r="D24" s="1076" t="s">
        <v>956</v>
      </c>
      <c r="E24" s="1076">
        <v>2</v>
      </c>
      <c r="F24" s="1077">
        <v>8.25</v>
      </c>
      <c r="G24" s="1077">
        <v>3.3</v>
      </c>
      <c r="H24" s="1077">
        <v>0.2</v>
      </c>
      <c r="I24" s="1077">
        <f>ROUNDDOWN(PRODUCT(C24:H24),2)</f>
        <v>10.89</v>
      </c>
      <c r="J24" s="1076"/>
      <c r="K24" s="1076"/>
      <c r="L24" s="1100"/>
    </row>
    <row r="25" spans="1:12" s="1069" customFormat="1" ht="20.100000000000001" customHeight="1">
      <c r="A25" s="1075"/>
      <c r="B25" s="1075" t="s">
        <v>1403</v>
      </c>
      <c r="C25" s="1076">
        <v>1</v>
      </c>
      <c r="D25" s="1076" t="s">
        <v>956</v>
      </c>
      <c r="E25" s="1076">
        <v>2</v>
      </c>
      <c r="F25" s="1077">
        <f>F24</f>
        <v>8.25</v>
      </c>
      <c r="G25" s="1077">
        <v>2.9</v>
      </c>
      <c r="H25" s="1077">
        <v>0.2</v>
      </c>
      <c r="I25" s="1077">
        <f>ROUNDDOWN(PRODUCT(C25:H25),2)</f>
        <v>9.57</v>
      </c>
      <c r="J25" s="1076"/>
      <c r="K25" s="1076"/>
      <c r="L25" s="1100"/>
    </row>
    <row r="26" spans="1:12" s="1069" customFormat="1" ht="20.100000000000001" customHeight="1">
      <c r="A26" s="1075"/>
      <c r="B26" s="1075" t="s">
        <v>1404</v>
      </c>
      <c r="C26" s="1076">
        <v>1</v>
      </c>
      <c r="D26" s="1076" t="s">
        <v>956</v>
      </c>
      <c r="E26" s="1076">
        <v>2</v>
      </c>
      <c r="F26" s="1077">
        <f>F25</f>
        <v>8.25</v>
      </c>
      <c r="G26" s="1077">
        <v>2.5</v>
      </c>
      <c r="H26" s="1077">
        <v>0.4</v>
      </c>
      <c r="I26" s="1077">
        <f>ROUNDDOWN(PRODUCT(C26:H26),2)</f>
        <v>16.5</v>
      </c>
      <c r="J26" s="1076"/>
      <c r="K26" s="1076"/>
      <c r="L26" s="1100"/>
    </row>
    <row r="27" spans="1:12" s="1069" customFormat="1" ht="35.1" customHeight="1">
      <c r="A27" s="1075"/>
      <c r="B27" s="1075" t="s">
        <v>1405</v>
      </c>
      <c r="C27" s="1076">
        <v>1</v>
      </c>
      <c r="D27" s="1076" t="s">
        <v>956</v>
      </c>
      <c r="E27" s="1076">
        <v>2</v>
      </c>
      <c r="F27" s="1077">
        <f>F26</f>
        <v>8.25</v>
      </c>
      <c r="G27" s="1078" t="s">
        <v>1480</v>
      </c>
      <c r="H27" s="1077">
        <v>0.4</v>
      </c>
      <c r="I27" s="1077">
        <f>ROUNDDOWN(PRODUCT(C27:H27)*(2.5+2.1)/2,2)</f>
        <v>15.18</v>
      </c>
      <c r="J27" s="1076"/>
      <c r="K27" s="1076"/>
      <c r="L27" s="1100"/>
    </row>
    <row r="28" spans="1:12" s="1069" customFormat="1" ht="20.100000000000001" customHeight="1">
      <c r="A28" s="1075"/>
      <c r="B28" s="1075" t="s">
        <v>1481</v>
      </c>
      <c r="C28" s="1076">
        <v>1</v>
      </c>
      <c r="D28" s="1076" t="s">
        <v>956</v>
      </c>
      <c r="E28" s="1076">
        <v>1</v>
      </c>
      <c r="F28" s="1077">
        <v>8.3800000000000008</v>
      </c>
      <c r="G28" s="1077">
        <v>3.15</v>
      </c>
      <c r="H28" s="1077">
        <v>0.5</v>
      </c>
      <c r="I28" s="1077">
        <f>ROUNDDOWN(PRODUCT(C28:H28),2)</f>
        <v>13.19</v>
      </c>
      <c r="J28" s="1076"/>
      <c r="K28" s="1076"/>
      <c r="L28" s="1100"/>
    </row>
    <row r="29" spans="1:12" s="1069" customFormat="1" ht="20.100000000000001" customHeight="1">
      <c r="A29" s="1075"/>
      <c r="B29" s="1075" t="s">
        <v>1403</v>
      </c>
      <c r="C29" s="1076">
        <v>1</v>
      </c>
      <c r="D29" s="1076" t="s">
        <v>956</v>
      </c>
      <c r="E29" s="1076">
        <v>1</v>
      </c>
      <c r="F29" s="1077">
        <f>F28</f>
        <v>8.3800000000000008</v>
      </c>
      <c r="G29" s="1077">
        <v>2.5499999999999998</v>
      </c>
      <c r="H29" s="1077">
        <v>0.5</v>
      </c>
      <c r="I29" s="1077">
        <f>ROUNDDOWN(PRODUCT(C29:H29),2)</f>
        <v>10.68</v>
      </c>
      <c r="J29" s="1076"/>
      <c r="K29" s="1076"/>
      <c r="L29" s="1100"/>
    </row>
    <row r="30" spans="1:12" s="1069" customFormat="1" ht="20.100000000000001" customHeight="1">
      <c r="A30" s="1075"/>
      <c r="B30" s="1075" t="s">
        <v>1404</v>
      </c>
      <c r="C30" s="1076">
        <v>1</v>
      </c>
      <c r="D30" s="1076" t="s">
        <v>956</v>
      </c>
      <c r="E30" s="1076">
        <v>1</v>
      </c>
      <c r="F30" s="1077">
        <f>F29</f>
        <v>8.3800000000000008</v>
      </c>
      <c r="G30" s="1077">
        <v>1.95</v>
      </c>
      <c r="H30" s="1077">
        <v>0.5</v>
      </c>
      <c r="I30" s="1077">
        <f>ROUNDDOWN(PRODUCT(C30:H30),2)</f>
        <v>8.17</v>
      </c>
      <c r="J30" s="1076"/>
      <c r="K30" s="1076"/>
      <c r="L30" s="1100"/>
    </row>
    <row r="31" spans="1:12" s="1069" customFormat="1" ht="35.1" customHeight="1">
      <c r="A31" s="1075"/>
      <c r="B31" s="1075" t="s">
        <v>1398</v>
      </c>
      <c r="C31" s="1076">
        <v>2</v>
      </c>
      <c r="D31" s="1076" t="s">
        <v>956</v>
      </c>
      <c r="E31" s="1076">
        <v>2</v>
      </c>
      <c r="F31" s="1077">
        <v>3.5</v>
      </c>
      <c r="G31" s="1078" t="s">
        <v>1482</v>
      </c>
      <c r="H31" s="1077">
        <v>0.4</v>
      </c>
      <c r="I31" s="1077">
        <f>ROUNDDOWN(PRODUCT(C31:H31)*(2.18+1.65)/2,2)</f>
        <v>10.72</v>
      </c>
      <c r="J31" s="1076"/>
      <c r="K31" s="1076"/>
      <c r="L31" s="1100"/>
    </row>
    <row r="32" spans="1:12" s="1069" customFormat="1" ht="35.1" customHeight="1">
      <c r="A32" s="1075"/>
      <c r="B32" s="1075" t="s">
        <v>1408</v>
      </c>
      <c r="C32" s="1076">
        <v>2</v>
      </c>
      <c r="D32" s="1076" t="s">
        <v>956</v>
      </c>
      <c r="E32" s="1076">
        <v>2</v>
      </c>
      <c r="F32" s="1077">
        <v>3.5</v>
      </c>
      <c r="G32" s="1078" t="s">
        <v>1483</v>
      </c>
      <c r="H32" s="1077">
        <v>0.4</v>
      </c>
      <c r="I32" s="1077">
        <f>ROUNDDOWN(PRODUCT(C32:H32)*(1.78+1.25)/2,2)</f>
        <v>8.48</v>
      </c>
      <c r="J32" s="1076"/>
      <c r="K32" s="1076"/>
      <c r="L32" s="1100"/>
    </row>
    <row r="33" spans="1:12" s="1069" customFormat="1" ht="35.1" customHeight="1">
      <c r="A33" s="1075"/>
      <c r="B33" s="1075" t="s">
        <v>1410</v>
      </c>
      <c r="C33" s="1076">
        <v>2</v>
      </c>
      <c r="D33" s="1076" t="s">
        <v>956</v>
      </c>
      <c r="E33" s="1076">
        <v>2</v>
      </c>
      <c r="F33" s="1077">
        <v>3.5</v>
      </c>
      <c r="G33" s="1078" t="s">
        <v>1484</v>
      </c>
      <c r="H33" s="1077">
        <v>0.4</v>
      </c>
      <c r="I33" s="1077">
        <f>ROUNDDOWN(PRODUCT(C33:H33)*(1.58+1.05)/2,2)</f>
        <v>7.36</v>
      </c>
      <c r="J33" s="1076"/>
      <c r="K33" s="1076"/>
      <c r="L33" s="1100"/>
    </row>
    <row r="34" spans="1:12" ht="20.100000000000001" customHeight="1">
      <c r="A34" s="983"/>
      <c r="B34" s="1082"/>
      <c r="C34" s="1082"/>
      <c r="D34" s="1082"/>
      <c r="E34" s="1082"/>
      <c r="F34" s="1083"/>
      <c r="G34" s="1083"/>
      <c r="H34" s="1083"/>
      <c r="I34" s="1097">
        <f>SUM(I24:I33)</f>
        <v>110.74</v>
      </c>
      <c r="J34" s="988">
        <f>'Slab-Culverts Data'!J62</f>
        <v>6381.51</v>
      </c>
      <c r="K34" s="987">
        <v>1</v>
      </c>
      <c r="L34" s="1017">
        <f>ROUND(I34*J34,0)</f>
        <v>706688</v>
      </c>
    </row>
    <row r="35" spans="1:12" ht="20.100000000000001" customHeight="1">
      <c r="A35" s="983"/>
      <c r="B35" s="986"/>
      <c r="C35" s="987"/>
      <c r="D35" s="987"/>
      <c r="E35" s="987"/>
      <c r="F35" s="983"/>
      <c r="G35" s="983"/>
      <c r="H35" s="983"/>
      <c r="I35" s="1018" t="s">
        <v>31</v>
      </c>
      <c r="J35" s="988"/>
      <c r="K35" s="987" t="s">
        <v>31</v>
      </c>
      <c r="L35" s="1017"/>
    </row>
    <row r="36" spans="1:12" ht="105.75" customHeight="1">
      <c r="A36" s="989">
        <v>4</v>
      </c>
      <c r="B36" s="3723" t="str">
        <f>'Slab-Culverts Data'!B177:J177</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v>
      </c>
      <c r="C36" s="3724"/>
      <c r="D36" s="3724"/>
      <c r="E36" s="3724"/>
      <c r="F36" s="3724"/>
      <c r="G36" s="3724"/>
      <c r="H36" s="3724"/>
      <c r="I36" s="3724"/>
      <c r="J36" s="3724"/>
      <c r="K36" s="3724"/>
      <c r="L36" s="1017"/>
    </row>
    <row r="37" spans="1:12" ht="35.1" customHeight="1">
      <c r="A37" s="983"/>
      <c r="B37" s="1075" t="s">
        <v>1412</v>
      </c>
      <c r="C37" s="1076">
        <v>1</v>
      </c>
      <c r="D37" s="1076" t="s">
        <v>956</v>
      </c>
      <c r="E37" s="1076">
        <f>E26</f>
        <v>2</v>
      </c>
      <c r="F37" s="1077">
        <v>8.25</v>
      </c>
      <c r="G37" s="1078" t="s">
        <v>1485</v>
      </c>
      <c r="H37" s="1077">
        <v>1.5</v>
      </c>
      <c r="I37" s="1077">
        <f>ROUNDDOWN(PRODUCT(C37:H37)*(2.1+1.3)/2,2)</f>
        <v>42.07</v>
      </c>
      <c r="J37" s="988"/>
      <c r="K37" s="987"/>
      <c r="L37" s="1017"/>
    </row>
    <row r="38" spans="1:12" ht="35.1" customHeight="1">
      <c r="A38" s="983"/>
      <c r="B38" s="1075" t="s">
        <v>1486</v>
      </c>
      <c r="C38" s="1076">
        <v>1</v>
      </c>
      <c r="D38" s="1076" t="s">
        <v>956</v>
      </c>
      <c r="E38" s="1076">
        <v>1</v>
      </c>
      <c r="F38" s="1077">
        <v>8.25</v>
      </c>
      <c r="G38" s="1078" t="s">
        <v>1487</v>
      </c>
      <c r="H38" s="1077">
        <v>1.5</v>
      </c>
      <c r="I38" s="1077">
        <f>ROUNDDOWN(PRODUCT(C38:H38)*(0.76+1.35)/2,2)</f>
        <v>13.05</v>
      </c>
      <c r="J38" s="988"/>
      <c r="K38" s="987"/>
      <c r="L38" s="1017"/>
    </row>
    <row r="39" spans="1:12" ht="28.5" customHeight="1">
      <c r="A39" s="983"/>
      <c r="B39" s="1084" t="s">
        <v>1488</v>
      </c>
      <c r="C39" s="1085" t="s">
        <v>1489</v>
      </c>
      <c r="D39" s="1085" t="s">
        <v>956</v>
      </c>
      <c r="E39" s="1085">
        <f>E38</f>
        <v>1</v>
      </c>
      <c r="F39" s="1086" t="s">
        <v>1490</v>
      </c>
      <c r="G39" s="1087"/>
      <c r="H39" s="1088">
        <v>1.5</v>
      </c>
      <c r="I39" s="1090">
        <f>ROUND(PRODUCT(C39:H39)*(3.14/8)*(1.35^2+0.76^2)/2,2)</f>
        <v>0.71</v>
      </c>
      <c r="J39" s="988"/>
      <c r="K39" s="987"/>
      <c r="L39" s="1017"/>
    </row>
    <row r="40" spans="1:12" ht="20.100000000000001" customHeight="1">
      <c r="A40" s="983"/>
      <c r="B40" s="1075" t="s">
        <v>1414</v>
      </c>
      <c r="C40" s="1076">
        <v>1</v>
      </c>
      <c r="D40" s="1076" t="s">
        <v>956</v>
      </c>
      <c r="E40" s="1076">
        <v>2</v>
      </c>
      <c r="F40" s="1077">
        <v>8.25</v>
      </c>
      <c r="G40" s="1077">
        <v>0.3</v>
      </c>
      <c r="H40" s="1077">
        <v>1</v>
      </c>
      <c r="I40" s="1077">
        <f>ROUNDDOWN(PRODUCT(C40:H40),2)</f>
        <v>4.95</v>
      </c>
      <c r="J40" s="988"/>
      <c r="K40" s="987"/>
      <c r="L40" s="1017"/>
    </row>
    <row r="41" spans="1:12" ht="35.1" customHeight="1">
      <c r="A41" s="983"/>
      <c r="B41" s="1084" t="s">
        <v>1415</v>
      </c>
      <c r="C41" s="1085">
        <v>2</v>
      </c>
      <c r="D41" s="1085" t="s">
        <v>956</v>
      </c>
      <c r="E41" s="1085">
        <v>2</v>
      </c>
      <c r="F41" s="1087">
        <v>3.5</v>
      </c>
      <c r="G41" s="1078" t="s">
        <v>1491</v>
      </c>
      <c r="H41" s="1077">
        <v>1.79</v>
      </c>
      <c r="I41" s="1077">
        <f>ROUNDDOWN(PRODUCT(C41:H41)*(0.94+0.5)/2,2)</f>
        <v>18.04</v>
      </c>
      <c r="J41" s="988"/>
      <c r="K41" s="987"/>
      <c r="L41" s="1017"/>
    </row>
    <row r="42" spans="1:12" ht="20.100000000000001" customHeight="1">
      <c r="A42" s="983"/>
      <c r="B42" s="1089"/>
      <c r="C42" s="1082"/>
      <c r="D42" s="1082"/>
      <c r="E42" s="1082"/>
      <c r="F42" s="1083"/>
      <c r="G42" s="1083"/>
      <c r="H42" s="1083"/>
      <c r="I42" s="1097">
        <f>SUM(I37:I41)</f>
        <v>78.820000000000007</v>
      </c>
      <c r="J42" s="988">
        <f>'Slab-Culverts Data'!J206</f>
        <v>6749.67</v>
      </c>
      <c r="K42" s="987">
        <v>1</v>
      </c>
      <c r="L42" s="1017">
        <f>ROUND(I42*J42,0)</f>
        <v>532009</v>
      </c>
    </row>
    <row r="43" spans="1:12" ht="20.100000000000001" customHeight="1">
      <c r="A43" s="983"/>
      <c r="B43" s="986"/>
      <c r="C43" s="987"/>
      <c r="D43" s="987"/>
      <c r="E43" s="987"/>
      <c r="F43" s="983"/>
      <c r="G43" s="983"/>
      <c r="H43" s="983"/>
      <c r="I43" s="1018" t="s">
        <v>31</v>
      </c>
      <c r="J43" s="988"/>
      <c r="K43" s="987" t="s">
        <v>31</v>
      </c>
      <c r="L43" s="1017"/>
    </row>
    <row r="44" spans="1:12" ht="4.5" customHeight="1">
      <c r="A44" s="989"/>
      <c r="B44" s="990"/>
      <c r="C44" s="1053"/>
      <c r="D44" s="1053"/>
      <c r="E44" s="1053"/>
      <c r="F44" s="983"/>
      <c r="G44" s="983"/>
      <c r="H44" s="983"/>
      <c r="I44" s="1018"/>
      <c r="J44" s="988"/>
      <c r="K44" s="987"/>
      <c r="L44" s="1017"/>
    </row>
    <row r="45" spans="1:12" ht="107.25" customHeight="1">
      <c r="A45" s="989">
        <v>5</v>
      </c>
      <c r="B45" s="3724" t="str">
        <f>'Slab-Culverts Data'!B239:J239</f>
        <v>Providing reinforced concrete of M25 mix using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Sub-structure.for  Bed blocks &amp; Backing walls</v>
      </c>
      <c r="C45" s="3724"/>
      <c r="D45" s="3724"/>
      <c r="E45" s="3724"/>
      <c r="F45" s="3724"/>
      <c r="G45" s="3724"/>
      <c r="H45" s="3724"/>
      <c r="I45" s="3724"/>
      <c r="J45" s="3724"/>
      <c r="K45" s="3724"/>
      <c r="L45" s="1017"/>
    </row>
    <row r="46" spans="1:12" ht="27" customHeight="1">
      <c r="A46" s="983"/>
      <c r="B46" s="1084" t="s">
        <v>1417</v>
      </c>
      <c r="C46" s="1076">
        <v>1</v>
      </c>
      <c r="D46" s="1076" t="s">
        <v>956</v>
      </c>
      <c r="E46" s="1076">
        <f>E37</f>
        <v>2</v>
      </c>
      <c r="F46" s="1077">
        <f>F37</f>
        <v>8.25</v>
      </c>
      <c r="G46" s="1087">
        <v>1.1000000000000001</v>
      </c>
      <c r="H46" s="1077">
        <v>0.5</v>
      </c>
      <c r="I46" s="1077">
        <f>ROUND(PRODUCT(C46:H46),2)</f>
        <v>9.08</v>
      </c>
      <c r="J46" s="987"/>
      <c r="K46" s="987"/>
      <c r="L46" s="1017"/>
    </row>
    <row r="47" spans="1:12" ht="20.100000000000001" customHeight="1">
      <c r="A47" s="983"/>
      <c r="B47" s="1075" t="s">
        <v>1478</v>
      </c>
      <c r="C47" s="1076">
        <v>1</v>
      </c>
      <c r="D47" s="1076" t="s">
        <v>956</v>
      </c>
      <c r="E47" s="1076">
        <f>E38</f>
        <v>1</v>
      </c>
      <c r="F47" s="1077">
        <v>8.25</v>
      </c>
      <c r="G47" s="1077">
        <v>0.96</v>
      </c>
      <c r="H47" s="1077">
        <v>0.5</v>
      </c>
      <c r="I47" s="1077">
        <f>ROUND(PRODUCT(C47:H47),2)</f>
        <v>3.96</v>
      </c>
      <c r="J47" s="987"/>
      <c r="K47" s="987"/>
      <c r="L47" s="1017"/>
    </row>
    <row r="48" spans="1:12" ht="32.25" customHeight="1">
      <c r="A48" s="983"/>
      <c r="B48" s="1084" t="s">
        <v>1488</v>
      </c>
      <c r="C48" s="1085" t="s">
        <v>1492</v>
      </c>
      <c r="D48" s="1085" t="s">
        <v>956</v>
      </c>
      <c r="E48" s="1085">
        <f>E47</f>
        <v>1</v>
      </c>
      <c r="F48" s="1077">
        <v>0.96</v>
      </c>
      <c r="G48" s="1077">
        <v>0.96</v>
      </c>
      <c r="H48" s="1088">
        <v>0.5</v>
      </c>
      <c r="I48" s="1077">
        <f>ROUND(PRODUCT(C48:H48)*(3.14/4),2)</f>
        <v>0.36</v>
      </c>
      <c r="J48" s="987"/>
      <c r="K48" s="987"/>
      <c r="L48" s="1017"/>
    </row>
    <row r="49" spans="1:14" s="1070" customFormat="1" ht="20.100000000000001" customHeight="1">
      <c r="A49" s="1084"/>
      <c r="B49" s="1084" t="s">
        <v>1418</v>
      </c>
      <c r="C49" s="1085">
        <v>1</v>
      </c>
      <c r="D49" s="1085" t="s">
        <v>956</v>
      </c>
      <c r="E49" s="1085">
        <v>2</v>
      </c>
      <c r="F49" s="1090">
        <v>8.25</v>
      </c>
      <c r="G49" s="1090">
        <v>0.62</v>
      </c>
      <c r="H49" s="1088">
        <v>0.5</v>
      </c>
      <c r="I49" s="1090">
        <f>ROUNDDOWN(PRODUCT(C49:H49),2)</f>
        <v>5.1100000000000003</v>
      </c>
      <c r="J49" s="1085"/>
      <c r="K49" s="1085"/>
      <c r="L49" s="1101"/>
    </row>
    <row r="50" spans="1:14" s="1070" customFormat="1" ht="20.100000000000001" customHeight="1">
      <c r="A50" s="1084"/>
      <c r="B50" s="1084" t="s">
        <v>1419</v>
      </c>
      <c r="C50" s="1085">
        <v>1</v>
      </c>
      <c r="D50" s="1085" t="s">
        <v>956</v>
      </c>
      <c r="E50" s="1085">
        <v>2</v>
      </c>
      <c r="F50" s="1090">
        <v>20.52</v>
      </c>
      <c r="G50" s="1088">
        <v>0.52500000000000002</v>
      </c>
      <c r="H50" s="1088">
        <v>0.3</v>
      </c>
      <c r="I50" s="1090">
        <f>ROUNDDOWN(PRODUCT(C50:H50),2)</f>
        <v>6.46</v>
      </c>
      <c r="J50" s="1085"/>
      <c r="K50" s="1085"/>
      <c r="L50" s="1101"/>
    </row>
    <row r="51" spans="1:14" ht="20.100000000000001" customHeight="1">
      <c r="A51" s="983"/>
      <c r="B51" s="986"/>
      <c r="C51" s="987"/>
      <c r="D51" s="987"/>
      <c r="E51" s="987"/>
      <c r="F51" s="983"/>
      <c r="G51" s="983"/>
      <c r="H51" s="983"/>
      <c r="I51" s="1016">
        <f>SUM(I46:I50)</f>
        <v>24.97</v>
      </c>
      <c r="J51" s="988">
        <f>'Slab-Culverts Data'!J267</f>
        <v>7666.61</v>
      </c>
      <c r="K51" s="987">
        <v>1</v>
      </c>
      <c r="L51" s="1017">
        <f>ROUND(I51*J51,0)</f>
        <v>191435</v>
      </c>
    </row>
    <row r="52" spans="1:14" ht="16.5" customHeight="1">
      <c r="A52" s="983"/>
      <c r="B52" s="986"/>
      <c r="C52" s="987"/>
      <c r="D52" s="987"/>
      <c r="E52" s="987"/>
      <c r="F52" s="983"/>
      <c r="G52" s="983"/>
      <c r="H52" s="983"/>
      <c r="I52" s="1018" t="s">
        <v>31</v>
      </c>
      <c r="J52" s="988"/>
      <c r="K52" s="987" t="s">
        <v>31</v>
      </c>
      <c r="L52" s="1017"/>
    </row>
    <row r="53" spans="1:14" ht="6" customHeight="1">
      <c r="A53" s="989"/>
      <c r="B53" s="990"/>
      <c r="C53" s="1053"/>
      <c r="D53" s="1053"/>
      <c r="E53" s="1053"/>
      <c r="F53" s="983"/>
      <c r="G53" s="983"/>
      <c r="H53" s="983"/>
      <c r="I53" s="1018"/>
      <c r="J53" s="988"/>
      <c r="K53" s="987"/>
      <c r="L53" s="1017"/>
    </row>
    <row r="54" spans="1:14" ht="102.6" customHeight="1">
      <c r="A54" s="989">
        <v>7</v>
      </c>
      <c r="B54" s="3724" t="str">
        <f>'Slab-Culverts Data'!B338:J338</f>
        <v xml:space="preserve">Vibrated reinforced cement concrete M 25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MoRT&amp;H specification  1500,1600,1700 &amp; 2200  (5th revision ) and  as directed by the Engineer-in-Charge </v>
      </c>
      <c r="C54" s="3724"/>
      <c r="D54" s="3724"/>
      <c r="E54" s="3724"/>
      <c r="F54" s="3724"/>
      <c r="G54" s="3724"/>
      <c r="H54" s="3724"/>
      <c r="I54" s="3724"/>
      <c r="J54" s="3724"/>
      <c r="K54" s="3724"/>
      <c r="L54" s="1017"/>
    </row>
    <row r="55" spans="1:14" ht="15.6" customHeight="1">
      <c r="A55" s="989"/>
      <c r="B55" s="990" t="s">
        <v>1420</v>
      </c>
      <c r="C55" s="1053"/>
      <c r="D55" s="1053"/>
      <c r="E55" s="1053"/>
      <c r="F55" s="1053"/>
      <c r="G55" s="1053"/>
      <c r="H55" s="1053"/>
      <c r="I55" s="1053"/>
      <c r="J55" s="1053"/>
      <c r="K55" s="1053"/>
      <c r="L55" s="1019"/>
    </row>
    <row r="56" spans="1:14" s="1071" customFormat="1" ht="18" customHeight="1">
      <c r="A56" s="1079"/>
      <c r="B56" s="1091" t="s">
        <v>1421</v>
      </c>
      <c r="C56" s="1079">
        <v>1</v>
      </c>
      <c r="D56" s="1079" t="s">
        <v>956</v>
      </c>
      <c r="E56" s="1079">
        <v>2</v>
      </c>
      <c r="F56" s="1090">
        <v>8.25</v>
      </c>
      <c r="G56" s="1090">
        <v>6.76</v>
      </c>
      <c r="H56" s="1088">
        <v>0.5</v>
      </c>
      <c r="I56" s="1080">
        <f>ROUND(C56*E56*F56*G56*H56,2)</f>
        <v>55.77</v>
      </c>
      <c r="J56" s="1080"/>
      <c r="K56" s="1102"/>
      <c r="L56" s="1103"/>
      <c r="M56" s="1104"/>
      <c r="N56" s="1105"/>
    </row>
    <row r="57" spans="1:14" ht="15" customHeight="1">
      <c r="A57" s="989"/>
      <c r="B57" s="990"/>
      <c r="C57" s="1053"/>
      <c r="D57" s="1053"/>
      <c r="E57" s="1053"/>
      <c r="F57" s="983"/>
      <c r="G57" s="988"/>
      <c r="H57" s="983"/>
      <c r="I57" s="1018">
        <f>I56</f>
        <v>55.77</v>
      </c>
      <c r="J57" s="988">
        <f>'Slab-Culverts Data'!J366</f>
        <v>8336.31</v>
      </c>
      <c r="K57" s="987">
        <v>1</v>
      </c>
      <c r="L57" s="1017">
        <f>ROUND(I57*J57,0)</f>
        <v>464916</v>
      </c>
    </row>
    <row r="58" spans="1:14" ht="15" customHeight="1">
      <c r="A58" s="989"/>
      <c r="B58" s="990"/>
      <c r="C58" s="1053"/>
      <c r="D58" s="1053"/>
      <c r="E58" s="1053"/>
      <c r="F58" s="983"/>
      <c r="G58" s="983"/>
      <c r="H58" s="983"/>
      <c r="I58" s="1018" t="s">
        <v>31</v>
      </c>
      <c r="J58" s="988"/>
      <c r="K58" s="987" t="s">
        <v>31</v>
      </c>
      <c r="L58" s="1017"/>
    </row>
    <row r="59" spans="1:14" ht="58.5" customHeight="1">
      <c r="A59" s="989">
        <v>6</v>
      </c>
      <c r="B59" s="3724" t="str">
        <f>'Slab-Culverts Data'!B605:J605</f>
        <v xml:space="preserve">Back filling behind abutment, wing wall and return wall complete as per drawing and Technical Specification  and specifications of  IRC:78 &amp; 2200 MORTH  and  as directed by the Engineer-in-Charge including overhead charges &amp; Contractors profit ,But Seignarage charges. </v>
      </c>
      <c r="C59" s="3724"/>
      <c r="D59" s="3724"/>
      <c r="E59" s="3724"/>
      <c r="F59" s="3724"/>
      <c r="G59" s="3724"/>
      <c r="H59" s="3724"/>
      <c r="I59" s="3724"/>
      <c r="J59" s="3724"/>
      <c r="K59" s="3724"/>
      <c r="L59" s="1017"/>
    </row>
    <row r="60" spans="1:14" ht="35.1" customHeight="1">
      <c r="A60" s="989"/>
      <c r="B60" s="1092" t="s">
        <v>1422</v>
      </c>
      <c r="C60" s="1093">
        <v>1</v>
      </c>
      <c r="D60" s="1093" t="s">
        <v>956</v>
      </c>
      <c r="E60" s="1093">
        <v>2</v>
      </c>
      <c r="F60" s="1094">
        <v>3.5</v>
      </c>
      <c r="G60" s="1094">
        <v>6.6</v>
      </c>
      <c r="H60" s="1095" t="s">
        <v>1493</v>
      </c>
      <c r="I60" s="1094">
        <f>ROUNDDOWN(PRODUCT(C60:H60)*(2+0.5)/2,2)</f>
        <v>57.75</v>
      </c>
      <c r="J60" s="1080"/>
      <c r="K60" s="1102"/>
      <c r="L60" s="1103"/>
    </row>
    <row r="61" spans="1:14" ht="20.100000000000001" customHeight="1">
      <c r="A61" s="989"/>
      <c r="B61" s="990"/>
      <c r="C61" s="1053"/>
      <c r="D61" s="1053"/>
      <c r="E61" s="1053"/>
      <c r="F61" s="983"/>
      <c r="G61" s="988"/>
      <c r="H61" s="983"/>
      <c r="I61" s="1016">
        <f>I60</f>
        <v>57.75</v>
      </c>
      <c r="J61" s="988">
        <f>'Slab-Culverts Data'!J625</f>
        <v>691.79</v>
      </c>
      <c r="K61" s="987">
        <v>1</v>
      </c>
      <c r="L61" s="1017">
        <f>ROUND(I61*J61,0)</f>
        <v>39951</v>
      </c>
    </row>
    <row r="62" spans="1:14" ht="17.25" customHeight="1">
      <c r="A62" s="989"/>
      <c r="B62" s="990"/>
      <c r="C62" s="1053"/>
      <c r="D62" s="1053"/>
      <c r="E62" s="1053"/>
      <c r="F62" s="983"/>
      <c r="G62" s="983"/>
      <c r="H62" s="983"/>
      <c r="I62" s="1018" t="s">
        <v>31</v>
      </c>
      <c r="J62" s="988"/>
      <c r="K62" s="987" t="s">
        <v>31</v>
      </c>
      <c r="L62" s="1017"/>
    </row>
    <row r="63" spans="1:14" ht="132" customHeight="1">
      <c r="A63" s="989">
        <v>7</v>
      </c>
      <c r="B63" s="3724" t="str">
        <f>'Slab-Culverts Data'!B400:J400</f>
        <v>Vibrated cement concrete M 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1500, 1600, 1700 &amp; 2702 as directed by the Engineer-in-Charge for Wearing Coat.</v>
      </c>
      <c r="C63" s="3724"/>
      <c r="D63" s="3724"/>
      <c r="E63" s="3724"/>
      <c r="F63" s="3724"/>
      <c r="G63" s="3724"/>
      <c r="H63" s="3724"/>
      <c r="I63" s="3724"/>
      <c r="J63" s="3724"/>
      <c r="K63" s="3724"/>
      <c r="L63" s="1017"/>
    </row>
    <row r="64" spans="1:14" s="1072" customFormat="1" ht="20.100000000000001" customHeight="1">
      <c r="A64" s="1106"/>
      <c r="B64" s="1107" t="s">
        <v>1424</v>
      </c>
      <c r="C64" s="1106">
        <v>1</v>
      </c>
      <c r="D64" s="1106" t="s">
        <v>956</v>
      </c>
      <c r="E64" s="1106">
        <v>2</v>
      </c>
      <c r="F64" s="1108">
        <v>7.5</v>
      </c>
      <c r="G64" s="1108">
        <v>6.76</v>
      </c>
      <c r="H64" s="1109">
        <v>7.4999999999999997E-2</v>
      </c>
      <c r="I64" s="1090">
        <f>ROUNDDOWN(PRODUCT(C64:H64),2)</f>
        <v>7.6</v>
      </c>
      <c r="J64" s="1108"/>
      <c r="K64" s="1117"/>
      <c r="L64" s="1118"/>
      <c r="M64" s="1119"/>
      <c r="N64" s="1120"/>
    </row>
    <row r="65" spans="1:12" ht="20.100000000000001" customHeight="1">
      <c r="A65" s="983"/>
      <c r="B65" s="986"/>
      <c r="C65" s="987"/>
      <c r="D65" s="987"/>
      <c r="E65" s="987"/>
      <c r="F65" s="983"/>
      <c r="G65" s="988"/>
      <c r="H65" s="983"/>
      <c r="I65" s="1016">
        <f>SUM(I64)</f>
        <v>7.6</v>
      </c>
      <c r="J65" s="988">
        <f>'Slab-Culverts Data'!J428</f>
        <v>7037.28</v>
      </c>
      <c r="K65" s="987">
        <v>1</v>
      </c>
      <c r="L65" s="1017">
        <f>ROUND(I65*J65,0)</f>
        <v>53483</v>
      </c>
    </row>
    <row r="66" spans="1:12" ht="20.100000000000001" customHeight="1">
      <c r="A66" s="983"/>
      <c r="B66" s="986"/>
      <c r="C66" s="987"/>
      <c r="D66" s="987"/>
      <c r="E66" s="987"/>
      <c r="F66" s="983"/>
      <c r="G66" s="983"/>
      <c r="H66" s="983"/>
      <c r="I66" s="1018" t="s">
        <v>31</v>
      </c>
      <c r="J66" s="988"/>
      <c r="K66" s="987" t="s">
        <v>31</v>
      </c>
      <c r="L66" s="1017"/>
    </row>
    <row r="67" spans="1:12" s="1073" customFormat="1" ht="118.5" customHeight="1">
      <c r="A67" s="1110">
        <v>8</v>
      </c>
      <c r="B67" s="3724" t="str">
        <f>'Road data'!B161:G161</f>
        <v>Forming Embankment with material obtained from borrowed useful earth from outside road boundary by mechanical means upto SDR with all leads and lifts including pre-watering of soil at borrow area, removal of top soil, excavation of soils at borrowed area, conveyance of soil, depositing the soil on the embankment, spreading soil, breaking clods, sectioning, grading and consolidation with 8 to 10 Tonnes Vibratory Road Roller @ OMC to meet requirement of table 300-2 of MoRT&amp;H, including  all hire and operational charges of T&amp;P, complete for finished item of work as per MoRT&amp;H specification 305 (5th revision). (The soil CBR&gt;10%, PI&lt;18% &amp; MDD&gt;1.8 g/cc)</v>
      </c>
      <c r="C67" s="3724"/>
      <c r="D67" s="3724"/>
      <c r="E67" s="3724"/>
      <c r="F67" s="3724"/>
      <c r="G67" s="3724"/>
      <c r="H67" s="3724"/>
      <c r="I67" s="3724"/>
      <c r="J67" s="3724"/>
      <c r="K67" s="3724"/>
      <c r="L67" s="1121"/>
    </row>
    <row r="68" spans="1:12" ht="35.1" customHeight="1">
      <c r="A68" s="983"/>
      <c r="B68" s="1075" t="s">
        <v>1425</v>
      </c>
      <c r="C68" s="1076">
        <v>1</v>
      </c>
      <c r="D68" s="1076" t="s">
        <v>956</v>
      </c>
      <c r="E68" s="1076">
        <v>2</v>
      </c>
      <c r="F68" s="1077">
        <v>5</v>
      </c>
      <c r="G68" s="1078" t="s">
        <v>1494</v>
      </c>
      <c r="H68" s="1078" t="s">
        <v>1495</v>
      </c>
      <c r="I68" s="1077">
        <f>ROUND(PRODUCT(C68:H68)*(13.5+7.5)/2*(2+0.3)/2,2)</f>
        <v>120.75</v>
      </c>
      <c r="J68" s="1076"/>
      <c r="K68" s="1076"/>
      <c r="L68" s="1100"/>
    </row>
    <row r="69" spans="1:12" ht="20.100000000000001" customHeight="1">
      <c r="A69" s="983"/>
      <c r="B69" s="1111"/>
      <c r="C69" s="1082"/>
      <c r="D69" s="1082"/>
      <c r="E69" s="1082"/>
      <c r="F69" s="1112"/>
      <c r="G69" s="1112"/>
      <c r="H69" s="1112"/>
      <c r="I69" s="1097">
        <f>SUM(I68:I68)</f>
        <v>120.75</v>
      </c>
      <c r="J69" s="1112">
        <f>'Road data'!G188</f>
        <v>270.81</v>
      </c>
      <c r="K69" s="1122" t="s">
        <v>1428</v>
      </c>
      <c r="L69" s="1017">
        <f>ROUND(I69*J69,0)</f>
        <v>32700</v>
      </c>
    </row>
    <row r="70" spans="1:12" ht="20.100000000000001" customHeight="1">
      <c r="A70" s="983"/>
      <c r="B70" s="986"/>
      <c r="C70" s="987"/>
      <c r="D70" s="987"/>
      <c r="E70" s="987"/>
      <c r="F70" s="983"/>
      <c r="G70" s="983"/>
      <c r="H70" s="983"/>
      <c r="I70" s="1018" t="s">
        <v>31</v>
      </c>
      <c r="J70" s="988"/>
      <c r="K70" s="987"/>
      <c r="L70" s="1017"/>
    </row>
    <row r="71" spans="1:12" ht="107.25" customHeight="1">
      <c r="A71" s="989">
        <v>9</v>
      </c>
      <c r="B71" s="3724" t="str">
        <f>'Slab-Culverts Data'!B506:J506</f>
        <v>Vibrated  cement concrete M 15 Grade Concrete using 40mm , 20mm and 10mm size HBG crushed stone aggregate (Coarse aggregate conforming to table 1000-1 and fine aggregate(Natural sand 50%+Manufactured sand(Rock Sand)50% ) conforming to table 1000-2) including cost, (excluding  seigniorage) and conveyance of all  materials to site and all labour charges ,centering, machine mixing, laying in position, Compacting , Vibrating and curing including all other incidental and all other operational charges of T&amp;P required etc., complete as per MoRT&amp;H Specification 1500,1700, 2100 (5th Revision)  for levelling course.</v>
      </c>
      <c r="C71" s="3724"/>
      <c r="D71" s="3724"/>
      <c r="E71" s="3724"/>
      <c r="F71" s="3724"/>
      <c r="G71" s="3724"/>
      <c r="H71" s="3724"/>
      <c r="I71" s="3724"/>
      <c r="J71" s="3724"/>
      <c r="K71" s="3724"/>
      <c r="L71" s="1123"/>
    </row>
    <row r="72" spans="1:12" ht="20.100000000000001" customHeight="1">
      <c r="A72" s="989"/>
      <c r="B72" s="1092" t="s">
        <v>1425</v>
      </c>
      <c r="C72" s="1093">
        <v>1</v>
      </c>
      <c r="D72" s="1093" t="s">
        <v>956</v>
      </c>
      <c r="E72" s="1093">
        <v>2</v>
      </c>
      <c r="F72" s="1094">
        <f>F60</f>
        <v>3.5</v>
      </c>
      <c r="G72" s="1094">
        <v>7.5</v>
      </c>
      <c r="H72" s="1094">
        <v>0.15</v>
      </c>
      <c r="I72" s="1094">
        <f>ROUND(PRODUCT(C72:H72),2)</f>
        <v>7.88</v>
      </c>
      <c r="J72" s="1093"/>
      <c r="K72" s="1093"/>
      <c r="L72" s="1124"/>
    </row>
    <row r="73" spans="1:12" ht="20.100000000000001" customHeight="1">
      <c r="A73" s="989"/>
      <c r="B73" s="1113"/>
      <c r="C73" s="1114"/>
      <c r="D73" s="1114"/>
      <c r="E73" s="1114"/>
      <c r="F73" s="1115"/>
      <c r="G73" s="1115"/>
      <c r="H73" s="1115"/>
      <c r="I73" s="1125">
        <f>SUM(I72:I72)</f>
        <v>7.88</v>
      </c>
      <c r="J73" s="1115">
        <f>'Slab-Culverts Data'!J535</f>
        <v>6139.47</v>
      </c>
      <c r="K73" s="1126" t="s">
        <v>1428</v>
      </c>
      <c r="L73" s="1017">
        <f>ROUND(I73*J73,0)</f>
        <v>48379</v>
      </c>
    </row>
    <row r="74" spans="1:12" ht="20.100000000000001" customHeight="1">
      <c r="A74" s="989"/>
      <c r="B74" s="990"/>
      <c r="C74" s="1053"/>
      <c r="D74" s="1053"/>
      <c r="E74" s="1053"/>
      <c r="F74" s="983"/>
      <c r="G74" s="983"/>
      <c r="H74" s="983"/>
      <c r="I74" s="1018" t="s">
        <v>31</v>
      </c>
      <c r="J74" s="988"/>
      <c r="K74" s="987"/>
      <c r="L74" s="1017"/>
    </row>
    <row r="75" spans="1:12" ht="134.25" customHeight="1">
      <c r="A75" s="989">
        <v>10</v>
      </c>
      <c r="B75" s="3724" t="str">
        <f>'Slab-Culverts Data'!B476:J476</f>
        <v>Vibrated reinforced cement concrete M30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all other incidental and operational charges of all T&amp;P  etc., complete for finished item of work as per Approved drawing but excluding  cost of steel  and its fabrication charges as per MoRT&amp;H specification   1500, 1600,1700,  &amp; 2704  (5th Revision) and  as directed by the Engineer-in-Charge for Approach slab.</v>
      </c>
      <c r="C75" s="3724"/>
      <c r="D75" s="3724"/>
      <c r="E75" s="3724"/>
      <c r="F75" s="3724"/>
      <c r="G75" s="3724"/>
      <c r="H75" s="3724"/>
      <c r="I75" s="3724"/>
      <c r="J75" s="3724"/>
      <c r="K75" s="3724"/>
      <c r="L75" s="1123"/>
    </row>
    <row r="76" spans="1:12" ht="20.100000000000001" customHeight="1">
      <c r="A76" s="983"/>
      <c r="B76" s="1075" t="s">
        <v>1429</v>
      </c>
      <c r="C76" s="1076">
        <v>1</v>
      </c>
      <c r="D76" s="1076" t="s">
        <v>956</v>
      </c>
      <c r="E76" s="1076">
        <v>2</v>
      </c>
      <c r="F76" s="1077">
        <v>3.5</v>
      </c>
      <c r="G76" s="1077">
        <v>7.5</v>
      </c>
      <c r="H76" s="1077">
        <v>0.15</v>
      </c>
      <c r="I76" s="1077">
        <f>ROUND(PRODUCT(C76:H76),2)</f>
        <v>7.88</v>
      </c>
      <c r="J76" s="1076"/>
      <c r="K76" s="1076"/>
      <c r="L76" s="1100"/>
    </row>
    <row r="77" spans="1:12" ht="20.100000000000001" customHeight="1">
      <c r="A77" s="983"/>
      <c r="B77" s="1111"/>
      <c r="C77" s="1082"/>
      <c r="D77" s="1082"/>
      <c r="E77" s="1082"/>
      <c r="F77" s="1112"/>
      <c r="G77" s="1112"/>
      <c r="H77" s="1112"/>
      <c r="I77" s="1097">
        <f>SUM(I76:I76)</f>
        <v>7.88</v>
      </c>
      <c r="J77" s="1112">
        <f>'Slab-Culverts Data'!J504</f>
        <v>7131.83</v>
      </c>
      <c r="K77" s="1122" t="s">
        <v>1428</v>
      </c>
      <c r="L77" s="1127">
        <f>ROUND(I77*J77,0)</f>
        <v>56199</v>
      </c>
    </row>
    <row r="78" spans="1:12" ht="20.100000000000001" customHeight="1">
      <c r="A78" s="983"/>
      <c r="B78" s="1111"/>
      <c r="C78" s="1082"/>
      <c r="D78" s="1082"/>
      <c r="E78" s="1082"/>
      <c r="F78" s="1112"/>
      <c r="G78" s="1112"/>
      <c r="H78" s="1112"/>
      <c r="I78" s="1018" t="s">
        <v>31</v>
      </c>
      <c r="J78" s="1112"/>
      <c r="K78" s="1122"/>
      <c r="L78" s="1127"/>
    </row>
    <row r="79" spans="1:12" ht="90.75" customHeight="1">
      <c r="A79" s="989">
        <v>11</v>
      </c>
      <c r="B79" s="3724" t="str">
        <f>'Slab-Culverts Data'!B627:J627</f>
        <v>Construction of p  RCC railing of M 25 grade , aggregate size not exceeding 12 mm, true to line and grade, tolerance of vertical RCC post not to exceed 1 in 500, centre to center spacing between vertical post not to exceed 2000 mm , leaving adequate space between vertiacal post for expansion, complete as per approved drawings and Technical Specifications as per MoRTH spn nos.2703,1500,1600,&amp;1700 excluding cost of steel and its fabrication charges</v>
      </c>
      <c r="C79" s="3724"/>
      <c r="D79" s="3724"/>
      <c r="E79" s="3724"/>
      <c r="F79" s="3724"/>
      <c r="G79" s="3724"/>
      <c r="H79" s="3724"/>
      <c r="I79" s="3724"/>
      <c r="J79" s="3724"/>
      <c r="K79" s="3724"/>
      <c r="L79" s="1123"/>
    </row>
    <row r="80" spans="1:12" ht="20.100000000000001" customHeight="1">
      <c r="A80" s="983"/>
      <c r="B80" s="1075"/>
      <c r="C80" s="1076">
        <v>1</v>
      </c>
      <c r="D80" s="1076" t="s">
        <v>956</v>
      </c>
      <c r="E80" s="1076">
        <v>2</v>
      </c>
      <c r="F80" s="1077">
        <v>20.52</v>
      </c>
      <c r="G80" s="1077"/>
      <c r="H80" s="1077"/>
      <c r="I80" s="1077">
        <f>ROUND(PRODUCT(C80:H80),2)</f>
        <v>41.04</v>
      </c>
      <c r="J80" s="1076"/>
      <c r="K80" s="1076"/>
      <c r="L80" s="1100"/>
    </row>
    <row r="81" spans="1:12" ht="20.100000000000001" customHeight="1">
      <c r="A81" s="983"/>
      <c r="B81" s="1111"/>
      <c r="C81" s="1082"/>
      <c r="D81" s="1082"/>
      <c r="E81" s="1082"/>
      <c r="F81" s="1112"/>
      <c r="G81" s="1112"/>
      <c r="H81" s="1112"/>
      <c r="I81" s="1097">
        <f>SUM(I80:I80)</f>
        <v>41.04</v>
      </c>
      <c r="J81" s="1112">
        <f>'Slab-Culverts Data'!J673</f>
        <v>613.8489567984376</v>
      </c>
      <c r="K81" s="1122" t="s">
        <v>1062</v>
      </c>
      <c r="L81" s="1127">
        <f>ROUND(I81*J81,0)</f>
        <v>25192</v>
      </c>
    </row>
    <row r="82" spans="1:12" ht="20.100000000000001" customHeight="1">
      <c r="A82" s="983"/>
      <c r="B82" s="1111"/>
      <c r="C82" s="1082"/>
      <c r="D82" s="1082"/>
      <c r="E82" s="1082"/>
      <c r="F82" s="1112"/>
      <c r="G82" s="1112"/>
      <c r="H82" s="1112"/>
      <c r="I82" s="1018" t="s">
        <v>1062</v>
      </c>
      <c r="J82" s="1112"/>
      <c r="K82" s="1122"/>
      <c r="L82" s="1127"/>
    </row>
    <row r="83" spans="1:12" ht="110.25" customHeight="1">
      <c r="A83" s="989">
        <v>12</v>
      </c>
      <c r="B83" s="3724" t="str">
        <f>'Slab-Culverts Data'!B291:J291</f>
        <v xml:space="preserve">Providing Weep holes in VCC Abutment/ Wing wall/return wall with 100mm Diameter AC pipe  extending through the full width of the structure at 1.00m C/C in both horizontal and vertical direction so that the weep holes in each horizontal direction is staggered from the weep holes laying above and below lines as shown in drawing including cost and conveyance of the A.C pipes and labour charges for cutting to required length, placing the pipe with a slope of about 1V : 20H towards stream side face etc., complete for finished item of work for weep holes as per SSR Data </v>
      </c>
      <c r="C83" s="3724"/>
      <c r="D83" s="3724"/>
      <c r="E83" s="3724"/>
      <c r="F83" s="3724"/>
      <c r="G83" s="3724"/>
      <c r="H83" s="3724"/>
      <c r="I83" s="3724"/>
      <c r="J83" s="3724"/>
      <c r="K83" s="3724"/>
      <c r="L83" s="1123"/>
    </row>
    <row r="84" spans="1:12" ht="20.100000000000001" customHeight="1">
      <c r="A84" s="983"/>
      <c r="B84" s="1075"/>
      <c r="C84" s="1076">
        <v>2</v>
      </c>
      <c r="D84" s="1076" t="s">
        <v>956</v>
      </c>
      <c r="E84" s="1076">
        <v>2</v>
      </c>
      <c r="F84" s="1077">
        <v>15</v>
      </c>
      <c r="G84" s="1077"/>
      <c r="H84" s="1077"/>
      <c r="I84" s="1077">
        <f>ROUND(PRODUCT(C84:H84),2)</f>
        <v>60</v>
      </c>
      <c r="J84" s="1076"/>
      <c r="K84" s="1076"/>
      <c r="L84" s="1100"/>
    </row>
    <row r="85" spans="1:12" ht="20.100000000000001" customHeight="1">
      <c r="A85" s="983"/>
      <c r="B85" s="1111"/>
      <c r="C85" s="1082"/>
      <c r="D85" s="1082"/>
      <c r="E85" s="1082"/>
      <c r="F85" s="1112"/>
      <c r="G85" s="1112"/>
      <c r="H85" s="1112"/>
      <c r="I85" s="1097">
        <f>SUM(I84:I84)</f>
        <v>60</v>
      </c>
      <c r="J85" s="1112">
        <f>'Slab-Culverts Data'!J312</f>
        <v>614.2736666666666</v>
      </c>
      <c r="K85" s="1122" t="s">
        <v>1062</v>
      </c>
      <c r="L85" s="1127">
        <f>ROUND(I85*J85,0)</f>
        <v>36856</v>
      </c>
    </row>
    <row r="86" spans="1:12" ht="20.100000000000001" customHeight="1">
      <c r="A86" s="983"/>
      <c r="B86" s="1111"/>
      <c r="C86" s="1082"/>
      <c r="D86" s="1082"/>
      <c r="E86" s="1082"/>
      <c r="F86" s="1112"/>
      <c r="G86" s="1112"/>
      <c r="H86" s="1112"/>
      <c r="I86" s="1018" t="s">
        <v>1062</v>
      </c>
      <c r="J86" s="1112"/>
      <c r="K86" s="1122"/>
      <c r="L86" s="1127"/>
    </row>
    <row r="87" spans="1:12" ht="138.75" customHeight="1">
      <c r="A87" s="989">
        <v>13</v>
      </c>
      <c r="B87" s="3724" t="str">
        <f>'Slab-Culverts Data'!B313:J313</f>
        <v xml:space="preserve">Providing and laying of  filter media using 50% of 150 mm IRC soling  stone and  50 % of 40 mm  HBG metal satisfying the requirements laid down in clause 2504.2.2 of MoRT&amp;H specifications to a thickness of not less than 600mm with smaller size towards the soil and bigger size towards the wall and provided over the entire surface behind the abutment, wing wall and return wall to the full height compacted to a firm condition including cost and conveyance of all metal (excluding  seigniorage) charges ,and all labour charges  as directed  by  the departmental officers as per drawing and Technical specifications as per clause 710.1.1 of IRC:78 and Clause 2200 of MoRT&amp;H (5th Revision) for finished item of work. </v>
      </c>
      <c r="C87" s="3724"/>
      <c r="D87" s="3724"/>
      <c r="E87" s="3724"/>
      <c r="F87" s="3724"/>
      <c r="G87" s="3724"/>
      <c r="H87" s="3724"/>
      <c r="I87" s="3724"/>
      <c r="J87" s="3724"/>
      <c r="K87" s="3724"/>
      <c r="L87" s="1123"/>
    </row>
    <row r="88" spans="1:12" ht="20.100000000000001" customHeight="1">
      <c r="A88" s="983"/>
      <c r="B88" s="1075"/>
      <c r="C88" s="1076">
        <v>1</v>
      </c>
      <c r="D88" s="1076" t="s">
        <v>956</v>
      </c>
      <c r="E88" s="1076">
        <v>2</v>
      </c>
      <c r="F88" s="1077">
        <v>14.5</v>
      </c>
      <c r="G88" s="1077">
        <v>0.23</v>
      </c>
      <c r="H88" s="1077">
        <v>2</v>
      </c>
      <c r="I88" s="1077">
        <f>ROUND(PRODUCT(C88:H88),2)</f>
        <v>13.34</v>
      </c>
      <c r="J88" s="1076"/>
      <c r="K88" s="1076"/>
      <c r="L88" s="1100"/>
    </row>
    <row r="89" spans="1:12" ht="20.100000000000001" customHeight="1">
      <c r="A89" s="983"/>
      <c r="B89" s="1111"/>
      <c r="C89" s="1082"/>
      <c r="D89" s="1082"/>
      <c r="E89" s="1082"/>
      <c r="F89" s="1112"/>
      <c r="G89" s="1112"/>
      <c r="H89" s="1112"/>
      <c r="I89" s="1097">
        <f>SUM(I88:I88)</f>
        <v>13.34</v>
      </c>
      <c r="J89" s="1112">
        <f>'Slab-Culverts Data'!J335</f>
        <v>2392.09</v>
      </c>
      <c r="K89" s="1122" t="s">
        <v>73</v>
      </c>
      <c r="L89" s="1127">
        <f>ROUND(I89*J89,0)</f>
        <v>31910</v>
      </c>
    </row>
    <row r="90" spans="1:12" ht="20.100000000000001" customHeight="1">
      <c r="A90" s="983"/>
      <c r="B90" s="1111"/>
      <c r="C90" s="1082"/>
      <c r="D90" s="1082"/>
      <c r="E90" s="1082"/>
      <c r="F90" s="1112"/>
      <c r="G90" s="1112"/>
      <c r="H90" s="1112"/>
      <c r="I90" s="1018" t="s">
        <v>31</v>
      </c>
      <c r="J90" s="1112"/>
      <c r="K90" s="1122"/>
      <c r="L90" s="1127"/>
    </row>
    <row r="91" spans="1:12" ht="67.5" customHeight="1">
      <c r="A91" s="989">
        <v>14</v>
      </c>
      <c r="B91" s="3724" t="str">
        <f>'Slab-Culverts Data'!B538:J538</f>
        <v xml:space="preserve">Providing and laying boulders apron for bed protection against scour with stone boulders weighing not less than 40kg each complete as per drawing and specification. complete for finished item of work as per MoRT&amp;H specification 2504 ( 5th revision ) and as directed by the Engineer-in-Charge </v>
      </c>
      <c r="C91" s="3724"/>
      <c r="D91" s="3724"/>
      <c r="E91" s="3724"/>
      <c r="F91" s="3724"/>
      <c r="G91" s="3724"/>
      <c r="H91" s="3724"/>
      <c r="I91" s="3724"/>
      <c r="J91" s="3724"/>
      <c r="K91" s="3724"/>
      <c r="L91" s="1123"/>
    </row>
    <row r="92" spans="1:12" ht="20.100000000000001" customHeight="1">
      <c r="A92" s="983"/>
      <c r="B92" s="1075" t="s">
        <v>1430</v>
      </c>
      <c r="C92" s="1076">
        <v>1</v>
      </c>
      <c r="D92" s="1076" t="s">
        <v>956</v>
      </c>
      <c r="E92" s="1076">
        <v>3</v>
      </c>
      <c r="F92" s="1077">
        <v>8.25</v>
      </c>
      <c r="G92" s="1077">
        <v>6</v>
      </c>
      <c r="H92" s="1077">
        <v>0.3</v>
      </c>
      <c r="I92" s="1077">
        <f>ROUND(PRODUCT(C92:H92),2)</f>
        <v>44.55</v>
      </c>
      <c r="J92" s="1076"/>
      <c r="K92" s="1076"/>
      <c r="L92" s="1100"/>
    </row>
    <row r="93" spans="1:12" ht="20.100000000000001" customHeight="1">
      <c r="A93" s="983"/>
      <c r="B93" s="1075" t="s">
        <v>1431</v>
      </c>
      <c r="C93" s="1076">
        <v>1</v>
      </c>
      <c r="D93" s="1076" t="s">
        <v>956</v>
      </c>
      <c r="E93" s="1076">
        <v>1</v>
      </c>
      <c r="F93" s="1077">
        <v>28</v>
      </c>
      <c r="G93" s="1077">
        <v>1.5</v>
      </c>
      <c r="H93" s="1077">
        <v>0.3</v>
      </c>
      <c r="I93" s="1077">
        <f>ROUND(PRODUCT(C93:H93),2)</f>
        <v>12.6</v>
      </c>
      <c r="J93" s="1076"/>
      <c r="K93" s="1076"/>
      <c r="L93" s="1100"/>
    </row>
    <row r="94" spans="1:12" ht="20.100000000000001" customHeight="1">
      <c r="A94" s="983"/>
      <c r="B94" s="1075" t="s">
        <v>1432</v>
      </c>
      <c r="C94" s="1076">
        <v>1</v>
      </c>
      <c r="D94" s="1076" t="s">
        <v>956</v>
      </c>
      <c r="E94" s="1076">
        <v>1</v>
      </c>
      <c r="F94" s="1077">
        <v>28</v>
      </c>
      <c r="G94" s="1077">
        <v>3</v>
      </c>
      <c r="H94" s="1077">
        <v>0.3</v>
      </c>
      <c r="I94" s="1077">
        <f>ROUND(PRODUCT(C94:H94),2)</f>
        <v>25.2</v>
      </c>
      <c r="J94" s="1076"/>
      <c r="K94" s="1076"/>
      <c r="L94" s="1100"/>
    </row>
    <row r="95" spans="1:12" ht="20.100000000000001" customHeight="1">
      <c r="A95" s="983"/>
      <c r="B95" s="1111"/>
      <c r="C95" s="1082"/>
      <c r="D95" s="1082"/>
      <c r="E95" s="1082"/>
      <c r="F95" s="1112"/>
      <c r="G95" s="1112"/>
      <c r="H95" s="1112"/>
      <c r="I95" s="1097">
        <f>SUM(I92:I94)</f>
        <v>82.35</v>
      </c>
      <c r="J95" s="1112">
        <f>'Slab-Culverts Data'!J559</f>
        <v>2028.19</v>
      </c>
      <c r="K95" s="1122" t="s">
        <v>73</v>
      </c>
      <c r="L95" s="1127">
        <f>ROUND(I95*J95,0)</f>
        <v>167021</v>
      </c>
    </row>
    <row r="96" spans="1:12" ht="20.100000000000001" customHeight="1">
      <c r="A96" s="983"/>
      <c r="B96" s="986"/>
      <c r="C96" s="987"/>
      <c r="D96" s="987"/>
      <c r="E96" s="987"/>
      <c r="F96" s="983"/>
      <c r="G96" s="983"/>
      <c r="H96" s="983"/>
      <c r="I96" s="1018" t="s">
        <v>31</v>
      </c>
      <c r="J96" s="988"/>
      <c r="K96" s="987"/>
      <c r="L96" s="1017"/>
    </row>
    <row r="97" spans="1:12" ht="15" customHeight="1">
      <c r="A97" s="989"/>
      <c r="B97" s="990"/>
      <c r="C97" s="1053"/>
      <c r="D97" s="1053"/>
      <c r="E97" s="1053"/>
      <c r="F97" s="983"/>
      <c r="G97" s="983"/>
      <c r="H97" s="983"/>
      <c r="I97" s="1018"/>
      <c r="J97" s="988"/>
      <c r="K97" s="987"/>
      <c r="L97" s="1017"/>
    </row>
    <row r="98" spans="1:12" ht="136.5" customHeight="1">
      <c r="A98" s="989">
        <v>15</v>
      </c>
      <c r="B98" s="3724" t="str">
        <f>'Slab-Culverts Data'!B155:J155</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&amp;2200  (5th revision) in foundation.</v>
      </c>
      <c r="C98" s="3724"/>
      <c r="D98" s="3724"/>
      <c r="E98" s="3724"/>
      <c r="F98" s="3724"/>
      <c r="G98" s="3724"/>
      <c r="H98" s="3724"/>
      <c r="I98" s="3724"/>
      <c r="J98" s="3724"/>
      <c r="K98" s="3724"/>
      <c r="L98" s="1017"/>
    </row>
    <row r="99" spans="1:12" ht="20.100000000000001" customHeight="1">
      <c r="A99" s="983"/>
      <c r="B99" s="986"/>
      <c r="C99" s="987"/>
      <c r="D99" s="987"/>
      <c r="E99" s="987"/>
      <c r="F99" s="983"/>
      <c r="G99" s="983"/>
      <c r="H99" s="983"/>
      <c r="I99" s="1016">
        <v>0.91800000000000004</v>
      </c>
      <c r="J99" s="988">
        <f>'Slab-Culverts Data'!J175</f>
        <v>64656.02</v>
      </c>
      <c r="K99" s="987">
        <v>1</v>
      </c>
      <c r="L99" s="1017">
        <f>ROUND(I99*J99,0)</f>
        <v>59354</v>
      </c>
    </row>
    <row r="100" spans="1:12" ht="20.100000000000001" customHeight="1">
      <c r="A100" s="983"/>
      <c r="B100" s="986"/>
      <c r="C100" s="987"/>
      <c r="D100" s="987"/>
      <c r="E100" s="987"/>
      <c r="F100" s="983"/>
      <c r="G100" s="983"/>
      <c r="H100" s="983"/>
      <c r="I100" s="1018" t="s">
        <v>66</v>
      </c>
      <c r="J100" s="988"/>
      <c r="K100" s="987" t="s">
        <v>66</v>
      </c>
      <c r="L100" s="1017"/>
    </row>
    <row r="101" spans="1:12" ht="15" customHeight="1">
      <c r="A101" s="983"/>
      <c r="B101" s="986"/>
      <c r="C101" s="987"/>
      <c r="D101" s="987"/>
      <c r="E101" s="987"/>
      <c r="F101" s="983"/>
      <c r="G101" s="983"/>
      <c r="H101" s="983"/>
      <c r="I101" s="1018"/>
      <c r="J101" s="988"/>
      <c r="K101" s="987"/>
      <c r="L101" s="1017"/>
    </row>
    <row r="102" spans="1:12" ht="132.75" customHeight="1">
      <c r="A102" s="989">
        <v>16</v>
      </c>
      <c r="B102" s="3724" t="str">
        <f>'Slab-Culverts Data'!B269:J269</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&amp;2200  (5th revision) in sub-structure.</v>
      </c>
      <c r="C102" s="3724"/>
      <c r="D102" s="3724"/>
      <c r="E102" s="3724"/>
      <c r="F102" s="3724"/>
      <c r="G102" s="3724"/>
      <c r="H102" s="3724"/>
      <c r="I102" s="3724"/>
      <c r="J102" s="3724"/>
      <c r="K102" s="3724"/>
      <c r="L102" s="1017"/>
    </row>
    <row r="103" spans="1:12" ht="20.100000000000001" customHeight="1">
      <c r="A103" s="983"/>
      <c r="B103" s="986"/>
      <c r="C103" s="987"/>
      <c r="D103" s="987"/>
      <c r="E103" s="987"/>
      <c r="F103" s="983"/>
      <c r="G103" s="983"/>
      <c r="H103" s="983"/>
      <c r="I103" s="1016">
        <v>0.91800000000000004</v>
      </c>
      <c r="J103" s="988">
        <f>'Slab-Culverts Data'!J290</f>
        <v>64943.47</v>
      </c>
      <c r="K103" s="987">
        <v>1</v>
      </c>
      <c r="L103" s="1017">
        <f>ROUND(I103*J103,0)</f>
        <v>59618</v>
      </c>
    </row>
    <row r="104" spans="1:12" ht="20.100000000000001" customHeight="1">
      <c r="A104" s="983"/>
      <c r="B104" s="986"/>
      <c r="C104" s="987"/>
      <c r="D104" s="987"/>
      <c r="E104" s="987"/>
      <c r="F104" s="983"/>
      <c r="G104" s="983"/>
      <c r="H104" s="983"/>
      <c r="I104" s="1018" t="s">
        <v>66</v>
      </c>
      <c r="J104" s="988"/>
      <c r="K104" s="987" t="s">
        <v>66</v>
      </c>
      <c r="L104" s="1017"/>
    </row>
    <row r="105" spans="1:12" ht="132" customHeight="1">
      <c r="A105" s="989">
        <v>17</v>
      </c>
      <c r="B105" s="3724" t="str">
        <f>'Slab-Culverts Data'!B431:J431</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 2200  (5th revision) in super structure.</v>
      </c>
      <c r="C105" s="3724"/>
      <c r="D105" s="3724"/>
      <c r="E105" s="3724"/>
      <c r="F105" s="3724"/>
      <c r="G105" s="3724"/>
      <c r="H105" s="3724"/>
      <c r="I105" s="3724"/>
      <c r="J105" s="3724"/>
      <c r="K105" s="3724"/>
      <c r="L105" s="1019"/>
    </row>
    <row r="106" spans="1:12" ht="20.100000000000001" customHeight="1">
      <c r="A106" s="983"/>
      <c r="B106" s="986"/>
      <c r="C106" s="987"/>
      <c r="D106" s="987"/>
      <c r="E106" s="987"/>
      <c r="F106" s="983"/>
      <c r="G106" s="983"/>
      <c r="H106" s="983"/>
      <c r="I106" s="1016">
        <v>13</v>
      </c>
      <c r="J106" s="988">
        <f>'Slab-Culverts Data'!J451</f>
        <v>66904.47</v>
      </c>
      <c r="K106" s="987">
        <v>1</v>
      </c>
      <c r="L106" s="1017">
        <f>ROUND(I106*J106,0)</f>
        <v>869758</v>
      </c>
    </row>
    <row r="107" spans="1:12" ht="20.100000000000001" customHeight="1">
      <c r="A107" s="996"/>
      <c r="B107" s="997"/>
      <c r="C107" s="1022"/>
      <c r="D107" s="1022"/>
      <c r="E107" s="1022"/>
      <c r="F107" s="996"/>
      <c r="G107" s="996"/>
      <c r="H107" s="996"/>
      <c r="I107" s="1020" t="s">
        <v>66</v>
      </c>
      <c r="J107" s="1021"/>
      <c r="K107" s="1022" t="s">
        <v>66</v>
      </c>
      <c r="L107" s="1023"/>
    </row>
    <row r="108" spans="1:12" ht="23.25" customHeight="1">
      <c r="A108" s="1116"/>
      <c r="B108" s="997"/>
      <c r="C108" s="1022"/>
      <c r="D108" s="1022"/>
      <c r="E108" s="1022"/>
      <c r="F108" s="996"/>
      <c r="G108" s="996"/>
      <c r="H108" s="996"/>
      <c r="I108" s="1020"/>
      <c r="J108" s="1128" t="s">
        <v>1394</v>
      </c>
      <c r="K108" s="996"/>
      <c r="L108" s="1129">
        <f>SUM(L6:L107)</f>
        <v>3506510</v>
      </c>
    </row>
    <row r="109" spans="1:12" ht="12.75" customHeight="1">
      <c r="L109" s="1130"/>
    </row>
    <row r="112" spans="1:12" ht="18" customHeight="1">
      <c r="B112" s="1008"/>
      <c r="F112" s="1008" t="str">
        <f>GA!B34</f>
        <v>Assistant Engineer,</v>
      </c>
      <c r="I112" s="3727" t="s">
        <v>791</v>
      </c>
      <c r="J112" s="3727"/>
      <c r="K112" s="3727"/>
    </row>
    <row r="113" spans="1:20" ht="18" customHeight="1">
      <c r="B113" s="1008"/>
      <c r="F113" s="1008" t="str">
        <f>'Slab Culvert 1V 6m x 2m spa'!B113</f>
        <v>PRSD, Wanaparthy</v>
      </c>
      <c r="I113" s="3727" t="str">
        <f>'Slab Culvert 1V 6m x 2m spa'!F113</f>
        <v>PRSD, Wanaparthy</v>
      </c>
      <c r="J113" s="3727"/>
      <c r="K113" s="3727"/>
    </row>
    <row r="114" spans="1:20">
      <c r="B114" s="1008"/>
      <c r="F114" s="1008"/>
      <c r="J114" s="1037"/>
      <c r="K114" s="1037"/>
    </row>
    <row r="115" spans="1:20">
      <c r="B115" s="1008"/>
      <c r="F115" s="1008"/>
      <c r="J115" s="1037"/>
      <c r="K115" s="1037"/>
    </row>
    <row r="116" spans="1:20">
      <c r="B116" s="1009"/>
      <c r="F116" s="1037"/>
      <c r="J116" s="1037"/>
      <c r="K116" s="1037"/>
    </row>
    <row r="117" spans="1:20" ht="18" customHeight="1">
      <c r="B117" s="1008"/>
      <c r="F117" s="1008" t="s">
        <v>906</v>
      </c>
      <c r="I117" s="3727" t="s">
        <v>685</v>
      </c>
      <c r="J117" s="3727"/>
      <c r="K117" s="3727"/>
      <c r="L117" s="1009"/>
    </row>
    <row r="118" spans="1:20" s="1066" customFormat="1" ht="18" customHeight="1">
      <c r="A118" s="973"/>
      <c r="B118" s="1008"/>
      <c r="C118" s="1067"/>
      <c r="D118" s="1067"/>
      <c r="E118" s="1067"/>
      <c r="F118" s="1008" t="str">
        <f>'Slab Culvert 1V 6m x 2m spa'!J113</f>
        <v>PIU, Wanaparthy</v>
      </c>
      <c r="G118" s="1067"/>
      <c r="H118" s="1067"/>
      <c r="I118" s="3728">
        <f>'Slab Culvert 1V 6m x 2m spa'!I118</f>
        <v>0</v>
      </c>
      <c r="J118" s="3728"/>
      <c r="K118" s="3728"/>
      <c r="M118" s="1047"/>
      <c r="N118" s="1047"/>
      <c r="O118" s="1047"/>
      <c r="P118" s="1047"/>
      <c r="Q118" s="1047"/>
      <c r="R118" s="1047"/>
      <c r="S118" s="1047"/>
      <c r="T118" s="1047"/>
    </row>
  </sheetData>
  <protectedRanges>
    <protectedRange sqref="B112:B118 F112:F118" name="Range4"/>
    <protectedRange sqref="K112:K118 I112:I113 I117 J114:J116" name="Range4_1"/>
  </protectedRanges>
  <mergeCells count="29">
    <mergeCell ref="I112:K112"/>
    <mergeCell ref="I113:K113"/>
    <mergeCell ref="I117:K117"/>
    <mergeCell ref="I118:K118"/>
    <mergeCell ref="B87:K87"/>
    <mergeCell ref="B91:K91"/>
    <mergeCell ref="B98:K98"/>
    <mergeCell ref="B102:K102"/>
    <mergeCell ref="B105:K105"/>
    <mergeCell ref="B67:K67"/>
    <mergeCell ref="B71:K71"/>
    <mergeCell ref="B75:K75"/>
    <mergeCell ref="B79:K79"/>
    <mergeCell ref="B83:K83"/>
    <mergeCell ref="B36:K36"/>
    <mergeCell ref="B45:K45"/>
    <mergeCell ref="B54:K54"/>
    <mergeCell ref="B59:K59"/>
    <mergeCell ref="B63:K63"/>
    <mergeCell ref="C5:E5"/>
    <mergeCell ref="B6:K6"/>
    <mergeCell ref="B12:K12"/>
    <mergeCell ref="B16:K16"/>
    <mergeCell ref="B22:K22"/>
    <mergeCell ref="A1:L1"/>
    <mergeCell ref="A2:B2"/>
    <mergeCell ref="F2:L2"/>
    <mergeCell ref="A3:L3"/>
    <mergeCell ref="C4:E4"/>
  </mergeCells>
  <printOptions horizontalCentered="1"/>
  <pageMargins left="0.59055118110236204" right="0.196850393700787" top="0.59055118110236204" bottom="0.39370078740157499" header="0.31496062992126" footer="0.31496062992126"/>
  <pageSetup paperSize="9" scale="90" orientation="portrait"/>
</worksheet>
</file>

<file path=xl/worksheets/sheet38.xml><?xml version="1.0" encoding="utf-8"?>
<worksheet xmlns="http://schemas.openxmlformats.org/spreadsheetml/2006/main" xmlns:r="http://schemas.openxmlformats.org/officeDocument/2006/relationships">
  <sheetPr codeName="Sheet5">
    <tabColor theme="5" tint="-0.249977111117893"/>
  </sheetPr>
  <dimension ref="A1:T37"/>
  <sheetViews>
    <sheetView topLeftCell="A22" workbookViewId="0">
      <selection activeCell="I30" sqref="I30"/>
    </sheetView>
  </sheetViews>
  <sheetFormatPr defaultColWidth="9.140625" defaultRowHeight="14.25"/>
  <cols>
    <col min="1" max="1" width="4.28515625" style="973" customWidth="1"/>
    <col min="2" max="2" width="34.85546875" style="974" customWidth="1"/>
    <col min="3" max="5" width="3.140625" style="971" customWidth="1"/>
    <col min="6" max="6" width="7.42578125" style="971" customWidth="1"/>
    <col min="7" max="7" width="10.85546875" style="971" customWidth="1"/>
    <col min="8" max="8" width="6.85546875" style="971" customWidth="1"/>
    <col min="9" max="9" width="7.85546875" style="971" customWidth="1"/>
    <col min="10" max="10" width="9.7109375" style="971" customWidth="1"/>
    <col min="11" max="11" width="6.140625" style="971" customWidth="1"/>
    <col min="12" max="12" width="13.28515625" style="970" customWidth="1"/>
    <col min="13" max="13" width="9.140625" style="974"/>
    <col min="14" max="14" width="13.85546875" style="974" customWidth="1"/>
    <col min="15" max="15" width="11" style="974" customWidth="1"/>
    <col min="16" max="16" width="6.28515625" style="974" customWidth="1"/>
    <col min="17" max="20" width="9.140625" style="974" hidden="1" customWidth="1"/>
    <col min="21" max="16384" width="9.140625" style="974"/>
  </cols>
  <sheetData>
    <row r="1" spans="1:15" ht="18" customHeight="1">
      <c r="A1" s="3711" t="s">
        <v>1396</v>
      </c>
      <c r="B1" s="3712"/>
      <c r="C1" s="3712"/>
      <c r="D1" s="3712"/>
      <c r="E1" s="3712"/>
      <c r="F1" s="3712"/>
      <c r="G1" s="3712"/>
      <c r="H1" s="3712"/>
      <c r="I1" s="3712"/>
      <c r="J1" s="3712"/>
      <c r="K1" s="3712"/>
      <c r="L1" s="3712"/>
    </row>
    <row r="2" spans="1:15" ht="30" customHeight="1">
      <c r="A2" s="3713" t="s">
        <v>677</v>
      </c>
      <c r="B2" s="3713"/>
      <c r="C2" s="3714" t="str">
        <f>'Input Data'!E1</f>
        <v>R/F A to B in Wanaparthy Mandal of Wanaparthy District</v>
      </c>
      <c r="D2" s="3714"/>
      <c r="E2" s="3714"/>
      <c r="F2" s="3714"/>
      <c r="G2" s="3714"/>
      <c r="H2" s="3714"/>
      <c r="I2" s="3714"/>
      <c r="J2" s="3714"/>
      <c r="K2" s="3714"/>
      <c r="L2" s="3714"/>
    </row>
    <row r="3" spans="1:15" s="970" customFormat="1" ht="21.75" customHeight="1">
      <c r="A3" s="3715" t="s">
        <v>1513</v>
      </c>
      <c r="B3" s="3715"/>
      <c r="C3" s="3715"/>
      <c r="D3" s="3715"/>
      <c r="E3" s="3715"/>
      <c r="F3" s="3715"/>
      <c r="G3" s="3715"/>
      <c r="H3" s="3715"/>
      <c r="I3" s="3715"/>
      <c r="J3" s="3715"/>
      <c r="K3" s="3715"/>
      <c r="L3" s="3715"/>
    </row>
    <row r="4" spans="1:15" s="971" customFormat="1" ht="33" customHeight="1">
      <c r="A4" s="975" t="s">
        <v>1380</v>
      </c>
      <c r="B4" s="976" t="s">
        <v>953</v>
      </c>
      <c r="C4" s="3716" t="s">
        <v>954</v>
      </c>
      <c r="D4" s="3717"/>
      <c r="E4" s="3718"/>
      <c r="F4" s="976" t="s">
        <v>180</v>
      </c>
      <c r="G4" s="976" t="s">
        <v>781</v>
      </c>
      <c r="H4" s="976" t="s">
        <v>955</v>
      </c>
      <c r="I4" s="1010" t="s">
        <v>3</v>
      </c>
      <c r="J4" s="978" t="s">
        <v>5</v>
      </c>
      <c r="K4" s="978" t="s">
        <v>580</v>
      </c>
      <c r="L4" s="976" t="s">
        <v>7</v>
      </c>
    </row>
    <row r="5" spans="1:15" s="970" customFormat="1" ht="15">
      <c r="A5" s="977">
        <v>1</v>
      </c>
      <c r="B5" s="978">
        <v>2</v>
      </c>
      <c r="C5" s="3719">
        <v>3</v>
      </c>
      <c r="D5" s="3720"/>
      <c r="E5" s="3721"/>
      <c r="F5" s="978">
        <v>4</v>
      </c>
      <c r="G5" s="978">
        <v>5</v>
      </c>
      <c r="H5" s="978">
        <v>6</v>
      </c>
      <c r="I5" s="1011">
        <v>7</v>
      </c>
      <c r="J5" s="978">
        <v>8</v>
      </c>
      <c r="K5" s="978">
        <v>9</v>
      </c>
      <c r="L5" s="978">
        <v>10</v>
      </c>
    </row>
    <row r="6" spans="1:15" ht="87.75" customHeight="1">
      <c r="A6" s="979">
        <v>1</v>
      </c>
      <c r="B6" s="3722" t="str">
        <f>'Pipe data'!B4:G4</f>
        <v>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v>
      </c>
      <c r="C6" s="3722"/>
      <c r="D6" s="3722"/>
      <c r="E6" s="3722"/>
      <c r="F6" s="3722"/>
      <c r="G6" s="3722"/>
      <c r="H6" s="3722"/>
      <c r="I6" s="3722"/>
      <c r="J6" s="3722"/>
      <c r="K6" s="3722"/>
      <c r="L6" s="1012"/>
      <c r="O6" s="1013"/>
    </row>
    <row r="7" spans="1:15" ht="22.15" customHeight="1">
      <c r="A7" s="983"/>
      <c r="B7" s="986" t="s">
        <v>1514</v>
      </c>
      <c r="C7" s="987">
        <v>1</v>
      </c>
      <c r="D7" s="987" t="s">
        <v>956</v>
      </c>
      <c r="E7" s="987">
        <v>1</v>
      </c>
      <c r="F7" s="988">
        <v>15</v>
      </c>
      <c r="G7" s="988">
        <v>1.5</v>
      </c>
      <c r="H7" s="988">
        <v>0.9</v>
      </c>
      <c r="I7" s="988">
        <f>ROUND(C7*E7*F7*G7*H7,2)</f>
        <v>20.25</v>
      </c>
      <c r="J7" s="987"/>
      <c r="K7" s="985"/>
      <c r="L7" s="1015"/>
      <c r="O7" s="1013"/>
    </row>
    <row r="8" spans="1:15" ht="15" customHeight="1">
      <c r="A8" s="983"/>
      <c r="B8" s="986"/>
      <c r="C8" s="986"/>
      <c r="D8" s="986"/>
      <c r="E8" s="986"/>
      <c r="F8" s="985"/>
      <c r="G8" s="983"/>
      <c r="H8" s="983"/>
      <c r="I8" s="1016">
        <f>SUM(I7:I7)</f>
        <v>20.25</v>
      </c>
      <c r="J8" s="988">
        <f>'Pipe data'!G20</f>
        <v>123.69927804166667</v>
      </c>
      <c r="K8" s="987">
        <v>1</v>
      </c>
      <c r="L8" s="1017">
        <f>ROUND(I8*J8,0)</f>
        <v>2505</v>
      </c>
      <c r="O8" s="1013"/>
    </row>
    <row r="9" spans="1:15" ht="15" customHeight="1">
      <c r="A9" s="983"/>
      <c r="B9" s="986"/>
      <c r="C9" s="986"/>
      <c r="D9" s="986"/>
      <c r="E9" s="986"/>
      <c r="F9" s="985"/>
      <c r="G9" s="983"/>
      <c r="H9" s="983"/>
      <c r="I9" s="1018" t="s">
        <v>31</v>
      </c>
      <c r="J9" s="988"/>
      <c r="K9" s="987" t="s">
        <v>31</v>
      </c>
      <c r="L9" s="1017"/>
    </row>
    <row r="10" spans="1:15" ht="12.75" customHeight="1">
      <c r="A10" s="989"/>
      <c r="B10" s="990"/>
      <c r="C10" s="990"/>
      <c r="D10" s="990"/>
      <c r="E10" s="990"/>
      <c r="F10" s="991"/>
      <c r="G10" s="983"/>
      <c r="H10" s="983"/>
      <c r="I10" s="1018"/>
      <c r="J10" s="988"/>
      <c r="K10" s="987"/>
      <c r="L10" s="1017"/>
    </row>
    <row r="11" spans="1:15" ht="33" hidden="1" customHeight="1">
      <c r="A11" s="989">
        <v>2</v>
      </c>
      <c r="B11" s="3723" t="str">
        <f>'Pipe data'!B55:G55</f>
        <v>Sand  Filling  in foundation trenches as per drawing and technical specification Clause 304 of MORTH including overhead charges &amp; Contractors profit etc complete.</v>
      </c>
      <c r="C11" s="3724"/>
      <c r="D11" s="3724"/>
      <c r="E11" s="3724"/>
      <c r="F11" s="3724"/>
      <c r="G11" s="3724"/>
      <c r="H11" s="3724"/>
      <c r="I11" s="3724"/>
      <c r="J11" s="3724"/>
      <c r="K11" s="3724"/>
      <c r="L11" s="1019"/>
      <c r="N11" s="1013"/>
    </row>
    <row r="12" spans="1:15" s="972" customFormat="1" ht="33" hidden="1" customHeight="1">
      <c r="A12" s="1038"/>
      <c r="B12" s="1039" t="s">
        <v>1515</v>
      </c>
      <c r="C12" s="1040">
        <v>1</v>
      </c>
      <c r="D12" s="1040" t="s">
        <v>956</v>
      </c>
      <c r="E12" s="1040">
        <v>1</v>
      </c>
      <c r="F12" s="1041">
        <f>+F7</f>
        <v>15</v>
      </c>
      <c r="G12" s="1041">
        <v>1.2</v>
      </c>
      <c r="H12" s="1041">
        <v>0.1</v>
      </c>
      <c r="I12" s="1041"/>
      <c r="J12" s="1040"/>
      <c r="K12" s="1042"/>
      <c r="L12" s="1043"/>
      <c r="O12" s="1030"/>
    </row>
    <row r="13" spans="1:15" ht="19.5" hidden="1" customHeight="1">
      <c r="A13" s="989"/>
      <c r="B13" s="990"/>
      <c r="C13" s="990"/>
      <c r="D13" s="990"/>
      <c r="E13" s="990"/>
      <c r="F13" s="991"/>
      <c r="G13" s="983"/>
      <c r="H13" s="983"/>
      <c r="I13" s="1018">
        <f>SUM(I12)</f>
        <v>0</v>
      </c>
      <c r="J13" s="988">
        <f>'Pipe data'!G72</f>
        <v>1237.43</v>
      </c>
      <c r="K13" s="987">
        <v>1</v>
      </c>
      <c r="L13" s="1017">
        <f>ROUND(I13*J13,0)</f>
        <v>0</v>
      </c>
    </row>
    <row r="14" spans="1:15" ht="15" hidden="1" customHeight="1">
      <c r="A14" s="989"/>
      <c r="B14" s="990"/>
      <c r="C14" s="990"/>
      <c r="D14" s="990"/>
      <c r="E14" s="990"/>
      <c r="F14" s="991"/>
      <c r="G14" s="983"/>
      <c r="H14" s="983"/>
      <c r="I14" s="1018" t="s">
        <v>31</v>
      </c>
      <c r="J14" s="988"/>
      <c r="K14" s="987" t="s">
        <v>31</v>
      </c>
      <c r="L14" s="1017"/>
    </row>
    <row r="15" spans="1:15" ht="15" hidden="1">
      <c r="A15" s="989"/>
      <c r="B15" s="990"/>
      <c r="C15" s="990"/>
      <c r="D15" s="990"/>
      <c r="E15" s="990"/>
      <c r="F15" s="991"/>
      <c r="G15" s="983"/>
      <c r="H15" s="983"/>
      <c r="I15" s="1018"/>
      <c r="J15" s="988"/>
      <c r="K15" s="987"/>
      <c r="L15" s="1017"/>
    </row>
    <row r="16" spans="1:15" ht="92.25" customHeight="1">
      <c r="A16" s="989">
        <v>2</v>
      </c>
      <c r="B16" s="3723" t="str">
        <f>'Slab-Culverts Data'!B5:J5</f>
        <v>Providing Plain Cement Concrete (1:3:6) mix using 40mm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C16" s="3724"/>
      <c r="D16" s="3724"/>
      <c r="E16" s="3724"/>
      <c r="F16" s="3724"/>
      <c r="G16" s="3724"/>
      <c r="H16" s="3724"/>
      <c r="I16" s="3724"/>
      <c r="J16" s="3724"/>
      <c r="K16" s="3724"/>
      <c r="L16" s="1019"/>
    </row>
    <row r="17" spans="1:15" ht="17.25" customHeight="1">
      <c r="A17" s="983"/>
      <c r="B17" s="986" t="s">
        <v>1516</v>
      </c>
      <c r="C17" s="987">
        <v>1</v>
      </c>
      <c r="D17" s="987" t="s">
        <v>956</v>
      </c>
      <c r="E17" s="987">
        <v>1</v>
      </c>
      <c r="F17" s="988">
        <f>+F12</f>
        <v>15</v>
      </c>
      <c r="G17" s="988">
        <v>1.5</v>
      </c>
      <c r="H17" s="988">
        <v>0.3</v>
      </c>
      <c r="I17" s="988">
        <f>ROUND(C17*E17*F17*G17*H17,2)</f>
        <v>6.75</v>
      </c>
      <c r="J17" s="987"/>
      <c r="K17" s="985"/>
      <c r="L17" s="1015"/>
      <c r="O17" s="1013"/>
    </row>
    <row r="18" spans="1:15" ht="15" customHeight="1">
      <c r="A18" s="983"/>
      <c r="B18" s="986"/>
      <c r="C18" s="986"/>
      <c r="D18" s="986"/>
      <c r="E18" s="986"/>
      <c r="F18" s="983"/>
      <c r="G18" s="983"/>
      <c r="H18" s="983"/>
      <c r="I18" s="1016">
        <f>SUM(I17)</f>
        <v>6.75</v>
      </c>
      <c r="J18" s="988">
        <f>'Slab-Culverts Data'!J31</f>
        <v>5706.01</v>
      </c>
      <c r="K18" s="987">
        <v>1</v>
      </c>
      <c r="L18" s="1017">
        <f>ROUND(I18*J18,0)</f>
        <v>38516</v>
      </c>
    </row>
    <row r="19" spans="1:15" ht="15" customHeight="1">
      <c r="A19" s="983"/>
      <c r="B19" s="986"/>
      <c r="C19" s="986"/>
      <c r="D19" s="986"/>
      <c r="E19" s="986"/>
      <c r="F19" s="983"/>
      <c r="G19" s="983"/>
      <c r="H19" s="983"/>
      <c r="I19" s="1018" t="s">
        <v>31</v>
      </c>
      <c r="J19" s="988"/>
      <c r="K19" s="987" t="s">
        <v>31</v>
      </c>
      <c r="L19" s="1017"/>
    </row>
    <row r="20" spans="1:15" ht="15" customHeight="1">
      <c r="A20" s="983"/>
      <c r="B20" s="986"/>
      <c r="C20" s="986"/>
      <c r="D20" s="986"/>
      <c r="E20" s="986"/>
      <c r="F20" s="983"/>
      <c r="G20" s="983"/>
      <c r="H20" s="983"/>
      <c r="I20" s="1018"/>
      <c r="J20" s="988"/>
      <c r="K20" s="987"/>
      <c r="L20" s="1017"/>
    </row>
    <row r="21" spans="1:15" ht="89.25" customHeight="1">
      <c r="A21" s="989">
        <v>3</v>
      </c>
      <c r="B21" s="3723" t="str">
        <f>'Slab-Culverts Data'!B33:J33</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C21" s="3724"/>
      <c r="D21" s="3724"/>
      <c r="E21" s="3724"/>
      <c r="F21" s="3724"/>
      <c r="G21" s="3724"/>
      <c r="H21" s="3724"/>
      <c r="I21" s="3724"/>
      <c r="J21" s="3724"/>
      <c r="K21" s="3724"/>
      <c r="L21" s="1044"/>
      <c r="O21" s="1013"/>
    </row>
    <row r="22" spans="1:15" ht="25.5">
      <c r="A22" s="983"/>
      <c r="B22" s="986" t="s">
        <v>1517</v>
      </c>
      <c r="C22" s="987">
        <v>1</v>
      </c>
      <c r="D22" s="987" t="s">
        <v>956</v>
      </c>
      <c r="E22" s="987">
        <v>1</v>
      </c>
      <c r="F22" s="994">
        <f>F17</f>
        <v>15</v>
      </c>
      <c r="G22" s="995" t="s">
        <v>1518</v>
      </c>
      <c r="H22" s="994">
        <v>0.6</v>
      </c>
      <c r="I22" s="1045">
        <f>PRODUCT(D22:H22)*(1.3+0.9)/2</f>
        <v>9.9</v>
      </c>
      <c r="J22" s="987"/>
      <c r="K22" s="985"/>
      <c r="L22" s="1015"/>
      <c r="O22" s="1013"/>
    </row>
    <row r="23" spans="1:15" ht="31.5" customHeight="1">
      <c r="A23" s="983"/>
      <c r="B23" s="986"/>
      <c r="C23" s="987"/>
      <c r="D23" s="987"/>
      <c r="E23" s="987"/>
      <c r="F23" s="988"/>
      <c r="G23" s="988"/>
      <c r="H23" s="988"/>
      <c r="I23" s="1016">
        <f>SUM(I22)</f>
        <v>9.9</v>
      </c>
      <c r="J23" s="988">
        <f>'Slab-Culverts Data'!J62</f>
        <v>6381.51</v>
      </c>
      <c r="K23" s="987">
        <v>1</v>
      </c>
      <c r="L23" s="1017">
        <f>ROUND(I23*J23,0)</f>
        <v>63177</v>
      </c>
      <c r="O23" s="1013"/>
    </row>
    <row r="24" spans="1:15" ht="15">
      <c r="A24" s="983"/>
      <c r="B24" s="986"/>
      <c r="C24" s="987"/>
      <c r="D24" s="987"/>
      <c r="E24" s="987"/>
      <c r="F24" s="988"/>
      <c r="G24" s="988"/>
      <c r="H24" s="988"/>
      <c r="I24" s="1018" t="s">
        <v>73</v>
      </c>
      <c r="J24" s="987"/>
      <c r="K24" s="987" t="s">
        <v>31</v>
      </c>
      <c r="L24" s="1015"/>
      <c r="O24" s="1013"/>
    </row>
    <row r="25" spans="1:15" ht="88.5" customHeight="1">
      <c r="A25" s="989">
        <v>4</v>
      </c>
      <c r="B25" s="3723" t="str">
        <f>'Slab-Culverts Data'!B177:J177</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v>
      </c>
      <c r="C25" s="3724"/>
      <c r="D25" s="3724"/>
      <c r="E25" s="3724"/>
      <c r="F25" s="3724"/>
      <c r="G25" s="3724"/>
      <c r="H25" s="3724"/>
      <c r="I25" s="3724"/>
      <c r="J25" s="3724"/>
      <c r="K25" s="3724"/>
      <c r="L25" s="1044"/>
      <c r="O25" s="1013"/>
    </row>
    <row r="26" spans="1:15" ht="25.5">
      <c r="A26" s="983"/>
      <c r="B26" s="986" t="s">
        <v>1517</v>
      </c>
      <c r="C26" s="987">
        <v>1</v>
      </c>
      <c r="D26" s="987" t="s">
        <v>956</v>
      </c>
      <c r="E26" s="987">
        <v>1</v>
      </c>
      <c r="F26" s="994">
        <f>F22</f>
        <v>15</v>
      </c>
      <c r="G26" s="995" t="s">
        <v>1519</v>
      </c>
      <c r="H26" s="994">
        <v>1.5</v>
      </c>
      <c r="I26" s="1045">
        <f>PRODUCT(D26:H26)*(0.4+0.9)/2</f>
        <v>14.625</v>
      </c>
      <c r="J26" s="987"/>
      <c r="K26" s="985"/>
      <c r="L26" s="1015"/>
      <c r="O26" s="1013"/>
    </row>
    <row r="27" spans="1:15" ht="31.5" customHeight="1">
      <c r="A27" s="983"/>
      <c r="B27" s="986"/>
      <c r="C27" s="987"/>
      <c r="D27" s="987"/>
      <c r="E27" s="987"/>
      <c r="F27" s="988"/>
      <c r="G27" s="988"/>
      <c r="H27" s="988"/>
      <c r="I27" s="1016">
        <f>SUM(I26)</f>
        <v>14.625</v>
      </c>
      <c r="J27" s="988">
        <f>'Slab-Culverts Data'!J206</f>
        <v>6749.67</v>
      </c>
      <c r="K27" s="987">
        <v>1</v>
      </c>
      <c r="L27" s="1017">
        <f>ROUND(I27*J27,0)</f>
        <v>98714</v>
      </c>
      <c r="O27" s="1013"/>
    </row>
    <row r="28" spans="1:15" ht="15">
      <c r="A28" s="996"/>
      <c r="B28" s="997"/>
      <c r="C28" s="1022"/>
      <c r="D28" s="1022"/>
      <c r="E28" s="1022"/>
      <c r="F28" s="1021"/>
      <c r="G28" s="1021"/>
      <c r="H28" s="1021"/>
      <c r="I28" s="1020" t="s">
        <v>73</v>
      </c>
      <c r="J28" s="1022"/>
      <c r="K28" s="1022" t="s">
        <v>31</v>
      </c>
      <c r="L28" s="1046"/>
      <c r="O28" s="1013"/>
    </row>
    <row r="29" spans="1:15" ht="23.25" customHeight="1">
      <c r="A29" s="998"/>
      <c r="B29" s="1000"/>
      <c r="C29" s="1000"/>
      <c r="D29" s="1000"/>
      <c r="E29" s="1000"/>
      <c r="F29" s="1002"/>
      <c r="G29" s="1002"/>
      <c r="H29" s="1002"/>
      <c r="I29" s="1016"/>
      <c r="J29" s="1033" t="s">
        <v>1394</v>
      </c>
      <c r="K29" s="1034"/>
      <c r="L29" s="1035">
        <f>SUM(L6:L27)</f>
        <v>202912</v>
      </c>
    </row>
    <row r="30" spans="1:15" ht="12.75" customHeight="1">
      <c r="L30" s="1036"/>
    </row>
    <row r="32" spans="1:15" ht="14.25" customHeight="1">
      <c r="B32" s="1008"/>
      <c r="F32" s="1008" t="str">
        <f>GA!B34</f>
        <v>Assistant Engineer,</v>
      </c>
      <c r="I32" s="3727" t="s">
        <v>791</v>
      </c>
      <c r="J32" s="3727"/>
      <c r="K32" s="3727"/>
    </row>
    <row r="33" spans="2:11" ht="14.25" customHeight="1">
      <c r="B33" s="1008"/>
      <c r="F33" s="1008" t="str">
        <f>'Slab Culvert 2V 6m x 2m spa'!F113</f>
        <v>PRSD, Wanaparthy</v>
      </c>
      <c r="I33" s="3727" t="str">
        <f>'Slab Culvert 2V 6m x 2m spa'!I113</f>
        <v>PRSD, Wanaparthy</v>
      </c>
      <c r="J33" s="3727"/>
      <c r="K33" s="3727"/>
    </row>
    <row r="34" spans="2:11" ht="14.25" customHeight="1">
      <c r="B34" s="1008"/>
      <c r="F34" s="1008"/>
      <c r="I34" s="1037"/>
      <c r="J34" s="1037"/>
      <c r="K34" s="1037"/>
    </row>
    <row r="35" spans="2:11">
      <c r="B35" s="1009"/>
      <c r="F35" s="1009"/>
      <c r="J35" s="1009"/>
      <c r="K35" s="1037"/>
    </row>
    <row r="36" spans="2:11" ht="14.25" customHeight="1">
      <c r="B36" s="1008"/>
      <c r="F36" s="1008" t="s">
        <v>906</v>
      </c>
      <c r="I36" s="3727" t="s">
        <v>685</v>
      </c>
      <c r="J36" s="3727"/>
      <c r="K36" s="3727"/>
    </row>
    <row r="37" spans="2:11">
      <c r="B37" s="1008"/>
      <c r="F37" s="1008" t="str">
        <f>'Slab Culvert 2V 6m x 2m spa'!F118</f>
        <v>PIU, Wanaparthy</v>
      </c>
      <c r="I37" s="3728">
        <f>'Slab Culvert 2V 6m x 2m spa'!I118</f>
        <v>0</v>
      </c>
      <c r="J37" s="3728"/>
      <c r="K37" s="3728"/>
    </row>
  </sheetData>
  <protectedRanges>
    <protectedRange sqref="B32:B37 F32:F37" name="Range4"/>
    <protectedRange sqref="I36 K32:K37 I32:I34 J35" name="Range4_1"/>
  </protectedRanges>
  <mergeCells count="15">
    <mergeCell ref="B25:K25"/>
    <mergeCell ref="I32:K32"/>
    <mergeCell ref="I33:K33"/>
    <mergeCell ref="I36:K36"/>
    <mergeCell ref="I37:K37"/>
    <mergeCell ref="C5:E5"/>
    <mergeCell ref="B6:K6"/>
    <mergeCell ref="B11:K11"/>
    <mergeCell ref="B16:K16"/>
    <mergeCell ref="B21:K21"/>
    <mergeCell ref="A1:L1"/>
    <mergeCell ref="A2:B2"/>
    <mergeCell ref="C2:L2"/>
    <mergeCell ref="A3:L3"/>
    <mergeCell ref="C4:E4"/>
  </mergeCells>
  <printOptions horizontalCentered="1" headings="1"/>
  <pageMargins left="0.59055118110236204" right="0.196850393700787" top="0.59055118110236204" bottom="0.59055118110236204" header="0.31496062992126" footer="0.31496062992126"/>
  <pageSetup paperSize="9" scale="85" orientation="portrait"/>
</worksheet>
</file>

<file path=xl/worksheets/sheet39.xml><?xml version="1.0" encoding="utf-8"?>
<worksheet xmlns="http://schemas.openxmlformats.org/spreadsheetml/2006/main" xmlns:r="http://schemas.openxmlformats.org/officeDocument/2006/relationships">
  <sheetPr codeName="Sheet10">
    <tabColor theme="5" tint="-0.249977111117893"/>
  </sheetPr>
  <dimension ref="A1:L73"/>
  <sheetViews>
    <sheetView view="pageBreakPreview" workbookViewId="0">
      <selection activeCell="I10" sqref="I10"/>
    </sheetView>
  </sheetViews>
  <sheetFormatPr defaultColWidth="9.140625" defaultRowHeight="14.25"/>
  <cols>
    <col min="1" max="1" width="5" style="973" customWidth="1"/>
    <col min="2" max="2" width="21.28515625" style="974" customWidth="1"/>
    <col min="3" max="5" width="4.140625" style="971" customWidth="1"/>
    <col min="6" max="6" width="7.7109375" style="971" customWidth="1"/>
    <col min="7" max="7" width="10" style="971" customWidth="1"/>
    <col min="8" max="8" width="8.85546875" style="971" customWidth="1"/>
    <col min="9" max="9" width="9.5703125" style="971" customWidth="1"/>
    <col min="10" max="10" width="10.5703125" style="971" customWidth="1"/>
    <col min="11" max="11" width="6.140625" style="971" customWidth="1"/>
    <col min="12" max="12" width="16.28515625" style="970" customWidth="1"/>
    <col min="13" max="16384" width="9.140625" style="974"/>
  </cols>
  <sheetData>
    <row r="1" spans="1:12" ht="18" customHeight="1">
      <c r="A1" s="3711" t="s">
        <v>1496</v>
      </c>
      <c r="B1" s="3712"/>
      <c r="C1" s="3712"/>
      <c r="D1" s="3712"/>
      <c r="E1" s="3712"/>
      <c r="F1" s="3712"/>
      <c r="G1" s="3712"/>
      <c r="H1" s="3712"/>
      <c r="I1" s="3712"/>
      <c r="J1" s="3712"/>
      <c r="K1" s="3712"/>
      <c r="L1" s="3712"/>
    </row>
    <row r="2" spans="1:12" ht="42" customHeight="1">
      <c r="A2" s="3713" t="s">
        <v>677</v>
      </c>
      <c r="B2" s="3713"/>
      <c r="C2" s="3800" t="str">
        <f>'Input Data'!E1</f>
        <v>R/F A to B in Wanaparthy Mandal of Wanaparthy District</v>
      </c>
      <c r="D2" s="3800"/>
      <c r="E2" s="3800"/>
      <c r="F2" s="3800"/>
      <c r="G2" s="3800"/>
      <c r="H2" s="3800"/>
      <c r="I2" s="3800"/>
      <c r="J2" s="3800"/>
      <c r="K2" s="3800"/>
      <c r="L2" s="3800"/>
    </row>
    <row r="3" spans="1:12" s="970" customFormat="1" ht="30" customHeight="1">
      <c r="A3" s="3715" t="s">
        <v>2811</v>
      </c>
      <c r="B3" s="3715"/>
      <c r="C3" s="3715"/>
      <c r="D3" s="3715"/>
      <c r="E3" s="3715"/>
      <c r="F3" s="3715"/>
      <c r="G3" s="3715"/>
      <c r="H3" s="3715"/>
      <c r="I3" s="3715"/>
      <c r="J3" s="3715"/>
      <c r="K3" s="3715"/>
      <c r="L3" s="3715"/>
    </row>
    <row r="4" spans="1:12" s="971" customFormat="1" ht="33" customHeight="1">
      <c r="A4" s="975" t="s">
        <v>1380</v>
      </c>
      <c r="B4" s="976" t="s">
        <v>953</v>
      </c>
      <c r="C4" s="3798" t="s">
        <v>954</v>
      </c>
      <c r="D4" s="3798"/>
      <c r="E4" s="3798"/>
      <c r="F4" s="976" t="s">
        <v>180</v>
      </c>
      <c r="G4" s="976" t="s">
        <v>781</v>
      </c>
      <c r="H4" s="976" t="s">
        <v>955</v>
      </c>
      <c r="I4" s="1010" t="s">
        <v>3</v>
      </c>
      <c r="J4" s="978" t="s">
        <v>5</v>
      </c>
      <c r="K4" s="978" t="s">
        <v>580</v>
      </c>
      <c r="L4" s="976" t="s">
        <v>7</v>
      </c>
    </row>
    <row r="5" spans="1:12" s="970" customFormat="1" ht="15">
      <c r="A5" s="977">
        <v>1</v>
      </c>
      <c r="B5" s="978">
        <v>2</v>
      </c>
      <c r="C5" s="3799">
        <v>3</v>
      </c>
      <c r="D5" s="3799"/>
      <c r="E5" s="3799"/>
      <c r="F5" s="978">
        <v>4</v>
      </c>
      <c r="G5" s="978">
        <v>5</v>
      </c>
      <c r="H5" s="978">
        <v>6</v>
      </c>
      <c r="I5" s="1011">
        <v>7</v>
      </c>
      <c r="J5" s="978">
        <v>8</v>
      </c>
      <c r="K5" s="978">
        <v>9</v>
      </c>
      <c r="L5" s="978">
        <v>10</v>
      </c>
    </row>
    <row r="6" spans="1:12" ht="90.75" customHeight="1">
      <c r="A6" s="979">
        <v>1</v>
      </c>
      <c r="B6" s="3722" t="str">
        <f>'Pipe data'!B4:G4</f>
        <v>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v>
      </c>
      <c r="C6" s="3722"/>
      <c r="D6" s="3722"/>
      <c r="E6" s="3722"/>
      <c r="F6" s="3722"/>
      <c r="G6" s="3722"/>
      <c r="H6" s="3722"/>
      <c r="I6" s="3722"/>
      <c r="J6" s="3722"/>
      <c r="K6" s="3722"/>
      <c r="L6" s="1012"/>
    </row>
    <row r="7" spans="1:12" ht="20.100000000000001" customHeight="1">
      <c r="A7" s="983"/>
      <c r="B7" s="986" t="s">
        <v>1497</v>
      </c>
      <c r="C7" s="987">
        <v>1</v>
      </c>
      <c r="D7" s="987" t="s">
        <v>956</v>
      </c>
      <c r="E7" s="987">
        <v>2</v>
      </c>
      <c r="F7" s="988"/>
      <c r="G7" s="988">
        <v>1.2</v>
      </c>
      <c r="H7" s="988">
        <v>1.2</v>
      </c>
      <c r="I7" s="988">
        <f>ROUND(C7*E7*F7*G7*H7,2)</f>
        <v>0</v>
      </c>
      <c r="J7" s="987"/>
      <c r="K7" s="985"/>
      <c r="L7" s="1015"/>
    </row>
    <row r="8" spans="1:12" ht="20.100000000000001" customHeight="1">
      <c r="A8" s="983"/>
      <c r="B8" s="986" t="s">
        <v>1498</v>
      </c>
      <c r="C8" s="987">
        <v>1</v>
      </c>
      <c r="D8" s="987" t="s">
        <v>956</v>
      </c>
      <c r="E8" s="987">
        <v>4</v>
      </c>
      <c r="F8" s="988"/>
      <c r="G8" s="988">
        <v>1.2</v>
      </c>
      <c r="H8" s="988">
        <v>1.2</v>
      </c>
      <c r="I8" s="988">
        <f t="shared" ref="I8:I9" si="0">ROUND(C8*E8*F8*G8*H8,2)</f>
        <v>0</v>
      </c>
      <c r="J8" s="987"/>
      <c r="K8" s="985"/>
      <c r="L8" s="1015"/>
    </row>
    <row r="9" spans="1:12" ht="20.100000000000001" customHeight="1">
      <c r="A9" s="983"/>
      <c r="B9" s="986" t="s">
        <v>1499</v>
      </c>
      <c r="C9" s="987">
        <v>1</v>
      </c>
      <c r="D9" s="987" t="s">
        <v>956</v>
      </c>
      <c r="E9" s="987">
        <v>1</v>
      </c>
      <c r="F9" s="988"/>
      <c r="G9" s="988">
        <v>5.7</v>
      </c>
      <c r="H9" s="988">
        <v>0.6</v>
      </c>
      <c r="I9" s="988">
        <f t="shared" si="0"/>
        <v>0</v>
      </c>
      <c r="J9" s="987"/>
      <c r="K9" s="985"/>
      <c r="L9" s="1015"/>
    </row>
    <row r="10" spans="1:12" ht="20.100000000000001" customHeight="1">
      <c r="A10" s="983"/>
      <c r="B10" s="986"/>
      <c r="C10" s="986"/>
      <c r="D10" s="986"/>
      <c r="E10" s="986"/>
      <c r="F10" s="985"/>
      <c r="G10" s="983"/>
      <c r="H10" s="983"/>
      <c r="I10" s="1016">
        <f>SUM(I7:I9)</f>
        <v>0</v>
      </c>
      <c r="J10" s="988">
        <f>'Pipe data'!G20</f>
        <v>123.69927804166667</v>
      </c>
      <c r="K10" s="987">
        <v>1</v>
      </c>
      <c r="L10" s="1017">
        <f>ROUND(I10*J10,0)</f>
        <v>0</v>
      </c>
    </row>
    <row r="11" spans="1:12" ht="20.100000000000001" customHeight="1">
      <c r="A11" s="983"/>
      <c r="B11" s="986"/>
      <c r="C11" s="986"/>
      <c r="D11" s="986"/>
      <c r="E11" s="986"/>
      <c r="F11" s="985"/>
      <c r="G11" s="983"/>
      <c r="H11" s="983"/>
      <c r="I11" s="1018" t="s">
        <v>31</v>
      </c>
      <c r="J11" s="988"/>
      <c r="K11" s="987" t="s">
        <v>31</v>
      </c>
      <c r="L11" s="1017"/>
    </row>
    <row r="12" spans="1:12" ht="12.75" customHeight="1">
      <c r="A12" s="983"/>
      <c r="B12" s="986"/>
      <c r="C12" s="986"/>
      <c r="D12" s="986"/>
      <c r="E12" s="986"/>
      <c r="F12" s="985"/>
      <c r="G12" s="983"/>
      <c r="H12" s="983"/>
      <c r="I12" s="1018"/>
      <c r="J12" s="988"/>
      <c r="K12" s="987"/>
      <c r="L12" s="1017"/>
    </row>
    <row r="13" spans="1:12" ht="47.25" customHeight="1">
      <c r="A13" s="989">
        <v>2</v>
      </c>
      <c r="B13" s="3723" t="str">
        <f>'Pipe data'!B55:G55</f>
        <v>Sand  Filling  in foundation trenches as per drawing and technical specification Clause 304 of MORTH including overhead charges &amp; Contractors profit etc complete.</v>
      </c>
      <c r="C13" s="3724"/>
      <c r="D13" s="3724"/>
      <c r="E13" s="3724"/>
      <c r="F13" s="3724"/>
      <c r="G13" s="3724"/>
      <c r="H13" s="3724"/>
      <c r="I13" s="3724"/>
      <c r="J13" s="3724"/>
      <c r="K13" s="3724"/>
      <c r="L13" s="1019"/>
    </row>
    <row r="14" spans="1:12" ht="20.100000000000001" customHeight="1">
      <c r="A14" s="983"/>
      <c r="B14" s="986" t="s">
        <v>1497</v>
      </c>
      <c r="C14" s="987">
        <v>1</v>
      </c>
      <c r="D14" s="987" t="s">
        <v>956</v>
      </c>
      <c r="E14" s="987">
        <v>2</v>
      </c>
      <c r="F14" s="988"/>
      <c r="G14" s="988">
        <v>1.2</v>
      </c>
      <c r="H14" s="988">
        <v>0.1</v>
      </c>
      <c r="I14" s="988">
        <f t="shared" ref="I14:I16" si="1">ROUND(C14*E14*F14*G14*H14,2)</f>
        <v>0</v>
      </c>
      <c r="J14" s="987"/>
      <c r="K14" s="985"/>
      <c r="L14" s="1015"/>
    </row>
    <row r="15" spans="1:12" ht="20.100000000000001" customHeight="1">
      <c r="A15" s="983"/>
      <c r="B15" s="986" t="s">
        <v>1498</v>
      </c>
      <c r="C15" s="987">
        <v>1</v>
      </c>
      <c r="D15" s="987" t="s">
        <v>956</v>
      </c>
      <c r="E15" s="987">
        <v>4</v>
      </c>
      <c r="F15" s="988"/>
      <c r="G15" s="988">
        <v>1.2</v>
      </c>
      <c r="H15" s="988">
        <v>0.1</v>
      </c>
      <c r="I15" s="988">
        <f t="shared" si="1"/>
        <v>0</v>
      </c>
      <c r="J15" s="987"/>
      <c r="K15" s="985"/>
      <c r="L15" s="1015"/>
    </row>
    <row r="16" spans="1:12" ht="20.100000000000001" customHeight="1">
      <c r="A16" s="983"/>
      <c r="B16" s="986" t="s">
        <v>1499</v>
      </c>
      <c r="C16" s="987">
        <v>1</v>
      </c>
      <c r="D16" s="987" t="s">
        <v>956</v>
      </c>
      <c r="E16" s="987">
        <v>1</v>
      </c>
      <c r="F16" s="988"/>
      <c r="G16" s="988">
        <v>5.7</v>
      </c>
      <c r="H16" s="988">
        <v>0.1</v>
      </c>
      <c r="I16" s="988">
        <f t="shared" si="1"/>
        <v>0</v>
      </c>
      <c r="J16" s="987"/>
      <c r="K16" s="985"/>
      <c r="L16" s="1015"/>
    </row>
    <row r="17" spans="1:12" ht="20.100000000000001" customHeight="1">
      <c r="A17" s="983"/>
      <c r="B17" s="986"/>
      <c r="C17" s="986"/>
      <c r="D17" s="986"/>
      <c r="E17" s="986"/>
      <c r="F17" s="985"/>
      <c r="G17" s="983"/>
      <c r="H17" s="983"/>
      <c r="I17" s="1016">
        <f>SUM(I14:I16)</f>
        <v>0</v>
      </c>
      <c r="J17" s="988">
        <f>'Pipe data'!G72</f>
        <v>1237.43</v>
      </c>
      <c r="K17" s="987">
        <v>1</v>
      </c>
      <c r="L17" s="1017">
        <f>ROUND(I17*J17,0)</f>
        <v>0</v>
      </c>
    </row>
    <row r="18" spans="1:12" ht="20.100000000000001" customHeight="1">
      <c r="A18" s="983"/>
      <c r="B18" s="986"/>
      <c r="C18" s="986"/>
      <c r="D18" s="986"/>
      <c r="E18" s="986"/>
      <c r="F18" s="985"/>
      <c r="G18" s="983"/>
      <c r="H18" s="983"/>
      <c r="I18" s="1018" t="s">
        <v>31</v>
      </c>
      <c r="J18" s="988"/>
      <c r="K18" s="987" t="s">
        <v>31</v>
      </c>
      <c r="L18" s="1017"/>
    </row>
    <row r="19" spans="1:12" ht="20.100000000000001" customHeight="1">
      <c r="A19" s="983"/>
      <c r="B19" s="986"/>
      <c r="C19" s="986"/>
      <c r="D19" s="986"/>
      <c r="E19" s="986"/>
      <c r="F19" s="985"/>
      <c r="G19" s="983"/>
      <c r="H19" s="983"/>
      <c r="I19" s="1018"/>
      <c r="J19" s="988"/>
      <c r="K19" s="987"/>
      <c r="L19" s="1017"/>
    </row>
    <row r="20" spans="1:12" ht="108" customHeight="1">
      <c r="A20" s="989">
        <v>3</v>
      </c>
      <c r="B20" s="3724" t="str">
        <f>'Slab-Culverts Data'!B5:J5</f>
        <v>Providing Plain Cement Concrete (1:3:6) mix using 40mm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C20" s="3724"/>
      <c r="D20" s="3724"/>
      <c r="E20" s="3724"/>
      <c r="F20" s="3724"/>
      <c r="G20" s="3724"/>
      <c r="H20" s="3724"/>
      <c r="I20" s="3724"/>
      <c r="J20" s="3724"/>
      <c r="K20" s="3724"/>
      <c r="L20" s="1019"/>
    </row>
    <row r="21" spans="1:12" ht="20.100000000000001" customHeight="1">
      <c r="A21" s="983"/>
      <c r="B21" s="986" t="s">
        <v>1497</v>
      </c>
      <c r="C21" s="987">
        <v>1</v>
      </c>
      <c r="D21" s="987" t="s">
        <v>956</v>
      </c>
      <c r="E21" s="987">
        <v>2</v>
      </c>
      <c r="F21" s="988"/>
      <c r="G21" s="988">
        <v>1.2</v>
      </c>
      <c r="H21" s="988">
        <v>0.3</v>
      </c>
      <c r="I21" s="988">
        <f t="shared" ref="I21:I23" si="2">ROUND(C21*E21*F21*G21*H21,2)</f>
        <v>0</v>
      </c>
      <c r="J21" s="987"/>
      <c r="K21" s="985"/>
      <c r="L21" s="1015"/>
    </row>
    <row r="22" spans="1:12" ht="20.100000000000001" customHeight="1">
      <c r="A22" s="983"/>
      <c r="B22" s="986" t="s">
        <v>1498</v>
      </c>
      <c r="C22" s="987">
        <v>1</v>
      </c>
      <c r="D22" s="987" t="s">
        <v>956</v>
      </c>
      <c r="E22" s="987">
        <v>4</v>
      </c>
      <c r="F22" s="988"/>
      <c r="G22" s="988">
        <v>1.2</v>
      </c>
      <c r="H22" s="988">
        <v>0.3</v>
      </c>
      <c r="I22" s="988">
        <f t="shared" si="2"/>
        <v>0</v>
      </c>
      <c r="J22" s="987"/>
      <c r="K22" s="985"/>
      <c r="L22" s="1015"/>
    </row>
    <row r="23" spans="1:12" ht="20.100000000000001" customHeight="1">
      <c r="A23" s="983"/>
      <c r="B23" s="986" t="s">
        <v>1499</v>
      </c>
      <c r="C23" s="987">
        <v>1</v>
      </c>
      <c r="D23" s="987" t="s">
        <v>956</v>
      </c>
      <c r="E23" s="987">
        <v>1</v>
      </c>
      <c r="F23" s="988"/>
      <c r="G23" s="988">
        <v>5.7</v>
      </c>
      <c r="H23" s="988">
        <v>0.3</v>
      </c>
      <c r="I23" s="988">
        <f t="shared" si="2"/>
        <v>0</v>
      </c>
      <c r="J23" s="987"/>
      <c r="K23" s="985"/>
      <c r="L23" s="1015"/>
    </row>
    <row r="24" spans="1:12" ht="20.100000000000001" customHeight="1">
      <c r="A24" s="983"/>
      <c r="B24" s="986" t="s">
        <v>1500</v>
      </c>
      <c r="C24" s="987"/>
      <c r="D24" s="987"/>
      <c r="E24" s="987"/>
      <c r="F24" s="988"/>
      <c r="G24" s="988"/>
      <c r="H24" s="988"/>
      <c r="I24" s="988"/>
      <c r="J24" s="987"/>
      <c r="K24" s="985"/>
      <c r="L24" s="1015"/>
    </row>
    <row r="25" spans="1:12" ht="20.100000000000001" customHeight="1">
      <c r="A25" s="983"/>
      <c r="B25" s="986" t="s">
        <v>1501</v>
      </c>
      <c r="C25" s="987">
        <v>1</v>
      </c>
      <c r="D25" s="987" t="s">
        <v>956</v>
      </c>
      <c r="E25" s="987">
        <v>1</v>
      </c>
      <c r="F25" s="988"/>
      <c r="G25" s="988">
        <v>6.3</v>
      </c>
      <c r="H25" s="1048">
        <v>0.15</v>
      </c>
      <c r="I25" s="988">
        <f>ROUND(C25*E25*F25*G25*H25,2)</f>
        <v>0</v>
      </c>
      <c r="J25" s="987"/>
      <c r="K25" s="985"/>
      <c r="L25" s="1015"/>
    </row>
    <row r="26" spans="1:12" ht="20.100000000000001" customHeight="1">
      <c r="A26" s="983"/>
      <c r="B26" s="986" t="s">
        <v>1502</v>
      </c>
      <c r="C26" s="987">
        <v>1</v>
      </c>
      <c r="D26" s="987" t="s">
        <v>956</v>
      </c>
      <c r="E26" s="987">
        <v>1</v>
      </c>
      <c r="F26" s="988"/>
      <c r="G26" s="988">
        <v>6.3</v>
      </c>
      <c r="H26" s="988">
        <v>1.5</v>
      </c>
      <c r="I26" s="988">
        <f>ROUND(C26*E26*F26*G26*H26,2)</f>
        <v>0</v>
      </c>
      <c r="J26" s="987"/>
      <c r="K26" s="985"/>
      <c r="L26" s="1015"/>
    </row>
    <row r="27" spans="1:12" ht="20.100000000000001" customHeight="1">
      <c r="A27" s="983"/>
      <c r="B27" s="986" t="s">
        <v>1503</v>
      </c>
      <c r="C27" s="1049" t="s">
        <v>1504</v>
      </c>
      <c r="D27" s="987" t="s">
        <v>956</v>
      </c>
      <c r="E27" s="987">
        <v>-4</v>
      </c>
      <c r="F27" s="988"/>
      <c r="G27" s="988">
        <v>1.2</v>
      </c>
      <c r="H27" s="988">
        <v>1.2</v>
      </c>
      <c r="I27" s="988">
        <f>ROUND(+PI()/4*E27*F27*G27*H27,2)</f>
        <v>0</v>
      </c>
      <c r="J27" s="987"/>
      <c r="K27" s="985"/>
      <c r="L27" s="1015"/>
    </row>
    <row r="28" spans="1:12" ht="20.100000000000001" customHeight="1">
      <c r="A28" s="983"/>
      <c r="B28" s="986" t="s">
        <v>1505</v>
      </c>
      <c r="C28" s="987">
        <v>1</v>
      </c>
      <c r="D28" s="987" t="s">
        <v>956</v>
      </c>
      <c r="E28" s="987">
        <v>2</v>
      </c>
      <c r="F28" s="988"/>
      <c r="G28" s="988">
        <v>6.3</v>
      </c>
      <c r="H28" s="988">
        <v>0.15</v>
      </c>
      <c r="I28" s="988">
        <f>ROUND(C28*E28*F28*G28*H28,2)</f>
        <v>0</v>
      </c>
      <c r="J28" s="987"/>
      <c r="K28" s="985"/>
      <c r="L28" s="1015"/>
    </row>
    <row r="29" spans="1:12" ht="20.100000000000001" customHeight="1">
      <c r="A29" s="983"/>
      <c r="B29" s="986"/>
      <c r="C29" s="986"/>
      <c r="D29" s="986"/>
      <c r="E29" s="986"/>
      <c r="F29" s="983"/>
      <c r="G29" s="983"/>
      <c r="H29" s="983"/>
      <c r="I29" s="1016">
        <f>SUM(I21:I28)</f>
        <v>0</v>
      </c>
      <c r="J29" s="988">
        <f>'Slab-Culverts Data'!J31</f>
        <v>5706.01</v>
      </c>
      <c r="K29" s="987">
        <v>1</v>
      </c>
      <c r="L29" s="1017">
        <f>ROUND(I29*J29,0)</f>
        <v>0</v>
      </c>
    </row>
    <row r="30" spans="1:12" ht="20.100000000000001" customHeight="1">
      <c r="A30" s="983"/>
      <c r="B30" s="986"/>
      <c r="C30" s="986"/>
      <c r="D30" s="986"/>
      <c r="E30" s="986"/>
      <c r="F30" s="983"/>
      <c r="G30" s="983"/>
      <c r="H30" s="983"/>
      <c r="I30" s="1018" t="s">
        <v>31</v>
      </c>
      <c r="J30" s="988"/>
      <c r="K30" s="987" t="s">
        <v>31</v>
      </c>
      <c r="L30" s="1017"/>
    </row>
    <row r="31" spans="1:12" ht="15" customHeight="1">
      <c r="A31" s="983"/>
      <c r="B31" s="986"/>
      <c r="C31" s="986"/>
      <c r="D31" s="986"/>
      <c r="E31" s="986"/>
      <c r="F31" s="983"/>
      <c r="G31" s="983"/>
      <c r="H31" s="983"/>
      <c r="I31" s="1018"/>
      <c r="J31" s="988"/>
      <c r="K31" s="987"/>
      <c r="L31" s="1017"/>
    </row>
    <row r="32" spans="1:12" ht="105" customHeight="1">
      <c r="A32" s="989">
        <v>4</v>
      </c>
      <c r="B32" s="3723" t="str">
        <f>'Slab-Culverts Data'!B33:J33</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C32" s="3724"/>
      <c r="D32" s="3724"/>
      <c r="E32" s="3724"/>
      <c r="F32" s="3724"/>
      <c r="G32" s="3724"/>
      <c r="H32" s="3724"/>
      <c r="I32" s="3724"/>
      <c r="J32" s="3724"/>
      <c r="K32" s="3724"/>
      <c r="L32" s="1019"/>
    </row>
    <row r="33" spans="1:12" ht="20.100000000000001" customHeight="1">
      <c r="A33" s="983"/>
      <c r="B33" s="1050" t="s">
        <v>1506</v>
      </c>
      <c r="C33" s="987"/>
      <c r="D33" s="987"/>
      <c r="E33" s="987"/>
      <c r="F33" s="988"/>
      <c r="G33" s="988"/>
      <c r="H33" s="988"/>
      <c r="I33" s="988"/>
      <c r="J33" s="987"/>
      <c r="K33" s="985"/>
      <c r="L33" s="1015"/>
    </row>
    <row r="34" spans="1:12" ht="20.100000000000001" customHeight="1">
      <c r="A34" s="983"/>
      <c r="B34" s="986" t="s">
        <v>1497</v>
      </c>
      <c r="C34" s="987">
        <v>1</v>
      </c>
      <c r="D34" s="987" t="s">
        <v>956</v>
      </c>
      <c r="E34" s="987">
        <v>2</v>
      </c>
      <c r="F34" s="988"/>
      <c r="G34" s="988">
        <v>0.9</v>
      </c>
      <c r="H34" s="988">
        <v>0.9</v>
      </c>
      <c r="I34" s="988">
        <f t="shared" ref="I34:I35" si="3">ROUND(C34*E34*F34*G34*H34,2)</f>
        <v>0</v>
      </c>
      <c r="J34" s="987"/>
      <c r="K34" s="985"/>
      <c r="L34" s="1015"/>
    </row>
    <row r="35" spans="1:12" ht="20.100000000000001" customHeight="1">
      <c r="A35" s="983"/>
      <c r="B35" s="986" t="s">
        <v>1498</v>
      </c>
      <c r="C35" s="987">
        <v>1</v>
      </c>
      <c r="D35" s="987" t="s">
        <v>956</v>
      </c>
      <c r="E35" s="987">
        <v>4</v>
      </c>
      <c r="F35" s="988"/>
      <c r="G35" s="988">
        <v>0.9</v>
      </c>
      <c r="H35" s="988">
        <v>0.9</v>
      </c>
      <c r="I35" s="988">
        <f t="shared" si="3"/>
        <v>0</v>
      </c>
      <c r="J35" s="987"/>
      <c r="K35" s="985"/>
      <c r="L35" s="1015"/>
    </row>
    <row r="36" spans="1:12" ht="20.100000000000001" customHeight="1">
      <c r="A36" s="983"/>
      <c r="B36" s="1050" t="s">
        <v>1507</v>
      </c>
      <c r="C36" s="987"/>
      <c r="D36" s="987"/>
      <c r="E36" s="987"/>
      <c r="F36" s="988"/>
      <c r="G36" s="988"/>
      <c r="H36" s="988"/>
      <c r="I36" s="988"/>
      <c r="J36" s="987"/>
      <c r="K36" s="985"/>
      <c r="L36" s="1015"/>
    </row>
    <row r="37" spans="1:12" ht="35.1" customHeight="1">
      <c r="A37" s="983"/>
      <c r="B37" s="986" t="s">
        <v>1497</v>
      </c>
      <c r="C37" s="987">
        <v>1</v>
      </c>
      <c r="D37" s="987" t="s">
        <v>956</v>
      </c>
      <c r="E37" s="987">
        <v>2</v>
      </c>
      <c r="F37" s="988"/>
      <c r="G37" s="988" t="s">
        <v>1508</v>
      </c>
      <c r="H37" s="988">
        <v>1.5</v>
      </c>
      <c r="I37" s="988">
        <f>ROUND(C37*E37*F37*((0.9+0.6)/2)*H37,2)</f>
        <v>0</v>
      </c>
      <c r="J37" s="987"/>
      <c r="K37" s="985"/>
      <c r="L37" s="1015"/>
    </row>
    <row r="38" spans="1:12" ht="35.1" customHeight="1">
      <c r="A38" s="983"/>
      <c r="B38" s="986" t="s">
        <v>1509</v>
      </c>
      <c r="C38" s="987">
        <v>2</v>
      </c>
      <c r="D38" s="987" t="s">
        <v>956</v>
      </c>
      <c r="E38" s="987">
        <v>2</v>
      </c>
      <c r="F38" s="988"/>
      <c r="G38" s="988" t="s">
        <v>1508</v>
      </c>
      <c r="H38" s="988" t="s">
        <v>1510</v>
      </c>
      <c r="I38" s="988">
        <f>ROUND(C38*E38*F38*((0.9+0.6)/2)*((1.5+0)/2),2)</f>
        <v>0</v>
      </c>
      <c r="J38" s="987"/>
      <c r="K38" s="985"/>
      <c r="L38" s="1015"/>
    </row>
    <row r="39" spans="1:12" ht="35.1" customHeight="1">
      <c r="A39" s="983"/>
      <c r="B39" s="986" t="s">
        <v>1498</v>
      </c>
      <c r="C39" s="987">
        <v>1</v>
      </c>
      <c r="D39" s="987" t="s">
        <v>956</v>
      </c>
      <c r="E39" s="987">
        <v>2</v>
      </c>
      <c r="F39" s="988"/>
      <c r="G39" s="988" t="s">
        <v>1508</v>
      </c>
      <c r="H39" s="988">
        <v>1.5</v>
      </c>
      <c r="I39" s="988">
        <f>ROUND(C39*E39*F39*((0.9+0.6)/2)*H39,2)</f>
        <v>0</v>
      </c>
      <c r="J39" s="987"/>
      <c r="K39" s="985"/>
      <c r="L39" s="1015"/>
    </row>
    <row r="40" spans="1:12" ht="35.1" customHeight="1">
      <c r="A40" s="983"/>
      <c r="B40" s="986" t="s">
        <v>1503</v>
      </c>
      <c r="C40" s="987">
        <v>8</v>
      </c>
      <c r="D40" s="987" t="s">
        <v>956</v>
      </c>
      <c r="E40" s="1049" t="s">
        <v>1504</v>
      </c>
      <c r="F40" s="988"/>
      <c r="G40" s="988">
        <v>1.2</v>
      </c>
      <c r="H40" s="988" t="s">
        <v>1508</v>
      </c>
      <c r="I40" s="988">
        <f>-ROUND(C40*(22/28)*F40*G40*((0.9+0.6)/2),2)</f>
        <v>0</v>
      </c>
      <c r="J40" s="987"/>
      <c r="K40" s="985"/>
      <c r="L40" s="1015"/>
    </row>
    <row r="41" spans="1:12" s="1047" customFormat="1" ht="20.100000000000001" customHeight="1">
      <c r="A41" s="983"/>
      <c r="B41" s="986"/>
      <c r="C41" s="986"/>
      <c r="D41" s="986"/>
      <c r="E41" s="986"/>
      <c r="F41" s="983"/>
      <c r="G41" s="988"/>
      <c r="H41" s="1051"/>
      <c r="I41" s="1016">
        <f>SUM(I34:I40)</f>
        <v>0</v>
      </c>
      <c r="J41" s="988">
        <f>'Slab-Culverts Data'!J62</f>
        <v>6381.51</v>
      </c>
      <c r="K41" s="987">
        <v>1</v>
      </c>
      <c r="L41" s="1017">
        <f>ROUND(I41*J41,0)</f>
        <v>0</v>
      </c>
    </row>
    <row r="42" spans="1:12" s="1047" customFormat="1" ht="20.100000000000001" customHeight="1">
      <c r="A42" s="983"/>
      <c r="B42" s="986"/>
      <c r="C42" s="986"/>
      <c r="D42" s="986"/>
      <c r="E42" s="986"/>
      <c r="F42" s="983"/>
      <c r="G42" s="983"/>
      <c r="H42" s="983"/>
      <c r="I42" s="1018" t="s">
        <v>31</v>
      </c>
      <c r="J42" s="988"/>
      <c r="K42" s="987" t="s">
        <v>31</v>
      </c>
      <c r="L42" s="1017"/>
    </row>
    <row r="43" spans="1:12" ht="93" customHeight="1">
      <c r="A43" s="989">
        <v>5</v>
      </c>
      <c r="B43" s="3724" t="str">
        <f>'Pipe data'!B105:G105</f>
        <v xml:space="preserve">Providing, laying Reinforced cement concrete Hume pipes of 1000 mm Dia., NP4 class for pipe culverts  including cost and conveyance of Pipes etc., complete and Labour charges for laying, jointing of 1000mm dia. R.C.C Hume pipes  in position including lifting, aligning, lowering and hoisting etc., as per drawing and as per MoRT&amp;H Specification  2900, 2905 and 2906 (5th Revision) and IRC Special Publication No: 13 and as directed by the Engineer-in-Charge for finished item of work. </v>
      </c>
      <c r="C43" s="3724"/>
      <c r="D43" s="3724"/>
      <c r="E43" s="3724"/>
      <c r="F43" s="3724"/>
      <c r="G43" s="3724"/>
      <c r="H43" s="3724"/>
      <c r="I43" s="3724"/>
      <c r="J43" s="3724"/>
      <c r="K43" s="3724"/>
      <c r="L43" s="1017"/>
    </row>
    <row r="44" spans="1:12" ht="20.100000000000001" customHeight="1">
      <c r="A44" s="983"/>
      <c r="B44" s="986" t="s">
        <v>1511</v>
      </c>
      <c r="C44" s="987">
        <v>1</v>
      </c>
      <c r="D44" s="987" t="s">
        <v>956</v>
      </c>
      <c r="E44" s="987">
        <v>4</v>
      </c>
      <c r="F44" s="988"/>
      <c r="G44" s="988"/>
      <c r="H44" s="988"/>
      <c r="I44" s="988">
        <f>+E44*F44</f>
        <v>0</v>
      </c>
      <c r="J44" s="987"/>
      <c r="K44" s="985"/>
      <c r="L44" s="1015"/>
    </row>
    <row r="45" spans="1:12" ht="20.100000000000001" customHeight="1">
      <c r="A45" s="983"/>
      <c r="B45" s="986"/>
      <c r="C45" s="986"/>
      <c r="D45" s="986"/>
      <c r="E45" s="986"/>
      <c r="F45" s="983"/>
      <c r="G45" s="988"/>
      <c r="H45" s="1051"/>
      <c r="I45" s="1016">
        <f>SUM(I44)</f>
        <v>0</v>
      </c>
      <c r="J45" s="988">
        <f>'Pipe data'!G128</f>
        <v>13850.07</v>
      </c>
      <c r="K45" s="987">
        <v>1</v>
      </c>
      <c r="L45" s="1017">
        <f>ROUND(I45*J45,0)</f>
        <v>0</v>
      </c>
    </row>
    <row r="46" spans="1:12" ht="20.100000000000001" customHeight="1">
      <c r="A46" s="983"/>
      <c r="B46" s="986"/>
      <c r="C46" s="986"/>
      <c r="D46" s="986"/>
      <c r="E46" s="986"/>
      <c r="F46" s="983"/>
      <c r="G46" s="983"/>
      <c r="H46" s="983"/>
      <c r="I46" s="1018" t="s">
        <v>107</v>
      </c>
      <c r="J46" s="988"/>
      <c r="K46" s="987" t="s">
        <v>107</v>
      </c>
      <c r="L46" s="1017"/>
    </row>
    <row r="47" spans="1:12" ht="63.75" customHeight="1">
      <c r="A47" s="989">
        <v>6</v>
      </c>
      <c r="B47" s="3724" t="str">
        <f>'Pipe data'!B156:G156</f>
        <v xml:space="preserve">Providing and filling  bedding of Selected Earth material around the pipes of  Hume pipe culverts suitably compacted / rammed including cost, (excluding  seigniorage) and conveyance of materials to site etc.,  complete as per drawing and MoRT&amp;H Specification  2900 ( 5th Revision) and as directed by the Engineer-in-Charge. </v>
      </c>
      <c r="C47" s="3724"/>
      <c r="D47" s="3724"/>
      <c r="E47" s="3724"/>
      <c r="F47" s="3724"/>
      <c r="G47" s="3724"/>
      <c r="H47" s="3724"/>
      <c r="I47" s="3724"/>
      <c r="J47" s="3724"/>
      <c r="K47" s="3724"/>
      <c r="L47" s="1019"/>
    </row>
    <row r="48" spans="1:12" ht="20.100000000000001" customHeight="1">
      <c r="A48" s="983"/>
      <c r="B48" s="986" t="s">
        <v>1501</v>
      </c>
      <c r="C48" s="987">
        <v>1</v>
      </c>
      <c r="D48" s="987" t="s">
        <v>956</v>
      </c>
      <c r="E48" s="987">
        <v>1</v>
      </c>
      <c r="F48" s="988"/>
      <c r="G48" s="988">
        <v>6.3</v>
      </c>
      <c r="H48" s="988">
        <v>1.2749999999999999</v>
      </c>
      <c r="I48" s="988">
        <f t="shared" ref="I48" si="4">ROUND(C48*E48*F48*G48*H48,2)</f>
        <v>0</v>
      </c>
      <c r="J48" s="987"/>
      <c r="K48" s="985"/>
      <c r="L48" s="1015"/>
    </row>
    <row r="49" spans="1:12" ht="35.1" customHeight="1">
      <c r="A49" s="983"/>
      <c r="B49" s="986" t="s">
        <v>1505</v>
      </c>
      <c r="C49" s="987">
        <v>1</v>
      </c>
      <c r="D49" s="987" t="s">
        <v>956</v>
      </c>
      <c r="E49" s="987">
        <v>2</v>
      </c>
      <c r="F49" s="988"/>
      <c r="G49" s="988">
        <v>6.3</v>
      </c>
      <c r="H49" s="988" t="s">
        <v>1512</v>
      </c>
      <c r="I49" s="988">
        <f>ROUND(C49*E49*F49*G49*((1.275+0)/2),2)</f>
        <v>0</v>
      </c>
      <c r="J49" s="987"/>
      <c r="K49" s="985"/>
      <c r="L49" s="1015"/>
    </row>
    <row r="50" spans="1:12" ht="20.100000000000001" customHeight="1">
      <c r="A50" s="983"/>
      <c r="B50" s="986" t="s">
        <v>1503</v>
      </c>
      <c r="C50" s="1049" t="s">
        <v>1504</v>
      </c>
      <c r="D50" s="987" t="s">
        <v>956</v>
      </c>
      <c r="E50" s="987">
        <v>-1</v>
      </c>
      <c r="F50" s="988"/>
      <c r="G50" s="988">
        <v>6.3</v>
      </c>
      <c r="H50" s="1048">
        <v>1.2749999999999999</v>
      </c>
      <c r="I50" s="988">
        <f>+PI()/4*E50*F50*G50*H50</f>
        <v>0</v>
      </c>
      <c r="J50" s="987"/>
      <c r="K50" s="985"/>
      <c r="L50" s="1015"/>
    </row>
    <row r="51" spans="1:12" ht="20.100000000000001" customHeight="1">
      <c r="A51" s="983"/>
      <c r="B51" s="986"/>
      <c r="C51" s="986"/>
      <c r="D51" s="986"/>
      <c r="E51" s="986"/>
      <c r="F51" s="983"/>
      <c r="G51" s="983"/>
      <c r="H51" s="983"/>
      <c r="I51" s="1016">
        <f>SUM(I48:I50)</f>
        <v>0</v>
      </c>
      <c r="J51" s="988">
        <f>'Pipe data'!G177</f>
        <v>691.79</v>
      </c>
      <c r="K51" s="987">
        <v>1</v>
      </c>
      <c r="L51" s="1017">
        <f>ROUND(I51*J51,0)</f>
        <v>0</v>
      </c>
    </row>
    <row r="52" spans="1:12" ht="20.100000000000001" customHeight="1">
      <c r="A52" s="983"/>
      <c r="B52" s="986"/>
      <c r="C52" s="986"/>
      <c r="D52" s="986"/>
      <c r="E52" s="986"/>
      <c r="F52" s="983"/>
      <c r="G52" s="983"/>
      <c r="H52" s="983"/>
      <c r="I52" s="1018" t="s">
        <v>31</v>
      </c>
      <c r="J52" s="988"/>
      <c r="K52" s="987" t="s">
        <v>31</v>
      </c>
      <c r="L52" s="1017"/>
    </row>
    <row r="53" spans="1:12" ht="65.25" customHeight="1">
      <c r="A53" s="989">
        <v>7</v>
      </c>
      <c r="B53" s="3724" t="str">
        <f>'Slab-Culverts Data'!B538:J538</f>
        <v xml:space="preserve">Providing and laying boulders apron for bed protection against scour with stone boulders weighing not less than 40kg each complete as per drawing and specification. complete for finished item of work as per MoRT&amp;H specification 2504 ( 5th revision ) and as directed by the Engineer-in-Charge </v>
      </c>
      <c r="C53" s="3724"/>
      <c r="D53" s="3724"/>
      <c r="E53" s="3724"/>
      <c r="F53" s="3724"/>
      <c r="G53" s="3724"/>
      <c r="H53" s="3724"/>
      <c r="I53" s="3724"/>
      <c r="J53" s="3724"/>
      <c r="K53" s="3724"/>
      <c r="L53" s="1019"/>
    </row>
    <row r="54" spans="1:12" s="972" customFormat="1" ht="20.100000000000001" customHeight="1">
      <c r="A54" s="1038"/>
      <c r="B54" s="1039" t="s">
        <v>1501</v>
      </c>
      <c r="C54" s="1040">
        <v>1</v>
      </c>
      <c r="D54" s="1040" t="s">
        <v>956</v>
      </c>
      <c r="E54" s="1040">
        <v>1</v>
      </c>
      <c r="F54" s="1041"/>
      <c r="G54" s="1041">
        <v>6.3</v>
      </c>
      <c r="H54" s="1041">
        <v>0.22500000000000001</v>
      </c>
      <c r="I54" s="1041">
        <f>ROUND(C54*E54*F54*G54*H54,2)</f>
        <v>0</v>
      </c>
      <c r="J54" s="1040"/>
      <c r="K54" s="1042"/>
      <c r="L54" s="1043"/>
    </row>
    <row r="55" spans="1:12" s="972" customFormat="1" ht="20.100000000000001" customHeight="1">
      <c r="A55" s="1038"/>
      <c r="B55" s="1039" t="s">
        <v>1505</v>
      </c>
      <c r="C55" s="1040">
        <v>1</v>
      </c>
      <c r="D55" s="1040" t="s">
        <v>956</v>
      </c>
      <c r="E55" s="1040">
        <v>2</v>
      </c>
      <c r="F55" s="1041"/>
      <c r="G55" s="1041">
        <v>6.3</v>
      </c>
      <c r="H55" s="1041">
        <v>0.22500000000000001</v>
      </c>
      <c r="I55" s="1041">
        <f>ROUND(C55*E55*F55*G55*H55,2)</f>
        <v>0</v>
      </c>
      <c r="J55" s="1040"/>
      <c r="K55" s="1042"/>
      <c r="L55" s="1043"/>
    </row>
    <row r="56" spans="1:12" s="972" customFormat="1" ht="20.100000000000001" customHeight="1">
      <c r="A56" s="1038"/>
      <c r="B56" s="1039" t="s">
        <v>1503</v>
      </c>
      <c r="C56" s="1052" t="s">
        <v>1504</v>
      </c>
      <c r="D56" s="1040" t="s">
        <v>956</v>
      </c>
      <c r="E56" s="1040">
        <v>-1</v>
      </c>
      <c r="F56" s="1041"/>
      <c r="G56" s="1041">
        <v>6.3</v>
      </c>
      <c r="H56" s="1041">
        <v>0.22500000000000001</v>
      </c>
      <c r="I56" s="1041">
        <f>ROUND(+PI()/4*E56*F56*G56*H56,2)</f>
        <v>0</v>
      </c>
      <c r="J56" s="1040"/>
      <c r="K56" s="1042"/>
      <c r="L56" s="1043"/>
    </row>
    <row r="57" spans="1:12" ht="20.100000000000001" customHeight="1">
      <c r="A57" s="989"/>
      <c r="B57" s="990"/>
      <c r="C57" s="990"/>
      <c r="D57" s="990"/>
      <c r="E57" s="990"/>
      <c r="F57" s="983"/>
      <c r="G57" s="983"/>
      <c r="H57" s="983"/>
      <c r="I57" s="1016">
        <f>SUM(I54:I56)</f>
        <v>0</v>
      </c>
      <c r="J57" s="988">
        <f>'Slab-Culverts Data'!J559</f>
        <v>2028.19</v>
      </c>
      <c r="K57" s="987">
        <v>1</v>
      </c>
      <c r="L57" s="1017">
        <f>ROUND(I57*J57,0)</f>
        <v>0</v>
      </c>
    </row>
    <row r="58" spans="1:12" ht="20.100000000000001" customHeight="1">
      <c r="A58" s="989"/>
      <c r="B58" s="990"/>
      <c r="C58" s="990"/>
      <c r="D58" s="990"/>
      <c r="E58" s="990"/>
      <c r="F58" s="983"/>
      <c r="G58" s="983"/>
      <c r="H58" s="983"/>
      <c r="I58" s="1018" t="s">
        <v>73</v>
      </c>
      <c r="J58" s="988"/>
      <c r="K58" s="1018" t="s">
        <v>73</v>
      </c>
      <c r="L58" s="1017"/>
    </row>
    <row r="59" spans="1:12" ht="130.5" customHeight="1">
      <c r="A59" s="989">
        <v>8</v>
      </c>
      <c r="B59" s="3724" t="str">
        <f>'Slab-Culverts Data'!B400:J400</f>
        <v>Vibrated cement concrete M 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1500, 1600, 1700 &amp; 2702 as directed by the Engineer-in-Charge for Wearing Coat.</v>
      </c>
      <c r="C59" s="3724"/>
      <c r="D59" s="3724"/>
      <c r="E59" s="3724"/>
      <c r="F59" s="3724"/>
      <c r="G59" s="3724"/>
      <c r="H59" s="3724"/>
      <c r="I59" s="3724"/>
      <c r="J59" s="3724"/>
      <c r="K59" s="3724"/>
      <c r="L59" s="1017"/>
    </row>
    <row r="60" spans="1:12" ht="20.100000000000001" customHeight="1">
      <c r="A60" s="989"/>
      <c r="B60" s="990" t="s">
        <v>1501</v>
      </c>
      <c r="C60" s="1053">
        <v>1</v>
      </c>
      <c r="D60" s="1053" t="s">
        <v>956</v>
      </c>
      <c r="E60" s="1053">
        <v>1</v>
      </c>
      <c r="F60" s="1054"/>
      <c r="G60" s="1054">
        <v>7.5</v>
      </c>
      <c r="H60" s="1054">
        <v>0.1</v>
      </c>
      <c r="I60" s="1060">
        <f>+E60*F60*G60*H60</f>
        <v>0</v>
      </c>
      <c r="J60" s="1053"/>
      <c r="K60" s="991"/>
      <c r="L60" s="1044"/>
    </row>
    <row r="61" spans="1:12" ht="20.100000000000001" customHeight="1">
      <c r="A61" s="989"/>
      <c r="B61" s="990" t="s">
        <v>1505</v>
      </c>
      <c r="C61" s="1053">
        <v>1</v>
      </c>
      <c r="D61" s="1053" t="s">
        <v>956</v>
      </c>
      <c r="E61" s="1053">
        <v>2</v>
      </c>
      <c r="F61" s="1054"/>
      <c r="G61" s="1054">
        <v>7.5</v>
      </c>
      <c r="H61" s="1054">
        <v>0.1</v>
      </c>
      <c r="I61" s="1060">
        <f>+E61*F61*G61*H61</f>
        <v>0</v>
      </c>
      <c r="J61" s="1053"/>
      <c r="K61" s="991"/>
      <c r="L61" s="1044"/>
    </row>
    <row r="62" spans="1:12" ht="20.100000000000001" customHeight="1">
      <c r="A62" s="989"/>
      <c r="B62" s="990"/>
      <c r="C62" s="990"/>
      <c r="D62" s="990"/>
      <c r="E62" s="990"/>
      <c r="F62" s="983"/>
      <c r="G62" s="988"/>
      <c r="H62" s="1051"/>
      <c r="I62" s="1061">
        <f>SUM(I60:I61)</f>
        <v>0</v>
      </c>
      <c r="J62" s="988">
        <f>'Slab-Culverts Data'!J428</f>
        <v>7037.28</v>
      </c>
      <c r="K62" s="987">
        <v>1</v>
      </c>
      <c r="L62" s="1017">
        <f>ROUND(I62*J62,0)</f>
        <v>0</v>
      </c>
    </row>
    <row r="63" spans="1:12" ht="20.100000000000001" customHeight="1">
      <c r="A63" s="1055"/>
      <c r="B63" s="1056"/>
      <c r="C63" s="1056"/>
      <c r="D63" s="1056"/>
      <c r="E63" s="1056"/>
      <c r="F63" s="996"/>
      <c r="G63" s="996"/>
      <c r="H63" s="996"/>
      <c r="I63" s="1020" t="s">
        <v>31</v>
      </c>
      <c r="J63" s="1021"/>
      <c r="K63" s="1022" t="s">
        <v>31</v>
      </c>
      <c r="L63" s="1023"/>
    </row>
    <row r="64" spans="1:12" ht="23.25" customHeight="1">
      <c r="A64" s="1057"/>
      <c r="B64" s="1058"/>
      <c r="C64" s="1058"/>
      <c r="D64" s="1058"/>
      <c r="E64" s="1058"/>
      <c r="F64" s="1059"/>
      <c r="G64" s="1059"/>
      <c r="H64" s="1059"/>
      <c r="I64" s="1062"/>
      <c r="J64" s="1063" t="s">
        <v>1394</v>
      </c>
      <c r="K64" s="1064"/>
      <c r="L64" s="1065">
        <f>SUM(L6:L63)</f>
        <v>0</v>
      </c>
    </row>
    <row r="65" spans="2:12" ht="12.75" customHeight="1">
      <c r="L65" s="1036"/>
    </row>
    <row r="67" spans="2:12" ht="14.25" customHeight="1">
      <c r="B67" s="1008"/>
      <c r="F67" s="1008" t="str">
        <f>GA!B34</f>
        <v>Assistant Engineer,</v>
      </c>
      <c r="I67" s="3727" t="str">
        <f>GA!C34</f>
        <v>Dy. Exe. Engineer</v>
      </c>
      <c r="J67" s="3727"/>
      <c r="K67" s="3727"/>
    </row>
    <row r="68" spans="2:12" ht="14.25" customHeight="1">
      <c r="B68" s="1008"/>
      <c r="F68" s="1008" t="str">
        <f>GA!B35</f>
        <v>PRSD, Wanaparthy</v>
      </c>
      <c r="I68" s="3727" t="str">
        <f>GA!C35</f>
        <v>PRSD, Wanaparthy</v>
      </c>
      <c r="J68" s="3727"/>
      <c r="K68" s="3727"/>
    </row>
    <row r="69" spans="2:12" ht="14.25" customHeight="1">
      <c r="B69" s="1008"/>
      <c r="F69" s="1008"/>
      <c r="I69" s="1037"/>
      <c r="J69" s="1037"/>
      <c r="K69" s="1037"/>
    </row>
    <row r="70" spans="2:12" ht="14.25" customHeight="1">
      <c r="B70" s="1008"/>
      <c r="F70" s="1008"/>
      <c r="I70" s="1037"/>
      <c r="J70" s="1037"/>
      <c r="K70" s="1037"/>
    </row>
    <row r="71" spans="2:12">
      <c r="B71" s="1009"/>
      <c r="F71" s="1009"/>
      <c r="J71" s="1009"/>
      <c r="K71" s="1037"/>
    </row>
    <row r="72" spans="2:12" ht="14.25" customHeight="1">
      <c r="B72" s="1008"/>
      <c r="F72" s="1008" t="s">
        <v>906</v>
      </c>
      <c r="I72" s="3727" t="s">
        <v>685</v>
      </c>
      <c r="J72" s="3727"/>
      <c r="K72" s="3727"/>
    </row>
    <row r="73" spans="2:12">
      <c r="B73" s="1008"/>
      <c r="F73" s="1008" t="str">
        <f>GA!B38</f>
        <v>PIU, Wanaparthy</v>
      </c>
      <c r="I73" s="3728" t="str">
        <f>GA!C38</f>
        <v>PR, Circle, Warangal</v>
      </c>
      <c r="J73" s="3728"/>
      <c r="K73" s="3728"/>
    </row>
  </sheetData>
  <protectedRanges>
    <protectedRange sqref="B67:B73 F67:F73" name="Range4"/>
    <protectedRange sqref="I72 J71 K67:K73 I67:I70" name="Range4_1"/>
  </protectedRanges>
  <mergeCells count="18">
    <mergeCell ref="I68:K68"/>
    <mergeCell ref="I72:K72"/>
    <mergeCell ref="I73:K73"/>
    <mergeCell ref="B43:K43"/>
    <mergeCell ref="B47:K47"/>
    <mergeCell ref="B53:K53"/>
    <mergeCell ref="B59:K59"/>
    <mergeCell ref="I67:K67"/>
    <mergeCell ref="C5:E5"/>
    <mergeCell ref="B6:K6"/>
    <mergeCell ref="B13:K13"/>
    <mergeCell ref="B20:K20"/>
    <mergeCell ref="B32:K32"/>
    <mergeCell ref="A1:L1"/>
    <mergeCell ref="A2:B2"/>
    <mergeCell ref="C2:L2"/>
    <mergeCell ref="A3:L3"/>
    <mergeCell ref="C4:E4"/>
  </mergeCells>
  <printOptions horizontalCentered="1" headings="1"/>
  <pageMargins left="0.59055118110236204" right="0.196850393700787" top="0.59055118110236204" bottom="0.39370078740157499" header="0.31496062992126" footer="0.31496062992126"/>
  <pageSetup paperSize="9" scale="85" orientation="portrait" r:id="rId1"/>
</worksheet>
</file>

<file path=xl/worksheets/sheet40.xml><?xml version="1.0" encoding="utf-8"?>
<worksheet xmlns="http://schemas.openxmlformats.org/spreadsheetml/2006/main" xmlns:r="http://schemas.openxmlformats.org/officeDocument/2006/relationships">
  <sheetPr codeName="Sheet3">
    <tabColor theme="5" tint="-0.249977111117893"/>
  </sheetPr>
  <dimension ref="A1:AC110"/>
  <sheetViews>
    <sheetView showGridLines="0" view="pageBreakPreview" topLeftCell="A95" workbookViewId="0">
      <selection activeCell="L9" sqref="L9:L99"/>
    </sheetView>
  </sheetViews>
  <sheetFormatPr defaultColWidth="9.140625" defaultRowHeight="15"/>
  <cols>
    <col min="1" max="1" width="4.42578125" style="1321" customWidth="1"/>
    <col min="2" max="2" width="18.28515625" style="1220" customWidth="1"/>
    <col min="3" max="5" width="3.28515625" style="1212" customWidth="1"/>
    <col min="6" max="6" width="7.7109375" style="1212" customWidth="1"/>
    <col min="7" max="7" width="11.5703125" style="1212" customWidth="1"/>
    <col min="8" max="8" width="11.28515625" style="1212" customWidth="1"/>
    <col min="9" max="9" width="11.140625" style="1212" customWidth="1"/>
    <col min="10" max="10" width="12.140625" style="1212" customWidth="1"/>
    <col min="11" max="11" width="7.5703125" style="1212" customWidth="1"/>
    <col min="12" max="12" width="13.28515625" style="1221" customWidth="1"/>
    <col min="13" max="13" width="9.140625" style="1220" hidden="1" customWidth="1"/>
    <col min="14" max="14" width="13.85546875" style="1220" hidden="1" customWidth="1"/>
    <col min="15" max="15" width="11" style="1220" hidden="1" customWidth="1"/>
    <col min="16" max="16" width="6.28515625" style="1220" hidden="1" customWidth="1"/>
    <col min="17" max="29" width="9.140625" style="1220" hidden="1" customWidth="1"/>
    <col min="30" max="16384" width="9.140625" style="1220"/>
  </cols>
  <sheetData>
    <row r="1" spans="1:15" ht="18" customHeight="1">
      <c r="A1" s="3692" t="s">
        <v>2764</v>
      </c>
      <c r="B1" s="3778"/>
      <c r="C1" s="3778"/>
      <c r="D1" s="3778"/>
      <c r="E1" s="3778"/>
      <c r="F1" s="3778"/>
      <c r="G1" s="3778"/>
      <c r="H1" s="3778"/>
      <c r="I1" s="3778"/>
      <c r="J1" s="3778"/>
      <c r="K1" s="3778"/>
      <c r="L1" s="3778"/>
    </row>
    <row r="2" spans="1:15" ht="30" customHeight="1">
      <c r="A2" s="3801" t="s">
        <v>677</v>
      </c>
      <c r="B2" s="3801"/>
      <c r="C2" s="1322"/>
      <c r="D2" s="1322"/>
      <c r="E2" s="1322"/>
      <c r="F2" s="3783" t="str">
        <f>'Input Data'!E1</f>
        <v>R/F A to B in Wanaparthy Mandal of Wanaparthy District</v>
      </c>
      <c r="G2" s="3783"/>
      <c r="H2" s="3783"/>
      <c r="I2" s="3783"/>
      <c r="J2" s="3783"/>
      <c r="K2" s="3783"/>
      <c r="L2" s="3783"/>
    </row>
    <row r="3" spans="1:15" s="1221" customFormat="1" ht="21.75" customHeight="1">
      <c r="A3" s="3802" t="s">
        <v>2810</v>
      </c>
      <c r="B3" s="3786"/>
      <c r="C3" s="3786"/>
      <c r="D3" s="3786"/>
      <c r="E3" s="3786"/>
      <c r="F3" s="3786"/>
      <c r="G3" s="3786"/>
      <c r="H3" s="3786"/>
      <c r="I3" s="3786"/>
      <c r="J3" s="3786"/>
      <c r="K3" s="3786"/>
      <c r="L3" s="3786"/>
    </row>
    <row r="4" spans="1:15" s="1212" customFormat="1" ht="33" customHeight="1">
      <c r="A4" s="1323" t="s">
        <v>1380</v>
      </c>
      <c r="B4" s="1263" t="s">
        <v>953</v>
      </c>
      <c r="C4" s="3803" t="s">
        <v>954</v>
      </c>
      <c r="D4" s="3803"/>
      <c r="E4" s="3803"/>
      <c r="F4" s="1263" t="s">
        <v>180</v>
      </c>
      <c r="G4" s="1263" t="s">
        <v>781</v>
      </c>
      <c r="H4" s="1263" t="s">
        <v>955</v>
      </c>
      <c r="I4" s="1358" t="s">
        <v>3</v>
      </c>
      <c r="J4" s="1325" t="s">
        <v>5</v>
      </c>
      <c r="K4" s="1325" t="s">
        <v>580</v>
      </c>
      <c r="L4" s="1263" t="s">
        <v>7</v>
      </c>
    </row>
    <row r="5" spans="1:15" s="1221" customFormat="1">
      <c r="A5" s="1324">
        <v>1</v>
      </c>
      <c r="B5" s="1325">
        <v>2</v>
      </c>
      <c r="C5" s="3804">
        <v>3</v>
      </c>
      <c r="D5" s="3804"/>
      <c r="E5" s="3804"/>
      <c r="F5" s="1325">
        <v>4</v>
      </c>
      <c r="G5" s="1325">
        <v>5</v>
      </c>
      <c r="H5" s="1325">
        <v>6</v>
      </c>
      <c r="I5" s="1359">
        <v>7</v>
      </c>
      <c r="J5" s="1325">
        <v>8</v>
      </c>
      <c r="K5" s="1325">
        <v>9</v>
      </c>
      <c r="L5" s="1325">
        <v>10</v>
      </c>
    </row>
    <row r="6" spans="1:15" ht="89.25" customHeight="1">
      <c r="A6" s="1326">
        <v>1</v>
      </c>
      <c r="B6" s="3551" t="str">
        <f>'Pipe data'!B4:G4</f>
        <v>Earthwork excavation in soils upto SDR  by mechanical means for foundations of structures as per drawing and technical specification including setting out, construction of shoring and bracing, removal of stumps and other deleterious matter, dressing sides of  bottom, back filling the excavation earth to the extent required etc.,  complete  excluding seignioarge charges for finished item of work as per MoRT&amp;H specification 304(5th Revision)  and as directed by the Engineer-in-Charge.</v>
      </c>
      <c r="C6" s="3551"/>
      <c r="D6" s="3551"/>
      <c r="E6" s="3551"/>
      <c r="F6" s="3551"/>
      <c r="G6" s="3551"/>
      <c r="H6" s="3551"/>
      <c r="I6" s="3551"/>
      <c r="J6" s="3551"/>
      <c r="K6" s="3551"/>
      <c r="L6" s="1360"/>
      <c r="O6" s="1266"/>
    </row>
    <row r="7" spans="1:15" ht="20.100000000000001" customHeight="1">
      <c r="A7" s="1262"/>
      <c r="B7" s="1327" t="s">
        <v>1397</v>
      </c>
      <c r="C7" s="1328">
        <v>1</v>
      </c>
      <c r="D7" s="1328" t="s">
        <v>956</v>
      </c>
      <c r="E7" s="1328">
        <v>2</v>
      </c>
      <c r="F7" s="1329">
        <v>8.4499999999999993</v>
      </c>
      <c r="G7" s="1329">
        <v>3.5</v>
      </c>
      <c r="H7" s="1329">
        <v>2.15</v>
      </c>
      <c r="I7" s="1329">
        <f>ROUND(PRODUCT(C7:H7),2)</f>
        <v>127.17</v>
      </c>
      <c r="J7" s="1224"/>
      <c r="K7" s="1224"/>
      <c r="L7" s="1361"/>
      <c r="O7" s="1266"/>
    </row>
    <row r="8" spans="1:15" ht="35.1" customHeight="1">
      <c r="A8" s="1262"/>
      <c r="B8" s="1327" t="s">
        <v>1398</v>
      </c>
      <c r="C8" s="1328">
        <v>2</v>
      </c>
      <c r="D8" s="1328" t="s">
        <v>956</v>
      </c>
      <c r="E8" s="1328">
        <v>2</v>
      </c>
      <c r="F8" s="1329">
        <v>3.5</v>
      </c>
      <c r="G8" s="1330" t="s">
        <v>1399</v>
      </c>
      <c r="H8" s="1329">
        <v>2.15</v>
      </c>
      <c r="I8" s="1329">
        <f>ROUND(PRODUCT(C8:H8)*(2.37+1.85)/2,2)</f>
        <v>63.51</v>
      </c>
      <c r="J8" s="1224"/>
      <c r="K8" s="1224"/>
      <c r="L8" s="1361"/>
      <c r="O8" s="1266"/>
    </row>
    <row r="9" spans="1:15" ht="15" customHeight="1">
      <c r="A9" s="1262"/>
      <c r="B9" s="1331"/>
      <c r="C9" s="1224"/>
      <c r="D9" s="1224"/>
      <c r="E9" s="1224"/>
      <c r="F9" s="1224"/>
      <c r="G9" s="1262"/>
      <c r="H9" s="1262"/>
      <c r="I9" s="1362">
        <f>SUM(I7:I8)</f>
        <v>190.68</v>
      </c>
      <c r="J9" s="1350">
        <f>'Pipe data'!G20</f>
        <v>123.69927804166667</v>
      </c>
      <c r="K9" s="1224">
        <v>1</v>
      </c>
      <c r="L9" s="1363">
        <f>ROUND(I9*J9,0)</f>
        <v>23587</v>
      </c>
      <c r="O9" s="1266"/>
    </row>
    <row r="10" spans="1:15" ht="12.75" customHeight="1">
      <c r="A10" s="1262"/>
      <c r="B10" s="1331"/>
      <c r="C10" s="1224"/>
      <c r="D10" s="1224"/>
      <c r="E10" s="1224"/>
      <c r="F10" s="1224"/>
      <c r="G10" s="1262"/>
      <c r="H10" s="1262"/>
      <c r="I10" s="1364" t="s">
        <v>31</v>
      </c>
      <c r="J10" s="1350"/>
      <c r="K10" s="1224" t="s">
        <v>31</v>
      </c>
      <c r="L10" s="1363"/>
    </row>
    <row r="11" spans="1:15" ht="45.6" hidden="1" customHeight="1">
      <c r="A11" s="1326">
        <v>2</v>
      </c>
      <c r="B11" s="3805" t="str">
        <f>'Pipe data'!B55:G55</f>
        <v>Sand  Filling  in foundation trenches as per drawing and technical specification Clause 304 of MORTH including overhead charges &amp; Contractors profit etc complete.</v>
      </c>
      <c r="C11" s="3551"/>
      <c r="D11" s="3551"/>
      <c r="E11" s="3551"/>
      <c r="F11" s="3551"/>
      <c r="G11" s="3551"/>
      <c r="H11" s="3551"/>
      <c r="I11" s="3551"/>
      <c r="J11" s="3551"/>
      <c r="K11" s="3551"/>
      <c r="L11" s="1360"/>
      <c r="N11" s="1266"/>
    </row>
    <row r="12" spans="1:15" s="1213" customFormat="1" ht="20.45" hidden="1" customHeight="1">
      <c r="A12" s="1332"/>
      <c r="B12" s="1333" t="s">
        <v>1400</v>
      </c>
      <c r="C12" s="1334">
        <v>1</v>
      </c>
      <c r="D12" s="1334" t="s">
        <v>956</v>
      </c>
      <c r="E12" s="1334">
        <v>1</v>
      </c>
      <c r="F12" s="1335">
        <v>0</v>
      </c>
      <c r="G12" s="1335">
        <v>3</v>
      </c>
      <c r="H12" s="1335">
        <v>0.15</v>
      </c>
      <c r="I12" s="1335">
        <f>ROUND(C12*E12*F12*G12*H12,2)</f>
        <v>0</v>
      </c>
      <c r="J12" s="1365"/>
      <c r="K12" s="1365"/>
      <c r="L12" s="1366"/>
      <c r="O12" s="1275"/>
    </row>
    <row r="13" spans="1:15" ht="15" hidden="1" customHeight="1">
      <c r="A13" s="1326"/>
      <c r="B13" s="1336"/>
      <c r="C13" s="1337"/>
      <c r="D13" s="1337"/>
      <c r="E13" s="1337"/>
      <c r="F13" s="1337"/>
      <c r="G13" s="1262"/>
      <c r="H13" s="1262"/>
      <c r="I13" s="1364">
        <f>SUM(I12:I12)</f>
        <v>0</v>
      </c>
      <c r="J13" s="1350">
        <f>'Pipe data'!G72</f>
        <v>1237.43</v>
      </c>
      <c r="K13" s="1224">
        <v>1</v>
      </c>
      <c r="L13" s="1363">
        <f>ROUND(I13*J13,0)</f>
        <v>0</v>
      </c>
    </row>
    <row r="14" spans="1:15" ht="15" hidden="1" customHeight="1">
      <c r="A14" s="1326"/>
      <c r="B14" s="1336"/>
      <c r="C14" s="1337"/>
      <c r="D14" s="1337"/>
      <c r="E14" s="1337"/>
      <c r="F14" s="1337"/>
      <c r="G14" s="1262"/>
      <c r="H14" s="1262"/>
      <c r="I14" s="1364" t="s">
        <v>31</v>
      </c>
      <c r="J14" s="1350"/>
      <c r="K14" s="1224" t="s">
        <v>31</v>
      </c>
      <c r="L14" s="1363"/>
    </row>
    <row r="15" spans="1:15" ht="106.5" customHeight="1">
      <c r="A15" s="1326">
        <v>2</v>
      </c>
      <c r="B15" s="3551" t="str">
        <f>'Slab-Culverts Data'!B5:J5</f>
        <v>Providing Plain Cement Concrete (1:3:6) mix using 40mm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C15" s="3551"/>
      <c r="D15" s="3551"/>
      <c r="E15" s="3551"/>
      <c r="F15" s="3551"/>
      <c r="G15" s="3551"/>
      <c r="H15" s="3551"/>
      <c r="I15" s="3551"/>
      <c r="J15" s="3551"/>
      <c r="K15" s="3551"/>
      <c r="L15" s="1360"/>
    </row>
    <row r="16" spans="1:15" ht="20.100000000000001" customHeight="1">
      <c r="A16" s="1262"/>
      <c r="B16" s="1327" t="s">
        <v>1397</v>
      </c>
      <c r="C16" s="1328">
        <v>1</v>
      </c>
      <c r="D16" s="1328" t="s">
        <v>956</v>
      </c>
      <c r="E16" s="1328">
        <v>2</v>
      </c>
      <c r="F16" s="1329">
        <v>8.4499999999999993</v>
      </c>
      <c r="G16" s="1329">
        <v>3.5</v>
      </c>
      <c r="H16" s="1329">
        <v>0.15</v>
      </c>
      <c r="I16" s="1329">
        <f>ROUND(PRODUCT(C16:H16),2)</f>
        <v>8.8699999999999992</v>
      </c>
      <c r="J16" s="1224"/>
      <c r="K16" s="1224"/>
      <c r="L16" s="1361"/>
    </row>
    <row r="17" spans="1:12" ht="35.1" customHeight="1">
      <c r="A17" s="1262"/>
      <c r="B17" s="1327" t="s">
        <v>1398</v>
      </c>
      <c r="C17" s="1328">
        <v>2</v>
      </c>
      <c r="D17" s="1328" t="s">
        <v>956</v>
      </c>
      <c r="E17" s="1328">
        <v>2</v>
      </c>
      <c r="F17" s="1329">
        <v>3.5</v>
      </c>
      <c r="G17" s="1330" t="s">
        <v>1399</v>
      </c>
      <c r="H17" s="1329">
        <v>0.15</v>
      </c>
      <c r="I17" s="1329">
        <f>ROUND(PRODUCT(C17:H17)*(2.37+1.85)/2,2)</f>
        <v>4.43</v>
      </c>
      <c r="J17" s="1224"/>
      <c r="K17" s="1224"/>
      <c r="L17" s="1361"/>
    </row>
    <row r="18" spans="1:12" ht="20.100000000000001" customHeight="1">
      <c r="A18" s="1262"/>
      <c r="B18" s="1338"/>
      <c r="C18" s="1339"/>
      <c r="D18" s="1339"/>
      <c r="E18" s="1339"/>
      <c r="F18" s="1340"/>
      <c r="G18" s="1340"/>
      <c r="H18" s="1340"/>
      <c r="I18" s="1362">
        <f>SUM(I16:I17)</f>
        <v>13.299999999999999</v>
      </c>
      <c r="J18" s="1350">
        <f>'Slab-Culverts Data'!J31</f>
        <v>5706.01</v>
      </c>
      <c r="K18" s="1224">
        <v>1</v>
      </c>
      <c r="L18" s="1363">
        <f>ROUND(I18*J18,0)</f>
        <v>75890</v>
      </c>
    </row>
    <row r="19" spans="1:12" ht="20.100000000000001" customHeight="1">
      <c r="A19" s="1262"/>
      <c r="B19" s="1331"/>
      <c r="C19" s="1224"/>
      <c r="D19" s="1224"/>
      <c r="E19" s="1224"/>
      <c r="F19" s="1262"/>
      <c r="G19" s="1262"/>
      <c r="H19" s="1262"/>
      <c r="I19" s="1364" t="s">
        <v>31</v>
      </c>
      <c r="J19" s="1350"/>
      <c r="K19" s="1224" t="s">
        <v>31</v>
      </c>
      <c r="L19" s="1363"/>
    </row>
    <row r="20" spans="1:12" ht="102.75" customHeight="1">
      <c r="A20" s="1326">
        <v>3</v>
      </c>
      <c r="B20" s="3805" t="str">
        <f>'Slab-Culverts Data'!B33:J33</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foundation.</v>
      </c>
      <c r="C20" s="3551"/>
      <c r="D20" s="3551"/>
      <c r="E20" s="3551"/>
      <c r="F20" s="3551"/>
      <c r="G20" s="3551"/>
      <c r="H20" s="3551"/>
      <c r="I20" s="3551"/>
      <c r="J20" s="3551"/>
      <c r="K20" s="3551"/>
      <c r="L20" s="1360"/>
    </row>
    <row r="21" spans="1:12" ht="20.100000000000001" customHeight="1">
      <c r="A21" s="1262"/>
      <c r="B21" s="1341" t="s">
        <v>1401</v>
      </c>
      <c r="C21" s="1262"/>
      <c r="D21" s="1262"/>
      <c r="E21" s="1262"/>
      <c r="F21" s="1224"/>
      <c r="G21" s="1224"/>
      <c r="H21" s="1224"/>
      <c r="I21" s="1224"/>
      <c r="J21" s="1224"/>
      <c r="K21" s="1224"/>
      <c r="L21" s="1361"/>
    </row>
    <row r="22" spans="1:12" s="1319" customFormat="1" ht="20.100000000000001" customHeight="1">
      <c r="A22" s="1327"/>
      <c r="B22" s="1327" t="s">
        <v>1402</v>
      </c>
      <c r="C22" s="1328">
        <v>1</v>
      </c>
      <c r="D22" s="1328" t="s">
        <v>956</v>
      </c>
      <c r="E22" s="1328">
        <v>2</v>
      </c>
      <c r="F22" s="1329">
        <v>8.25</v>
      </c>
      <c r="G22" s="1329">
        <v>3.3</v>
      </c>
      <c r="H22" s="1329">
        <v>0.2</v>
      </c>
      <c r="I22" s="1329">
        <f>ROUNDDOWN(PRODUCT(C22:H22),2)</f>
        <v>10.89</v>
      </c>
      <c r="J22" s="1328"/>
      <c r="K22" s="1328"/>
      <c r="L22" s="1367"/>
    </row>
    <row r="23" spans="1:12" s="1319" customFormat="1" ht="20.100000000000001" customHeight="1">
      <c r="A23" s="1327"/>
      <c r="B23" s="1327" t="s">
        <v>1403</v>
      </c>
      <c r="C23" s="1328">
        <v>1</v>
      </c>
      <c r="D23" s="1328" t="s">
        <v>956</v>
      </c>
      <c r="E23" s="1328">
        <v>2</v>
      </c>
      <c r="F23" s="1329">
        <f>F22</f>
        <v>8.25</v>
      </c>
      <c r="G23" s="1329">
        <v>2.9</v>
      </c>
      <c r="H23" s="1329">
        <v>0.2</v>
      </c>
      <c r="I23" s="1329">
        <f>ROUNDDOWN(PRODUCT(C23:H23),2)</f>
        <v>9.57</v>
      </c>
      <c r="J23" s="1328"/>
      <c r="K23" s="1328"/>
      <c r="L23" s="1367"/>
    </row>
    <row r="24" spans="1:12" s="1319" customFormat="1" ht="20.100000000000001" customHeight="1">
      <c r="A24" s="1327"/>
      <c r="B24" s="1327" t="s">
        <v>1404</v>
      </c>
      <c r="C24" s="1328">
        <v>1</v>
      </c>
      <c r="D24" s="1328" t="s">
        <v>956</v>
      </c>
      <c r="E24" s="1328">
        <v>2</v>
      </c>
      <c r="F24" s="1329">
        <f>F23</f>
        <v>8.25</v>
      </c>
      <c r="G24" s="1329">
        <v>2.5</v>
      </c>
      <c r="H24" s="1329">
        <v>0.4</v>
      </c>
      <c r="I24" s="1329">
        <f>ROUNDDOWN(PRODUCT(C24:H24),2)</f>
        <v>16.5</v>
      </c>
      <c r="J24" s="1328"/>
      <c r="K24" s="1328"/>
      <c r="L24" s="1367"/>
    </row>
    <row r="25" spans="1:12" s="1319" customFormat="1" ht="35.1" customHeight="1">
      <c r="A25" s="1327"/>
      <c r="B25" s="1327" t="s">
        <v>1405</v>
      </c>
      <c r="C25" s="1328">
        <v>1</v>
      </c>
      <c r="D25" s="1328" t="s">
        <v>956</v>
      </c>
      <c r="E25" s="1328">
        <v>2</v>
      </c>
      <c r="F25" s="1329">
        <f>F24</f>
        <v>8.25</v>
      </c>
      <c r="G25" s="1330" t="s">
        <v>1406</v>
      </c>
      <c r="H25" s="1329">
        <v>0.4</v>
      </c>
      <c r="I25" s="1329">
        <f>ROUNDDOWN(PRODUCT(C25:H25)*(2.5+2.1)/2,2)</f>
        <v>15.18</v>
      </c>
      <c r="J25" s="1328"/>
      <c r="K25" s="1328"/>
      <c r="L25" s="1367"/>
    </row>
    <row r="26" spans="1:12" s="1319" customFormat="1" ht="35.1" customHeight="1">
      <c r="A26" s="1327"/>
      <c r="B26" s="1327" t="s">
        <v>1398</v>
      </c>
      <c r="C26" s="1328">
        <v>2</v>
      </c>
      <c r="D26" s="1328" t="s">
        <v>956</v>
      </c>
      <c r="E26" s="1328">
        <v>2</v>
      </c>
      <c r="F26" s="1329">
        <v>3.5</v>
      </c>
      <c r="G26" s="1330" t="s">
        <v>1407</v>
      </c>
      <c r="H26" s="1329">
        <v>0.4</v>
      </c>
      <c r="I26" s="1329">
        <f>ROUNDDOWN(PRODUCT(C26:H26)*(2.17+1.65)/2,2)</f>
        <v>10.69</v>
      </c>
      <c r="J26" s="1328"/>
      <c r="K26" s="1328"/>
      <c r="L26" s="1367"/>
    </row>
    <row r="27" spans="1:12" s="1319" customFormat="1" ht="35.1" customHeight="1">
      <c r="A27" s="1327"/>
      <c r="B27" s="1327" t="s">
        <v>1408</v>
      </c>
      <c r="C27" s="1328">
        <v>2</v>
      </c>
      <c r="D27" s="1328" t="s">
        <v>956</v>
      </c>
      <c r="E27" s="1328">
        <v>2</v>
      </c>
      <c r="F27" s="1329">
        <v>3.5</v>
      </c>
      <c r="G27" s="1330" t="s">
        <v>1409</v>
      </c>
      <c r="H27" s="1329">
        <v>0.4</v>
      </c>
      <c r="I27" s="1329">
        <f>ROUNDDOWN(PRODUCT(C27:H27)*(1.77+1.25)/2,2)</f>
        <v>8.4499999999999993</v>
      </c>
      <c r="J27" s="1328"/>
      <c r="K27" s="1328"/>
      <c r="L27" s="1367"/>
    </row>
    <row r="28" spans="1:12" s="1319" customFormat="1" ht="35.1" customHeight="1">
      <c r="A28" s="1327"/>
      <c r="B28" s="1327" t="s">
        <v>1410</v>
      </c>
      <c r="C28" s="1328">
        <v>2</v>
      </c>
      <c r="D28" s="1328" t="s">
        <v>956</v>
      </c>
      <c r="E28" s="1328">
        <v>2</v>
      </c>
      <c r="F28" s="1329">
        <v>3.5</v>
      </c>
      <c r="G28" s="1330" t="s">
        <v>1411</v>
      </c>
      <c r="H28" s="1329">
        <v>0.4</v>
      </c>
      <c r="I28" s="1329">
        <f>ROUNDDOWN(PRODUCT(C28:H28)*(1.57+1.05)/2,2)</f>
        <v>7.33</v>
      </c>
      <c r="J28" s="1328"/>
      <c r="K28" s="1328"/>
      <c r="L28" s="1367"/>
    </row>
    <row r="29" spans="1:12" ht="20.100000000000001" customHeight="1">
      <c r="A29" s="1262"/>
      <c r="B29" s="1331"/>
      <c r="C29" s="1224"/>
      <c r="D29" s="1224"/>
      <c r="E29" s="1224"/>
      <c r="F29" s="1262"/>
      <c r="G29" s="1262"/>
      <c r="H29" s="1262"/>
      <c r="I29" s="1362">
        <f>SUM(I22:I28)</f>
        <v>78.61</v>
      </c>
      <c r="J29" s="1350">
        <f>'Slab-Culverts Data'!J62</f>
        <v>6381.51</v>
      </c>
      <c r="K29" s="1224">
        <v>1</v>
      </c>
      <c r="L29" s="1363">
        <f>ROUND(I29*J29,0)</f>
        <v>501651</v>
      </c>
    </row>
    <row r="30" spans="1:12" ht="20.100000000000001" customHeight="1">
      <c r="A30" s="1262"/>
      <c r="B30" s="1331"/>
      <c r="C30" s="1224"/>
      <c r="D30" s="1224"/>
      <c r="E30" s="1224"/>
      <c r="F30" s="1262"/>
      <c r="G30" s="1262"/>
      <c r="H30" s="1262"/>
      <c r="I30" s="1364" t="s">
        <v>31</v>
      </c>
      <c r="J30" s="1350"/>
      <c r="K30" s="1224" t="s">
        <v>31</v>
      </c>
      <c r="L30" s="1363"/>
    </row>
    <row r="31" spans="1:12" ht="101.25" customHeight="1">
      <c r="A31" s="1326">
        <v>4</v>
      </c>
      <c r="B31" s="3805" t="str">
        <f>'Slab-Culverts Data'!B177:J177</f>
        <v>Providing PCC M15 mix using 40mm,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v>
      </c>
      <c r="C31" s="3551"/>
      <c r="D31" s="3551"/>
      <c r="E31" s="3551"/>
      <c r="F31" s="3551"/>
      <c r="G31" s="3551"/>
      <c r="H31" s="3551"/>
      <c r="I31" s="3551"/>
      <c r="J31" s="3551"/>
      <c r="K31" s="3551"/>
      <c r="L31" s="1363"/>
    </row>
    <row r="32" spans="1:12" ht="35.1" customHeight="1">
      <c r="A32" s="1262"/>
      <c r="B32" s="1327" t="s">
        <v>1412</v>
      </c>
      <c r="C32" s="1328">
        <v>1</v>
      </c>
      <c r="D32" s="1328" t="s">
        <v>956</v>
      </c>
      <c r="E32" s="1328">
        <f>E24</f>
        <v>2</v>
      </c>
      <c r="F32" s="1329">
        <v>8.25</v>
      </c>
      <c r="G32" s="1330" t="s">
        <v>1413</v>
      </c>
      <c r="H32" s="1329">
        <v>1.5</v>
      </c>
      <c r="I32" s="1329">
        <f>ROUNDDOWN(PRODUCT(C32:H32)*(2.1+1.3)/2,2)</f>
        <v>42.07</v>
      </c>
      <c r="J32" s="1350"/>
      <c r="K32" s="1224"/>
      <c r="L32" s="1363"/>
    </row>
    <row r="33" spans="1:14" ht="20.100000000000001" customHeight="1">
      <c r="A33" s="1262"/>
      <c r="B33" s="1327" t="s">
        <v>1414</v>
      </c>
      <c r="C33" s="1328">
        <v>1</v>
      </c>
      <c r="D33" s="1328" t="s">
        <v>956</v>
      </c>
      <c r="E33" s="1328">
        <v>2</v>
      </c>
      <c r="F33" s="1329">
        <v>8.25</v>
      </c>
      <c r="G33" s="1329">
        <v>0.3</v>
      </c>
      <c r="H33" s="1329">
        <v>0.95</v>
      </c>
      <c r="I33" s="1329">
        <f>ROUNDDOWN(PRODUCT(C33:H33),2)</f>
        <v>4.7</v>
      </c>
      <c r="J33" s="1350"/>
      <c r="K33" s="1224"/>
      <c r="L33" s="1363"/>
    </row>
    <row r="34" spans="1:14" ht="35.1" customHeight="1">
      <c r="A34" s="1262"/>
      <c r="B34" s="1342" t="s">
        <v>1415</v>
      </c>
      <c r="C34" s="1343">
        <v>2</v>
      </c>
      <c r="D34" s="1343" t="s">
        <v>956</v>
      </c>
      <c r="E34" s="1343">
        <v>2</v>
      </c>
      <c r="F34" s="1344">
        <v>3.5</v>
      </c>
      <c r="G34" s="1330" t="s">
        <v>1416</v>
      </c>
      <c r="H34" s="1329">
        <v>1.76</v>
      </c>
      <c r="I34" s="1329">
        <f>ROUNDDOWN(PRODUCT(C34:H34)*(0.935+0.5)/2,2)</f>
        <v>17.670000000000002</v>
      </c>
      <c r="J34" s="1350"/>
      <c r="K34" s="1224"/>
      <c r="L34" s="1363"/>
    </row>
    <row r="35" spans="1:14" ht="20.100000000000001" customHeight="1">
      <c r="A35" s="1262"/>
      <c r="B35" s="1345"/>
      <c r="C35" s="1339"/>
      <c r="D35" s="1339"/>
      <c r="E35" s="1339"/>
      <c r="F35" s="1340"/>
      <c r="G35" s="1340"/>
      <c r="H35" s="1340"/>
      <c r="I35" s="1362">
        <f>SUM(I32:I34)</f>
        <v>64.44</v>
      </c>
      <c r="J35" s="1350">
        <f>'Slab-Culverts Data'!J206</f>
        <v>6749.67</v>
      </c>
      <c r="K35" s="1224">
        <v>1</v>
      </c>
      <c r="L35" s="1363">
        <f>ROUND(I35*J35,0)</f>
        <v>434949</v>
      </c>
    </row>
    <row r="36" spans="1:14" ht="20.100000000000001" customHeight="1">
      <c r="A36" s="1262"/>
      <c r="B36" s="1331"/>
      <c r="C36" s="1224"/>
      <c r="D36" s="1224"/>
      <c r="E36" s="1224"/>
      <c r="F36" s="1262"/>
      <c r="G36" s="1262"/>
      <c r="H36" s="1262"/>
      <c r="I36" s="1364" t="s">
        <v>31</v>
      </c>
      <c r="J36" s="1350"/>
      <c r="K36" s="1224" t="s">
        <v>31</v>
      </c>
      <c r="L36" s="1363"/>
    </row>
    <row r="37" spans="1:14" ht="15" customHeight="1">
      <c r="A37" s="1326"/>
      <c r="B37" s="1336"/>
      <c r="C37" s="1337"/>
      <c r="D37" s="1337"/>
      <c r="E37" s="1337"/>
      <c r="F37" s="1262"/>
      <c r="G37" s="1262"/>
      <c r="H37" s="1262"/>
      <c r="I37" s="1364"/>
      <c r="J37" s="1350"/>
      <c r="K37" s="1224"/>
      <c r="L37" s="1363"/>
    </row>
    <row r="38" spans="1:14" ht="107.25" customHeight="1">
      <c r="A38" s="1326">
        <v>5</v>
      </c>
      <c r="B38" s="3551" t="str">
        <f>'Slab-Culverts Data'!B239:J239</f>
        <v>Providing reinforced concrete of M25 mix using 20mm &amp; 10mm size  HBG crushed stone aggregate and fine aggregate(Natural sand 50%+Manufactured sand(Rock Sand)50% ) conforming to table 1000-2 of MoRT&amp;H including cost, conveyance of all materials to site and labour charges, centering, machine mixing, laying,  Vibrating, curing etc., including all other incidental and operational charges of all T&amp;P  etc., complete for finished item of work as per MoRT&amp;H specification 1500,1700,  2100  (5th  Revision) and as directed by the Engineer-in-Charge for Sub-structure.for  Bed blocks &amp; Backing walls</v>
      </c>
      <c r="C38" s="3551"/>
      <c r="D38" s="3551"/>
      <c r="E38" s="3551"/>
      <c r="F38" s="3551"/>
      <c r="G38" s="3551"/>
      <c r="H38" s="3551"/>
      <c r="I38" s="3551"/>
      <c r="J38" s="3551"/>
      <c r="K38" s="3551"/>
      <c r="L38" s="1363"/>
    </row>
    <row r="39" spans="1:14" ht="32.25" customHeight="1">
      <c r="A39" s="1262"/>
      <c r="B39" s="1342" t="s">
        <v>1417</v>
      </c>
      <c r="C39" s="1328">
        <v>1</v>
      </c>
      <c r="D39" s="1328" t="s">
        <v>956</v>
      </c>
      <c r="E39" s="1328">
        <f>E32</f>
        <v>2</v>
      </c>
      <c r="F39" s="1329">
        <f>F32</f>
        <v>8.25</v>
      </c>
      <c r="G39" s="1344">
        <v>1.1000000000000001</v>
      </c>
      <c r="H39" s="1329">
        <v>0.5</v>
      </c>
      <c r="I39" s="1329">
        <f>ROUND(PRODUCT(C39:H39),2)</f>
        <v>9.08</v>
      </c>
      <c r="J39" s="1224"/>
      <c r="K39" s="1224"/>
      <c r="L39" s="1363"/>
    </row>
    <row r="40" spans="1:14" s="1320" customFormat="1" ht="20.100000000000001" customHeight="1">
      <c r="A40" s="1342"/>
      <c r="B40" s="1342"/>
      <c r="C40" s="1343">
        <v>0</v>
      </c>
      <c r="D40" s="1343" t="s">
        <v>956</v>
      </c>
      <c r="E40" s="1343">
        <v>1</v>
      </c>
      <c r="F40" s="1346">
        <v>8.25</v>
      </c>
      <c r="G40" s="1346">
        <v>5.76</v>
      </c>
      <c r="H40" s="1347">
        <v>0.45300000000000001</v>
      </c>
      <c r="I40" s="1346">
        <f>ROUNDDOWN(PRODUCT(C40:H40),2)</f>
        <v>0</v>
      </c>
      <c r="J40" s="1343"/>
      <c r="K40" s="1343"/>
      <c r="L40" s="1368"/>
    </row>
    <row r="41" spans="1:14" s="1320" customFormat="1" ht="20.100000000000001" customHeight="1">
      <c r="A41" s="1342"/>
      <c r="B41" s="1342" t="s">
        <v>1418</v>
      </c>
      <c r="C41" s="1343">
        <v>1</v>
      </c>
      <c r="D41" s="1343" t="s">
        <v>956</v>
      </c>
      <c r="E41" s="1343">
        <v>2</v>
      </c>
      <c r="F41" s="1346">
        <v>8.25</v>
      </c>
      <c r="G41" s="1346">
        <v>0.62</v>
      </c>
      <c r="H41" s="1347">
        <v>0.45300000000000001</v>
      </c>
      <c r="I41" s="1346">
        <f>ROUNDDOWN(PRODUCT(C41:H41),2)</f>
        <v>4.63</v>
      </c>
      <c r="J41" s="1343"/>
      <c r="K41" s="1343"/>
      <c r="L41" s="1368"/>
    </row>
    <row r="42" spans="1:14" s="1320" customFormat="1" ht="20.100000000000001" customHeight="1">
      <c r="A42" s="1342"/>
      <c r="B42" s="1342" t="s">
        <v>1419</v>
      </c>
      <c r="C42" s="1343">
        <v>1</v>
      </c>
      <c r="D42" s="1343" t="s">
        <v>956</v>
      </c>
      <c r="E42" s="1343">
        <v>2</v>
      </c>
      <c r="F42" s="1346">
        <v>12.76</v>
      </c>
      <c r="G42" s="1347">
        <v>0.52500000000000002</v>
      </c>
      <c r="H42" s="1347">
        <v>0.3</v>
      </c>
      <c r="I42" s="1346">
        <f>ROUNDDOWN(PRODUCT(C42:H42),2)</f>
        <v>4.01</v>
      </c>
      <c r="J42" s="1343"/>
      <c r="K42" s="1343"/>
      <c r="L42" s="1368"/>
    </row>
    <row r="43" spans="1:14" ht="20.100000000000001" customHeight="1">
      <c r="A43" s="1262"/>
      <c r="B43" s="1331"/>
      <c r="C43" s="1224"/>
      <c r="D43" s="1224"/>
      <c r="E43" s="1224"/>
      <c r="F43" s="1262"/>
      <c r="G43" s="1262"/>
      <c r="H43" s="1262"/>
      <c r="I43" s="1364">
        <f>SUM(I39:I42)</f>
        <v>17.72</v>
      </c>
      <c r="J43" s="1350">
        <f>'Slab-Culverts Data'!J267</f>
        <v>7666.61</v>
      </c>
      <c r="K43" s="1224">
        <v>1</v>
      </c>
      <c r="L43" s="1363">
        <f>ROUND(I43*J43,0)</f>
        <v>135852</v>
      </c>
    </row>
    <row r="44" spans="1:14" ht="20.100000000000001" customHeight="1">
      <c r="A44" s="1262"/>
      <c r="B44" s="1331"/>
      <c r="C44" s="1224"/>
      <c r="D44" s="1224"/>
      <c r="E44" s="1224"/>
      <c r="F44" s="1262"/>
      <c r="G44" s="1262"/>
      <c r="H44" s="1262"/>
      <c r="I44" s="1364" t="s">
        <v>31</v>
      </c>
      <c r="J44" s="1350"/>
      <c r="K44" s="1224" t="s">
        <v>31</v>
      </c>
      <c r="L44" s="1363"/>
    </row>
    <row r="45" spans="1:14" ht="15" customHeight="1">
      <c r="A45" s="1262"/>
      <c r="B45" s="1331"/>
      <c r="C45" s="1224"/>
      <c r="D45" s="1224"/>
      <c r="E45" s="1224"/>
      <c r="F45" s="1262"/>
      <c r="G45" s="1262"/>
      <c r="H45" s="1262"/>
      <c r="I45" s="1364"/>
      <c r="J45" s="1350"/>
      <c r="K45" s="1224"/>
      <c r="L45" s="1363"/>
    </row>
    <row r="46" spans="1:14" ht="114" customHeight="1">
      <c r="A46" s="1326">
        <v>7</v>
      </c>
      <c r="B46" s="3551" t="str">
        <f>'Slab-Culverts Data'!B338:J338</f>
        <v xml:space="preserve">Vibrated reinforced cement concrete M 25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MoRT&amp;H specification  1500,1600,1700 &amp; 2200  (5th revision ) and  as directed by the Engineer-in-Charge </v>
      </c>
      <c r="C46" s="3551"/>
      <c r="D46" s="3551"/>
      <c r="E46" s="3551"/>
      <c r="F46" s="3551"/>
      <c r="G46" s="3551"/>
      <c r="H46" s="3551"/>
      <c r="I46" s="3551"/>
      <c r="J46" s="3551"/>
      <c r="K46" s="3551"/>
      <c r="L46" s="1363"/>
    </row>
    <row r="47" spans="1:14" ht="15.6" customHeight="1">
      <c r="A47" s="1326"/>
      <c r="B47" s="1336" t="s">
        <v>1420</v>
      </c>
      <c r="C47" s="1337"/>
      <c r="D47" s="1337"/>
      <c r="E47" s="1337"/>
      <c r="F47" s="1337"/>
      <c r="G47" s="1337"/>
      <c r="H47" s="1337"/>
      <c r="I47" s="1337"/>
      <c r="J47" s="1337"/>
      <c r="K47" s="1337"/>
      <c r="L47" s="1360"/>
    </row>
    <row r="48" spans="1:14" s="1216" customFormat="1" ht="18" customHeight="1">
      <c r="A48" s="1334"/>
      <c r="B48" s="1348" t="s">
        <v>1421</v>
      </c>
      <c r="C48" s="1334">
        <v>1</v>
      </c>
      <c r="D48" s="1334" t="s">
        <v>956</v>
      </c>
      <c r="E48" s="1334">
        <v>1</v>
      </c>
      <c r="F48" s="1335">
        <v>7.5</v>
      </c>
      <c r="G48" s="1335">
        <v>7</v>
      </c>
      <c r="H48" s="1349">
        <v>0.3</v>
      </c>
      <c r="I48" s="1335">
        <f>ROUND(C48*E48*F48*G48*H48,2)</f>
        <v>15.75</v>
      </c>
      <c r="J48" s="1335"/>
      <c r="K48" s="1369"/>
      <c r="L48" s="1370"/>
      <c r="M48" s="1282"/>
      <c r="N48" s="1283"/>
    </row>
    <row r="49" spans="1:14" ht="15" customHeight="1">
      <c r="A49" s="1326"/>
      <c r="B49" s="1336"/>
      <c r="C49" s="1337"/>
      <c r="D49" s="1337"/>
      <c r="E49" s="1337"/>
      <c r="F49" s="1262"/>
      <c r="G49" s="1350"/>
      <c r="H49" s="1262"/>
      <c r="I49" s="1364">
        <f>I48</f>
        <v>15.75</v>
      </c>
      <c r="J49" s="1350">
        <f>'Slab-Culverts Data'!J366</f>
        <v>8336.31</v>
      </c>
      <c r="K49" s="1224">
        <v>1</v>
      </c>
      <c r="L49" s="1363">
        <f>ROUND(I49*J49,0)</f>
        <v>131297</v>
      </c>
    </row>
    <row r="50" spans="1:14" ht="15" customHeight="1">
      <c r="A50" s="1326"/>
      <c r="B50" s="1336"/>
      <c r="C50" s="1337"/>
      <c r="D50" s="1337"/>
      <c r="E50" s="1337"/>
      <c r="F50" s="1262"/>
      <c r="G50" s="1262"/>
      <c r="H50" s="1262"/>
      <c r="I50" s="1364" t="s">
        <v>31</v>
      </c>
      <c r="J50" s="1350"/>
      <c r="K50" s="1224" t="s">
        <v>31</v>
      </c>
      <c r="L50" s="1363"/>
    </row>
    <row r="51" spans="1:14" ht="51" customHeight="1">
      <c r="A51" s="1326">
        <v>6</v>
      </c>
      <c r="B51" s="3551" t="str">
        <f>'Slab-Culverts Data'!B605:J605</f>
        <v xml:space="preserve">Back filling behind abutment, wing wall and return wall complete as per drawing and Technical Specification  and specifications of  IRC:78 &amp; 2200 MORTH  and  as directed by the Engineer-in-Charge including overhead charges &amp; Contractors profit ,But Seignarage charges. </v>
      </c>
      <c r="C51" s="3551"/>
      <c r="D51" s="3551"/>
      <c r="E51" s="3551"/>
      <c r="F51" s="3551"/>
      <c r="G51" s="3551"/>
      <c r="H51" s="3551"/>
      <c r="I51" s="3551"/>
      <c r="J51" s="3551"/>
      <c r="K51" s="3551"/>
      <c r="L51" s="1363"/>
    </row>
    <row r="52" spans="1:14" ht="35.1" customHeight="1">
      <c r="A52" s="1262"/>
      <c r="B52" s="1327" t="s">
        <v>1422</v>
      </c>
      <c r="C52" s="1328">
        <v>1</v>
      </c>
      <c r="D52" s="1328" t="s">
        <v>956</v>
      </c>
      <c r="E52" s="1328">
        <v>2</v>
      </c>
      <c r="F52" s="1329">
        <v>3.5</v>
      </c>
      <c r="G52" s="1329">
        <v>6.6</v>
      </c>
      <c r="H52" s="1330" t="s">
        <v>1423</v>
      </c>
      <c r="I52" s="1329">
        <f>ROUNDDOWN(PRODUCT(C52:H52)*(2+0.5)/2,2)</f>
        <v>57.75</v>
      </c>
      <c r="J52" s="1353"/>
      <c r="K52" s="1371"/>
      <c r="L52" s="1372"/>
    </row>
    <row r="53" spans="1:14" ht="20.100000000000001" customHeight="1">
      <c r="A53" s="1262"/>
      <c r="B53" s="1331"/>
      <c r="C53" s="1224"/>
      <c r="D53" s="1224"/>
      <c r="E53" s="1224"/>
      <c r="F53" s="1262"/>
      <c r="G53" s="1350"/>
      <c r="H53" s="1262"/>
      <c r="I53" s="1364">
        <f>I52</f>
        <v>57.75</v>
      </c>
      <c r="J53" s="1350">
        <f>'Slab-Culverts Data'!J625</f>
        <v>691.79</v>
      </c>
      <c r="K53" s="1224">
        <v>1</v>
      </c>
      <c r="L53" s="1363">
        <f>ROUND(I53*J53,0)</f>
        <v>39951</v>
      </c>
    </row>
    <row r="54" spans="1:14" ht="20.100000000000001" customHeight="1">
      <c r="A54" s="1262"/>
      <c r="B54" s="1331"/>
      <c r="C54" s="1224"/>
      <c r="D54" s="1224"/>
      <c r="E54" s="1224"/>
      <c r="F54" s="1262"/>
      <c r="G54" s="1262"/>
      <c r="H54" s="1262"/>
      <c r="I54" s="1364" t="s">
        <v>31</v>
      </c>
      <c r="J54" s="1350"/>
      <c r="K54" s="1224" t="s">
        <v>31</v>
      </c>
      <c r="L54" s="1363"/>
    </row>
    <row r="55" spans="1:14" ht="116.25" customHeight="1">
      <c r="A55" s="1326">
        <v>7</v>
      </c>
      <c r="B55" s="3551" t="str">
        <f>'Slab-Culverts Data'!B400:J400</f>
        <v>Vibrated cement concrete M 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other incidental hire and operational charges of all T&amp;P  as per approved drawings and as directed  during execution but excluding cost of steel and its fabrication charges for finished item as per SBD specification 1500, 1600, 1700 &amp; 2702 as directed by the Engineer-in-Charge for Wearing Coat.</v>
      </c>
      <c r="C55" s="3551"/>
      <c r="D55" s="3551"/>
      <c r="E55" s="3551"/>
      <c r="F55" s="3551"/>
      <c r="G55" s="3551"/>
      <c r="H55" s="3551"/>
      <c r="I55" s="3551"/>
      <c r="J55" s="3551"/>
      <c r="K55" s="3551"/>
      <c r="L55" s="1363"/>
    </row>
    <row r="56" spans="1:14" s="1217" customFormat="1" ht="20.100000000000001" customHeight="1">
      <c r="A56" s="1351"/>
      <c r="B56" s="1352" t="s">
        <v>1424</v>
      </c>
      <c r="C56" s="1351">
        <v>1</v>
      </c>
      <c r="D56" s="1351" t="s">
        <v>956</v>
      </c>
      <c r="E56" s="1351">
        <v>1</v>
      </c>
      <c r="F56" s="1353">
        <v>7.5</v>
      </c>
      <c r="G56" s="1353">
        <v>5.76</v>
      </c>
      <c r="H56" s="1354">
        <v>7.4999999999999997E-2</v>
      </c>
      <c r="I56" s="1346">
        <f>ROUNDDOWN(PRODUCT(C56:H56),2)</f>
        <v>3.24</v>
      </c>
      <c r="J56" s="1353"/>
      <c r="K56" s="1371"/>
      <c r="L56" s="1372"/>
      <c r="M56" s="1288"/>
      <c r="N56" s="1289"/>
    </row>
    <row r="57" spans="1:14" ht="20.100000000000001" customHeight="1">
      <c r="A57" s="1262"/>
      <c r="B57" s="1331"/>
      <c r="C57" s="1224"/>
      <c r="D57" s="1224"/>
      <c r="E57" s="1224"/>
      <c r="F57" s="1262"/>
      <c r="G57" s="1350"/>
      <c r="H57" s="1262"/>
      <c r="I57" s="1364">
        <f>SUM(I56)</f>
        <v>3.24</v>
      </c>
      <c r="J57" s="1350">
        <f>'Slab-Culverts Data'!J428</f>
        <v>7037.28</v>
      </c>
      <c r="K57" s="1224">
        <v>1</v>
      </c>
      <c r="L57" s="1363">
        <f>ROUND(I57*J57,0)</f>
        <v>22801</v>
      </c>
    </row>
    <row r="58" spans="1:14" ht="20.100000000000001" customHeight="1">
      <c r="A58" s="1262"/>
      <c r="B58" s="1331"/>
      <c r="C58" s="1224"/>
      <c r="D58" s="1224"/>
      <c r="E58" s="1224"/>
      <c r="F58" s="1262"/>
      <c r="G58" s="1262"/>
      <c r="H58" s="1262"/>
      <c r="I58" s="1364" t="s">
        <v>31</v>
      </c>
      <c r="J58" s="1350"/>
      <c r="K58" s="1224" t="s">
        <v>31</v>
      </c>
      <c r="L58" s="1363"/>
    </row>
    <row r="59" spans="1:14" s="1218" customFormat="1" ht="115.5" customHeight="1">
      <c r="A59" s="1355">
        <v>8</v>
      </c>
      <c r="B59" s="3551" t="str">
        <f>'Road data'!B161:G161</f>
        <v>Forming Embankment with material obtained from borrowed useful earth from outside road boundary by mechanical means upto SDR with all leads and lifts including pre-watering of soil at borrow area, removal of top soil, excavation of soils at borrowed area, conveyance of soil, depositing the soil on the embankment, spreading soil, breaking clods, sectioning, grading and consolidation with 8 to 10 Tonnes Vibratory Road Roller @ OMC to meet requirement of table 300-2 of MoRT&amp;H, including  all hire and operational charges of T&amp;P, complete for finished item of work as per MoRT&amp;H specification 305 (5th revision). (The soil CBR&gt;10%, PI&lt;18% &amp; MDD&gt;1.8 g/cc)</v>
      </c>
      <c r="C59" s="3551"/>
      <c r="D59" s="3551"/>
      <c r="E59" s="3551"/>
      <c r="F59" s="3551"/>
      <c r="G59" s="3551"/>
      <c r="H59" s="3551"/>
      <c r="I59" s="3551"/>
      <c r="J59" s="3551"/>
      <c r="K59" s="3551"/>
      <c r="L59" s="1373"/>
    </row>
    <row r="60" spans="1:14" ht="28.9" customHeight="1">
      <c r="A60" s="1262"/>
      <c r="B60" s="1327" t="s">
        <v>1425</v>
      </c>
      <c r="C60" s="1328">
        <v>1</v>
      </c>
      <c r="D60" s="1328" t="s">
        <v>956</v>
      </c>
      <c r="E60" s="1328">
        <v>2</v>
      </c>
      <c r="F60" s="1329">
        <v>5</v>
      </c>
      <c r="G60" s="1330" t="s">
        <v>1426</v>
      </c>
      <c r="H60" s="1330" t="s">
        <v>1427</v>
      </c>
      <c r="I60" s="1329">
        <f>ROUND(PRODUCT(C60:H60)*(13.5+7.5)/2*(2+0.3)/2,2)</f>
        <v>120.75</v>
      </c>
      <c r="J60" s="1328"/>
      <c r="K60" s="1328"/>
      <c r="L60" s="1367"/>
    </row>
    <row r="61" spans="1:14" ht="20.100000000000001" customHeight="1">
      <c r="A61" s="1262"/>
      <c r="B61" s="1356"/>
      <c r="C61" s="1339"/>
      <c r="D61" s="1339"/>
      <c r="E61" s="1339"/>
      <c r="F61" s="1357"/>
      <c r="G61" s="1357"/>
      <c r="H61" s="1357"/>
      <c r="I61" s="1362">
        <f>SUM(I60:I60)</f>
        <v>120.75</v>
      </c>
      <c r="J61" s="1357">
        <f>'Road data'!G188</f>
        <v>270.81</v>
      </c>
      <c r="K61" s="1374" t="s">
        <v>1428</v>
      </c>
      <c r="L61" s="1363">
        <f>ROUND(I61*J61,0)</f>
        <v>32700</v>
      </c>
    </row>
    <row r="62" spans="1:14" ht="13.5" customHeight="1">
      <c r="A62" s="1262"/>
      <c r="B62" s="1331"/>
      <c r="C62" s="1224"/>
      <c r="D62" s="1224"/>
      <c r="E62" s="1224"/>
      <c r="F62" s="1262"/>
      <c r="G62" s="1262"/>
      <c r="H62" s="1262"/>
      <c r="I62" s="1364" t="s">
        <v>73</v>
      </c>
      <c r="J62" s="1350"/>
      <c r="K62" s="1224"/>
      <c r="L62" s="1363"/>
    </row>
    <row r="63" spans="1:14" ht="106.5" customHeight="1">
      <c r="A63" s="1326">
        <v>9</v>
      </c>
      <c r="B63" s="3551" t="str">
        <f>'Slab-Culverts Data'!B506:J506</f>
        <v>Vibrated  cement concrete M 15 Grade Concrete using 40mm , 20mm and 10mm size HBG crushed stone aggregate (Coarse aggregate conforming to table 1000-1 and fine aggregate(Natural sand 50%+Manufactured sand(Rock Sand)50% ) conforming to table 1000-2) including cost, (excluding  seigniorage) and conveyance of all  materials to site and all labour charges ,centering, machine mixing, laying in position, Compacting , Vibrating and curing including all other incidental and all other operational charges of T&amp;P required etc., complete as per MoRT&amp;H Specification 1500,1700, 2100 (5th Revision)  for levelling course.</v>
      </c>
      <c r="C63" s="3551"/>
      <c r="D63" s="3551"/>
      <c r="E63" s="3551"/>
      <c r="F63" s="3551"/>
      <c r="G63" s="3551"/>
      <c r="H63" s="3551"/>
      <c r="I63" s="3551"/>
      <c r="J63" s="3551"/>
      <c r="K63" s="3551"/>
      <c r="L63" s="1375"/>
    </row>
    <row r="64" spans="1:14" ht="20.100000000000001" customHeight="1">
      <c r="A64" s="1262"/>
      <c r="B64" s="1327" t="s">
        <v>1425</v>
      </c>
      <c r="C64" s="1328">
        <v>1</v>
      </c>
      <c r="D64" s="1328" t="s">
        <v>956</v>
      </c>
      <c r="E64" s="1328">
        <v>2</v>
      </c>
      <c r="F64" s="1329">
        <f>F52</f>
        <v>3.5</v>
      </c>
      <c r="G64" s="1329">
        <v>7.5</v>
      </c>
      <c r="H64" s="1329">
        <v>0.15</v>
      </c>
      <c r="I64" s="1329">
        <f>ROUND(PRODUCT(C64:H64),2)</f>
        <v>7.88</v>
      </c>
      <c r="J64" s="1328"/>
      <c r="K64" s="1328"/>
      <c r="L64" s="1367"/>
    </row>
    <row r="65" spans="1:12" ht="20.100000000000001" customHeight="1">
      <c r="A65" s="1262"/>
      <c r="B65" s="1356"/>
      <c r="C65" s="1339"/>
      <c r="D65" s="1339"/>
      <c r="E65" s="1339"/>
      <c r="F65" s="1357"/>
      <c r="G65" s="1357"/>
      <c r="H65" s="1357"/>
      <c r="I65" s="1362">
        <f>SUM(I64:I64)</f>
        <v>7.88</v>
      </c>
      <c r="J65" s="1357">
        <f>'Slab-Culverts Data'!J535</f>
        <v>6139.47</v>
      </c>
      <c r="K65" s="1374" t="s">
        <v>1428</v>
      </c>
      <c r="L65" s="1363">
        <f>ROUND(I65*J65,0)</f>
        <v>48379</v>
      </c>
    </row>
    <row r="66" spans="1:12" ht="18" customHeight="1">
      <c r="A66" s="1262"/>
      <c r="B66" s="1331"/>
      <c r="C66" s="1224"/>
      <c r="D66" s="1224"/>
      <c r="E66" s="1224"/>
      <c r="F66" s="1262"/>
      <c r="G66" s="1262"/>
      <c r="H66" s="1262"/>
      <c r="I66" s="1364" t="s">
        <v>73</v>
      </c>
      <c r="J66" s="1350"/>
      <c r="K66" s="1224"/>
      <c r="L66" s="1363"/>
    </row>
    <row r="67" spans="1:12" ht="132" customHeight="1">
      <c r="A67" s="1326">
        <v>10</v>
      </c>
      <c r="B67" s="3551" t="str">
        <f>'Slab-Culverts Data'!B476:J476</f>
        <v>Vibrated reinforced cement concrete M30 grade  using  20mm &amp; 10mm  HBG crushed stone aggregate (Coarse aggregate conforming to table 1000-1 and fine aggregate(Natural sand 50%+Manufactured sand(Rock Sand)50% ) conforming to table 1000-2) including cost, (excluding  seigniorage) conveyance of all materials to site and labour charges, centering, machine mixing, laying, vibrating, curing etc., including all other incidental and operational charges of all T&amp;P  etc., complete for finished item of work as per Approved drawing but excluding  cost of steel  and its fabrication charges as per MoRT&amp;H specification   1500, 1600,1700,  &amp; 2704  (5th Revision) and  as directed by the Engineer-in-Charge for Approach slab.</v>
      </c>
      <c r="C67" s="3551"/>
      <c r="D67" s="3551"/>
      <c r="E67" s="3551"/>
      <c r="F67" s="3551"/>
      <c r="G67" s="3551"/>
      <c r="H67" s="3551"/>
      <c r="I67" s="3551"/>
      <c r="J67" s="3551"/>
      <c r="K67" s="3551"/>
      <c r="L67" s="1375"/>
    </row>
    <row r="68" spans="1:12" ht="20.100000000000001" customHeight="1">
      <c r="A68" s="1262"/>
      <c r="B68" s="1327" t="s">
        <v>1429</v>
      </c>
      <c r="C68" s="1328">
        <v>1</v>
      </c>
      <c r="D68" s="1328" t="s">
        <v>956</v>
      </c>
      <c r="E68" s="1328">
        <v>2</v>
      </c>
      <c r="F68" s="1329">
        <v>3.5</v>
      </c>
      <c r="G68" s="1329">
        <v>7.5</v>
      </c>
      <c r="H68" s="1329">
        <v>0.15</v>
      </c>
      <c r="I68" s="1329">
        <f>ROUND(PRODUCT(C68:H68),2)</f>
        <v>7.88</v>
      </c>
      <c r="J68" s="1328"/>
      <c r="K68" s="1328"/>
      <c r="L68" s="1367"/>
    </row>
    <row r="69" spans="1:12" ht="20.100000000000001" customHeight="1">
      <c r="A69" s="1262"/>
      <c r="B69" s="1356"/>
      <c r="C69" s="1339"/>
      <c r="D69" s="1339"/>
      <c r="E69" s="1339"/>
      <c r="F69" s="1357"/>
      <c r="G69" s="1357"/>
      <c r="H69" s="1357"/>
      <c r="I69" s="1362">
        <f>SUM(I68:I68)</f>
        <v>7.88</v>
      </c>
      <c r="J69" s="1357">
        <f>'Slab-Culverts Data'!J504</f>
        <v>7131.83</v>
      </c>
      <c r="K69" s="1374" t="s">
        <v>1428</v>
      </c>
      <c r="L69" s="1376">
        <f>ROUND(I69*J69,0)</f>
        <v>56199</v>
      </c>
    </row>
    <row r="70" spans="1:12" ht="18" customHeight="1">
      <c r="A70" s="1262"/>
      <c r="B70" s="1356"/>
      <c r="C70" s="1339"/>
      <c r="D70" s="1339"/>
      <c r="E70" s="1339"/>
      <c r="F70" s="1357"/>
      <c r="G70" s="1357"/>
      <c r="H70" s="1357"/>
      <c r="I70" s="1364" t="s">
        <v>73</v>
      </c>
      <c r="J70" s="1357"/>
      <c r="K70" s="1374"/>
      <c r="L70" s="1376"/>
    </row>
    <row r="71" spans="1:12" ht="75" customHeight="1">
      <c r="A71" s="1326">
        <v>11</v>
      </c>
      <c r="B71" s="3551" t="str">
        <f>'Slab-Culverts Data'!B627:J627</f>
        <v>Construction of p  RCC railing of M 25 grade , aggregate size not exceeding 12 mm, true to line and grade, tolerance of vertical RCC post not to exceed 1 in 500, centre to center spacing between vertical post not to exceed 2000 mm , leaving adequate space between vertiacal post for expansion, complete as per approved drawings and Technical Specifications as per MoRTH spn nos.2703,1500,1600,&amp;1700 excluding cost of steel and its fabrication charges</v>
      </c>
      <c r="C71" s="3551"/>
      <c r="D71" s="3551"/>
      <c r="E71" s="3551"/>
      <c r="F71" s="3551"/>
      <c r="G71" s="3551"/>
      <c r="H71" s="3551"/>
      <c r="I71" s="3551"/>
      <c r="J71" s="3551"/>
      <c r="K71" s="3551"/>
      <c r="L71" s="1375"/>
    </row>
    <row r="72" spans="1:12" ht="20.100000000000001" customHeight="1">
      <c r="A72" s="1262"/>
      <c r="B72" s="1327"/>
      <c r="C72" s="1328">
        <v>1</v>
      </c>
      <c r="D72" s="1328" t="s">
        <v>956</v>
      </c>
      <c r="E72" s="1328">
        <v>2</v>
      </c>
      <c r="F72" s="1329">
        <v>12.76</v>
      </c>
      <c r="G72" s="1329"/>
      <c r="H72" s="1329"/>
      <c r="I72" s="1329">
        <f>ROUND(PRODUCT(C72:H72),2)</f>
        <v>25.52</v>
      </c>
      <c r="J72" s="1328"/>
      <c r="K72" s="1328"/>
      <c r="L72" s="1367"/>
    </row>
    <row r="73" spans="1:12" ht="20.100000000000001" customHeight="1">
      <c r="A73" s="1262"/>
      <c r="B73" s="1356"/>
      <c r="C73" s="1339"/>
      <c r="D73" s="1339"/>
      <c r="E73" s="1339"/>
      <c r="F73" s="1357"/>
      <c r="G73" s="1357"/>
      <c r="H73" s="1357"/>
      <c r="I73" s="1362">
        <f>SUM(I72:I72)</f>
        <v>25.52</v>
      </c>
      <c r="J73" s="1357">
        <f>'Slab-Culverts Data'!J673</f>
        <v>613.8489567984376</v>
      </c>
      <c r="K73" s="1374" t="s">
        <v>1062</v>
      </c>
      <c r="L73" s="1376">
        <f>ROUND(I73*J73,0)</f>
        <v>15665</v>
      </c>
    </row>
    <row r="74" spans="1:12" ht="18" customHeight="1">
      <c r="A74" s="1262"/>
      <c r="B74" s="1356"/>
      <c r="C74" s="1339"/>
      <c r="D74" s="1339"/>
      <c r="E74" s="1339"/>
      <c r="F74" s="1357"/>
      <c r="G74" s="1357"/>
      <c r="H74" s="1357"/>
      <c r="I74" s="1364" t="s">
        <v>1062</v>
      </c>
      <c r="J74" s="1357"/>
      <c r="K74" s="1374"/>
      <c r="L74" s="1376"/>
    </row>
    <row r="75" spans="1:12" ht="103.5" customHeight="1">
      <c r="A75" s="1326">
        <v>12</v>
      </c>
      <c r="B75" s="3551" t="str">
        <f>'Slab-Culverts Data'!B291:J291</f>
        <v xml:space="preserve">Providing Weep holes in VCC Abutment/ Wing wall/return wall with 100mm Diameter AC pipe  extending through the full width of the structure at 1.00m C/C in both horizontal and vertical direction so that the weep holes in each horizontal direction is staggered from the weep holes laying above and below lines as shown in drawing including cost and conveyance of the A.C pipes and labour charges for cutting to required length, placing the pipe with a slope of about 1V : 20H towards stream side face etc., complete for finished item of work for weep holes as per SSR Data </v>
      </c>
      <c r="C75" s="3551"/>
      <c r="D75" s="3551"/>
      <c r="E75" s="3551"/>
      <c r="F75" s="3551"/>
      <c r="G75" s="3551"/>
      <c r="H75" s="3551"/>
      <c r="I75" s="3551"/>
      <c r="J75" s="3551"/>
      <c r="K75" s="3551"/>
      <c r="L75" s="1375"/>
    </row>
    <row r="76" spans="1:12" ht="20.100000000000001" customHeight="1">
      <c r="A76" s="1262"/>
      <c r="B76" s="1327"/>
      <c r="C76" s="1328">
        <v>2</v>
      </c>
      <c r="D76" s="1328" t="s">
        <v>956</v>
      </c>
      <c r="E76" s="1328">
        <v>2</v>
      </c>
      <c r="F76" s="1329">
        <v>10</v>
      </c>
      <c r="G76" s="1329"/>
      <c r="H76" s="1329"/>
      <c r="I76" s="1329">
        <f>ROUND(PRODUCT(C76:H76),2)</f>
        <v>40</v>
      </c>
      <c r="J76" s="1328"/>
      <c r="K76" s="1328"/>
      <c r="L76" s="1367"/>
    </row>
    <row r="77" spans="1:12" ht="20.100000000000001" customHeight="1">
      <c r="A77" s="1262"/>
      <c r="B77" s="1356"/>
      <c r="C77" s="1339"/>
      <c r="D77" s="1339"/>
      <c r="E77" s="1339"/>
      <c r="F77" s="1357"/>
      <c r="G77" s="1357"/>
      <c r="H77" s="1357"/>
      <c r="I77" s="1362">
        <f>SUM(I76:I76)</f>
        <v>40</v>
      </c>
      <c r="J77" s="1357">
        <f>'Slab-Culverts Data'!J312</f>
        <v>614.2736666666666</v>
      </c>
      <c r="K77" s="1374" t="s">
        <v>1062</v>
      </c>
      <c r="L77" s="1376">
        <f>ROUND(I77*J77,0)</f>
        <v>24571</v>
      </c>
    </row>
    <row r="78" spans="1:12" ht="18" customHeight="1">
      <c r="A78" s="1262"/>
      <c r="B78" s="1356"/>
      <c r="C78" s="1339"/>
      <c r="D78" s="1339"/>
      <c r="E78" s="1339"/>
      <c r="F78" s="1357"/>
      <c r="G78" s="1357"/>
      <c r="H78" s="1357"/>
      <c r="I78" s="1364" t="s">
        <v>1062</v>
      </c>
      <c r="J78" s="1357"/>
      <c r="K78" s="1374"/>
      <c r="L78" s="1376"/>
    </row>
    <row r="79" spans="1:12" ht="120" customHeight="1">
      <c r="A79" s="1326">
        <v>13</v>
      </c>
      <c r="B79" s="3551" t="str">
        <f>'Slab-Culverts Data'!B313:J313</f>
        <v xml:space="preserve">Providing and laying of  filter media using 50% of 150 mm IRC soling  stone and  50 % of 40 mm  HBG metal satisfying the requirements laid down in clause 2504.2.2 of MoRT&amp;H specifications to a thickness of not less than 600mm with smaller size towards the soil and bigger size towards the wall and provided over the entire surface behind the abutment, wing wall and return wall to the full height compacted to a firm condition including cost and conveyance of all metal (excluding  seigniorage) charges ,and all labour charges  as directed  by  the departmental officers as per drawing and Technical specifications as per clause 710.1.1 of IRC:78 and Clause 2200 of MoRT&amp;H (5th Revision) for finished item of work. </v>
      </c>
      <c r="C79" s="3551"/>
      <c r="D79" s="3551"/>
      <c r="E79" s="3551"/>
      <c r="F79" s="3551"/>
      <c r="G79" s="3551"/>
      <c r="H79" s="3551"/>
      <c r="I79" s="3551"/>
      <c r="J79" s="3551"/>
      <c r="K79" s="3551"/>
      <c r="L79" s="1375"/>
    </row>
    <row r="80" spans="1:12" ht="20.100000000000001" customHeight="1">
      <c r="A80" s="1262"/>
      <c r="B80" s="1327"/>
      <c r="C80" s="1328">
        <v>1</v>
      </c>
      <c r="D80" s="1328" t="s">
        <v>956</v>
      </c>
      <c r="E80" s="1328">
        <v>2</v>
      </c>
      <c r="F80" s="1329">
        <v>14.5</v>
      </c>
      <c r="G80" s="1329">
        <v>0.23</v>
      </c>
      <c r="H80" s="1329">
        <v>2</v>
      </c>
      <c r="I80" s="1329">
        <f>ROUND(PRODUCT(C80:H80),2)</f>
        <v>13.34</v>
      </c>
      <c r="J80" s="1328"/>
      <c r="K80" s="1328"/>
      <c r="L80" s="1367"/>
    </row>
    <row r="81" spans="1:12" ht="20.100000000000001" customHeight="1">
      <c r="A81" s="1262"/>
      <c r="B81" s="1356"/>
      <c r="C81" s="1339"/>
      <c r="D81" s="1339"/>
      <c r="E81" s="1339"/>
      <c r="F81" s="1357"/>
      <c r="G81" s="1357"/>
      <c r="H81" s="1357"/>
      <c r="I81" s="1362">
        <f>SUM(I80:I80)</f>
        <v>13.34</v>
      </c>
      <c r="J81" s="1357">
        <f>'Slab-Culverts Data'!J335</f>
        <v>2392.09</v>
      </c>
      <c r="K81" s="1374" t="s">
        <v>73</v>
      </c>
      <c r="L81" s="1376">
        <f>ROUND(I81*J81,0)</f>
        <v>31910</v>
      </c>
    </row>
    <row r="82" spans="1:12" ht="20.100000000000001" customHeight="1">
      <c r="A82" s="1262"/>
      <c r="B82" s="1356"/>
      <c r="C82" s="1339"/>
      <c r="D82" s="1339"/>
      <c r="E82" s="1339"/>
      <c r="F82" s="1357"/>
      <c r="G82" s="1357"/>
      <c r="H82" s="1357"/>
      <c r="I82" s="1364" t="s">
        <v>73</v>
      </c>
      <c r="J82" s="1357"/>
      <c r="K82" s="1374"/>
      <c r="L82" s="1376"/>
    </row>
    <row r="83" spans="1:12" ht="59.25" customHeight="1">
      <c r="A83" s="1326">
        <v>14</v>
      </c>
      <c r="B83" s="3551" t="str">
        <f>'Slab-Culverts Data'!B538:J538</f>
        <v xml:space="preserve">Providing and laying boulders apron for bed protection against scour with stone boulders weighing not less than 40kg each complete as per drawing and specification. complete for finished item of work as per MoRT&amp;H specification 2504 ( 5th revision ) and as directed by the Engineer-in-Charge </v>
      </c>
      <c r="C83" s="3551"/>
      <c r="D83" s="3551"/>
      <c r="E83" s="3551"/>
      <c r="F83" s="3551"/>
      <c r="G83" s="3551"/>
      <c r="H83" s="3551"/>
      <c r="I83" s="3551"/>
      <c r="J83" s="3551"/>
      <c r="K83" s="3551"/>
      <c r="L83" s="1375"/>
    </row>
    <row r="84" spans="1:12" ht="20.100000000000001" customHeight="1">
      <c r="A84" s="1262"/>
      <c r="B84" s="1327" t="s">
        <v>1430</v>
      </c>
      <c r="C84" s="1328">
        <v>1</v>
      </c>
      <c r="D84" s="1328" t="s">
        <v>956</v>
      </c>
      <c r="E84" s="1328">
        <v>1</v>
      </c>
      <c r="F84" s="1329">
        <v>8.25</v>
      </c>
      <c r="G84" s="1329">
        <v>5</v>
      </c>
      <c r="H84" s="1329">
        <v>0.3</v>
      </c>
      <c r="I84" s="1329">
        <f>ROUND(PRODUCT(C84:H84),2)</f>
        <v>12.38</v>
      </c>
      <c r="J84" s="1328"/>
      <c r="K84" s="1328"/>
      <c r="L84" s="1367"/>
    </row>
    <row r="85" spans="1:12" ht="20.100000000000001" customHeight="1">
      <c r="A85" s="1262"/>
      <c r="B85" s="1327" t="s">
        <v>1431</v>
      </c>
      <c r="C85" s="1328">
        <v>1</v>
      </c>
      <c r="D85" s="1328" t="s">
        <v>956</v>
      </c>
      <c r="E85" s="1328">
        <v>1</v>
      </c>
      <c r="F85" s="1329">
        <v>13</v>
      </c>
      <c r="G85" s="1329">
        <v>1.5</v>
      </c>
      <c r="H85" s="1329">
        <v>0.3</v>
      </c>
      <c r="I85" s="1329">
        <f>ROUND(PRODUCT(C85:H85),2)</f>
        <v>5.85</v>
      </c>
      <c r="J85" s="1328"/>
      <c r="K85" s="1328"/>
      <c r="L85" s="1367"/>
    </row>
    <row r="86" spans="1:12" ht="20.100000000000001" customHeight="1">
      <c r="A86" s="1262"/>
      <c r="B86" s="1327" t="s">
        <v>1432</v>
      </c>
      <c r="C86" s="1328">
        <v>1</v>
      </c>
      <c r="D86" s="1328" t="s">
        <v>956</v>
      </c>
      <c r="E86" s="1328">
        <v>1</v>
      </c>
      <c r="F86" s="1329">
        <v>13</v>
      </c>
      <c r="G86" s="1329">
        <v>3</v>
      </c>
      <c r="H86" s="1329">
        <v>0.3</v>
      </c>
      <c r="I86" s="1329">
        <f>ROUND(PRODUCT(C86:H86),2)</f>
        <v>11.7</v>
      </c>
      <c r="J86" s="1328"/>
      <c r="K86" s="1328"/>
      <c r="L86" s="1367"/>
    </row>
    <row r="87" spans="1:12" ht="20.100000000000001" customHeight="1">
      <c r="A87" s="1262"/>
      <c r="B87" s="1356"/>
      <c r="C87" s="1339"/>
      <c r="D87" s="1339"/>
      <c r="E87" s="1339"/>
      <c r="F87" s="1357"/>
      <c r="G87" s="1357"/>
      <c r="H87" s="1357"/>
      <c r="I87" s="1362">
        <f>SUM(I84:I86)</f>
        <v>29.93</v>
      </c>
      <c r="J87" s="1357">
        <f>'Slab-Culverts Data'!J559</f>
        <v>2028.19</v>
      </c>
      <c r="K87" s="1374" t="s">
        <v>73</v>
      </c>
      <c r="L87" s="1376">
        <f>ROUND(I87*J87,0)</f>
        <v>60704</v>
      </c>
    </row>
    <row r="88" spans="1:12" ht="20.100000000000001" customHeight="1">
      <c r="A88" s="1262"/>
      <c r="B88" s="1331"/>
      <c r="C88" s="1224"/>
      <c r="D88" s="1224"/>
      <c r="E88" s="1224"/>
      <c r="F88" s="1262"/>
      <c r="G88" s="1262"/>
      <c r="H88" s="1262"/>
      <c r="I88" s="1364" t="s">
        <v>73</v>
      </c>
      <c r="J88" s="1350"/>
      <c r="K88" s="1224"/>
      <c r="L88" s="1363"/>
    </row>
    <row r="89" spans="1:12" ht="15" customHeight="1">
      <c r="A89" s="1326"/>
      <c r="B89" s="1336"/>
      <c r="C89" s="1337"/>
      <c r="D89" s="1337"/>
      <c r="E89" s="1337"/>
      <c r="F89" s="1262"/>
      <c r="G89" s="1262"/>
      <c r="H89" s="1262"/>
      <c r="I89" s="1364"/>
      <c r="J89" s="1350"/>
      <c r="K89" s="1224"/>
      <c r="L89" s="1363"/>
    </row>
    <row r="90" spans="1:12" ht="117.75" customHeight="1">
      <c r="A90" s="1326">
        <v>15</v>
      </c>
      <c r="B90" s="3551" t="str">
        <f>'Slab-Culverts Data'!B155:J155</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&amp;2200  (5th revision) in foundation.</v>
      </c>
      <c r="C90" s="3551"/>
      <c r="D90" s="3551"/>
      <c r="E90" s="3551"/>
      <c r="F90" s="3551"/>
      <c r="G90" s="3551"/>
      <c r="H90" s="3551"/>
      <c r="I90" s="3551"/>
      <c r="J90" s="3551"/>
      <c r="K90" s="3551"/>
      <c r="L90" s="1363"/>
    </row>
    <row r="91" spans="1:12" ht="20.100000000000001" customHeight="1">
      <c r="A91" s="1262"/>
      <c r="B91" s="1331"/>
      <c r="C91" s="1224"/>
      <c r="D91" s="1224"/>
      <c r="E91" s="1224"/>
      <c r="F91" s="1262"/>
      <c r="G91" s="1262"/>
      <c r="H91" s="1262"/>
      <c r="I91" s="1364">
        <v>0.61199999999999999</v>
      </c>
      <c r="J91" s="1350">
        <f>'Slab-Culverts Data'!J175</f>
        <v>64656.02</v>
      </c>
      <c r="K91" s="1224">
        <v>1</v>
      </c>
      <c r="L91" s="1363">
        <f>ROUND(I91*J91,0)</f>
        <v>39569</v>
      </c>
    </row>
    <row r="92" spans="1:12" ht="20.100000000000001" customHeight="1">
      <c r="A92" s="1262"/>
      <c r="B92" s="1331"/>
      <c r="C92" s="1224"/>
      <c r="D92" s="1224"/>
      <c r="E92" s="1224"/>
      <c r="F92" s="1262"/>
      <c r="G92" s="1262"/>
      <c r="H92" s="1262"/>
      <c r="I92" s="1364" t="s">
        <v>66</v>
      </c>
      <c r="J92" s="1350"/>
      <c r="K92" s="1224" t="s">
        <v>66</v>
      </c>
      <c r="L92" s="1363"/>
    </row>
    <row r="93" spans="1:12" ht="15" customHeight="1">
      <c r="A93" s="1326"/>
      <c r="B93" s="1336"/>
      <c r="C93" s="1337"/>
      <c r="D93" s="1337"/>
      <c r="E93" s="1337"/>
      <c r="F93" s="1262"/>
      <c r="G93" s="1262"/>
      <c r="H93" s="1262"/>
      <c r="I93" s="1364"/>
      <c r="J93" s="1350"/>
      <c r="K93" s="1224"/>
      <c r="L93" s="1363"/>
    </row>
    <row r="94" spans="1:12" ht="138.75" customHeight="1">
      <c r="A94" s="1326">
        <v>16</v>
      </c>
      <c r="B94" s="3551" t="str">
        <f>'Slab-Culverts Data'!B269:J269</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&amp;2200  (5th revision) in sub-structure.</v>
      </c>
      <c r="C94" s="3551"/>
      <c r="D94" s="3551"/>
      <c r="E94" s="3551"/>
      <c r="F94" s="3551"/>
      <c r="G94" s="3551"/>
      <c r="H94" s="3551"/>
      <c r="I94" s="3551"/>
      <c r="J94" s="3551"/>
      <c r="K94" s="3551"/>
      <c r="L94" s="1363"/>
    </row>
    <row r="95" spans="1:12" ht="20.100000000000001" customHeight="1">
      <c r="A95" s="1262"/>
      <c r="B95" s="1331"/>
      <c r="C95" s="1224"/>
      <c r="D95" s="1224"/>
      <c r="E95" s="1224"/>
      <c r="F95" s="1262"/>
      <c r="G95" s="1262"/>
      <c r="H95" s="1262"/>
      <c r="I95" s="1364">
        <v>0.61199999999999999</v>
      </c>
      <c r="J95" s="1350">
        <f>'Slab-Culverts Data'!J290</f>
        <v>64943.47</v>
      </c>
      <c r="K95" s="1224">
        <v>1</v>
      </c>
      <c r="L95" s="1363">
        <f>ROUND(I95*J95,0)</f>
        <v>39745</v>
      </c>
    </row>
    <row r="96" spans="1:12" ht="20.100000000000001" customHeight="1">
      <c r="A96" s="1262"/>
      <c r="B96" s="1331"/>
      <c r="C96" s="1224"/>
      <c r="D96" s="1224"/>
      <c r="E96" s="1224"/>
      <c r="F96" s="1262"/>
      <c r="G96" s="1262"/>
      <c r="H96" s="1262"/>
      <c r="I96" s="1364" t="s">
        <v>66</v>
      </c>
      <c r="J96" s="1350"/>
      <c r="K96" s="1224" t="s">
        <v>66</v>
      </c>
      <c r="L96" s="1363"/>
    </row>
    <row r="97" spans="1:20" ht="132.75" customHeight="1">
      <c r="A97" s="1326">
        <v>17</v>
      </c>
      <c r="B97" s="3551" t="str">
        <f>'Slab-Culverts Data'!B431:J431</f>
        <v>Supplying, fitting and placing of HYSD bars Fe-500 ( From Primary producers ,Like TATA,SAIL,VSP, JWS &amp; Shyam steel Etc.,)  of different diameters, wrought and put up bars of all diameters including cost and conveyance of steel to site and all labour charges for fabrication of reinforcement including cutting, bending, binding rods, tying grills, placing them in position etc., complete including cost and conveyance of binding wire and all handling charges and operational charges etc., and including over lapping welding if required etc., complete for all R.C.C items for finished item of work as per standard drawings, as per the directions of the Engineer-in-Charge and as per MoRT&amp;H specification 1600 &amp; 2200  (5th revision) in super structure.</v>
      </c>
      <c r="C97" s="3551"/>
      <c r="D97" s="3551"/>
      <c r="E97" s="3551"/>
      <c r="F97" s="3551"/>
      <c r="G97" s="3551"/>
      <c r="H97" s="3551"/>
      <c r="I97" s="3551"/>
      <c r="J97" s="3551"/>
      <c r="K97" s="3551"/>
      <c r="L97" s="1360"/>
    </row>
    <row r="98" spans="1:20" ht="20.100000000000001" customHeight="1">
      <c r="A98" s="1262"/>
      <c r="B98" s="1331"/>
      <c r="C98" s="1224"/>
      <c r="D98" s="1224"/>
      <c r="E98" s="1224"/>
      <c r="F98" s="1262"/>
      <c r="G98" s="1262"/>
      <c r="H98" s="1262"/>
      <c r="I98" s="1364">
        <v>3</v>
      </c>
      <c r="J98" s="1350">
        <f>'Slab-Culverts Data'!J451</f>
        <v>66904.47</v>
      </c>
      <c r="K98" s="1224">
        <v>1</v>
      </c>
      <c r="L98" s="1363">
        <f>ROUND(I98*J98,0)</f>
        <v>200713</v>
      </c>
    </row>
    <row r="99" spans="1:20" ht="20.100000000000001" customHeight="1">
      <c r="A99" s="1262"/>
      <c r="B99" s="1331"/>
      <c r="C99" s="1224"/>
      <c r="D99" s="1224"/>
      <c r="E99" s="1224"/>
      <c r="F99" s="1262"/>
      <c r="G99" s="1262"/>
      <c r="H99" s="1262"/>
      <c r="I99" s="1364" t="s">
        <v>66</v>
      </c>
      <c r="J99" s="1350"/>
      <c r="K99" s="1224" t="s">
        <v>66</v>
      </c>
      <c r="L99" s="1363"/>
    </row>
    <row r="100" spans="1:20" ht="23.25" customHeight="1">
      <c r="A100" s="1326"/>
      <c r="B100" s="1336"/>
      <c r="C100" s="1337"/>
      <c r="D100" s="1337"/>
      <c r="E100" s="1337"/>
      <c r="F100" s="1262"/>
      <c r="G100" s="1262"/>
      <c r="H100" s="1262"/>
      <c r="I100" s="1364"/>
      <c r="J100" s="1325" t="s">
        <v>1394</v>
      </c>
      <c r="K100" s="1262"/>
      <c r="L100" s="1377">
        <f>SUM(L6:L99)</f>
        <v>1916133</v>
      </c>
    </row>
    <row r="101" spans="1:20" ht="12.75" customHeight="1">
      <c r="L101" s="1318"/>
    </row>
    <row r="104" spans="1:20">
      <c r="B104" s="1303"/>
      <c r="F104" s="1303" t="s">
        <v>1433</v>
      </c>
      <c r="J104" s="3794" t="s">
        <v>791</v>
      </c>
      <c r="K104" s="3794"/>
    </row>
    <row r="105" spans="1:20">
      <c r="B105" s="1303"/>
      <c r="F105" s="1303" t="str">
        <f>GA!B35</f>
        <v>PRSD, Wanaparthy</v>
      </c>
      <c r="J105" s="3794" t="str">
        <f>GA!C35</f>
        <v>PRSD, Wanaparthy</v>
      </c>
      <c r="K105" s="3794"/>
    </row>
    <row r="106" spans="1:20">
      <c r="B106" s="1303"/>
      <c r="F106" s="1303"/>
      <c r="J106" s="1304"/>
      <c r="K106" s="1304"/>
    </row>
    <row r="107" spans="1:20">
      <c r="B107" s="1303"/>
      <c r="F107" s="1303"/>
      <c r="J107" s="1304"/>
      <c r="K107" s="1304"/>
    </row>
    <row r="108" spans="1:20">
      <c r="B108" s="1305"/>
      <c r="F108" s="1304"/>
      <c r="J108" s="1304"/>
      <c r="K108" s="1304"/>
    </row>
    <row r="109" spans="1:20">
      <c r="B109" s="1303"/>
      <c r="F109" s="1303" t="s">
        <v>906</v>
      </c>
      <c r="J109" s="3794" t="s">
        <v>685</v>
      </c>
      <c r="K109" s="3794"/>
    </row>
    <row r="110" spans="1:20" s="1221" customFormat="1">
      <c r="A110" s="1321"/>
      <c r="B110" s="1303"/>
      <c r="C110" s="1212"/>
      <c r="D110" s="1212"/>
      <c r="E110" s="1212"/>
      <c r="F110" s="1303" t="str">
        <f>GA!B38</f>
        <v>PIU, Wanaparthy</v>
      </c>
      <c r="G110" s="1212"/>
      <c r="H110" s="1212"/>
      <c r="I110" s="1212"/>
      <c r="J110" s="3795" t="str">
        <f>GA!C38</f>
        <v>PR, Circle, Warangal</v>
      </c>
      <c r="K110" s="3795"/>
      <c r="M110" s="1220"/>
      <c r="N110" s="1220"/>
      <c r="O110" s="1220"/>
      <c r="P110" s="1220"/>
      <c r="Q110" s="1220"/>
      <c r="R110" s="1220"/>
      <c r="S110" s="1220"/>
      <c r="T110" s="1220"/>
    </row>
  </sheetData>
  <protectedRanges>
    <protectedRange sqref="B104:B110 F104:F110" name="Range4"/>
    <protectedRange sqref="K110 J104:K109" name="Range4_1"/>
  </protectedRanges>
  <mergeCells count="29">
    <mergeCell ref="J104:K104"/>
    <mergeCell ref="J105:K105"/>
    <mergeCell ref="J109:K109"/>
    <mergeCell ref="J110:K110"/>
    <mergeCell ref="B79:K79"/>
    <mergeCell ref="B83:K83"/>
    <mergeCell ref="B90:K90"/>
    <mergeCell ref="B94:K94"/>
    <mergeCell ref="B97:K97"/>
    <mergeCell ref="B59:K59"/>
    <mergeCell ref="B63:K63"/>
    <mergeCell ref="B67:K67"/>
    <mergeCell ref="B71:K71"/>
    <mergeCell ref="B75:K75"/>
    <mergeCell ref="B31:K31"/>
    <mergeCell ref="B38:K38"/>
    <mergeCell ref="B46:K46"/>
    <mergeCell ref="B51:K51"/>
    <mergeCell ref="B55:K55"/>
    <mergeCell ref="C5:E5"/>
    <mergeCell ref="B6:K6"/>
    <mergeCell ref="B11:K11"/>
    <mergeCell ref="B15:K15"/>
    <mergeCell ref="B20:K20"/>
    <mergeCell ref="A1:L1"/>
    <mergeCell ref="A2:B2"/>
    <mergeCell ref="F2:L2"/>
    <mergeCell ref="A3:L3"/>
    <mergeCell ref="C4:E4"/>
  </mergeCells>
  <printOptions horizontalCentered="1"/>
  <pageMargins left="0.59055118110236204" right="0.196850393700787" top="0.59055118110236204" bottom="0.39370078740157499" header="0.31496062992126" footer="0.31496062992126"/>
  <pageSetup paperSize="9" scale="90" orientation="portrait" r:id="rId1"/>
</worksheet>
</file>

<file path=xl/worksheets/sheet41.xml><?xml version="1.0" encoding="utf-8"?>
<worksheet xmlns="http://schemas.openxmlformats.org/spreadsheetml/2006/main" xmlns:r="http://schemas.openxmlformats.org/officeDocument/2006/relationships">
  <sheetPr codeName="Sheet25">
    <tabColor theme="5" tint="-0.249977111117893"/>
  </sheetPr>
  <dimension ref="A1:L682"/>
  <sheetViews>
    <sheetView view="pageBreakPreview" topLeftCell="A358" zoomScale="85" zoomScaleNormal="85" zoomScaleSheetLayoutView="85" workbookViewId="0">
      <selection activeCell="J559" sqref="J559"/>
    </sheetView>
  </sheetViews>
  <sheetFormatPr defaultColWidth="9.140625" defaultRowHeight="15.75"/>
  <cols>
    <col min="1" max="1" width="5.140625" style="486" customWidth="1"/>
    <col min="2" max="2" width="11" style="486" customWidth="1"/>
    <col min="3" max="3" width="9.7109375" style="484" customWidth="1"/>
    <col min="4" max="4" width="9.85546875" style="484" customWidth="1"/>
    <col min="5" max="5" width="10.85546875" style="484" customWidth="1"/>
    <col min="6" max="6" width="8.5703125" style="484" customWidth="1"/>
    <col min="7" max="7" width="8.85546875" style="484" customWidth="1"/>
    <col min="8" max="8" width="12.28515625" style="484" customWidth="1"/>
    <col min="9" max="9" width="6.7109375" style="484" customWidth="1"/>
    <col min="10" max="10" width="14.140625" style="487" customWidth="1"/>
    <col min="11" max="11" width="14" style="484" customWidth="1"/>
    <col min="12" max="16384" width="9.140625" style="484"/>
  </cols>
  <sheetData>
    <row r="1" spans="1:10" ht="24.75" customHeight="1">
      <c r="A1" s="488"/>
      <c r="B1" s="3806" t="s">
        <v>2015</v>
      </c>
      <c r="C1" s="3807"/>
      <c r="D1" s="3807"/>
      <c r="E1" s="3807"/>
      <c r="F1" s="3807"/>
      <c r="G1" s="3807"/>
      <c r="H1" s="3807"/>
      <c r="I1" s="3807"/>
      <c r="J1" s="3807"/>
    </row>
    <row r="2" spans="1:10" s="482" customFormat="1" ht="41.25" customHeight="1">
      <c r="A2" s="490"/>
      <c r="B2" s="491" t="s">
        <v>1</v>
      </c>
      <c r="C2" s="492"/>
      <c r="D2" s="3808" t="str">
        <f>'Input Data'!E1</f>
        <v>R/F A to B in Wanaparthy Mandal of Wanaparthy District</v>
      </c>
      <c r="E2" s="3809"/>
      <c r="F2" s="3809"/>
      <c r="G2" s="3809"/>
      <c r="H2" s="3809"/>
      <c r="I2" s="3809"/>
      <c r="J2" s="3809"/>
    </row>
    <row r="3" spans="1:10" ht="32.25" customHeight="1">
      <c r="A3" s="488" t="s">
        <v>2</v>
      </c>
      <c r="B3" s="3810" t="s">
        <v>3</v>
      </c>
      <c r="C3" s="3810"/>
      <c r="D3" s="3811" t="s">
        <v>4</v>
      </c>
      <c r="E3" s="3811"/>
      <c r="F3" s="3811"/>
      <c r="G3" s="3811"/>
      <c r="H3" s="493" t="s">
        <v>5</v>
      </c>
      <c r="I3" s="493" t="s">
        <v>6</v>
      </c>
      <c r="J3" s="513" t="s">
        <v>7</v>
      </c>
    </row>
    <row r="4" spans="1:10" ht="17.25" customHeight="1">
      <c r="A4" s="495"/>
      <c r="B4" s="495" t="s">
        <v>2016</v>
      </c>
      <c r="C4" s="496"/>
      <c r="D4" s="495"/>
      <c r="E4" s="495"/>
      <c r="F4" s="495"/>
      <c r="G4" s="495"/>
      <c r="H4" s="495"/>
      <c r="I4" s="495"/>
      <c r="J4" s="495"/>
    </row>
    <row r="5" spans="1:10" s="483" customFormat="1" ht="111.6" customHeight="1">
      <c r="A5" s="497">
        <f>'Pipe data'!A180+1</f>
        <v>8</v>
      </c>
      <c r="B5" s="3812" t="s">
        <v>2017</v>
      </c>
      <c r="C5" s="3812"/>
      <c r="D5" s="3812"/>
      <c r="E5" s="3812"/>
      <c r="F5" s="3812"/>
      <c r="G5" s="3812"/>
      <c r="H5" s="3812"/>
      <c r="I5" s="3812"/>
      <c r="J5" s="3812"/>
    </row>
    <row r="6" spans="1:10" s="483" customFormat="1" ht="20.100000000000001" customHeight="1">
      <c r="A6" s="498"/>
      <c r="B6" s="488"/>
      <c r="C6" s="498"/>
      <c r="D6" s="499" t="s">
        <v>10</v>
      </c>
      <c r="E6" s="498"/>
      <c r="F6" s="500" t="s">
        <v>2018</v>
      </c>
      <c r="G6" s="498"/>
      <c r="H6" s="498"/>
      <c r="I6" s="498"/>
      <c r="J6" s="498"/>
    </row>
    <row r="7" spans="1:10" s="483" customFormat="1" ht="20.100000000000001" customHeight="1">
      <c r="A7" s="498"/>
      <c r="B7" s="488"/>
      <c r="C7" s="498"/>
      <c r="D7" s="499" t="s">
        <v>56</v>
      </c>
      <c r="E7" s="498"/>
      <c r="F7" s="498"/>
      <c r="G7" s="498"/>
      <c r="H7" s="498"/>
      <c r="I7" s="498"/>
      <c r="J7" s="498"/>
    </row>
    <row r="8" spans="1:10" s="483" customFormat="1" ht="20.100000000000001" customHeight="1">
      <c r="A8" s="498"/>
      <c r="B8" s="494" t="s">
        <v>36</v>
      </c>
      <c r="C8" s="501" t="s">
        <v>37</v>
      </c>
      <c r="D8" s="498"/>
      <c r="E8" s="498"/>
      <c r="F8" s="498"/>
      <c r="G8" s="498"/>
      <c r="H8" s="498"/>
      <c r="I8" s="498"/>
      <c r="J8" s="498"/>
    </row>
    <row r="9" spans="1:10" s="483" customFormat="1" ht="20.100000000000001" customHeight="1">
      <c r="A9" s="498"/>
      <c r="B9" s="502">
        <v>0.64</v>
      </c>
      <c r="C9" s="503" t="s">
        <v>57</v>
      </c>
      <c r="D9" s="499" t="s">
        <v>14</v>
      </c>
      <c r="E9" s="498"/>
      <c r="F9" s="498"/>
      <c r="G9" s="498"/>
      <c r="H9" s="502">
        <f>+'SSR-rates'!$L$58</f>
        <v>575</v>
      </c>
      <c r="I9" s="502" t="s">
        <v>38</v>
      </c>
      <c r="J9" s="514">
        <f>ROUND(B9*H9,2)</f>
        <v>368</v>
      </c>
    </row>
    <row r="10" spans="1:10" s="483" customFormat="1" ht="20.100000000000001" customHeight="1">
      <c r="A10" s="498"/>
      <c r="B10" s="502">
        <v>1</v>
      </c>
      <c r="C10" s="503" t="s">
        <v>57</v>
      </c>
      <c r="D10" s="499" t="s">
        <v>58</v>
      </c>
      <c r="E10" s="498"/>
      <c r="F10" s="498"/>
      <c r="G10" s="498"/>
      <c r="H10" s="502">
        <f>+'SSR-rates'!$L$54</f>
        <v>615</v>
      </c>
      <c r="I10" s="502" t="s">
        <v>38</v>
      </c>
      <c r="J10" s="514">
        <f>ROUND(B10*H10,2)</f>
        <v>615</v>
      </c>
    </row>
    <row r="11" spans="1:10" s="483" customFormat="1" ht="20.100000000000001" customHeight="1">
      <c r="A11" s="498"/>
      <c r="B11" s="502">
        <v>15</v>
      </c>
      <c r="C11" s="503" t="s">
        <v>57</v>
      </c>
      <c r="D11" s="499" t="s">
        <v>59</v>
      </c>
      <c r="E11" s="498"/>
      <c r="F11" s="498"/>
      <c r="G11" s="498"/>
      <c r="H11" s="502">
        <f>+'SSR-rates'!$L$58</f>
        <v>575</v>
      </c>
      <c r="I11" s="502" t="s">
        <v>38</v>
      </c>
      <c r="J11" s="514">
        <f>ROUND(B11*H11,2)</f>
        <v>8625</v>
      </c>
    </row>
    <row r="12" spans="1:10" ht="20.100000000000001" customHeight="1">
      <c r="A12" s="494"/>
      <c r="B12" s="504">
        <f>+'Input Data'!D23</f>
        <v>0</v>
      </c>
      <c r="C12" s="505"/>
      <c r="D12" s="498" t="s">
        <v>17</v>
      </c>
      <c r="E12" s="498"/>
      <c r="F12" s="503"/>
      <c r="G12" s="503"/>
      <c r="H12" s="502">
        <f>SUM(J9:J11)</f>
        <v>9608</v>
      </c>
      <c r="I12" s="488"/>
      <c r="J12" s="514">
        <f>B12*H12</f>
        <v>0</v>
      </c>
    </row>
    <row r="13" spans="1:10" s="483" customFormat="1" ht="20.100000000000001" customHeight="1">
      <c r="A13" s="498"/>
      <c r="B13" s="502"/>
      <c r="C13" s="498"/>
      <c r="D13" s="499" t="s">
        <v>60</v>
      </c>
      <c r="E13" s="498"/>
      <c r="F13" s="498"/>
      <c r="G13" s="498"/>
      <c r="H13" s="502"/>
      <c r="I13" s="502"/>
      <c r="J13" s="515">
        <f>SUM(J9:J12)</f>
        <v>9608</v>
      </c>
    </row>
    <row r="14" spans="1:10" s="483" customFormat="1" ht="20.100000000000001" customHeight="1">
      <c r="A14" s="498"/>
      <c r="B14" s="494" t="s">
        <v>39</v>
      </c>
      <c r="C14" s="501" t="s">
        <v>61</v>
      </c>
      <c r="D14" s="498"/>
      <c r="E14" s="498"/>
      <c r="F14" s="498"/>
      <c r="G14" s="498"/>
      <c r="H14" s="498"/>
      <c r="I14" s="502"/>
      <c r="J14" s="514"/>
    </row>
    <row r="15" spans="1:10" s="483" customFormat="1" ht="20.100000000000001" customHeight="1">
      <c r="A15" s="498"/>
      <c r="B15" s="502">
        <v>13.5</v>
      </c>
      <c r="C15" s="503" t="s">
        <v>31</v>
      </c>
      <c r="D15" s="499" t="s">
        <v>1997</v>
      </c>
      <c r="E15" s="498"/>
      <c r="F15" s="498"/>
      <c r="G15" s="498"/>
      <c r="H15" s="502">
        <f>lead!$J$14</f>
        <v>1706.5179333714741</v>
      </c>
      <c r="I15" s="502" t="s">
        <v>31</v>
      </c>
      <c r="J15" s="514">
        <f>ROUND(B15*H15,2)</f>
        <v>23037.99</v>
      </c>
    </row>
    <row r="16" spans="1:10" s="483" customFormat="1" ht="45" customHeight="1">
      <c r="A16" s="498"/>
      <c r="B16" s="502">
        <f>6.75/2</f>
        <v>3.375</v>
      </c>
      <c r="C16" s="503" t="s">
        <v>31</v>
      </c>
      <c r="D16" s="3813" t="s">
        <v>1852</v>
      </c>
      <c r="E16" s="3813"/>
      <c r="F16" s="3813"/>
      <c r="G16" s="3813"/>
      <c r="H16" s="506">
        <f>lead!$J$31</f>
        <v>1812.3700655723276</v>
      </c>
      <c r="I16" s="502" t="s">
        <v>31</v>
      </c>
      <c r="J16" s="514">
        <f>ROUND(B16*H16,2)</f>
        <v>6116.75</v>
      </c>
    </row>
    <row r="17" spans="1:10" s="483" customFormat="1" ht="35.1" customHeight="1">
      <c r="A17" s="498"/>
      <c r="B17" s="502">
        <f>B16</f>
        <v>3.375</v>
      </c>
      <c r="C17" s="503" t="s">
        <v>31</v>
      </c>
      <c r="D17" s="3813" t="s">
        <v>1853</v>
      </c>
      <c r="E17" s="3813"/>
      <c r="F17" s="3813"/>
      <c r="G17" s="3813"/>
      <c r="H17" s="506">
        <f>lead!$J$33</f>
        <v>1447.5179333714741</v>
      </c>
      <c r="I17" s="502" t="s">
        <v>31</v>
      </c>
      <c r="J17" s="514">
        <f>ROUND(B17*H17,2)</f>
        <v>4885.37</v>
      </c>
    </row>
    <row r="18" spans="1:10" s="483" customFormat="1" ht="20.100000000000001" customHeight="1">
      <c r="A18" s="498"/>
      <c r="B18" s="502">
        <v>3.45</v>
      </c>
      <c r="C18" s="503" t="s">
        <v>66</v>
      </c>
      <c r="D18" s="499" t="s">
        <v>67</v>
      </c>
      <c r="E18" s="498"/>
      <c r="F18" s="498"/>
      <c r="G18" s="498"/>
      <c r="H18" s="502">
        <f>lead!$J$36</f>
        <v>5000</v>
      </c>
      <c r="I18" s="502" t="s">
        <v>66</v>
      </c>
      <c r="J18" s="514">
        <f>ROUND(B18*H18,2)</f>
        <v>17250</v>
      </c>
    </row>
    <row r="19" spans="1:10" s="483" customFormat="1" ht="20.100000000000001" customHeight="1">
      <c r="A19" s="498"/>
      <c r="B19" s="507"/>
      <c r="C19" s="505"/>
      <c r="D19" s="499" t="s">
        <v>60</v>
      </c>
      <c r="E19" s="498"/>
      <c r="F19" s="498"/>
      <c r="G19" s="498"/>
      <c r="H19" s="502"/>
      <c r="I19" s="502"/>
      <c r="J19" s="515">
        <f>SUM(J15:J18)</f>
        <v>51290.11</v>
      </c>
    </row>
    <row r="20" spans="1:10" s="483" customFormat="1" ht="20.100000000000001" customHeight="1">
      <c r="A20" s="498"/>
      <c r="B20" s="494" t="s">
        <v>1998</v>
      </c>
      <c r="C20" s="501" t="s">
        <v>40</v>
      </c>
      <c r="D20" s="498"/>
      <c r="E20" s="498"/>
      <c r="F20" s="498"/>
      <c r="G20" s="498"/>
      <c r="H20" s="502"/>
      <c r="I20" s="502"/>
      <c r="J20" s="514"/>
    </row>
    <row r="21" spans="1:10" s="483" customFormat="1" ht="20.100000000000001" customHeight="1">
      <c r="A21" s="498"/>
      <c r="B21" s="502">
        <v>6</v>
      </c>
      <c r="C21" s="503" t="s">
        <v>41</v>
      </c>
      <c r="D21" s="499" t="s">
        <v>68</v>
      </c>
      <c r="E21" s="498"/>
      <c r="F21" s="498"/>
      <c r="G21" s="498"/>
      <c r="H21" s="502">
        <f>'SSR-rates'!L88</f>
        <v>697.9</v>
      </c>
      <c r="I21" s="502" t="s">
        <v>41</v>
      </c>
      <c r="J21" s="514">
        <f>ROUND(B21*H21,2)</f>
        <v>4187.3999999999996</v>
      </c>
    </row>
    <row r="22" spans="1:10" s="483" customFormat="1" ht="20.100000000000001" customHeight="1">
      <c r="A22" s="494"/>
      <c r="B22" s="502">
        <v>6</v>
      </c>
      <c r="C22" s="503" t="s">
        <v>41</v>
      </c>
      <c r="D22" s="499" t="s">
        <v>1999</v>
      </c>
      <c r="E22" s="498"/>
      <c r="F22" s="498"/>
      <c r="G22" s="498"/>
      <c r="H22" s="502">
        <f>'SSR-rates'!L87</f>
        <v>1323.5</v>
      </c>
      <c r="I22" s="502" t="s">
        <v>41</v>
      </c>
      <c r="J22" s="514">
        <f>ROUND(B22*H22,2)</f>
        <v>7941</v>
      </c>
    </row>
    <row r="23" spans="1:10" s="483" customFormat="1" ht="20.100000000000001" customHeight="1">
      <c r="A23" s="494"/>
      <c r="B23" s="502">
        <v>3</v>
      </c>
      <c r="C23" s="503" t="s">
        <v>41</v>
      </c>
      <c r="D23" s="499" t="s">
        <v>213</v>
      </c>
      <c r="E23" s="498"/>
      <c r="F23" s="498"/>
      <c r="G23" s="498"/>
      <c r="H23" s="502">
        <f>'SSR-rates'!L69</f>
        <v>769</v>
      </c>
      <c r="I23" s="502" t="s">
        <v>41</v>
      </c>
      <c r="J23" s="514">
        <f>ROUND(B23*H23,2)</f>
        <v>2307</v>
      </c>
    </row>
    <row r="24" spans="1:10" s="483" customFormat="1" ht="20.100000000000001" customHeight="1">
      <c r="A24" s="494"/>
      <c r="B24" s="502"/>
      <c r="C24" s="505"/>
      <c r="D24" s="499" t="s">
        <v>60</v>
      </c>
      <c r="E24" s="498"/>
      <c r="F24" s="498"/>
      <c r="G24" s="498"/>
      <c r="H24" s="502"/>
      <c r="I24" s="502"/>
      <c r="J24" s="515">
        <f>SUM(J21:J23)</f>
        <v>14435.4</v>
      </c>
    </row>
    <row r="25" spans="1:10" s="483" customFormat="1" ht="20.100000000000001" customHeight="1">
      <c r="A25" s="494"/>
      <c r="B25" s="494" t="s">
        <v>45</v>
      </c>
      <c r="C25" s="508" t="s">
        <v>1332</v>
      </c>
      <c r="D25" s="498"/>
      <c r="E25" s="498"/>
      <c r="F25" s="503"/>
      <c r="G25" s="503"/>
      <c r="H25" s="503"/>
      <c r="I25" s="503"/>
      <c r="J25" s="515"/>
    </row>
    <row r="26" spans="1:10" s="483" customFormat="1" ht="20.100000000000001" customHeight="1">
      <c r="A26" s="498"/>
      <c r="B26" s="509">
        <f>'Input Data'!$D$24</f>
        <v>0.13614999999999999</v>
      </c>
      <c r="C26" s="508" t="s">
        <v>1332</v>
      </c>
      <c r="D26" s="498"/>
      <c r="E26" s="498"/>
      <c r="F26" s="503"/>
      <c r="G26" s="503"/>
      <c r="H26" s="503"/>
      <c r="I26" s="503"/>
      <c r="J26" s="514">
        <f>ROUND((J13+J19+J24)*B26,2)</f>
        <v>10256.66</v>
      </c>
    </row>
    <row r="27" spans="1:10" s="483" customFormat="1" ht="20.100000000000001" customHeight="1">
      <c r="A27" s="498"/>
      <c r="B27" s="510">
        <f>'Input Data'!$E$24</f>
        <v>0</v>
      </c>
      <c r="C27" s="511" t="s">
        <v>1314</v>
      </c>
      <c r="D27" s="498"/>
      <c r="E27" s="498"/>
      <c r="F27" s="503"/>
      <c r="G27" s="503"/>
      <c r="H27" s="505">
        <f>J13+J19+J24+J26</f>
        <v>85590.17</v>
      </c>
      <c r="I27" s="503"/>
      <c r="J27" s="514">
        <f>H27*B27</f>
        <v>0</v>
      </c>
    </row>
    <row r="28" spans="1:10" s="483" customFormat="1" ht="20.100000000000001" customHeight="1">
      <c r="A28" s="498"/>
      <c r="B28" s="494" t="s">
        <v>47</v>
      </c>
      <c r="C28" s="508" t="s">
        <v>89</v>
      </c>
      <c r="D28" s="498"/>
      <c r="E28" s="498"/>
      <c r="F28" s="503"/>
      <c r="G28" s="503"/>
      <c r="H28" s="503"/>
      <c r="I28" s="503"/>
      <c r="J28" s="515">
        <f>J13+J19+J24+J26+J27</f>
        <v>85590.17</v>
      </c>
    </row>
    <row r="29" spans="1:10" s="483" customFormat="1" ht="20.100000000000001" customHeight="1">
      <c r="A29" s="498"/>
      <c r="B29" s="507"/>
      <c r="C29" s="503"/>
      <c r="D29" s="501" t="s">
        <v>1951</v>
      </c>
      <c r="E29" s="498"/>
      <c r="F29" s="498"/>
      <c r="G29" s="498"/>
      <c r="H29" s="502"/>
      <c r="I29" s="502"/>
      <c r="J29" s="515">
        <f>SUM(J28:J28)</f>
        <v>85590.17</v>
      </c>
    </row>
    <row r="30" spans="1:10" s="483" customFormat="1" ht="20.100000000000001" customHeight="1">
      <c r="A30" s="498"/>
      <c r="B30" s="502"/>
      <c r="C30" s="503"/>
      <c r="D30" s="499" t="s">
        <v>81</v>
      </c>
      <c r="E30" s="498"/>
      <c r="F30" s="498"/>
      <c r="G30" s="498"/>
      <c r="H30" s="502"/>
      <c r="I30" s="502"/>
      <c r="J30" s="514">
        <f>ROUND(J29/15,2)</f>
        <v>5706.01</v>
      </c>
    </row>
    <row r="31" spans="1:10" s="483" customFormat="1" ht="20.100000000000001" customHeight="1">
      <c r="A31" s="512"/>
      <c r="B31" s="488"/>
      <c r="C31" s="498"/>
      <c r="D31" s="499" t="s">
        <v>52</v>
      </c>
      <c r="E31" s="498"/>
      <c r="F31" s="498"/>
      <c r="G31" s="498"/>
      <c r="H31" s="502"/>
      <c r="I31" s="502"/>
      <c r="J31" s="516">
        <f>ROUND(J30,2)</f>
        <v>5706.01</v>
      </c>
    </row>
    <row r="32" spans="1:10" s="483" customFormat="1" ht="20.100000000000001" customHeight="1">
      <c r="A32" s="498"/>
      <c r="B32" s="488"/>
      <c r="C32" s="498"/>
      <c r="D32" s="499"/>
      <c r="E32" s="498"/>
      <c r="F32" s="498"/>
      <c r="G32" s="498"/>
      <c r="H32" s="502"/>
      <c r="I32" s="502"/>
      <c r="J32" s="515" t="s">
        <v>53</v>
      </c>
    </row>
    <row r="33" spans="1:10" s="483" customFormat="1" ht="115.15" customHeight="1">
      <c r="A33" s="497">
        <f>A5+1</f>
        <v>9</v>
      </c>
      <c r="B33" s="3812" t="s">
        <v>2019</v>
      </c>
      <c r="C33" s="3812"/>
      <c r="D33" s="3812"/>
      <c r="E33" s="3812"/>
      <c r="F33" s="3812"/>
      <c r="G33" s="3812"/>
      <c r="H33" s="3812"/>
      <c r="I33" s="3812"/>
      <c r="J33" s="3812"/>
    </row>
    <row r="34" spans="1:10" s="483" customFormat="1" ht="20.100000000000001" customHeight="1">
      <c r="A34" s="498"/>
      <c r="B34" s="488"/>
      <c r="C34" s="498"/>
      <c r="D34" s="499" t="s">
        <v>10</v>
      </c>
      <c r="E34" s="498"/>
      <c r="F34" s="498"/>
      <c r="G34" s="498"/>
      <c r="H34" s="498"/>
      <c r="I34" s="498"/>
      <c r="J34" s="498"/>
    </row>
    <row r="35" spans="1:10" s="483" customFormat="1" ht="20.100000000000001" customHeight="1">
      <c r="A35" s="498"/>
      <c r="B35" s="488"/>
      <c r="C35" s="498"/>
      <c r="D35" s="499" t="s">
        <v>56</v>
      </c>
      <c r="E35" s="498"/>
      <c r="F35" s="498"/>
      <c r="G35" s="498"/>
      <c r="H35" s="498"/>
      <c r="I35" s="498"/>
      <c r="J35" s="498"/>
    </row>
    <row r="36" spans="1:10" s="483" customFormat="1" ht="20.100000000000001" customHeight="1">
      <c r="A36" s="498"/>
      <c r="B36" s="494" t="s">
        <v>36</v>
      </c>
      <c r="C36" s="501" t="s">
        <v>37</v>
      </c>
      <c r="D36" s="498"/>
      <c r="E36" s="498"/>
      <c r="F36" s="498"/>
      <c r="G36" s="498"/>
      <c r="H36" s="498"/>
      <c r="I36" s="498"/>
      <c r="J36" s="498"/>
    </row>
    <row r="37" spans="1:10" s="483" customFormat="1" ht="20.100000000000001" customHeight="1">
      <c r="A37" s="498"/>
      <c r="B37" s="502">
        <v>0.86</v>
      </c>
      <c r="C37" s="503" t="s">
        <v>57</v>
      </c>
      <c r="D37" s="499" t="s">
        <v>14</v>
      </c>
      <c r="E37" s="498"/>
      <c r="F37" s="498"/>
      <c r="G37" s="498"/>
      <c r="H37" s="502">
        <f>+'SSR-rates'!$L$58</f>
        <v>575</v>
      </c>
      <c r="I37" s="502" t="s">
        <v>38</v>
      </c>
      <c r="J37" s="514">
        <f>ROUND(B37*H37,2)</f>
        <v>494.5</v>
      </c>
    </row>
    <row r="38" spans="1:10" s="483" customFormat="1" ht="20.100000000000001" customHeight="1">
      <c r="A38" s="498"/>
      <c r="B38" s="502">
        <v>1.5</v>
      </c>
      <c r="C38" s="503" t="s">
        <v>57</v>
      </c>
      <c r="D38" s="499" t="s">
        <v>58</v>
      </c>
      <c r="E38" s="498"/>
      <c r="F38" s="498"/>
      <c r="G38" s="498"/>
      <c r="H38" s="502">
        <f>+'SSR-rates'!$L$54</f>
        <v>615</v>
      </c>
      <c r="I38" s="502" t="s">
        <v>38</v>
      </c>
      <c r="J38" s="514">
        <f>ROUND(B38*H38,2)</f>
        <v>922.5</v>
      </c>
    </row>
    <row r="39" spans="1:10" s="483" customFormat="1" ht="20.100000000000001" customHeight="1">
      <c r="A39" s="498"/>
      <c r="B39" s="502">
        <v>20</v>
      </c>
      <c r="C39" s="503" t="s">
        <v>57</v>
      </c>
      <c r="D39" s="499" t="s">
        <v>59</v>
      </c>
      <c r="E39" s="498"/>
      <c r="F39" s="498"/>
      <c r="G39" s="498"/>
      <c r="H39" s="502">
        <f>+'SSR-rates'!$L$58</f>
        <v>575</v>
      </c>
      <c r="I39" s="502" t="s">
        <v>38</v>
      </c>
      <c r="J39" s="514">
        <f>ROUND(B39*H39,2)</f>
        <v>11500</v>
      </c>
    </row>
    <row r="40" spans="1:10" ht="20.100000000000001" customHeight="1">
      <c r="A40" s="494"/>
      <c r="B40" s="504">
        <f>+'Input Data'!D23</f>
        <v>0</v>
      </c>
      <c r="C40" s="505"/>
      <c r="D40" s="498" t="s">
        <v>17</v>
      </c>
      <c r="E40" s="498"/>
      <c r="F40" s="503"/>
      <c r="G40" s="503"/>
      <c r="H40" s="502">
        <f>SUM(J37:J39)</f>
        <v>12917</v>
      </c>
      <c r="I40" s="488"/>
      <c r="J40" s="514">
        <f>B40*H40</f>
        <v>0</v>
      </c>
    </row>
    <row r="41" spans="1:10" s="483" customFormat="1" ht="20.100000000000001" customHeight="1">
      <c r="A41" s="498"/>
      <c r="B41" s="502"/>
      <c r="C41" s="498"/>
      <c r="D41" s="499" t="s">
        <v>60</v>
      </c>
      <c r="E41" s="498"/>
      <c r="F41" s="498"/>
      <c r="G41" s="498"/>
      <c r="H41" s="502"/>
      <c r="I41" s="502"/>
      <c r="J41" s="515">
        <f>SUM(J37:J40)</f>
        <v>12917</v>
      </c>
    </row>
    <row r="42" spans="1:10" s="483" customFormat="1" ht="20.100000000000001" customHeight="1">
      <c r="A42" s="498"/>
      <c r="B42" s="494" t="s">
        <v>39</v>
      </c>
      <c r="C42" s="501" t="s">
        <v>61</v>
      </c>
      <c r="D42" s="498"/>
      <c r="E42" s="498"/>
      <c r="F42" s="498"/>
      <c r="G42" s="498"/>
      <c r="H42" s="498"/>
      <c r="I42" s="502"/>
      <c r="J42" s="514"/>
    </row>
    <row r="43" spans="1:10" s="483" customFormat="1" ht="20.100000000000001" customHeight="1">
      <c r="A43" s="498"/>
      <c r="B43" s="502">
        <v>8.1</v>
      </c>
      <c r="C43" s="503" t="s">
        <v>31</v>
      </c>
      <c r="D43" s="499" t="s">
        <v>1997</v>
      </c>
      <c r="E43" s="498"/>
      <c r="F43" s="498"/>
      <c r="G43" s="498"/>
      <c r="H43" s="502">
        <f>+lead!$J$14</f>
        <v>1706.5179333714741</v>
      </c>
      <c r="I43" s="502" t="s">
        <v>31</v>
      </c>
      <c r="J43" s="514">
        <f t="shared" ref="J43:J48" si="0">ROUND(B43*H43,2)</f>
        <v>13822.8</v>
      </c>
    </row>
    <row r="44" spans="1:10" ht="20.100000000000001" customHeight="1">
      <c r="A44" s="503"/>
      <c r="B44" s="502">
        <v>4.05</v>
      </c>
      <c r="C44" s="503" t="s">
        <v>31</v>
      </c>
      <c r="D44" s="498" t="s">
        <v>63</v>
      </c>
      <c r="E44" s="498"/>
      <c r="F44" s="498"/>
      <c r="G44" s="498"/>
      <c r="H44" s="502">
        <f>+lead!$J$16</f>
        <v>2005.5179333714741</v>
      </c>
      <c r="I44" s="502" t="s">
        <v>31</v>
      </c>
      <c r="J44" s="499">
        <f t="shared" si="0"/>
        <v>8122.35</v>
      </c>
    </row>
    <row r="45" spans="1:10" ht="20.100000000000001" customHeight="1">
      <c r="A45" s="503"/>
      <c r="B45" s="502">
        <v>1.35</v>
      </c>
      <c r="C45" s="503" t="s">
        <v>31</v>
      </c>
      <c r="D45" s="498" t="s">
        <v>64</v>
      </c>
      <c r="E45" s="498"/>
      <c r="F45" s="498"/>
      <c r="G45" s="498"/>
      <c r="H45" s="502">
        <f>+lead!$J$18</f>
        <v>1754.5179333714741</v>
      </c>
      <c r="I45" s="502" t="s">
        <v>31</v>
      </c>
      <c r="J45" s="499">
        <f t="shared" si="0"/>
        <v>2368.6</v>
      </c>
    </row>
    <row r="46" spans="1:10" s="483" customFormat="1" ht="45" customHeight="1">
      <c r="A46" s="498"/>
      <c r="B46" s="507">
        <f>6.75/2</f>
        <v>3.375</v>
      </c>
      <c r="C46" s="503" t="s">
        <v>31</v>
      </c>
      <c r="D46" s="3813" t="s">
        <v>1852</v>
      </c>
      <c r="E46" s="3813"/>
      <c r="F46" s="3813"/>
      <c r="G46" s="3813"/>
      <c r="H46" s="506">
        <f>lead!$J$31</f>
        <v>1812.3700655723276</v>
      </c>
      <c r="I46" s="502" t="s">
        <v>31</v>
      </c>
      <c r="J46" s="514">
        <f t="shared" si="0"/>
        <v>6116.75</v>
      </c>
    </row>
    <row r="47" spans="1:10" s="483" customFormat="1" ht="35.1" customHeight="1">
      <c r="A47" s="498"/>
      <c r="B47" s="507">
        <f>6.75/2</f>
        <v>3.375</v>
      </c>
      <c r="C47" s="503" t="s">
        <v>31</v>
      </c>
      <c r="D47" s="3813" t="s">
        <v>1853</v>
      </c>
      <c r="E47" s="3813"/>
      <c r="F47" s="3813"/>
      <c r="G47" s="3813"/>
      <c r="H47" s="506">
        <f>lead!$J$33</f>
        <v>1447.5179333714741</v>
      </c>
      <c r="I47" s="502" t="s">
        <v>31</v>
      </c>
      <c r="J47" s="514">
        <f t="shared" si="0"/>
        <v>4885.37</v>
      </c>
    </row>
    <row r="48" spans="1:10" s="483" customFormat="1" ht="20.100000000000001" customHeight="1">
      <c r="A48" s="498"/>
      <c r="B48" s="502">
        <v>4.13</v>
      </c>
      <c r="C48" s="503" t="s">
        <v>66</v>
      </c>
      <c r="D48" s="499" t="s">
        <v>67</v>
      </c>
      <c r="E48" s="498"/>
      <c r="F48" s="498"/>
      <c r="G48" s="498"/>
      <c r="H48" s="502">
        <f>lead!J36</f>
        <v>5000</v>
      </c>
      <c r="I48" s="502" t="s">
        <v>66</v>
      </c>
      <c r="J48" s="514">
        <f t="shared" si="0"/>
        <v>20650</v>
      </c>
    </row>
    <row r="49" spans="1:10" s="483" customFormat="1" ht="20.100000000000001" customHeight="1">
      <c r="A49" s="498"/>
      <c r="B49" s="507"/>
      <c r="C49" s="505"/>
      <c r="D49" s="499" t="s">
        <v>60</v>
      </c>
      <c r="E49" s="498"/>
      <c r="F49" s="498"/>
      <c r="G49" s="498"/>
      <c r="H49" s="502"/>
      <c r="I49" s="502"/>
      <c r="J49" s="515">
        <f>SUM(J43:J48)</f>
        <v>55965.87</v>
      </c>
    </row>
    <row r="50" spans="1:10" s="483" customFormat="1" ht="20.100000000000001" customHeight="1">
      <c r="A50" s="498"/>
      <c r="B50" s="494" t="s">
        <v>1998</v>
      </c>
      <c r="C50" s="501" t="s">
        <v>40</v>
      </c>
      <c r="D50" s="498"/>
      <c r="E50" s="498"/>
      <c r="F50" s="498"/>
      <c r="G50" s="498"/>
      <c r="H50" s="502"/>
      <c r="I50" s="502"/>
      <c r="J50" s="514"/>
    </row>
    <row r="51" spans="1:10" s="483" customFormat="1" ht="20.100000000000001" customHeight="1">
      <c r="A51" s="498"/>
      <c r="B51" s="502">
        <v>6</v>
      </c>
      <c r="C51" s="503" t="s">
        <v>41</v>
      </c>
      <c r="D51" s="499" t="s">
        <v>68</v>
      </c>
      <c r="E51" s="498"/>
      <c r="F51" s="498"/>
      <c r="G51" s="498"/>
      <c r="H51" s="502">
        <f>+'SSR-rates'!$L$88</f>
        <v>697.9</v>
      </c>
      <c r="I51" s="502" t="s">
        <v>41</v>
      </c>
      <c r="J51" s="514">
        <f>ROUND(B51*H51,2)</f>
        <v>4187.3999999999996</v>
      </c>
    </row>
    <row r="52" spans="1:10" s="483" customFormat="1" ht="20.100000000000001" customHeight="1">
      <c r="A52" s="494"/>
      <c r="B52" s="502">
        <v>6</v>
      </c>
      <c r="C52" s="503" t="s">
        <v>41</v>
      </c>
      <c r="D52" s="499" t="s">
        <v>1999</v>
      </c>
      <c r="E52" s="498"/>
      <c r="F52" s="498"/>
      <c r="G52" s="498"/>
      <c r="H52" s="502">
        <f>+'SSR-rates'!$L$87</f>
        <v>1323.5</v>
      </c>
      <c r="I52" s="502" t="s">
        <v>41</v>
      </c>
      <c r="J52" s="514">
        <f>ROUND(B52*H52,2)</f>
        <v>7941</v>
      </c>
    </row>
    <row r="53" spans="1:10" s="483" customFormat="1" ht="20.100000000000001" customHeight="1">
      <c r="A53" s="494"/>
      <c r="B53" s="502"/>
      <c r="C53" s="505"/>
      <c r="D53" s="499" t="s">
        <v>60</v>
      </c>
      <c r="E53" s="498"/>
      <c r="F53" s="498"/>
      <c r="G53" s="498"/>
      <c r="H53" s="502"/>
      <c r="I53" s="502"/>
      <c r="J53" s="515">
        <f>SUM(J51:J52)</f>
        <v>12128.4</v>
      </c>
    </row>
    <row r="54" spans="1:10" ht="20.100000000000001" customHeight="1">
      <c r="A54" s="503"/>
      <c r="B54" s="494" t="s">
        <v>45</v>
      </c>
      <c r="C54" s="501" t="s">
        <v>71</v>
      </c>
      <c r="D54" s="498"/>
      <c r="E54" s="498"/>
      <c r="F54" s="498"/>
      <c r="G54" s="498"/>
      <c r="H54" s="502"/>
      <c r="I54" s="502"/>
      <c r="J54" s="499"/>
    </row>
    <row r="55" spans="1:10" ht="20.100000000000001" customHeight="1">
      <c r="A55" s="503"/>
      <c r="B55" s="502">
        <v>4</v>
      </c>
      <c r="C55" s="503" t="s">
        <v>29</v>
      </c>
      <c r="D55" s="498" t="s">
        <v>2020</v>
      </c>
      <c r="E55" s="498"/>
      <c r="F55" s="498"/>
      <c r="G55" s="498"/>
      <c r="H55" s="502">
        <f>+J53+J49+J41</f>
        <v>81011.27</v>
      </c>
      <c r="I55" s="488" t="s">
        <v>73</v>
      </c>
      <c r="J55" s="499">
        <f>ROUND(B55*H55/100,2)</f>
        <v>3240.45</v>
      </c>
    </row>
    <row r="56" spans="1:10" s="483" customFormat="1" ht="20.100000000000001" customHeight="1">
      <c r="A56" s="494"/>
      <c r="B56" s="494" t="s">
        <v>45</v>
      </c>
      <c r="C56" s="508" t="s">
        <v>1332</v>
      </c>
      <c r="D56" s="498"/>
      <c r="E56" s="498"/>
      <c r="F56" s="503"/>
      <c r="G56" s="503"/>
      <c r="H56" s="503"/>
      <c r="I56" s="503"/>
      <c r="J56" s="515"/>
    </row>
    <row r="57" spans="1:10" s="483" customFormat="1" ht="20.100000000000001" customHeight="1">
      <c r="A57" s="498"/>
      <c r="B57" s="509">
        <f>'Input Data'!$D$24</f>
        <v>0.13614999999999999</v>
      </c>
      <c r="C57" s="508" t="s">
        <v>1332</v>
      </c>
      <c r="D57" s="498"/>
      <c r="E57" s="498"/>
      <c r="F57" s="503"/>
      <c r="G57" s="503"/>
      <c r="H57" s="503"/>
      <c r="I57" s="503"/>
      <c r="J57" s="514">
        <f>ROUND((J41+J49+J53+J55)*B57,2)</f>
        <v>11470.87</v>
      </c>
    </row>
    <row r="58" spans="1:10" s="483" customFormat="1" ht="20.100000000000001" customHeight="1">
      <c r="A58" s="498"/>
      <c r="B58" s="510">
        <f>'Input Data'!$E$24</f>
        <v>0</v>
      </c>
      <c r="C58" s="511" t="s">
        <v>1314</v>
      </c>
      <c r="D58" s="498"/>
      <c r="E58" s="498"/>
      <c r="F58" s="503"/>
      <c r="G58" s="503"/>
      <c r="H58" s="505">
        <f>J41+J49+J53+J55+J57</f>
        <v>95722.589999999982</v>
      </c>
      <c r="I58" s="503"/>
      <c r="J58" s="514">
        <f>H58*B58</f>
        <v>0</v>
      </c>
    </row>
    <row r="59" spans="1:10" s="483" customFormat="1" ht="20.100000000000001" customHeight="1">
      <c r="A59" s="498"/>
      <c r="B59" s="494" t="s">
        <v>47</v>
      </c>
      <c r="C59" s="508" t="s">
        <v>89</v>
      </c>
      <c r="D59" s="498"/>
      <c r="E59" s="498"/>
      <c r="F59" s="503"/>
      <c r="G59" s="503"/>
      <c r="H59" s="503"/>
      <c r="I59" s="503"/>
      <c r="J59" s="515">
        <f>J41+J49+J53+J55+J57+J58</f>
        <v>95722.589999999982</v>
      </c>
    </row>
    <row r="60" spans="1:10" s="483" customFormat="1" ht="20.100000000000001" customHeight="1">
      <c r="A60" s="498"/>
      <c r="B60" s="507"/>
      <c r="C60" s="503"/>
      <c r="D60" s="501" t="s">
        <v>1951</v>
      </c>
      <c r="E60" s="498"/>
      <c r="F60" s="498"/>
      <c r="G60" s="498"/>
      <c r="H60" s="502"/>
      <c r="I60" s="502"/>
      <c r="J60" s="515">
        <f>SUM(J59:J59)</f>
        <v>95722.589999999982</v>
      </c>
    </row>
    <row r="61" spans="1:10" s="483" customFormat="1" ht="20.100000000000001" customHeight="1">
      <c r="A61" s="498"/>
      <c r="B61" s="502"/>
      <c r="C61" s="503"/>
      <c r="D61" s="499" t="s">
        <v>81</v>
      </c>
      <c r="E61" s="498"/>
      <c r="F61" s="498"/>
      <c r="G61" s="498"/>
      <c r="H61" s="502"/>
      <c r="I61" s="502"/>
      <c r="J61" s="514">
        <f>ROUND(J60/15,2)</f>
        <v>6381.51</v>
      </c>
    </row>
    <row r="62" spans="1:10" s="483" customFormat="1" ht="20.100000000000001" customHeight="1">
      <c r="A62" s="512"/>
      <c r="B62" s="488"/>
      <c r="C62" s="498"/>
      <c r="D62" s="499" t="s">
        <v>52</v>
      </c>
      <c r="E62" s="498"/>
      <c r="F62" s="498"/>
      <c r="G62" s="498"/>
      <c r="H62" s="502"/>
      <c r="I62" s="502"/>
      <c r="J62" s="516">
        <f>ROUND(J61,2)</f>
        <v>6381.51</v>
      </c>
    </row>
    <row r="63" spans="1:10" s="483" customFormat="1" ht="20.100000000000001" customHeight="1">
      <c r="A63" s="498"/>
      <c r="B63" s="488"/>
      <c r="C63" s="498"/>
      <c r="D63" s="499"/>
      <c r="E63" s="498"/>
      <c r="F63" s="498"/>
      <c r="G63" s="498"/>
      <c r="H63" s="502"/>
      <c r="I63" s="502"/>
      <c r="J63" s="515" t="s">
        <v>53</v>
      </c>
    </row>
    <row r="64" spans="1:10" s="482" customFormat="1" ht="111.6" customHeight="1">
      <c r="A64" s="497">
        <f>A33+1</f>
        <v>10</v>
      </c>
      <c r="B64" s="3814" t="s">
        <v>2021</v>
      </c>
      <c r="C64" s="3815"/>
      <c r="D64" s="3815"/>
      <c r="E64" s="3815"/>
      <c r="F64" s="3815"/>
      <c r="G64" s="3815"/>
      <c r="H64" s="3815"/>
      <c r="I64" s="3815"/>
      <c r="J64" s="3815"/>
    </row>
    <row r="65" spans="1:10" s="483" customFormat="1" ht="20.100000000000001" customHeight="1">
      <c r="A65" s="498"/>
      <c r="B65" s="488"/>
      <c r="C65" s="498"/>
      <c r="D65" s="499" t="s">
        <v>10</v>
      </c>
      <c r="E65" s="498"/>
      <c r="F65" s="498"/>
      <c r="G65" s="498"/>
      <c r="H65" s="498"/>
      <c r="I65" s="498"/>
      <c r="J65" s="498"/>
    </row>
    <row r="66" spans="1:10" s="483" customFormat="1" ht="20.100000000000001" customHeight="1">
      <c r="A66" s="498"/>
      <c r="B66" s="488"/>
      <c r="C66" s="498"/>
      <c r="D66" s="499" t="s">
        <v>56</v>
      </c>
      <c r="E66" s="498"/>
      <c r="F66" s="498"/>
      <c r="G66" s="498"/>
      <c r="H66" s="498"/>
      <c r="I66" s="498"/>
      <c r="J66" s="498"/>
    </row>
    <row r="67" spans="1:10" s="483" customFormat="1" ht="20.100000000000001" customHeight="1">
      <c r="A67" s="498"/>
      <c r="B67" s="494" t="s">
        <v>36</v>
      </c>
      <c r="C67" s="501" t="s">
        <v>37</v>
      </c>
      <c r="D67" s="498"/>
      <c r="E67" s="498"/>
      <c r="F67" s="498"/>
      <c r="G67" s="498"/>
      <c r="H67" s="498"/>
      <c r="I67" s="498"/>
      <c r="J67" s="498"/>
    </row>
    <row r="68" spans="1:10" s="483" customFormat="1" ht="20.100000000000001" customHeight="1">
      <c r="A68" s="498"/>
      <c r="B68" s="502">
        <v>0.86</v>
      </c>
      <c r="C68" s="503" t="s">
        <v>57</v>
      </c>
      <c r="D68" s="499" t="s">
        <v>14</v>
      </c>
      <c r="E68" s="498"/>
      <c r="F68" s="498"/>
      <c r="G68" s="498"/>
      <c r="H68" s="502">
        <f>'SSR-rates'!$L$58</f>
        <v>575</v>
      </c>
      <c r="I68" s="502" t="s">
        <v>38</v>
      </c>
      <c r="J68" s="514">
        <f>ROUND(B68*H68,2)</f>
        <v>494.5</v>
      </c>
    </row>
    <row r="69" spans="1:10" s="483" customFormat="1" ht="20.100000000000001" customHeight="1">
      <c r="A69" s="498"/>
      <c r="B69" s="502">
        <v>1.5</v>
      </c>
      <c r="C69" s="503" t="s">
        <v>57</v>
      </c>
      <c r="D69" s="499" t="s">
        <v>58</v>
      </c>
      <c r="E69" s="498"/>
      <c r="F69" s="498"/>
      <c r="G69" s="498"/>
      <c r="H69" s="502">
        <f>+'SSR-rates'!$L$54</f>
        <v>615</v>
      </c>
      <c r="I69" s="502" t="s">
        <v>38</v>
      </c>
      <c r="J69" s="514">
        <f>ROUND(B69*H69,2)</f>
        <v>922.5</v>
      </c>
    </row>
    <row r="70" spans="1:10" s="483" customFormat="1" ht="20.100000000000001" customHeight="1">
      <c r="A70" s="498"/>
      <c r="B70" s="502">
        <v>20</v>
      </c>
      <c r="C70" s="503" t="s">
        <v>57</v>
      </c>
      <c r="D70" s="499" t="s">
        <v>59</v>
      </c>
      <c r="E70" s="498"/>
      <c r="F70" s="498"/>
      <c r="G70" s="498"/>
      <c r="H70" s="502">
        <f>'SSR-rates'!$L$60</f>
        <v>575</v>
      </c>
      <c r="I70" s="502" t="s">
        <v>38</v>
      </c>
      <c r="J70" s="514">
        <f>ROUND(B70*H70,2)</f>
        <v>11500</v>
      </c>
    </row>
    <row r="71" spans="1:10" ht="20.100000000000001" customHeight="1">
      <c r="A71" s="494"/>
      <c r="B71" s="504">
        <f>+'Input Data'!D23</f>
        <v>0</v>
      </c>
      <c r="C71" s="505"/>
      <c r="D71" s="498" t="s">
        <v>17</v>
      </c>
      <c r="E71" s="498"/>
      <c r="F71" s="503"/>
      <c r="G71" s="503"/>
      <c r="H71" s="502">
        <f t="shared" ref="H71" si="1">+H40</f>
        <v>12917</v>
      </c>
      <c r="I71" s="488"/>
      <c r="J71" s="514">
        <f>B71*H71</f>
        <v>0</v>
      </c>
    </row>
    <row r="72" spans="1:10" s="483" customFormat="1" ht="20.100000000000001" customHeight="1">
      <c r="A72" s="498"/>
      <c r="B72" s="502"/>
      <c r="C72" s="498"/>
      <c r="D72" s="499" t="s">
        <v>60</v>
      </c>
      <c r="E72" s="498"/>
      <c r="F72" s="498"/>
      <c r="G72" s="498"/>
      <c r="H72" s="502"/>
      <c r="I72" s="502"/>
      <c r="J72" s="515">
        <f>SUM(J68:J71)</f>
        <v>12917</v>
      </c>
    </row>
    <row r="73" spans="1:10" s="483" customFormat="1" ht="20.100000000000001" customHeight="1">
      <c r="A73" s="498"/>
      <c r="B73" s="494" t="s">
        <v>39</v>
      </c>
      <c r="C73" s="501" t="s">
        <v>61</v>
      </c>
      <c r="D73" s="498"/>
      <c r="E73" s="498"/>
      <c r="F73" s="498"/>
      <c r="G73" s="498"/>
      <c r="H73" s="498"/>
      <c r="I73" s="502"/>
      <c r="J73" s="514"/>
    </row>
    <row r="74" spans="1:10" s="483" customFormat="1" ht="20.100000000000001" customHeight="1">
      <c r="A74" s="498"/>
      <c r="B74" s="502">
        <v>5.4</v>
      </c>
      <c r="C74" s="503" t="s">
        <v>31</v>
      </c>
      <c r="D74" s="499" t="s">
        <v>1997</v>
      </c>
      <c r="E74" s="498"/>
      <c r="F74" s="498"/>
      <c r="G74" s="498"/>
      <c r="H74" s="502">
        <f>+lead!$J$14</f>
        <v>1706.5179333714741</v>
      </c>
      <c r="I74" s="502" t="s">
        <v>31</v>
      </c>
      <c r="J74" s="514">
        <f t="shared" ref="J74:J79" si="2">ROUND(B74*H74,2)</f>
        <v>9215.2000000000007</v>
      </c>
    </row>
    <row r="75" spans="1:10" ht="20.100000000000001" customHeight="1">
      <c r="A75" s="503"/>
      <c r="B75" s="502">
        <v>5.4</v>
      </c>
      <c r="C75" s="503" t="s">
        <v>31</v>
      </c>
      <c r="D75" s="498" t="s">
        <v>63</v>
      </c>
      <c r="E75" s="498"/>
      <c r="F75" s="498"/>
      <c r="G75" s="498"/>
      <c r="H75" s="502">
        <f>+lead!$J$16</f>
        <v>2005.5179333714741</v>
      </c>
      <c r="I75" s="502" t="s">
        <v>31</v>
      </c>
      <c r="J75" s="499">
        <f t="shared" si="2"/>
        <v>10829.8</v>
      </c>
    </row>
    <row r="76" spans="1:10" ht="20.100000000000001" customHeight="1">
      <c r="A76" s="503"/>
      <c r="B76" s="502">
        <v>2.7</v>
      </c>
      <c r="C76" s="503" t="s">
        <v>31</v>
      </c>
      <c r="D76" s="498" t="s">
        <v>64</v>
      </c>
      <c r="E76" s="498"/>
      <c r="F76" s="498"/>
      <c r="G76" s="498"/>
      <c r="H76" s="502">
        <f>+lead!$J$18</f>
        <v>1754.5179333714741</v>
      </c>
      <c r="I76" s="502" t="s">
        <v>31</v>
      </c>
      <c r="J76" s="499">
        <f t="shared" si="2"/>
        <v>4737.2</v>
      </c>
    </row>
    <row r="77" spans="1:10" s="483" customFormat="1" ht="45" customHeight="1">
      <c r="A77" s="498"/>
      <c r="B77" s="507">
        <f>6.75/2</f>
        <v>3.375</v>
      </c>
      <c r="C77" s="503" t="s">
        <v>31</v>
      </c>
      <c r="D77" s="3813" t="s">
        <v>1852</v>
      </c>
      <c r="E77" s="3813"/>
      <c r="F77" s="3813"/>
      <c r="G77" s="3813"/>
      <c r="H77" s="506">
        <f>lead!$J$31</f>
        <v>1812.3700655723276</v>
      </c>
      <c r="I77" s="502" t="s">
        <v>31</v>
      </c>
      <c r="J77" s="514">
        <f t="shared" si="2"/>
        <v>6116.75</v>
      </c>
    </row>
    <row r="78" spans="1:10" s="483" customFormat="1" ht="35.1" customHeight="1">
      <c r="A78" s="498"/>
      <c r="B78" s="507">
        <f>6.75/2</f>
        <v>3.375</v>
      </c>
      <c r="C78" s="503" t="s">
        <v>31</v>
      </c>
      <c r="D78" s="3813" t="s">
        <v>1853</v>
      </c>
      <c r="E78" s="3813"/>
      <c r="F78" s="3813"/>
      <c r="G78" s="3813"/>
      <c r="H78" s="506">
        <f>lead!$J$33</f>
        <v>1447.5179333714741</v>
      </c>
      <c r="I78" s="502" t="s">
        <v>31</v>
      </c>
      <c r="J78" s="514">
        <f t="shared" si="2"/>
        <v>4885.37</v>
      </c>
    </row>
    <row r="79" spans="1:10" s="483" customFormat="1" ht="20.100000000000001" customHeight="1">
      <c r="A79" s="498"/>
      <c r="B79" s="502">
        <v>5.16</v>
      </c>
      <c r="C79" s="503" t="s">
        <v>66</v>
      </c>
      <c r="D79" s="499" t="s">
        <v>67</v>
      </c>
      <c r="E79" s="498"/>
      <c r="F79" s="498"/>
      <c r="G79" s="498"/>
      <c r="H79" s="502">
        <f>+lead!$J$36</f>
        <v>5000</v>
      </c>
      <c r="I79" s="502" t="s">
        <v>66</v>
      </c>
      <c r="J79" s="514">
        <f t="shared" si="2"/>
        <v>25800</v>
      </c>
    </row>
    <row r="80" spans="1:10" s="483" customFormat="1" ht="20.100000000000001" customHeight="1">
      <c r="A80" s="498"/>
      <c r="B80" s="507"/>
      <c r="C80" s="505"/>
      <c r="D80" s="499" t="s">
        <v>60</v>
      </c>
      <c r="E80" s="498"/>
      <c r="F80" s="498"/>
      <c r="G80" s="498"/>
      <c r="H80" s="502"/>
      <c r="I80" s="502"/>
      <c r="J80" s="515">
        <f>SUM(J74:J79)</f>
        <v>61584.32</v>
      </c>
    </row>
    <row r="81" spans="1:10" s="483" customFormat="1" ht="20.100000000000001" customHeight="1">
      <c r="A81" s="498"/>
      <c r="B81" s="494" t="s">
        <v>1998</v>
      </c>
      <c r="C81" s="501" t="s">
        <v>40</v>
      </c>
      <c r="D81" s="498"/>
      <c r="E81" s="498"/>
      <c r="F81" s="498"/>
      <c r="G81" s="498"/>
      <c r="H81" s="502"/>
      <c r="I81" s="502"/>
      <c r="J81" s="514"/>
    </row>
    <row r="82" spans="1:10" s="483" customFormat="1" ht="20.100000000000001" customHeight="1">
      <c r="A82" s="498"/>
      <c r="B82" s="502">
        <v>6</v>
      </c>
      <c r="C82" s="503" t="s">
        <v>41</v>
      </c>
      <c r="D82" s="499" t="s">
        <v>68</v>
      </c>
      <c r="E82" s="498"/>
      <c r="F82" s="498"/>
      <c r="G82" s="498"/>
      <c r="H82" s="502">
        <f>+'SSR-rates'!$L$88</f>
        <v>697.9</v>
      </c>
      <c r="I82" s="502" t="s">
        <v>41</v>
      </c>
      <c r="J82" s="514">
        <f>ROUND(B82*H82,2)</f>
        <v>4187.3999999999996</v>
      </c>
    </row>
    <row r="83" spans="1:10" s="483" customFormat="1" ht="20.100000000000001" customHeight="1">
      <c r="A83" s="494"/>
      <c r="B83" s="502">
        <v>6</v>
      </c>
      <c r="C83" s="503" t="s">
        <v>41</v>
      </c>
      <c r="D83" s="499" t="s">
        <v>69</v>
      </c>
      <c r="E83" s="498"/>
      <c r="F83" s="498"/>
      <c r="G83" s="498"/>
      <c r="H83" s="502">
        <f>+'SSR-rates'!$L$87</f>
        <v>1323.5</v>
      </c>
      <c r="I83" s="502" t="s">
        <v>41</v>
      </c>
      <c r="J83" s="514">
        <f>ROUND(B83*H83,2)</f>
        <v>7941</v>
      </c>
    </row>
    <row r="84" spans="1:10" s="483" customFormat="1" ht="20.100000000000001" customHeight="1">
      <c r="A84" s="494"/>
      <c r="B84" s="502"/>
      <c r="C84" s="505"/>
      <c r="D84" s="499" t="s">
        <v>60</v>
      </c>
      <c r="E84" s="498"/>
      <c r="F84" s="498"/>
      <c r="G84" s="498"/>
      <c r="H84" s="502"/>
      <c r="I84" s="502"/>
      <c r="J84" s="515">
        <f>SUM(J82:J83)</f>
        <v>12128.4</v>
      </c>
    </row>
    <row r="85" spans="1:10" ht="20.100000000000001" customHeight="1">
      <c r="A85" s="503"/>
      <c r="B85" s="494" t="s">
        <v>45</v>
      </c>
      <c r="C85" s="501" t="s">
        <v>71</v>
      </c>
      <c r="D85" s="498"/>
      <c r="E85" s="498"/>
      <c r="F85" s="498"/>
      <c r="G85" s="498"/>
      <c r="H85" s="502"/>
      <c r="I85" s="502"/>
      <c r="J85" s="499"/>
    </row>
    <row r="86" spans="1:10" ht="20.100000000000001" customHeight="1">
      <c r="A86" s="503"/>
      <c r="B86" s="502">
        <v>4</v>
      </c>
      <c r="C86" s="503" t="s">
        <v>29</v>
      </c>
      <c r="D86" s="498" t="s">
        <v>2020</v>
      </c>
      <c r="E86" s="498"/>
      <c r="F86" s="498"/>
      <c r="G86" s="498"/>
      <c r="H86" s="502">
        <f>+J84+J80+J72</f>
        <v>86629.72</v>
      </c>
      <c r="I86" s="488" t="s">
        <v>73</v>
      </c>
      <c r="J86" s="499">
        <f>ROUND(B86*H86/100,2)</f>
        <v>3465.19</v>
      </c>
    </row>
    <row r="87" spans="1:10" s="483" customFormat="1" ht="20.100000000000001" customHeight="1">
      <c r="A87" s="494"/>
      <c r="B87" s="494" t="s">
        <v>45</v>
      </c>
      <c r="C87" s="508" t="s">
        <v>1332</v>
      </c>
      <c r="D87" s="498"/>
      <c r="E87" s="498"/>
      <c r="F87" s="503"/>
      <c r="G87" s="503"/>
      <c r="H87" s="503"/>
      <c r="I87" s="503"/>
      <c r="J87" s="515"/>
    </row>
    <row r="88" spans="1:10" s="483" customFormat="1" ht="20.100000000000001" customHeight="1">
      <c r="A88" s="498"/>
      <c r="B88" s="509">
        <f>'Input Data'!$D$24</f>
        <v>0.13614999999999999</v>
      </c>
      <c r="C88" s="508" t="s">
        <v>1332</v>
      </c>
      <c r="D88" s="498"/>
      <c r="E88" s="498"/>
      <c r="F88" s="503"/>
      <c r="G88" s="503"/>
      <c r="H88" s="505"/>
      <c r="I88" s="503"/>
      <c r="J88" s="514">
        <f>ROUND((J72+J80+J84+J86)*B88,2)</f>
        <v>12266.42</v>
      </c>
    </row>
    <row r="89" spans="1:10" s="483" customFormat="1" ht="20.100000000000001" customHeight="1">
      <c r="A89" s="498"/>
      <c r="B89" s="510">
        <f>'Input Data'!$E$24</f>
        <v>0</v>
      </c>
      <c r="C89" s="511" t="s">
        <v>1314</v>
      </c>
      <c r="D89" s="498"/>
      <c r="E89" s="498"/>
      <c r="F89" s="503"/>
      <c r="G89" s="503"/>
      <c r="H89" s="505">
        <f>J72+J80+J84+J86+J88</f>
        <v>102361.33</v>
      </c>
      <c r="I89" s="503"/>
      <c r="J89" s="514">
        <f>H89*B89</f>
        <v>0</v>
      </c>
    </row>
    <row r="90" spans="1:10" s="483" customFormat="1" ht="20.100000000000001" customHeight="1">
      <c r="A90" s="498"/>
      <c r="B90" s="494" t="s">
        <v>47</v>
      </c>
      <c r="C90" s="508" t="s">
        <v>89</v>
      </c>
      <c r="D90" s="498"/>
      <c r="E90" s="498"/>
      <c r="F90" s="503"/>
      <c r="G90" s="503"/>
      <c r="H90" s="503"/>
      <c r="I90" s="503"/>
      <c r="J90" s="515">
        <f>J72+J80+J84+J86+J88+J89</f>
        <v>102361.33</v>
      </c>
    </row>
    <row r="91" spans="1:10" s="483" customFormat="1" ht="20.100000000000001" customHeight="1">
      <c r="A91" s="498"/>
      <c r="B91" s="507"/>
      <c r="C91" s="503"/>
      <c r="D91" s="501" t="s">
        <v>1951</v>
      </c>
      <c r="E91" s="498"/>
      <c r="F91" s="498"/>
      <c r="G91" s="498"/>
      <c r="H91" s="502"/>
      <c r="I91" s="502"/>
      <c r="J91" s="515">
        <f>SUM(J90:J90)</f>
        <v>102361.33</v>
      </c>
    </row>
    <row r="92" spans="1:10" s="483" customFormat="1" ht="20.100000000000001" customHeight="1">
      <c r="A92" s="498"/>
      <c r="B92" s="502"/>
      <c r="C92" s="503"/>
      <c r="D92" s="499" t="s">
        <v>81</v>
      </c>
      <c r="E92" s="498"/>
      <c r="F92" s="498"/>
      <c r="G92" s="498"/>
      <c r="H92" s="502"/>
      <c r="I92" s="498"/>
      <c r="J92" s="514">
        <f>ROUND(J91/15,2)</f>
        <v>6824.09</v>
      </c>
    </row>
    <row r="93" spans="1:10" s="483" customFormat="1" ht="20.100000000000001" customHeight="1">
      <c r="A93" s="512"/>
      <c r="B93" s="488"/>
      <c r="C93" s="498"/>
      <c r="D93" s="499" t="s">
        <v>52</v>
      </c>
      <c r="E93" s="498"/>
      <c r="F93" s="498"/>
      <c r="G93" s="498"/>
      <c r="H93" s="502"/>
      <c r="I93" s="498"/>
      <c r="J93" s="516">
        <f>ROUND(J92,2)</f>
        <v>6824.09</v>
      </c>
    </row>
    <row r="94" spans="1:10" s="483" customFormat="1" ht="20.100000000000001" customHeight="1">
      <c r="A94" s="498"/>
      <c r="B94" s="488"/>
      <c r="C94" s="498"/>
      <c r="D94" s="499"/>
      <c r="E94" s="498"/>
      <c r="F94" s="498"/>
      <c r="G94" s="498"/>
      <c r="H94" s="502"/>
      <c r="I94" s="498"/>
      <c r="J94" s="515" t="s">
        <v>53</v>
      </c>
    </row>
    <row r="95" spans="1:10" ht="135" customHeight="1">
      <c r="A95" s="517">
        <f>A64+1</f>
        <v>11</v>
      </c>
      <c r="B95" s="3816" t="s">
        <v>2022</v>
      </c>
      <c r="C95" s="3816"/>
      <c r="D95" s="3816"/>
      <c r="E95" s="3816"/>
      <c r="F95" s="3816"/>
      <c r="G95" s="3816"/>
      <c r="H95" s="3816"/>
      <c r="I95" s="3816"/>
      <c r="J95" s="3816"/>
    </row>
    <row r="96" spans="1:10" ht="20.100000000000001" customHeight="1">
      <c r="A96" s="503"/>
      <c r="B96" s="488"/>
      <c r="C96" s="498"/>
      <c r="D96" s="499" t="s">
        <v>10</v>
      </c>
      <c r="E96" s="498"/>
      <c r="F96" s="508" t="s">
        <v>169</v>
      </c>
      <c r="G96" s="498"/>
      <c r="H96" s="498"/>
      <c r="I96" s="498"/>
      <c r="J96" s="498"/>
    </row>
    <row r="97" spans="1:10" ht="20.100000000000001" customHeight="1">
      <c r="A97" s="503"/>
      <c r="B97" s="488"/>
      <c r="C97" s="498"/>
      <c r="D97" s="499" t="s">
        <v>2023</v>
      </c>
      <c r="E97" s="498"/>
      <c r="F97" s="498"/>
      <c r="G97" s="498"/>
      <c r="H97" s="498"/>
      <c r="I97" s="498"/>
      <c r="J97" s="498"/>
    </row>
    <row r="98" spans="1:10" ht="20.100000000000001" customHeight="1">
      <c r="A98" s="503"/>
      <c r="B98" s="494" t="s">
        <v>36</v>
      </c>
      <c r="C98" s="501" t="s">
        <v>37</v>
      </c>
      <c r="D98" s="498"/>
      <c r="E98" s="498"/>
      <c r="F98" s="498"/>
      <c r="G98" s="498"/>
      <c r="H98" s="498"/>
      <c r="I98" s="498"/>
      <c r="J98" s="498"/>
    </row>
    <row r="99" spans="1:10" ht="20.100000000000001" customHeight="1">
      <c r="A99" s="503"/>
      <c r="B99" s="502">
        <v>0.86</v>
      </c>
      <c r="C99" s="503" t="s">
        <v>57</v>
      </c>
      <c r="D99" s="499" t="s">
        <v>156</v>
      </c>
      <c r="E99" s="498"/>
      <c r="F99" s="498"/>
      <c r="G99" s="498"/>
      <c r="H99" s="502">
        <f>+'SSR-rates'!$L$58</f>
        <v>575</v>
      </c>
      <c r="I99" s="488" t="s">
        <v>38</v>
      </c>
      <c r="J99" s="499">
        <f>ROUND(B99*H99,2)</f>
        <v>494.5</v>
      </c>
    </row>
    <row r="100" spans="1:10" ht="20.100000000000001" customHeight="1">
      <c r="A100" s="503"/>
      <c r="B100" s="502">
        <v>1.5</v>
      </c>
      <c r="C100" s="503" t="s">
        <v>57</v>
      </c>
      <c r="D100" s="499" t="s">
        <v>58</v>
      </c>
      <c r="E100" s="498"/>
      <c r="F100" s="498"/>
      <c r="G100" s="498"/>
      <c r="H100" s="502">
        <f>+'SSR-rates'!$L$54</f>
        <v>615</v>
      </c>
      <c r="I100" s="488" t="s">
        <v>38</v>
      </c>
      <c r="J100" s="499">
        <f>ROUND(B100*H100,2)</f>
        <v>922.5</v>
      </c>
    </row>
    <row r="101" spans="1:10" ht="20.100000000000001" customHeight="1">
      <c r="A101" s="503"/>
      <c r="B101" s="502">
        <v>20</v>
      </c>
      <c r="C101" s="503" t="s">
        <v>57</v>
      </c>
      <c r="D101" s="499" t="s">
        <v>59</v>
      </c>
      <c r="E101" s="498"/>
      <c r="F101" s="498"/>
      <c r="G101" s="498"/>
      <c r="H101" s="502">
        <f>'SSR-rates'!$L$60</f>
        <v>575</v>
      </c>
      <c r="I101" s="488" t="s">
        <v>38</v>
      </c>
      <c r="J101" s="499">
        <f>ROUND(B101*H101,2)</f>
        <v>11500</v>
      </c>
    </row>
    <row r="102" spans="1:10" ht="20.100000000000001" customHeight="1">
      <c r="A102" s="508"/>
      <c r="B102" s="504">
        <f>'Input Data'!$D$23</f>
        <v>0</v>
      </c>
      <c r="C102" s="505"/>
      <c r="D102" s="498" t="s">
        <v>17</v>
      </c>
      <c r="E102" s="498"/>
      <c r="F102" s="503"/>
      <c r="G102" s="503"/>
      <c r="H102" s="502">
        <f>SUM(J99:J101)</f>
        <v>12917</v>
      </c>
      <c r="I102" s="488"/>
      <c r="J102" s="499">
        <f>B102*H102</f>
        <v>0</v>
      </c>
    </row>
    <row r="103" spans="1:10" ht="20.100000000000001" customHeight="1">
      <c r="A103" s="503"/>
      <c r="B103" s="502"/>
      <c r="C103" s="503"/>
      <c r="D103" s="499" t="s">
        <v>60</v>
      </c>
      <c r="E103" s="498"/>
      <c r="F103" s="498"/>
      <c r="G103" s="498"/>
      <c r="H103" s="502"/>
      <c r="I103" s="502"/>
      <c r="J103" s="499">
        <f>SUM(J99:J102)</f>
        <v>12917</v>
      </c>
    </row>
    <row r="104" spans="1:10" ht="20.100000000000001" customHeight="1">
      <c r="A104" s="503"/>
      <c r="B104" s="494" t="s">
        <v>39</v>
      </c>
      <c r="C104" s="501" t="s">
        <v>61</v>
      </c>
      <c r="D104" s="498"/>
      <c r="E104" s="498"/>
      <c r="F104" s="498"/>
      <c r="G104" s="498"/>
      <c r="H104" s="502"/>
      <c r="I104" s="502"/>
      <c r="J104" s="499"/>
    </row>
    <row r="105" spans="1:10" ht="20.100000000000001" customHeight="1">
      <c r="A105" s="503"/>
      <c r="B105" s="502">
        <v>8.1</v>
      </c>
      <c r="C105" s="503" t="s">
        <v>31</v>
      </c>
      <c r="D105" s="498" t="s">
        <v>63</v>
      </c>
      <c r="E105" s="498"/>
      <c r="F105" s="498"/>
      <c r="G105" s="498"/>
      <c r="H105" s="502">
        <f>lead!$J$16</f>
        <v>2005.5179333714741</v>
      </c>
      <c r="I105" s="502" t="s">
        <v>31</v>
      </c>
      <c r="J105" s="499">
        <f>ROUND(B105*H105,2)</f>
        <v>16244.7</v>
      </c>
    </row>
    <row r="106" spans="1:10" ht="20.100000000000001" customHeight="1">
      <c r="A106" s="503"/>
      <c r="B106" s="502">
        <v>5.4</v>
      </c>
      <c r="C106" s="503" t="s">
        <v>31</v>
      </c>
      <c r="D106" s="498" t="s">
        <v>64</v>
      </c>
      <c r="E106" s="498"/>
      <c r="F106" s="498"/>
      <c r="G106" s="498"/>
      <c r="H106" s="502">
        <f>lead!$J$18</f>
        <v>1754.5179333714741</v>
      </c>
      <c r="I106" s="502" t="s">
        <v>31</v>
      </c>
      <c r="J106" s="499">
        <f>ROUND(B106*H106,2)</f>
        <v>9474.4</v>
      </c>
    </row>
    <row r="107" spans="1:10" ht="45" customHeight="1">
      <c r="A107" s="503"/>
      <c r="B107" s="507">
        <f>6.75/2</f>
        <v>3.375</v>
      </c>
      <c r="C107" s="503" t="s">
        <v>31</v>
      </c>
      <c r="D107" s="3813" t="s">
        <v>1852</v>
      </c>
      <c r="E107" s="3813"/>
      <c r="F107" s="3813"/>
      <c r="G107" s="3813"/>
      <c r="H107" s="506">
        <f>lead!$J$31</f>
        <v>1812.3700655723276</v>
      </c>
      <c r="I107" s="502" t="s">
        <v>31</v>
      </c>
      <c r="J107" s="514">
        <f>ROUND(B107*H107,2)</f>
        <v>6116.75</v>
      </c>
    </row>
    <row r="108" spans="1:10" ht="35.1" customHeight="1">
      <c r="A108" s="503"/>
      <c r="B108" s="507">
        <f>6.75/2</f>
        <v>3.375</v>
      </c>
      <c r="C108" s="503" t="s">
        <v>31</v>
      </c>
      <c r="D108" s="3813" t="s">
        <v>1853</v>
      </c>
      <c r="E108" s="3813"/>
      <c r="F108" s="3813"/>
      <c r="G108" s="3813"/>
      <c r="H108" s="506">
        <f>lead!$J$33</f>
        <v>1447.5179333714741</v>
      </c>
      <c r="I108" s="502" t="s">
        <v>31</v>
      </c>
      <c r="J108" s="514">
        <f>ROUND(B108*H108,2)</f>
        <v>4885.37</v>
      </c>
    </row>
    <row r="109" spans="1:10" ht="20.100000000000001" customHeight="1">
      <c r="A109" s="503"/>
      <c r="B109" s="507">
        <v>6.05</v>
      </c>
      <c r="C109" s="503" t="s">
        <v>66</v>
      </c>
      <c r="D109" s="499" t="s">
        <v>67</v>
      </c>
      <c r="E109" s="498"/>
      <c r="F109" s="498"/>
      <c r="G109" s="498"/>
      <c r="H109" s="502">
        <f>lead!$J$36</f>
        <v>5000</v>
      </c>
      <c r="I109" s="502" t="s">
        <v>66</v>
      </c>
      <c r="J109" s="499">
        <f>ROUND(B109*H109,2)</f>
        <v>30250</v>
      </c>
    </row>
    <row r="110" spans="1:10" ht="20.100000000000001" customHeight="1">
      <c r="A110" s="503"/>
      <c r="B110" s="502"/>
      <c r="C110" s="498"/>
      <c r="D110" s="499" t="s">
        <v>60</v>
      </c>
      <c r="E110" s="498"/>
      <c r="F110" s="498"/>
      <c r="G110" s="498"/>
      <c r="H110" s="502"/>
      <c r="I110" s="502"/>
      <c r="J110" s="499">
        <f>SUM(J105:J109)</f>
        <v>66971.22</v>
      </c>
    </row>
    <row r="111" spans="1:10" ht="20.100000000000001" customHeight="1">
      <c r="A111" s="503"/>
      <c r="B111" s="494" t="s">
        <v>27</v>
      </c>
      <c r="C111" s="501" t="s">
        <v>40</v>
      </c>
      <c r="D111" s="498"/>
      <c r="E111" s="498"/>
      <c r="F111" s="498"/>
      <c r="G111" s="498"/>
      <c r="H111" s="502"/>
      <c r="I111" s="502"/>
      <c r="J111" s="499"/>
    </row>
    <row r="112" spans="1:10" ht="20.100000000000001" customHeight="1">
      <c r="A112" s="503"/>
      <c r="B112" s="502">
        <v>6</v>
      </c>
      <c r="C112" s="503" t="s">
        <v>41</v>
      </c>
      <c r="D112" s="499" t="s">
        <v>68</v>
      </c>
      <c r="E112" s="498"/>
      <c r="F112" s="498"/>
      <c r="G112" s="498"/>
      <c r="H112" s="502">
        <f>+'SSR-rates'!$L$88</f>
        <v>697.9</v>
      </c>
      <c r="I112" s="502" t="s">
        <v>41</v>
      </c>
      <c r="J112" s="499">
        <f t="shared" ref="J112:J113" si="3">ROUND(B112*H112,2)</f>
        <v>4187.3999999999996</v>
      </c>
    </row>
    <row r="113" spans="1:10" ht="20.100000000000001" customHeight="1">
      <c r="A113" s="503"/>
      <c r="B113" s="502">
        <v>6</v>
      </c>
      <c r="C113" s="503" t="s">
        <v>41</v>
      </c>
      <c r="D113" s="499" t="s">
        <v>1999</v>
      </c>
      <c r="E113" s="498"/>
      <c r="F113" s="498"/>
      <c r="G113" s="498"/>
      <c r="H113" s="502">
        <f>+'SSR-rates'!$L$87</f>
        <v>1323.5</v>
      </c>
      <c r="I113" s="502" t="s">
        <v>41</v>
      </c>
      <c r="J113" s="499">
        <f t="shared" si="3"/>
        <v>7941</v>
      </c>
    </row>
    <row r="114" spans="1:10" ht="20.100000000000001" customHeight="1">
      <c r="A114" s="503"/>
      <c r="B114" s="502"/>
      <c r="C114" s="505"/>
      <c r="D114" s="499" t="s">
        <v>60</v>
      </c>
      <c r="E114" s="498"/>
      <c r="F114" s="498"/>
      <c r="G114" s="498"/>
      <c r="H114" s="502"/>
      <c r="I114" s="502"/>
      <c r="J114" s="499">
        <f>SUM(J112:J113)</f>
        <v>12128.4</v>
      </c>
    </row>
    <row r="115" spans="1:10" ht="20.100000000000001" customHeight="1">
      <c r="A115" s="503"/>
      <c r="B115" s="494" t="s">
        <v>45</v>
      </c>
      <c r="C115" s="501" t="s">
        <v>71</v>
      </c>
      <c r="D115" s="498"/>
      <c r="E115" s="498"/>
      <c r="F115" s="498"/>
      <c r="G115" s="498"/>
      <c r="H115" s="502"/>
      <c r="I115" s="502"/>
      <c r="J115" s="499"/>
    </row>
    <row r="116" spans="1:10" ht="20.100000000000001" customHeight="1">
      <c r="A116" s="503"/>
      <c r="B116" s="502">
        <v>3.75</v>
      </c>
      <c r="C116" s="503" t="s">
        <v>29</v>
      </c>
      <c r="D116" s="498" t="s">
        <v>157</v>
      </c>
      <c r="E116" s="498"/>
      <c r="F116" s="498"/>
      <c r="G116" s="498"/>
      <c r="H116" s="502">
        <f>J103+J110+J114</f>
        <v>92016.62</v>
      </c>
      <c r="I116" s="488" t="s">
        <v>73</v>
      </c>
      <c r="J116" s="499">
        <f>ROUND(B116*H116/100,2)</f>
        <v>3450.62</v>
      </c>
    </row>
    <row r="117" spans="1:10" ht="20.100000000000001" customHeight="1">
      <c r="A117" s="508"/>
      <c r="B117" s="494" t="s">
        <v>47</v>
      </c>
      <c r="C117" s="508" t="s">
        <v>1283</v>
      </c>
      <c r="D117" s="498"/>
      <c r="E117" s="498"/>
      <c r="F117" s="503"/>
      <c r="G117" s="503"/>
      <c r="H117" s="503"/>
      <c r="I117" s="503"/>
      <c r="J117" s="501"/>
    </row>
    <row r="118" spans="1:10" ht="35.1" customHeight="1">
      <c r="A118" s="508"/>
      <c r="B118" s="509">
        <f>'Input Data'!$D$24</f>
        <v>0.13614999999999999</v>
      </c>
      <c r="C118" s="3817" t="str">
        <f>"Over head charges &amp; CP "&amp;'Input Data'!$D$24*100&amp;"%  on (A) + (B)+(C)+(D)"</f>
        <v>Over head charges &amp; CP 13.615%  on (A) + (B)+(C)+(D)</v>
      </c>
      <c r="D118" s="3817"/>
      <c r="E118" s="3817"/>
      <c r="F118" s="3817"/>
      <c r="G118" s="3817"/>
      <c r="H118" s="505">
        <f>J116+J114+J110+J103</f>
        <v>95467.24</v>
      </c>
      <c r="I118" s="503"/>
      <c r="J118" s="499">
        <f>H118*B118</f>
        <v>12997.864726</v>
      </c>
    </row>
    <row r="119" spans="1:10" ht="20.100000000000001" customHeight="1">
      <c r="A119" s="508"/>
      <c r="B119" s="510">
        <f>'Input Data'!$E$24</f>
        <v>0</v>
      </c>
      <c r="C119" s="511" t="s">
        <v>1314</v>
      </c>
      <c r="D119" s="506"/>
      <c r="E119" s="506"/>
      <c r="F119" s="506"/>
      <c r="G119" s="506"/>
      <c r="H119" s="505">
        <f>J103+J110+J114+J116+J118</f>
        <v>108465.10472599999</v>
      </c>
      <c r="I119" s="503"/>
      <c r="J119" s="499">
        <f>H119*B119</f>
        <v>0</v>
      </c>
    </row>
    <row r="120" spans="1:10" ht="20.100000000000001" customHeight="1">
      <c r="A120" s="508"/>
      <c r="B120" s="494" t="s">
        <v>76</v>
      </c>
      <c r="C120" s="508" t="s">
        <v>77</v>
      </c>
      <c r="D120" s="498"/>
      <c r="E120" s="498"/>
      <c r="F120" s="503"/>
      <c r="G120" s="503"/>
      <c r="H120" s="503"/>
      <c r="I120" s="503"/>
      <c r="J120" s="518">
        <f>J103+J110+J114+J116+J118+J119</f>
        <v>108465.10472599999</v>
      </c>
    </row>
    <row r="121" spans="1:10" ht="20.100000000000001" customHeight="1">
      <c r="A121" s="503"/>
      <c r="B121" s="502"/>
      <c r="C121" s="503"/>
      <c r="D121" s="501" t="s">
        <v>1951</v>
      </c>
      <c r="E121" s="498"/>
      <c r="F121" s="498"/>
      <c r="G121" s="498"/>
      <c r="H121" s="502"/>
      <c r="I121" s="502"/>
      <c r="J121" s="518">
        <f>SUM(J120:J120)</f>
        <v>108465.10472599999</v>
      </c>
    </row>
    <row r="122" spans="1:10" ht="20.100000000000001" customHeight="1">
      <c r="A122" s="503"/>
      <c r="B122" s="502"/>
      <c r="C122" s="503"/>
      <c r="D122" s="499" t="s">
        <v>81</v>
      </c>
      <c r="E122" s="498"/>
      <c r="F122" s="498"/>
      <c r="G122" s="498"/>
      <c r="H122" s="502"/>
      <c r="I122" s="502"/>
      <c r="J122" s="499">
        <f>ROUND(J121/15,2)</f>
        <v>7231.01</v>
      </c>
    </row>
    <row r="123" spans="1:10" ht="20.100000000000001" customHeight="1">
      <c r="A123" s="503"/>
      <c r="B123" s="488"/>
      <c r="C123" s="498"/>
      <c r="D123" s="499" t="s">
        <v>52</v>
      </c>
      <c r="E123" s="498"/>
      <c r="F123" s="498"/>
      <c r="G123" s="498"/>
      <c r="H123" s="502"/>
      <c r="I123" s="502"/>
      <c r="J123" s="519">
        <f>ROUND(J122,2)</f>
        <v>7231.01</v>
      </c>
    </row>
    <row r="124" spans="1:10" ht="20.100000000000001" customHeight="1">
      <c r="A124" s="503"/>
      <c r="B124" s="488"/>
      <c r="C124" s="498"/>
      <c r="D124" s="499"/>
      <c r="E124" s="498"/>
      <c r="F124" s="498"/>
      <c r="G124" s="498"/>
      <c r="H124" s="502"/>
      <c r="I124" s="502"/>
      <c r="J124" s="515" t="s">
        <v>53</v>
      </c>
    </row>
    <row r="125" spans="1:10" ht="124.15" customHeight="1">
      <c r="A125" s="517">
        <f>A95+1</f>
        <v>12</v>
      </c>
      <c r="B125" s="3816" t="s">
        <v>2024</v>
      </c>
      <c r="C125" s="3816"/>
      <c r="D125" s="3816"/>
      <c r="E125" s="3816"/>
      <c r="F125" s="3816"/>
      <c r="G125" s="3816"/>
      <c r="H125" s="3816"/>
      <c r="I125" s="3816"/>
      <c r="J125" s="3816"/>
    </row>
    <row r="126" spans="1:10" ht="20.100000000000001" customHeight="1">
      <c r="A126" s="503"/>
      <c r="B126" s="488"/>
      <c r="C126" s="498"/>
      <c r="D126" s="499" t="s">
        <v>10</v>
      </c>
      <c r="E126" s="498"/>
      <c r="F126" s="508" t="s">
        <v>2025</v>
      </c>
      <c r="G126" s="498"/>
      <c r="H126" s="498"/>
      <c r="I126" s="498"/>
      <c r="J126" s="498"/>
    </row>
    <row r="127" spans="1:10" ht="20.100000000000001" customHeight="1">
      <c r="A127" s="503"/>
      <c r="B127" s="488"/>
      <c r="C127" s="498"/>
      <c r="D127" s="499" t="s">
        <v>2023</v>
      </c>
      <c r="E127" s="498"/>
      <c r="F127" s="498"/>
      <c r="G127" s="498"/>
      <c r="H127" s="498"/>
      <c r="I127" s="498"/>
      <c r="J127" s="498"/>
    </row>
    <row r="128" spans="1:10" ht="20.100000000000001" customHeight="1">
      <c r="A128" s="503"/>
      <c r="B128" s="494" t="s">
        <v>36</v>
      </c>
      <c r="C128" s="501" t="s">
        <v>37</v>
      </c>
      <c r="D128" s="498"/>
      <c r="E128" s="498"/>
      <c r="F128" s="498"/>
      <c r="G128" s="498"/>
      <c r="H128" s="498"/>
      <c r="I128" s="498"/>
      <c r="J128" s="498"/>
    </row>
    <row r="129" spans="1:10" ht="20.100000000000001" customHeight="1">
      <c r="A129" s="503"/>
      <c r="B129" s="502">
        <v>0.86</v>
      </c>
      <c r="C129" s="503" t="s">
        <v>57</v>
      </c>
      <c r="D129" s="499" t="s">
        <v>156</v>
      </c>
      <c r="E129" s="498"/>
      <c r="F129" s="498"/>
      <c r="G129" s="498"/>
      <c r="H129" s="502">
        <f>'SSR-rates'!$L$58</f>
        <v>575</v>
      </c>
      <c r="I129" s="488" t="s">
        <v>38</v>
      </c>
      <c r="J129" s="499">
        <f>ROUND(B129*H129,2)</f>
        <v>494.5</v>
      </c>
    </row>
    <row r="130" spans="1:10" ht="20.100000000000001" customHeight="1">
      <c r="A130" s="503"/>
      <c r="B130" s="502">
        <v>1.5</v>
      </c>
      <c r="C130" s="503" t="s">
        <v>57</v>
      </c>
      <c r="D130" s="499" t="s">
        <v>58</v>
      </c>
      <c r="E130" s="498"/>
      <c r="F130" s="498"/>
      <c r="G130" s="498"/>
      <c r="H130" s="502">
        <f>+'SSR-rates'!$L$54</f>
        <v>615</v>
      </c>
      <c r="I130" s="488" t="s">
        <v>38</v>
      </c>
      <c r="J130" s="499">
        <f>ROUND(B130*H130,2)</f>
        <v>922.5</v>
      </c>
    </row>
    <row r="131" spans="1:10" ht="20.100000000000001" customHeight="1">
      <c r="A131" s="503"/>
      <c r="B131" s="502">
        <v>20</v>
      </c>
      <c r="C131" s="503" t="s">
        <v>57</v>
      </c>
      <c r="D131" s="499" t="s">
        <v>59</v>
      </c>
      <c r="E131" s="498"/>
      <c r="F131" s="498"/>
      <c r="G131" s="498"/>
      <c r="H131" s="502">
        <f>'SSR-rates'!$L$60</f>
        <v>575</v>
      </c>
      <c r="I131" s="488" t="s">
        <v>38</v>
      </c>
      <c r="J131" s="499">
        <f>ROUND(B131*H131,2)</f>
        <v>11500</v>
      </c>
    </row>
    <row r="132" spans="1:10" ht="20.100000000000001" customHeight="1">
      <c r="A132" s="508"/>
      <c r="B132" s="504">
        <f>'Input Data'!$D$23</f>
        <v>0</v>
      </c>
      <c r="C132" s="505"/>
      <c r="D132" s="498" t="s">
        <v>17</v>
      </c>
      <c r="E132" s="498"/>
      <c r="F132" s="503"/>
      <c r="G132" s="503"/>
      <c r="H132" s="502">
        <f>SUM(J129:J131)</f>
        <v>12917</v>
      </c>
      <c r="I132" s="488"/>
      <c r="J132" s="499">
        <f>B132*H132</f>
        <v>0</v>
      </c>
    </row>
    <row r="133" spans="1:10" ht="20.100000000000001" customHeight="1">
      <c r="A133" s="503"/>
      <c r="B133" s="502"/>
      <c r="C133" s="503"/>
      <c r="D133" s="499" t="s">
        <v>60</v>
      </c>
      <c r="E133" s="498"/>
      <c r="F133" s="498"/>
      <c r="G133" s="498"/>
      <c r="H133" s="502"/>
      <c r="I133" s="502"/>
      <c r="J133" s="499">
        <f>SUM(J129:J132)</f>
        <v>12917</v>
      </c>
    </row>
    <row r="134" spans="1:10" ht="20.100000000000001" customHeight="1">
      <c r="A134" s="503"/>
      <c r="B134" s="494" t="s">
        <v>39</v>
      </c>
      <c r="C134" s="501" t="s">
        <v>61</v>
      </c>
      <c r="D134" s="498"/>
      <c r="E134" s="498"/>
      <c r="F134" s="498"/>
      <c r="G134" s="498"/>
      <c r="H134" s="502"/>
      <c r="I134" s="502"/>
      <c r="J134" s="499"/>
    </row>
    <row r="135" spans="1:10" ht="20.100000000000001" customHeight="1">
      <c r="A135" s="503"/>
      <c r="B135" s="502">
        <v>8.1</v>
      </c>
      <c r="C135" s="503" t="s">
        <v>31</v>
      </c>
      <c r="D135" s="498" t="s">
        <v>63</v>
      </c>
      <c r="E135" s="498"/>
      <c r="F135" s="498"/>
      <c r="G135" s="498"/>
      <c r="H135" s="502">
        <f>lead!$J$16</f>
        <v>2005.5179333714741</v>
      </c>
      <c r="I135" s="502" t="s">
        <v>31</v>
      </c>
      <c r="J135" s="499">
        <f>ROUND(B135*H135,2)</f>
        <v>16244.7</v>
      </c>
    </row>
    <row r="136" spans="1:10" ht="20.100000000000001" customHeight="1">
      <c r="A136" s="503"/>
      <c r="B136" s="502">
        <v>5.4</v>
      </c>
      <c r="C136" s="503" t="s">
        <v>31</v>
      </c>
      <c r="D136" s="498" t="s">
        <v>64</v>
      </c>
      <c r="E136" s="498"/>
      <c r="F136" s="498"/>
      <c r="G136" s="498"/>
      <c r="H136" s="502">
        <f>lead!$J$18</f>
        <v>1754.5179333714741</v>
      </c>
      <c r="I136" s="502" t="s">
        <v>31</v>
      </c>
      <c r="J136" s="499">
        <f>ROUND(B136*H136,2)</f>
        <v>9474.4</v>
      </c>
    </row>
    <row r="137" spans="1:10" ht="45" customHeight="1">
      <c r="A137" s="503"/>
      <c r="B137" s="507">
        <f>6.75/2</f>
        <v>3.375</v>
      </c>
      <c r="C137" s="503" t="s">
        <v>31</v>
      </c>
      <c r="D137" s="3813" t="s">
        <v>1852</v>
      </c>
      <c r="E137" s="3813"/>
      <c r="F137" s="3813"/>
      <c r="G137" s="3813"/>
      <c r="H137" s="506">
        <f>lead!$J$31</f>
        <v>1812.3700655723276</v>
      </c>
      <c r="I137" s="502" t="s">
        <v>31</v>
      </c>
      <c r="J137" s="514">
        <f>ROUND(B137*H137,2)</f>
        <v>6116.75</v>
      </c>
    </row>
    <row r="138" spans="1:10" ht="35.1" customHeight="1">
      <c r="A138" s="503"/>
      <c r="B138" s="507">
        <f>6.75/2</f>
        <v>3.375</v>
      </c>
      <c r="C138" s="503" t="s">
        <v>31</v>
      </c>
      <c r="D138" s="3813" t="s">
        <v>1853</v>
      </c>
      <c r="E138" s="3813"/>
      <c r="F138" s="3813"/>
      <c r="G138" s="3813"/>
      <c r="H138" s="506">
        <f>lead!$J$33</f>
        <v>1447.5179333714741</v>
      </c>
      <c r="I138" s="502" t="s">
        <v>31</v>
      </c>
      <c r="J138" s="514">
        <f>ROUND(B138*H138,2)</f>
        <v>4885.37</v>
      </c>
    </row>
    <row r="139" spans="1:10" ht="20.100000000000001" customHeight="1">
      <c r="A139" s="503"/>
      <c r="B139" s="507">
        <v>5.21</v>
      </c>
      <c r="C139" s="503" t="s">
        <v>66</v>
      </c>
      <c r="D139" s="499" t="s">
        <v>67</v>
      </c>
      <c r="E139" s="498"/>
      <c r="F139" s="498"/>
      <c r="G139" s="498"/>
      <c r="H139" s="502">
        <f>lead!$J$36</f>
        <v>5000</v>
      </c>
      <c r="I139" s="502" t="s">
        <v>66</v>
      </c>
      <c r="J139" s="499">
        <f>ROUND(B139*H139,2)</f>
        <v>26050</v>
      </c>
    </row>
    <row r="140" spans="1:10" ht="20.100000000000001" customHeight="1">
      <c r="A140" s="503"/>
      <c r="B140" s="502"/>
      <c r="C140" s="498"/>
      <c r="D140" s="499" t="s">
        <v>60</v>
      </c>
      <c r="E140" s="498"/>
      <c r="F140" s="498"/>
      <c r="G140" s="498"/>
      <c r="H140" s="502"/>
      <c r="I140" s="502"/>
      <c r="J140" s="499">
        <f>SUM(J135:J139)</f>
        <v>62771.22</v>
      </c>
    </row>
    <row r="141" spans="1:10" ht="20.100000000000001" customHeight="1">
      <c r="A141" s="503"/>
      <c r="B141" s="494" t="s">
        <v>27</v>
      </c>
      <c r="C141" s="501" t="s">
        <v>40</v>
      </c>
      <c r="D141" s="498"/>
      <c r="E141" s="498"/>
      <c r="F141" s="498"/>
      <c r="G141" s="498"/>
      <c r="H141" s="502"/>
      <c r="I141" s="502"/>
      <c r="J141" s="499"/>
    </row>
    <row r="142" spans="1:10" ht="20.100000000000001" customHeight="1">
      <c r="A142" s="503"/>
      <c r="B142" s="502">
        <v>6</v>
      </c>
      <c r="C142" s="503" t="s">
        <v>41</v>
      </c>
      <c r="D142" s="499" t="s">
        <v>68</v>
      </c>
      <c r="E142" s="498"/>
      <c r="F142" s="498"/>
      <c r="G142" s="498"/>
      <c r="H142" s="502">
        <f>+'SSR-rates'!$L$88</f>
        <v>697.9</v>
      </c>
      <c r="I142" s="502" t="s">
        <v>41</v>
      </c>
      <c r="J142" s="499">
        <f t="shared" ref="J142:J143" si="4">ROUND(B142*H142,2)</f>
        <v>4187.3999999999996</v>
      </c>
    </row>
    <row r="143" spans="1:10" ht="20.100000000000001" customHeight="1">
      <c r="A143" s="503"/>
      <c r="B143" s="502">
        <v>6</v>
      </c>
      <c r="C143" s="503" t="s">
        <v>41</v>
      </c>
      <c r="D143" s="499" t="s">
        <v>1999</v>
      </c>
      <c r="E143" s="498"/>
      <c r="F143" s="498"/>
      <c r="G143" s="498"/>
      <c r="H143" s="502">
        <f>+'SSR-rates'!$L$87</f>
        <v>1323.5</v>
      </c>
      <c r="I143" s="502" t="s">
        <v>41</v>
      </c>
      <c r="J143" s="499">
        <f t="shared" si="4"/>
        <v>7941</v>
      </c>
    </row>
    <row r="144" spans="1:10" ht="20.100000000000001" customHeight="1">
      <c r="A144" s="503"/>
      <c r="B144" s="502"/>
      <c r="C144" s="505"/>
      <c r="D144" s="499" t="s">
        <v>60</v>
      </c>
      <c r="E144" s="498"/>
      <c r="F144" s="498"/>
      <c r="G144" s="498"/>
      <c r="H144" s="502"/>
      <c r="I144" s="502"/>
      <c r="J144" s="499">
        <f>SUM(J142:J143)</f>
        <v>12128.4</v>
      </c>
    </row>
    <row r="145" spans="1:10" ht="20.100000000000001" customHeight="1">
      <c r="A145" s="503"/>
      <c r="B145" s="494" t="s">
        <v>45</v>
      </c>
      <c r="C145" s="501" t="s">
        <v>71</v>
      </c>
      <c r="D145" s="498"/>
      <c r="E145" s="498"/>
      <c r="F145" s="498"/>
      <c r="G145" s="498"/>
      <c r="H145" s="502"/>
      <c r="I145" s="502"/>
      <c r="J145" s="499"/>
    </row>
    <row r="146" spans="1:10" ht="20.100000000000001" customHeight="1">
      <c r="A146" s="503"/>
      <c r="B146" s="502">
        <v>4</v>
      </c>
      <c r="C146" s="503" t="s">
        <v>29</v>
      </c>
      <c r="D146" s="498" t="s">
        <v>2020</v>
      </c>
      <c r="E146" s="498"/>
      <c r="F146" s="498"/>
      <c r="G146" s="498"/>
      <c r="H146" s="502">
        <f>J133+J140+J144</f>
        <v>87816.62</v>
      </c>
      <c r="I146" s="488" t="s">
        <v>73</v>
      </c>
      <c r="J146" s="499">
        <f>ROUND(B146*H146/100,2)</f>
        <v>3512.66</v>
      </c>
    </row>
    <row r="147" spans="1:10" ht="20.100000000000001" customHeight="1">
      <c r="A147" s="508"/>
      <c r="B147" s="494" t="s">
        <v>47</v>
      </c>
      <c r="C147" s="508" t="s">
        <v>1332</v>
      </c>
      <c r="D147" s="498"/>
      <c r="E147" s="498"/>
      <c r="F147" s="503"/>
      <c r="G147" s="503"/>
      <c r="H147" s="503"/>
      <c r="I147" s="503"/>
      <c r="J147" s="501"/>
    </row>
    <row r="148" spans="1:10" ht="35.1" customHeight="1">
      <c r="A148" s="508"/>
      <c r="B148" s="509">
        <f>'Input Data'!$D$24</f>
        <v>0.13614999999999999</v>
      </c>
      <c r="C148" s="3817" t="str">
        <f>"Over head charges &amp; CP  "&amp;'Input Data'!$D$24*100&amp;"%  on (A) + (B)+(C)+(D)"</f>
        <v>Over head charges &amp; CP  13.615%  on (A) + (B)+(C)+(D)</v>
      </c>
      <c r="D148" s="3817"/>
      <c r="E148" s="3817"/>
      <c r="F148" s="3817"/>
      <c r="G148" s="3817"/>
      <c r="H148" s="505">
        <f>J146+J144+J140+J133</f>
        <v>91329.279999999999</v>
      </c>
      <c r="I148" s="503"/>
      <c r="J148" s="499">
        <f>H148*B148</f>
        <v>12434.481471999999</v>
      </c>
    </row>
    <row r="149" spans="1:10" ht="20.100000000000001" customHeight="1">
      <c r="A149" s="508"/>
      <c r="B149" s="510">
        <f>'Input Data'!$E$24</f>
        <v>0</v>
      </c>
      <c r="C149" s="511" t="s">
        <v>1314</v>
      </c>
      <c r="D149" s="506"/>
      <c r="E149" s="506"/>
      <c r="F149" s="506"/>
      <c r="G149" s="506"/>
      <c r="H149" s="505">
        <f>J148+J146+J144+J140+J133</f>
        <v>103763.761472</v>
      </c>
      <c r="I149" s="503"/>
      <c r="J149" s="499">
        <f>H149*B149</f>
        <v>0</v>
      </c>
    </row>
    <row r="150" spans="1:10" ht="20.100000000000001" customHeight="1">
      <c r="A150" s="508"/>
      <c r="B150" s="494" t="s">
        <v>76</v>
      </c>
      <c r="C150" s="508" t="s">
        <v>77</v>
      </c>
      <c r="D150" s="498"/>
      <c r="E150" s="498"/>
      <c r="F150" s="503"/>
      <c r="G150" s="503"/>
      <c r="H150" s="503"/>
      <c r="I150" s="503"/>
      <c r="J150" s="501">
        <f>J133+J140+J144+J146+J148+J149</f>
        <v>103763.761472</v>
      </c>
    </row>
    <row r="151" spans="1:10" ht="20.100000000000001" customHeight="1">
      <c r="A151" s="503"/>
      <c r="B151" s="502"/>
      <c r="C151" s="503"/>
      <c r="D151" s="501" t="s">
        <v>1951</v>
      </c>
      <c r="E151" s="498"/>
      <c r="F151" s="498"/>
      <c r="G151" s="498"/>
      <c r="H151" s="502"/>
      <c r="I151" s="502"/>
      <c r="J151" s="501">
        <f>SUM(J150:J150)</f>
        <v>103763.761472</v>
      </c>
    </row>
    <row r="152" spans="1:10" ht="20.100000000000001" customHeight="1">
      <c r="A152" s="503"/>
      <c r="B152" s="502"/>
      <c r="C152" s="503"/>
      <c r="D152" s="499" t="s">
        <v>81</v>
      </c>
      <c r="E152" s="498"/>
      <c r="F152" s="498"/>
      <c r="G152" s="498"/>
      <c r="H152" s="502"/>
      <c r="I152" s="502"/>
      <c r="J152" s="499">
        <f>ROUND(J151/15,2)</f>
        <v>6917.58</v>
      </c>
    </row>
    <row r="153" spans="1:10" ht="20.100000000000001" customHeight="1">
      <c r="A153" s="503"/>
      <c r="B153" s="488"/>
      <c r="C153" s="498"/>
      <c r="D153" s="499" t="s">
        <v>52</v>
      </c>
      <c r="E153" s="498"/>
      <c r="F153" s="498"/>
      <c r="G153" s="498"/>
      <c r="H153" s="502"/>
      <c r="I153" s="502"/>
      <c r="J153" s="519">
        <f>ROUND(J152,2)</f>
        <v>6917.58</v>
      </c>
    </row>
    <row r="154" spans="1:10" ht="20.100000000000001" customHeight="1">
      <c r="A154" s="503"/>
      <c r="B154" s="488"/>
      <c r="C154" s="498"/>
      <c r="D154" s="499"/>
      <c r="E154" s="498"/>
      <c r="F154" s="498"/>
      <c r="G154" s="498"/>
      <c r="H154" s="502"/>
      <c r="I154" s="502"/>
      <c r="J154" s="515" t="s">
        <v>53</v>
      </c>
    </row>
    <row r="155" spans="1:10" ht="141.6" customHeight="1">
      <c r="A155" s="517">
        <f>A125+1</f>
        <v>13</v>
      </c>
      <c r="B155" s="3818" t="s">
        <v>1149</v>
      </c>
      <c r="C155" s="3818"/>
      <c r="D155" s="3818"/>
      <c r="E155" s="3818"/>
      <c r="F155" s="3818"/>
      <c r="G155" s="3818"/>
      <c r="H155" s="3818"/>
      <c r="I155" s="3818"/>
      <c r="J155" s="3818"/>
    </row>
    <row r="156" spans="1:10" ht="20.100000000000001" customHeight="1">
      <c r="A156" s="520"/>
      <c r="B156" s="521"/>
      <c r="C156" s="521"/>
      <c r="D156" s="3819" t="s">
        <v>185</v>
      </c>
      <c r="E156" s="3819"/>
      <c r="F156" s="3819"/>
      <c r="G156" s="3819"/>
      <c r="H156" s="521"/>
      <c r="I156" s="521"/>
      <c r="J156" s="534"/>
    </row>
    <row r="157" spans="1:10" ht="20.100000000000001" customHeight="1">
      <c r="A157" s="520"/>
      <c r="B157" s="521"/>
      <c r="C157" s="521"/>
      <c r="D157" s="3820" t="s">
        <v>186</v>
      </c>
      <c r="E157" s="3820"/>
      <c r="F157" s="3820"/>
      <c r="G157" s="3820"/>
      <c r="H157" s="521"/>
      <c r="I157" s="521"/>
      <c r="J157" s="534"/>
    </row>
    <row r="158" spans="1:10" ht="20.100000000000001" customHeight="1">
      <c r="A158" s="520"/>
      <c r="B158" s="521"/>
      <c r="C158" s="522"/>
      <c r="D158" s="3820" t="s">
        <v>187</v>
      </c>
      <c r="E158" s="3820"/>
      <c r="F158" s="3820"/>
      <c r="G158" s="3820"/>
      <c r="H158" s="521"/>
      <c r="I158" s="521"/>
      <c r="J158" s="534"/>
    </row>
    <row r="159" spans="1:10" ht="20.100000000000001" customHeight="1">
      <c r="A159" s="520"/>
      <c r="B159" s="521"/>
      <c r="C159" s="523"/>
      <c r="D159" s="3821" t="s">
        <v>12</v>
      </c>
      <c r="E159" s="3821"/>
      <c r="F159" s="3821"/>
      <c r="G159" s="3821"/>
      <c r="H159" s="521"/>
      <c r="I159" s="521"/>
      <c r="J159" s="534"/>
    </row>
    <row r="160" spans="1:10" ht="20.100000000000001" customHeight="1">
      <c r="A160" s="520"/>
      <c r="B160" s="522">
        <v>0.4</v>
      </c>
      <c r="C160" s="525" t="s">
        <v>13</v>
      </c>
      <c r="D160" s="3822" t="s">
        <v>14</v>
      </c>
      <c r="E160" s="3822"/>
      <c r="F160" s="3822"/>
      <c r="G160" s="3822"/>
      <c r="H160" s="526">
        <f>'SSR-rates'!$L$58</f>
        <v>575</v>
      </c>
      <c r="I160" s="522">
        <v>1</v>
      </c>
      <c r="J160" s="535">
        <f>ROUND(B160*H160,2)</f>
        <v>230</v>
      </c>
    </row>
    <row r="161" spans="1:11" ht="20.100000000000001" customHeight="1">
      <c r="A161" s="520"/>
      <c r="B161" s="522">
        <v>2</v>
      </c>
      <c r="C161" s="525" t="s">
        <v>13</v>
      </c>
      <c r="D161" s="3822" t="s">
        <v>188</v>
      </c>
      <c r="E161" s="3822"/>
      <c r="F161" s="3822"/>
      <c r="G161" s="3822"/>
      <c r="H161" s="526">
        <f>'SSR-rates'!$L$92</f>
        <v>640</v>
      </c>
      <c r="I161" s="522">
        <v>1</v>
      </c>
      <c r="J161" s="535">
        <f>ROUND(B161*H161,2)</f>
        <v>1280</v>
      </c>
    </row>
    <row r="162" spans="1:11" ht="20.100000000000001" customHeight="1">
      <c r="A162" s="520"/>
      <c r="B162" s="522">
        <v>6</v>
      </c>
      <c r="C162" s="525" t="s">
        <v>13</v>
      </c>
      <c r="D162" s="3822" t="s">
        <v>59</v>
      </c>
      <c r="E162" s="3822"/>
      <c r="F162" s="3822"/>
      <c r="G162" s="3822"/>
      <c r="H162" s="526">
        <f>'SSR-rates'!$L$60</f>
        <v>575</v>
      </c>
      <c r="I162" s="522">
        <v>1</v>
      </c>
      <c r="J162" s="535">
        <f>ROUND(B162*H162,2)</f>
        <v>3450</v>
      </c>
    </row>
    <row r="163" spans="1:11" ht="20.100000000000001" customHeight="1">
      <c r="A163" s="520"/>
      <c r="B163" s="504">
        <f>'Input Data'!$D$23</f>
        <v>0</v>
      </c>
      <c r="C163" s="505"/>
      <c r="D163" s="498" t="s">
        <v>17</v>
      </c>
      <c r="E163" s="498"/>
      <c r="F163" s="503"/>
      <c r="G163" s="503"/>
      <c r="H163" s="502">
        <f>SUM(J160:J162)</f>
        <v>4960</v>
      </c>
      <c r="I163" s="488"/>
      <c r="J163" s="502">
        <f>B163*H163</f>
        <v>0</v>
      </c>
    </row>
    <row r="164" spans="1:11" ht="20.100000000000001" customHeight="1">
      <c r="A164" s="520"/>
      <c r="B164" s="522"/>
      <c r="C164" s="527"/>
      <c r="D164" s="3823" t="s">
        <v>18</v>
      </c>
      <c r="E164" s="3823"/>
      <c r="F164" s="3823"/>
      <c r="G164" s="3823"/>
      <c r="H164" s="522"/>
      <c r="I164" s="536" t="s">
        <v>19</v>
      </c>
      <c r="J164" s="537">
        <f>SUM(J160:J163)</f>
        <v>4960</v>
      </c>
    </row>
    <row r="165" spans="1:11" ht="20.100000000000001" customHeight="1">
      <c r="A165" s="520"/>
      <c r="B165" s="522"/>
      <c r="C165" s="529"/>
      <c r="D165" s="3821" t="s">
        <v>189</v>
      </c>
      <c r="E165" s="3821"/>
      <c r="F165" s="3821"/>
      <c r="G165" s="3821"/>
      <c r="H165" s="522"/>
      <c r="I165" s="522"/>
      <c r="J165" s="535"/>
    </row>
    <row r="166" spans="1:11" ht="20.100000000000001" customHeight="1">
      <c r="A166" s="520"/>
      <c r="B166" s="522">
        <v>1.05</v>
      </c>
      <c r="C166" s="525" t="s">
        <v>66</v>
      </c>
      <c r="D166" s="3822" t="s">
        <v>190</v>
      </c>
      <c r="E166" s="3822"/>
      <c r="F166" s="3822"/>
      <c r="G166" s="3822"/>
      <c r="H166" s="522">
        <f>lead!$J$37</f>
        <v>49000</v>
      </c>
      <c r="I166" s="522">
        <v>1</v>
      </c>
      <c r="J166" s="535">
        <f>ROUND(B166*H166,2)</f>
        <v>51450</v>
      </c>
    </row>
    <row r="167" spans="1:11" ht="20.100000000000001" customHeight="1">
      <c r="A167" s="520"/>
      <c r="B167" s="522">
        <v>6</v>
      </c>
      <c r="C167" s="525" t="s">
        <v>191</v>
      </c>
      <c r="D167" s="3823" t="s">
        <v>192</v>
      </c>
      <c r="E167" s="3823"/>
      <c r="F167" s="3823"/>
      <c r="G167" s="3823"/>
      <c r="H167" s="522">
        <f>'SSR-rates'!$L$93</f>
        <v>83</v>
      </c>
      <c r="I167" s="522">
        <v>1</v>
      </c>
      <c r="J167" s="535">
        <f>H167*B167</f>
        <v>498</v>
      </c>
    </row>
    <row r="168" spans="1:11" ht="20.100000000000001" customHeight="1">
      <c r="A168" s="520"/>
      <c r="B168" s="522"/>
      <c r="C168" s="527"/>
      <c r="D168" s="3823" t="s">
        <v>18</v>
      </c>
      <c r="E168" s="3823"/>
      <c r="F168" s="3823"/>
      <c r="G168" s="3823"/>
      <c r="H168" s="522"/>
      <c r="I168" s="536" t="s">
        <v>25</v>
      </c>
      <c r="J168" s="537">
        <f>SUM(J166:J167)</f>
        <v>51948</v>
      </c>
    </row>
    <row r="169" spans="1:11" ht="20.100000000000001" customHeight="1">
      <c r="A169" s="520"/>
      <c r="B169" s="526"/>
      <c r="C169" s="530"/>
      <c r="D169" s="3824" t="s">
        <v>26</v>
      </c>
      <c r="E169" s="3824"/>
      <c r="F169" s="3824"/>
      <c r="G169" s="3824"/>
      <c r="H169" s="526"/>
      <c r="I169" s="538"/>
      <c r="J169" s="539">
        <f>J164+J168</f>
        <v>56908</v>
      </c>
    </row>
    <row r="170" spans="1:11" ht="35.1" customHeight="1">
      <c r="A170" s="520"/>
      <c r="B170" s="509">
        <f>'Input Data'!$D$24</f>
        <v>0.13614999999999999</v>
      </c>
      <c r="C170" s="530"/>
      <c r="D170" s="3825" t="s">
        <v>2026</v>
      </c>
      <c r="E170" s="3825"/>
      <c r="F170" s="3825"/>
      <c r="G170" s="3825"/>
      <c r="H170" s="526">
        <f>J169</f>
        <v>56908</v>
      </c>
      <c r="I170" s="540"/>
      <c r="J170" s="541">
        <f>H170*B170</f>
        <v>7748.0241999999998</v>
      </c>
    </row>
    <row r="171" spans="1:11" ht="20.100000000000001" customHeight="1">
      <c r="A171" s="520"/>
      <c r="B171" s="510">
        <f>'Input Data'!$E$24</f>
        <v>0</v>
      </c>
      <c r="C171" s="511" t="s">
        <v>1314</v>
      </c>
      <c r="D171" s="3821"/>
      <c r="E171" s="3821"/>
      <c r="F171" s="3821"/>
      <c r="G171" s="3821"/>
      <c r="H171" s="526">
        <f>J170+J168+J164</f>
        <v>64656.0242</v>
      </c>
      <c r="I171" s="540"/>
      <c r="J171" s="541">
        <f>H171*B171</f>
        <v>0</v>
      </c>
    </row>
    <row r="172" spans="1:11" ht="20.100000000000001" customHeight="1">
      <c r="A172" s="520"/>
      <c r="B172" s="526"/>
      <c r="C172" s="530"/>
      <c r="D172" s="3821"/>
      <c r="E172" s="3821"/>
      <c r="F172" s="3821"/>
      <c r="G172" s="3821"/>
      <c r="H172" s="526"/>
      <c r="I172" s="540"/>
      <c r="J172" s="539"/>
    </row>
    <row r="173" spans="1:11" ht="20.100000000000001" customHeight="1">
      <c r="A173" s="520"/>
      <c r="B173" s="526">
        <v>1</v>
      </c>
      <c r="C173" s="530" t="s">
        <v>66</v>
      </c>
      <c r="D173" s="3823" t="str">
        <f>CONCATENATE("TOTAL Cost for ",B173,"  ",C173,"  =  (A+B+C)",)</f>
        <v>TOTAL Cost for 1  MT  =  (A+B+C)</v>
      </c>
      <c r="E173" s="3823"/>
      <c r="F173" s="3823"/>
      <c r="G173" s="3823"/>
      <c r="H173" s="526"/>
      <c r="I173" s="526"/>
      <c r="J173" s="541">
        <f>SUM(J169:J171)</f>
        <v>64656.0242</v>
      </c>
    </row>
    <row r="174" spans="1:11" ht="20.100000000000001" customHeight="1">
      <c r="A174" s="520"/>
      <c r="B174" s="526"/>
      <c r="C174" s="526"/>
      <c r="D174" s="3823" t="str">
        <f>CONCATENATE("Rate per  1  ",C173)</f>
        <v>Rate per  1  MT</v>
      </c>
      <c r="E174" s="3823"/>
      <c r="F174" s="3823"/>
      <c r="G174" s="3823"/>
      <c r="H174" s="526"/>
      <c r="I174" s="526"/>
      <c r="J174" s="535">
        <f>J173/B173</f>
        <v>64656.0242</v>
      </c>
    </row>
    <row r="175" spans="1:11" ht="20.100000000000001" customHeight="1">
      <c r="A175" s="520"/>
      <c r="B175" s="522"/>
      <c r="C175" s="522"/>
      <c r="D175" s="3819" t="str">
        <f>D174</f>
        <v>Rate per  1  MT</v>
      </c>
      <c r="E175" s="3819"/>
      <c r="F175" s="3819"/>
      <c r="G175" s="3819"/>
      <c r="H175" s="526"/>
      <c r="I175" s="526"/>
      <c r="J175" s="537">
        <f>ROUND(J174,2)</f>
        <v>64656.02</v>
      </c>
      <c r="K175" s="484">
        <v>57233</v>
      </c>
    </row>
    <row r="176" spans="1:11" ht="20.100000000000001" customHeight="1">
      <c r="A176" s="498"/>
      <c r="B176" s="494" t="s">
        <v>2027</v>
      </c>
      <c r="C176" s="498"/>
      <c r="D176" s="499"/>
      <c r="E176" s="498"/>
      <c r="F176" s="498"/>
      <c r="G176" s="498"/>
      <c r="H176" s="502"/>
      <c r="I176" s="502"/>
      <c r="J176" s="515"/>
    </row>
    <row r="177" spans="1:10" s="483" customFormat="1" ht="126" customHeight="1">
      <c r="A177" s="497">
        <v>4</v>
      </c>
      <c r="B177" s="3812" t="s">
        <v>2028</v>
      </c>
      <c r="C177" s="3812"/>
      <c r="D177" s="3812"/>
      <c r="E177" s="3812"/>
      <c r="F177" s="3812"/>
      <c r="G177" s="3812"/>
      <c r="H177" s="3812"/>
      <c r="I177" s="3812"/>
      <c r="J177" s="3812"/>
    </row>
    <row r="178" spans="1:10" s="483" customFormat="1" ht="20.100000000000001" customHeight="1">
      <c r="A178" s="498"/>
      <c r="B178" s="488"/>
      <c r="C178" s="498"/>
      <c r="D178" s="499" t="s">
        <v>10</v>
      </c>
      <c r="E178" s="498"/>
      <c r="F178" s="533" t="s">
        <v>1996</v>
      </c>
      <c r="G178" s="498"/>
      <c r="H178" s="498"/>
      <c r="I178" s="498"/>
      <c r="J178" s="498"/>
    </row>
    <row r="179" spans="1:10" s="483" customFormat="1" ht="20.100000000000001" customHeight="1">
      <c r="A179" s="498"/>
      <c r="B179" s="488"/>
      <c r="C179" s="498"/>
      <c r="D179" s="499" t="s">
        <v>56</v>
      </c>
      <c r="E179" s="498"/>
      <c r="F179" s="498"/>
      <c r="G179" s="498"/>
      <c r="H179" s="498"/>
      <c r="I179" s="498"/>
      <c r="J179" s="498"/>
    </row>
    <row r="180" spans="1:10" s="483" customFormat="1" ht="20.100000000000001" customHeight="1">
      <c r="A180" s="498"/>
      <c r="B180" s="494" t="s">
        <v>36</v>
      </c>
      <c r="C180" s="501" t="s">
        <v>37</v>
      </c>
      <c r="D180" s="498"/>
      <c r="E180" s="498"/>
      <c r="F180" s="498"/>
      <c r="G180" s="498"/>
      <c r="H180" s="498"/>
      <c r="I180" s="498"/>
      <c r="J180" s="498"/>
    </row>
    <row r="181" spans="1:10" s="483" customFormat="1" ht="20.100000000000001" customHeight="1">
      <c r="A181" s="498"/>
      <c r="B181" s="502">
        <v>0.86</v>
      </c>
      <c r="C181" s="503" t="s">
        <v>57</v>
      </c>
      <c r="D181" s="499" t="s">
        <v>14</v>
      </c>
      <c r="E181" s="498"/>
      <c r="F181" s="498"/>
      <c r="G181" s="498"/>
      <c r="H181" s="502">
        <f>+'SSR-rates'!$L$58</f>
        <v>575</v>
      </c>
      <c r="I181" s="502" t="s">
        <v>38</v>
      </c>
      <c r="J181" s="514">
        <f>ROUND(B181*H181,2)</f>
        <v>494.5</v>
      </c>
    </row>
    <row r="182" spans="1:10" s="483" customFormat="1" ht="20.100000000000001" customHeight="1">
      <c r="A182" s="498"/>
      <c r="B182" s="502">
        <v>1.5</v>
      </c>
      <c r="C182" s="503" t="s">
        <v>57</v>
      </c>
      <c r="D182" s="499" t="s">
        <v>58</v>
      </c>
      <c r="E182" s="498"/>
      <c r="F182" s="498"/>
      <c r="G182" s="498"/>
      <c r="H182" s="502">
        <f>+'SSR-rates'!$L$54</f>
        <v>615</v>
      </c>
      <c r="I182" s="502" t="s">
        <v>38</v>
      </c>
      <c r="J182" s="514">
        <f>ROUND(B182*H182,2)</f>
        <v>922.5</v>
      </c>
    </row>
    <row r="183" spans="1:10" s="483" customFormat="1" ht="20.100000000000001" customHeight="1">
      <c r="A183" s="498"/>
      <c r="B183" s="502">
        <v>20</v>
      </c>
      <c r="C183" s="503" t="s">
        <v>57</v>
      </c>
      <c r="D183" s="499" t="s">
        <v>59</v>
      </c>
      <c r="E183" s="498"/>
      <c r="F183" s="498"/>
      <c r="G183" s="498"/>
      <c r="H183" s="502">
        <f>+'SSR-rates'!$L$60</f>
        <v>575</v>
      </c>
      <c r="I183" s="502" t="s">
        <v>38</v>
      </c>
      <c r="J183" s="514">
        <f>ROUND(B183*H183,2)</f>
        <v>11500</v>
      </c>
    </row>
    <row r="184" spans="1:10" ht="20.100000000000001" customHeight="1">
      <c r="A184" s="494"/>
      <c r="B184" s="504">
        <f>+'Input Data'!D23</f>
        <v>0</v>
      </c>
      <c r="C184" s="505"/>
      <c r="D184" s="498" t="s">
        <v>17</v>
      </c>
      <c r="E184" s="498"/>
      <c r="F184" s="503"/>
      <c r="G184" s="503"/>
      <c r="H184" s="502">
        <f>SUM(J181:J183)</f>
        <v>12917</v>
      </c>
      <c r="I184" s="488"/>
      <c r="J184" s="514">
        <f>B184*H184</f>
        <v>0</v>
      </c>
    </row>
    <row r="185" spans="1:10" s="483" customFormat="1" ht="20.100000000000001" customHeight="1">
      <c r="A185" s="498"/>
      <c r="B185" s="502"/>
      <c r="C185" s="498"/>
      <c r="D185" s="499" t="s">
        <v>60</v>
      </c>
      <c r="E185" s="498"/>
      <c r="F185" s="498"/>
      <c r="G185" s="498"/>
      <c r="H185" s="502"/>
      <c r="I185" s="502"/>
      <c r="J185" s="515">
        <f>SUM(J181:J184)</f>
        <v>12917</v>
      </c>
    </row>
    <row r="186" spans="1:10" s="483" customFormat="1" ht="20.100000000000001" customHeight="1">
      <c r="A186" s="498"/>
      <c r="B186" s="494" t="s">
        <v>39</v>
      </c>
      <c r="C186" s="501" t="s">
        <v>61</v>
      </c>
      <c r="D186" s="498"/>
      <c r="E186" s="498"/>
      <c r="F186" s="498"/>
      <c r="G186" s="498"/>
      <c r="H186" s="498"/>
      <c r="I186" s="502"/>
      <c r="J186" s="514"/>
    </row>
    <row r="187" spans="1:10" s="483" customFormat="1" ht="20.100000000000001" customHeight="1">
      <c r="A187" s="498"/>
      <c r="B187" s="502">
        <v>8.1</v>
      </c>
      <c r="C187" s="503" t="s">
        <v>31</v>
      </c>
      <c r="D187" s="499" t="s">
        <v>1997</v>
      </c>
      <c r="E187" s="498"/>
      <c r="F187" s="498"/>
      <c r="G187" s="498"/>
      <c r="H187" s="502">
        <f>+lead!$J$14</f>
        <v>1706.5179333714741</v>
      </c>
      <c r="I187" s="502" t="s">
        <v>31</v>
      </c>
      <c r="J187" s="514">
        <f t="shared" ref="J187:J192" si="5">ROUND(B187*H187,2)</f>
        <v>13822.8</v>
      </c>
    </row>
    <row r="188" spans="1:10" ht="20.100000000000001" customHeight="1">
      <c r="A188" s="503"/>
      <c r="B188" s="502">
        <v>4.05</v>
      </c>
      <c r="C188" s="503" t="s">
        <v>31</v>
      </c>
      <c r="D188" s="498" t="s">
        <v>63</v>
      </c>
      <c r="E188" s="498"/>
      <c r="F188" s="498"/>
      <c r="G188" s="498"/>
      <c r="H188" s="502">
        <f>+lead!$J$16</f>
        <v>2005.5179333714741</v>
      </c>
      <c r="I188" s="502" t="s">
        <v>31</v>
      </c>
      <c r="J188" s="499">
        <f t="shared" si="5"/>
        <v>8122.35</v>
      </c>
    </row>
    <row r="189" spans="1:10" ht="20.100000000000001" customHeight="1">
      <c r="A189" s="503"/>
      <c r="B189" s="502">
        <v>1.35</v>
      </c>
      <c r="C189" s="503" t="s">
        <v>31</v>
      </c>
      <c r="D189" s="498" t="s">
        <v>64</v>
      </c>
      <c r="E189" s="498"/>
      <c r="F189" s="498"/>
      <c r="G189" s="498"/>
      <c r="H189" s="502">
        <f>+lead!$J$18</f>
        <v>1754.5179333714741</v>
      </c>
      <c r="I189" s="502" t="s">
        <v>31</v>
      </c>
      <c r="J189" s="499">
        <f t="shared" si="5"/>
        <v>2368.6</v>
      </c>
    </row>
    <row r="190" spans="1:10" s="483" customFormat="1" ht="45" customHeight="1">
      <c r="A190" s="498"/>
      <c r="B190" s="507">
        <f>6.75/2</f>
        <v>3.375</v>
      </c>
      <c r="C190" s="503" t="s">
        <v>31</v>
      </c>
      <c r="D190" s="3813" t="s">
        <v>1852</v>
      </c>
      <c r="E190" s="3813"/>
      <c r="F190" s="3813"/>
      <c r="G190" s="3813"/>
      <c r="H190" s="506">
        <f>lead!$J$31</f>
        <v>1812.3700655723276</v>
      </c>
      <c r="I190" s="502" t="s">
        <v>31</v>
      </c>
      <c r="J190" s="514">
        <f t="shared" si="5"/>
        <v>6116.75</v>
      </c>
    </row>
    <row r="191" spans="1:10" s="483" customFormat="1" ht="35.1" customHeight="1">
      <c r="A191" s="498"/>
      <c r="B191" s="507">
        <f>6.75/2</f>
        <v>3.375</v>
      </c>
      <c r="C191" s="503" t="s">
        <v>31</v>
      </c>
      <c r="D191" s="3813" t="s">
        <v>1853</v>
      </c>
      <c r="E191" s="3813"/>
      <c r="F191" s="3813"/>
      <c r="G191" s="3813"/>
      <c r="H191" s="506">
        <f>lead!$J$33</f>
        <v>1447.5179333714741</v>
      </c>
      <c r="I191" s="502" t="s">
        <v>31</v>
      </c>
      <c r="J191" s="514">
        <f t="shared" si="5"/>
        <v>4885.37</v>
      </c>
    </row>
    <row r="192" spans="1:10" s="483" customFormat="1" ht="20.100000000000001" customHeight="1">
      <c r="A192" s="498"/>
      <c r="B192" s="502">
        <v>4.13</v>
      </c>
      <c r="C192" s="503" t="s">
        <v>66</v>
      </c>
      <c r="D192" s="499" t="s">
        <v>67</v>
      </c>
      <c r="E192" s="498"/>
      <c r="F192" s="498"/>
      <c r="G192" s="498"/>
      <c r="H192" s="502">
        <f>+lead!$J$36</f>
        <v>5000</v>
      </c>
      <c r="I192" s="502" t="s">
        <v>66</v>
      </c>
      <c r="J192" s="514">
        <f t="shared" si="5"/>
        <v>20650</v>
      </c>
    </row>
    <row r="193" spans="1:10" s="483" customFormat="1" ht="20.100000000000001" customHeight="1">
      <c r="A193" s="498"/>
      <c r="B193" s="507"/>
      <c r="C193" s="505"/>
      <c r="D193" s="499" t="s">
        <v>60</v>
      </c>
      <c r="E193" s="498"/>
      <c r="F193" s="498"/>
      <c r="G193" s="498"/>
      <c r="H193" s="502"/>
      <c r="I193" s="502"/>
      <c r="J193" s="515">
        <f>SUM(J187:J192)</f>
        <v>55965.87</v>
      </c>
    </row>
    <row r="194" spans="1:10" s="483" customFormat="1" ht="20.100000000000001" customHeight="1">
      <c r="A194" s="498"/>
      <c r="B194" s="494" t="s">
        <v>1998</v>
      </c>
      <c r="C194" s="501" t="s">
        <v>40</v>
      </c>
      <c r="D194" s="498"/>
      <c r="E194" s="498"/>
      <c r="F194" s="498"/>
      <c r="G194" s="498"/>
      <c r="H194" s="502"/>
      <c r="I194" s="502"/>
      <c r="J194" s="514"/>
    </row>
    <row r="195" spans="1:10" s="483" customFormat="1" ht="20.100000000000001" customHeight="1">
      <c r="A195" s="498"/>
      <c r="B195" s="502">
        <v>6</v>
      </c>
      <c r="C195" s="503" t="s">
        <v>41</v>
      </c>
      <c r="D195" s="499" t="s">
        <v>68</v>
      </c>
      <c r="E195" s="498"/>
      <c r="F195" s="498"/>
      <c r="G195" s="498"/>
      <c r="H195" s="502">
        <f>+'SSR-rates'!$L$88</f>
        <v>697.9</v>
      </c>
      <c r="I195" s="502" t="s">
        <v>41</v>
      </c>
      <c r="J195" s="514">
        <f>ROUND(B195*H195,2)</f>
        <v>4187.3999999999996</v>
      </c>
    </row>
    <row r="196" spans="1:10" s="483" customFormat="1" ht="20.100000000000001" customHeight="1">
      <c r="A196" s="494"/>
      <c r="B196" s="502">
        <v>6</v>
      </c>
      <c r="C196" s="503" t="s">
        <v>41</v>
      </c>
      <c r="D196" s="499" t="s">
        <v>1999</v>
      </c>
      <c r="E196" s="498"/>
      <c r="F196" s="498"/>
      <c r="G196" s="498"/>
      <c r="H196" s="502">
        <f>+'SSR-rates'!$L$87</f>
        <v>1323.5</v>
      </c>
      <c r="I196" s="502" t="s">
        <v>41</v>
      </c>
      <c r="J196" s="542">
        <f>ROUND(B196*H196,2)</f>
        <v>7941</v>
      </c>
    </row>
    <row r="197" spans="1:10" s="483" customFormat="1" ht="20.100000000000001" customHeight="1">
      <c r="A197" s="494"/>
      <c r="B197" s="502"/>
      <c r="C197" s="505"/>
      <c r="D197" s="499" t="s">
        <v>60</v>
      </c>
      <c r="E197" s="498"/>
      <c r="F197" s="498"/>
      <c r="G197" s="498"/>
      <c r="H197" s="502"/>
      <c r="I197" s="502"/>
      <c r="J197" s="515">
        <f>SUM(J195:J196)</f>
        <v>12128.4</v>
      </c>
    </row>
    <row r="198" spans="1:10" ht="20.100000000000001" customHeight="1">
      <c r="A198" s="503"/>
      <c r="B198" s="494" t="s">
        <v>45</v>
      </c>
      <c r="C198" s="501" t="s">
        <v>71</v>
      </c>
      <c r="D198" s="498"/>
      <c r="E198" s="498"/>
      <c r="F198" s="498"/>
      <c r="G198" s="498"/>
      <c r="H198" s="502"/>
      <c r="I198" s="502"/>
      <c r="J198" s="499"/>
    </row>
    <row r="199" spans="1:10" ht="20.100000000000001" customHeight="1">
      <c r="A199" s="503"/>
      <c r="B199" s="502">
        <v>10</v>
      </c>
      <c r="C199" s="503" t="s">
        <v>29</v>
      </c>
      <c r="D199" s="498" t="s">
        <v>2000</v>
      </c>
      <c r="E199" s="498"/>
      <c r="F199" s="498"/>
      <c r="G199" s="498"/>
      <c r="H199" s="502">
        <f>+J197+J193+J185</f>
        <v>81011.27</v>
      </c>
      <c r="I199" s="488" t="s">
        <v>73</v>
      </c>
      <c r="J199" s="499">
        <f>ROUND(B199*H199/100,2)</f>
        <v>8101.13</v>
      </c>
    </row>
    <row r="200" spans="1:10" s="483" customFormat="1" ht="20.100000000000001" customHeight="1">
      <c r="A200" s="494"/>
      <c r="B200" s="494" t="s">
        <v>45</v>
      </c>
      <c r="C200" s="508" t="s">
        <v>1332</v>
      </c>
      <c r="D200" s="498"/>
      <c r="E200" s="498"/>
      <c r="F200" s="503"/>
      <c r="G200" s="503"/>
      <c r="H200" s="503"/>
      <c r="I200" s="503"/>
      <c r="J200" s="515"/>
    </row>
    <row r="201" spans="1:10" s="483" customFormat="1" ht="20.100000000000001" customHeight="1">
      <c r="A201" s="498"/>
      <c r="B201" s="509">
        <f>'Input Data'!$D$24</f>
        <v>0.13614999999999999</v>
      </c>
      <c r="C201" s="508" t="s">
        <v>1332</v>
      </c>
      <c r="D201" s="498"/>
      <c r="E201" s="498"/>
      <c r="F201" s="503"/>
      <c r="G201" s="503"/>
      <c r="H201" s="503"/>
      <c r="I201" s="503"/>
      <c r="J201" s="514">
        <f>ROUND((J185+J193+J197+J199)*B201,2)</f>
        <v>12132.65</v>
      </c>
    </row>
    <row r="202" spans="1:10" s="483" customFormat="1" ht="20.100000000000001" customHeight="1">
      <c r="A202" s="498"/>
      <c r="B202" s="510">
        <f>'Input Data'!$E$24</f>
        <v>0</v>
      </c>
      <c r="C202" s="511" t="s">
        <v>1314</v>
      </c>
      <c r="D202" s="498"/>
      <c r="E202" s="498"/>
      <c r="F202" s="503"/>
      <c r="G202" s="503"/>
      <c r="H202" s="505">
        <f>J201+J199+J197+J193+J185</f>
        <v>101245.05</v>
      </c>
      <c r="I202" s="503"/>
      <c r="J202" s="514">
        <f>H202*B202</f>
        <v>0</v>
      </c>
    </row>
    <row r="203" spans="1:10" s="483" customFormat="1" ht="20.100000000000001" customHeight="1">
      <c r="A203" s="498"/>
      <c r="B203" s="494" t="s">
        <v>47</v>
      </c>
      <c r="C203" s="508" t="s">
        <v>89</v>
      </c>
      <c r="D203" s="498"/>
      <c r="E203" s="498"/>
      <c r="F203" s="503"/>
      <c r="G203" s="503"/>
      <c r="H203" s="503"/>
      <c r="I203" s="503"/>
      <c r="J203" s="515">
        <f>J185+J193+J197+J199+J201+J202</f>
        <v>101245.04999999999</v>
      </c>
    </row>
    <row r="204" spans="1:10" s="483" customFormat="1" ht="20.100000000000001" customHeight="1">
      <c r="A204" s="498"/>
      <c r="B204" s="507"/>
      <c r="C204" s="503"/>
      <c r="D204" s="501" t="s">
        <v>1951</v>
      </c>
      <c r="E204" s="498"/>
      <c r="F204" s="498"/>
      <c r="G204" s="498"/>
      <c r="H204" s="502"/>
      <c r="I204" s="502"/>
      <c r="J204" s="515">
        <f>SUM(J203:J203)</f>
        <v>101245.04999999999</v>
      </c>
    </row>
    <row r="205" spans="1:10" s="483" customFormat="1" ht="20.100000000000001" customHeight="1">
      <c r="A205" s="498"/>
      <c r="B205" s="502"/>
      <c r="C205" s="503"/>
      <c r="D205" s="499" t="s">
        <v>81</v>
      </c>
      <c r="E205" s="498"/>
      <c r="F205" s="498"/>
      <c r="G205" s="498"/>
      <c r="H205" s="502"/>
      <c r="I205" s="502"/>
      <c r="J205" s="514">
        <f>ROUND(J204/15,2)</f>
        <v>6749.67</v>
      </c>
    </row>
    <row r="206" spans="1:10" s="483" customFormat="1" ht="20.100000000000001" customHeight="1">
      <c r="A206" s="512"/>
      <c r="B206" s="488"/>
      <c r="C206" s="498"/>
      <c r="D206" s="499" t="s">
        <v>52</v>
      </c>
      <c r="E206" s="498"/>
      <c r="F206" s="498"/>
      <c r="G206" s="498"/>
      <c r="H206" s="502"/>
      <c r="I206" s="502"/>
      <c r="J206" s="516">
        <f>ROUND(J205,2)</f>
        <v>6749.67</v>
      </c>
    </row>
    <row r="207" spans="1:10" s="483" customFormat="1" ht="20.100000000000001" customHeight="1">
      <c r="A207" s="498"/>
      <c r="B207" s="488"/>
      <c r="C207" s="498"/>
      <c r="D207" s="499"/>
      <c r="E207" s="498"/>
      <c r="F207" s="498"/>
      <c r="G207" s="498"/>
      <c r="H207" s="502"/>
      <c r="I207" s="502"/>
      <c r="J207" s="515" t="s">
        <v>53</v>
      </c>
    </row>
    <row r="208" spans="1:10" s="482" customFormat="1" ht="111" customHeight="1">
      <c r="A208" s="497">
        <f>A177+1</f>
        <v>5</v>
      </c>
      <c r="B208" s="3815" t="s">
        <v>2029</v>
      </c>
      <c r="C208" s="3815"/>
      <c r="D208" s="3815"/>
      <c r="E208" s="3815"/>
      <c r="F208" s="3815"/>
      <c r="G208" s="3815"/>
      <c r="H208" s="3815"/>
      <c r="I208" s="3815"/>
      <c r="J208" s="3815"/>
    </row>
    <row r="209" spans="1:10" s="483" customFormat="1" ht="20.100000000000001" customHeight="1">
      <c r="A209" s="498"/>
      <c r="B209" s="488"/>
      <c r="C209" s="498"/>
      <c r="D209" s="499" t="s">
        <v>10</v>
      </c>
      <c r="E209" s="498"/>
      <c r="F209" s="498"/>
      <c r="G209" s="498"/>
      <c r="H209" s="498"/>
      <c r="I209" s="498"/>
      <c r="J209" s="498"/>
    </row>
    <row r="210" spans="1:10" s="483" customFormat="1" ht="20.100000000000001" customHeight="1">
      <c r="A210" s="498"/>
      <c r="B210" s="488"/>
      <c r="C210" s="498"/>
      <c r="D210" s="499" t="s">
        <v>56</v>
      </c>
      <c r="E210" s="498"/>
      <c r="F210" s="498"/>
      <c r="G210" s="498"/>
      <c r="H210" s="498"/>
      <c r="I210" s="498"/>
      <c r="J210" s="498"/>
    </row>
    <row r="211" spans="1:10" s="483" customFormat="1" ht="20.100000000000001" customHeight="1">
      <c r="A211" s="498"/>
      <c r="B211" s="494" t="s">
        <v>36</v>
      </c>
      <c r="C211" s="501" t="s">
        <v>37</v>
      </c>
      <c r="D211" s="498"/>
      <c r="E211" s="498"/>
      <c r="F211" s="498"/>
      <c r="G211" s="498"/>
      <c r="H211" s="498"/>
      <c r="I211" s="498"/>
      <c r="J211" s="498"/>
    </row>
    <row r="212" spans="1:10" s="483" customFormat="1" ht="20.100000000000001" customHeight="1">
      <c r="A212" s="498"/>
      <c r="B212" s="502">
        <v>0.86</v>
      </c>
      <c r="C212" s="503" t="s">
        <v>57</v>
      </c>
      <c r="D212" s="499" t="s">
        <v>14</v>
      </c>
      <c r="E212" s="498"/>
      <c r="F212" s="498"/>
      <c r="G212" s="498"/>
      <c r="H212" s="502">
        <f>'SSR-rates'!$L$58</f>
        <v>575</v>
      </c>
      <c r="I212" s="502" t="s">
        <v>38</v>
      </c>
      <c r="J212" s="514">
        <f>ROUND(B212*H212,2)</f>
        <v>494.5</v>
      </c>
    </row>
    <row r="213" spans="1:10" s="483" customFormat="1" ht="20.100000000000001" customHeight="1">
      <c r="A213" s="498"/>
      <c r="B213" s="502">
        <v>1.5</v>
      </c>
      <c r="C213" s="503" t="s">
        <v>57</v>
      </c>
      <c r="D213" s="499" t="s">
        <v>58</v>
      </c>
      <c r="E213" s="498"/>
      <c r="F213" s="498"/>
      <c r="G213" s="498"/>
      <c r="H213" s="502">
        <f>+'SSR-rates'!$L$54</f>
        <v>615</v>
      </c>
      <c r="I213" s="502" t="s">
        <v>38</v>
      </c>
      <c r="J213" s="514">
        <f>ROUND(B213*H213,2)</f>
        <v>922.5</v>
      </c>
    </row>
    <row r="214" spans="1:10" s="483" customFormat="1" ht="20.100000000000001" customHeight="1">
      <c r="A214" s="498"/>
      <c r="B214" s="502">
        <v>20</v>
      </c>
      <c r="C214" s="503" t="s">
        <v>57</v>
      </c>
      <c r="D214" s="499" t="s">
        <v>59</v>
      </c>
      <c r="E214" s="498"/>
      <c r="F214" s="498"/>
      <c r="G214" s="498"/>
      <c r="H214" s="502">
        <f>'SSR-rates'!$L$60</f>
        <v>575</v>
      </c>
      <c r="I214" s="502" t="s">
        <v>38</v>
      </c>
      <c r="J214" s="514">
        <f>ROUND(B214*H214,2)</f>
        <v>11500</v>
      </c>
    </row>
    <row r="215" spans="1:10" ht="20.100000000000001" customHeight="1">
      <c r="A215" s="494"/>
      <c r="B215" s="504">
        <f>+'Input Data'!$D$23</f>
        <v>0</v>
      </c>
      <c r="C215" s="505"/>
      <c r="D215" s="498" t="s">
        <v>17</v>
      </c>
      <c r="E215" s="498"/>
      <c r="F215" s="503"/>
      <c r="G215" s="503"/>
      <c r="H215" s="502">
        <f>SUM(J212:J214)</f>
        <v>12917</v>
      </c>
      <c r="I215" s="488"/>
      <c r="J215" s="514">
        <f>B215*H215</f>
        <v>0</v>
      </c>
    </row>
    <row r="216" spans="1:10" s="483" customFormat="1" ht="20.100000000000001" customHeight="1">
      <c r="A216" s="498"/>
      <c r="B216" s="502"/>
      <c r="C216" s="498"/>
      <c r="D216" s="499" t="s">
        <v>60</v>
      </c>
      <c r="E216" s="498"/>
      <c r="F216" s="498"/>
      <c r="G216" s="498"/>
      <c r="H216" s="502"/>
      <c r="I216" s="502"/>
      <c r="J216" s="515">
        <f>SUM(J212:J215)</f>
        <v>12917</v>
      </c>
    </row>
    <row r="217" spans="1:10" s="483" customFormat="1" ht="20.100000000000001" customHeight="1">
      <c r="A217" s="498"/>
      <c r="B217" s="494" t="s">
        <v>39</v>
      </c>
      <c r="C217" s="501" t="s">
        <v>61</v>
      </c>
      <c r="D217" s="498"/>
      <c r="E217" s="498"/>
      <c r="F217" s="498"/>
      <c r="G217" s="498"/>
      <c r="H217" s="498"/>
      <c r="I217" s="502"/>
      <c r="J217" s="514"/>
    </row>
    <row r="218" spans="1:10" s="483" customFormat="1" ht="20.100000000000001" customHeight="1">
      <c r="A218" s="498"/>
      <c r="B218" s="502">
        <v>5.4</v>
      </c>
      <c r="C218" s="503" t="s">
        <v>31</v>
      </c>
      <c r="D218" s="499" t="s">
        <v>1997</v>
      </c>
      <c r="E218" s="498"/>
      <c r="F218" s="498"/>
      <c r="G218" s="498"/>
      <c r="H218" s="502">
        <f>+lead!$J$14</f>
        <v>1706.5179333714741</v>
      </c>
      <c r="I218" s="502" t="s">
        <v>31</v>
      </c>
      <c r="J218" s="514">
        <f t="shared" ref="J218:J223" si="6">ROUND(B218*H218,2)</f>
        <v>9215.2000000000007</v>
      </c>
    </row>
    <row r="219" spans="1:10" ht="20.100000000000001" customHeight="1">
      <c r="A219" s="503"/>
      <c r="B219" s="502">
        <v>5.4</v>
      </c>
      <c r="C219" s="503" t="s">
        <v>31</v>
      </c>
      <c r="D219" s="498" t="s">
        <v>63</v>
      </c>
      <c r="E219" s="498"/>
      <c r="F219" s="498"/>
      <c r="G219" s="498"/>
      <c r="H219" s="502">
        <f>+lead!$J$16</f>
        <v>2005.5179333714741</v>
      </c>
      <c r="I219" s="502" t="s">
        <v>31</v>
      </c>
      <c r="J219" s="499">
        <f t="shared" si="6"/>
        <v>10829.8</v>
      </c>
    </row>
    <row r="220" spans="1:10" ht="20.100000000000001" customHeight="1">
      <c r="A220" s="503"/>
      <c r="B220" s="502">
        <v>2.7</v>
      </c>
      <c r="C220" s="503" t="s">
        <v>31</v>
      </c>
      <c r="D220" s="498" t="s">
        <v>64</v>
      </c>
      <c r="E220" s="498"/>
      <c r="F220" s="498"/>
      <c r="G220" s="498"/>
      <c r="H220" s="502">
        <f>+lead!$J$18</f>
        <v>1754.5179333714741</v>
      </c>
      <c r="I220" s="502" t="s">
        <v>31</v>
      </c>
      <c r="J220" s="499">
        <f t="shared" si="6"/>
        <v>4737.2</v>
      </c>
    </row>
    <row r="221" spans="1:10" s="483" customFormat="1" ht="45" customHeight="1">
      <c r="A221" s="498"/>
      <c r="B221" s="507">
        <f>6.75/2</f>
        <v>3.375</v>
      </c>
      <c r="C221" s="503" t="s">
        <v>31</v>
      </c>
      <c r="D221" s="3813" t="s">
        <v>1852</v>
      </c>
      <c r="E221" s="3813"/>
      <c r="F221" s="3813"/>
      <c r="G221" s="3813"/>
      <c r="H221" s="506">
        <f>lead!$J$31</f>
        <v>1812.3700655723276</v>
      </c>
      <c r="I221" s="502" t="s">
        <v>31</v>
      </c>
      <c r="J221" s="514">
        <f t="shared" si="6"/>
        <v>6116.75</v>
      </c>
    </row>
    <row r="222" spans="1:10" s="483" customFormat="1" ht="35.1" customHeight="1">
      <c r="A222" s="498"/>
      <c r="B222" s="507">
        <f>6.75/2</f>
        <v>3.375</v>
      </c>
      <c r="C222" s="503" t="s">
        <v>31</v>
      </c>
      <c r="D222" s="3813" t="s">
        <v>1853</v>
      </c>
      <c r="E222" s="3813"/>
      <c r="F222" s="3813"/>
      <c r="G222" s="3813"/>
      <c r="H222" s="506">
        <f>lead!$J$33</f>
        <v>1447.5179333714741</v>
      </c>
      <c r="I222" s="502" t="s">
        <v>31</v>
      </c>
      <c r="J222" s="514">
        <f t="shared" si="6"/>
        <v>4885.37</v>
      </c>
    </row>
    <row r="223" spans="1:10" s="483" customFormat="1" ht="20.100000000000001" customHeight="1">
      <c r="A223" s="498"/>
      <c r="B223" s="502">
        <v>5.16</v>
      </c>
      <c r="C223" s="503" t="s">
        <v>66</v>
      </c>
      <c r="D223" s="499" t="s">
        <v>67</v>
      </c>
      <c r="E223" s="498"/>
      <c r="F223" s="498"/>
      <c r="G223" s="498"/>
      <c r="H223" s="502">
        <f>+lead!$J$36</f>
        <v>5000</v>
      </c>
      <c r="I223" s="502" t="s">
        <v>66</v>
      </c>
      <c r="J223" s="514">
        <f t="shared" si="6"/>
        <v>25800</v>
      </c>
    </row>
    <row r="224" spans="1:10" s="483" customFormat="1" ht="20.100000000000001" customHeight="1">
      <c r="A224" s="498"/>
      <c r="B224" s="507"/>
      <c r="C224" s="505"/>
      <c r="D224" s="499" t="s">
        <v>60</v>
      </c>
      <c r="E224" s="498"/>
      <c r="F224" s="498"/>
      <c r="G224" s="498"/>
      <c r="H224" s="502"/>
      <c r="I224" s="502"/>
      <c r="J224" s="515">
        <f>SUM(J218:J223)</f>
        <v>61584.32</v>
      </c>
    </row>
    <row r="225" spans="1:10" s="483" customFormat="1" ht="20.100000000000001" customHeight="1">
      <c r="A225" s="498"/>
      <c r="B225" s="494" t="s">
        <v>1998</v>
      </c>
      <c r="C225" s="501" t="s">
        <v>40</v>
      </c>
      <c r="D225" s="498"/>
      <c r="E225" s="498"/>
      <c r="F225" s="498"/>
      <c r="G225" s="498"/>
      <c r="H225" s="502"/>
      <c r="I225" s="502"/>
      <c r="J225" s="514"/>
    </row>
    <row r="226" spans="1:10" s="483" customFormat="1" ht="20.100000000000001" customHeight="1">
      <c r="A226" s="498"/>
      <c r="B226" s="502">
        <v>6</v>
      </c>
      <c r="C226" s="503" t="s">
        <v>41</v>
      </c>
      <c r="D226" s="499" t="s">
        <v>68</v>
      </c>
      <c r="E226" s="498"/>
      <c r="F226" s="498"/>
      <c r="G226" s="498"/>
      <c r="H226" s="502">
        <f>+'SSR-rates'!L88</f>
        <v>697.9</v>
      </c>
      <c r="I226" s="502" t="s">
        <v>41</v>
      </c>
      <c r="J226" s="514">
        <f>ROUND(B226*H226,2)</f>
        <v>4187.3999999999996</v>
      </c>
    </row>
    <row r="227" spans="1:10" s="483" customFormat="1" ht="20.100000000000001" customHeight="1">
      <c r="A227" s="494"/>
      <c r="B227" s="502">
        <v>6</v>
      </c>
      <c r="C227" s="503" t="s">
        <v>41</v>
      </c>
      <c r="D227" s="499" t="s">
        <v>1999</v>
      </c>
      <c r="E227" s="498"/>
      <c r="F227" s="498"/>
      <c r="G227" s="498"/>
      <c r="H227" s="502">
        <f>+'SSR-rates'!L87</f>
        <v>1323.5</v>
      </c>
      <c r="I227" s="502" t="s">
        <v>41</v>
      </c>
      <c r="J227" s="514">
        <f>ROUND(B227*H227,2)</f>
        <v>7941</v>
      </c>
    </row>
    <row r="228" spans="1:10" s="483" customFormat="1" ht="20.100000000000001" customHeight="1">
      <c r="A228" s="494"/>
      <c r="B228" s="502"/>
      <c r="C228" s="505"/>
      <c r="D228" s="499" t="s">
        <v>60</v>
      </c>
      <c r="E228" s="498"/>
      <c r="F228" s="498"/>
      <c r="G228" s="498"/>
      <c r="H228" s="502"/>
      <c r="I228" s="502"/>
      <c r="J228" s="515">
        <f>SUM(J226:J227)</f>
        <v>12128.4</v>
      </c>
    </row>
    <row r="229" spans="1:10" ht="20.100000000000001" customHeight="1">
      <c r="A229" s="503"/>
      <c r="B229" s="494" t="s">
        <v>45</v>
      </c>
      <c r="C229" s="501" t="s">
        <v>71</v>
      </c>
      <c r="D229" s="498"/>
      <c r="E229" s="498"/>
      <c r="F229" s="498"/>
      <c r="G229" s="498"/>
      <c r="H229" s="502"/>
      <c r="I229" s="502"/>
      <c r="J229" s="499"/>
    </row>
    <row r="230" spans="1:10" ht="20.100000000000001" customHeight="1">
      <c r="A230" s="503"/>
      <c r="B230" s="502">
        <v>10</v>
      </c>
      <c r="C230" s="503" t="s">
        <v>29</v>
      </c>
      <c r="D230" s="498" t="s">
        <v>72</v>
      </c>
      <c r="E230" s="498"/>
      <c r="F230" s="498"/>
      <c r="G230" s="498"/>
      <c r="H230" s="502">
        <f>+J228+J224+J216</f>
        <v>86629.72</v>
      </c>
      <c r="I230" s="488" t="s">
        <v>73</v>
      </c>
      <c r="J230" s="499">
        <f>ROUND(B230*H230/100,2)</f>
        <v>8662.9699999999993</v>
      </c>
    </row>
    <row r="231" spans="1:10" s="483" customFormat="1" ht="20.100000000000001" customHeight="1">
      <c r="A231" s="494"/>
      <c r="B231" s="494" t="s">
        <v>45</v>
      </c>
      <c r="C231" s="508" t="s">
        <v>1332</v>
      </c>
      <c r="D231" s="498"/>
      <c r="E231" s="498"/>
      <c r="F231" s="503"/>
      <c r="G231" s="503"/>
      <c r="H231" s="503"/>
      <c r="I231" s="503"/>
      <c r="J231" s="515"/>
    </row>
    <row r="232" spans="1:10" s="483" customFormat="1" ht="20.100000000000001" customHeight="1">
      <c r="A232" s="498"/>
      <c r="B232" s="509">
        <f>'Input Data'!$D$24</f>
        <v>0.13614999999999999</v>
      </c>
      <c r="C232" s="508" t="s">
        <v>1332</v>
      </c>
      <c r="D232" s="498"/>
      <c r="E232" s="498"/>
      <c r="F232" s="503"/>
      <c r="G232" s="503"/>
      <c r="H232" s="503"/>
      <c r="I232" s="503"/>
      <c r="J232" s="514">
        <f>ROUND((J216+J224+J228+J230)*B232,2)</f>
        <v>12974.1</v>
      </c>
    </row>
    <row r="233" spans="1:10" s="483" customFormat="1" ht="20.100000000000001" customHeight="1">
      <c r="A233" s="498"/>
      <c r="B233" s="510">
        <f>'Input Data'!$E$24</f>
        <v>0</v>
      </c>
      <c r="C233" s="511" t="s">
        <v>1314</v>
      </c>
      <c r="D233" s="498"/>
      <c r="E233" s="498"/>
      <c r="F233" s="503"/>
      <c r="G233" s="503"/>
      <c r="H233" s="505">
        <f>J232+J230+J228+J224+J216</f>
        <v>108266.79000000001</v>
      </c>
      <c r="I233" s="503"/>
      <c r="J233" s="514">
        <f>H233*B233</f>
        <v>0</v>
      </c>
    </row>
    <row r="234" spans="1:10" s="483" customFormat="1" ht="20.100000000000001" customHeight="1">
      <c r="A234" s="498"/>
      <c r="B234" s="494" t="s">
        <v>47</v>
      </c>
      <c r="C234" s="508" t="s">
        <v>89</v>
      </c>
      <c r="D234" s="498"/>
      <c r="E234" s="498"/>
      <c r="F234" s="503"/>
      <c r="G234" s="503"/>
      <c r="H234" s="503"/>
      <c r="I234" s="503"/>
      <c r="J234" s="515">
        <f>H233+J233</f>
        <v>108266.79000000001</v>
      </c>
    </row>
    <row r="235" spans="1:10" s="483" customFormat="1" ht="20.100000000000001" customHeight="1">
      <c r="A235" s="498"/>
      <c r="B235" s="507"/>
      <c r="C235" s="503"/>
      <c r="D235" s="501" t="s">
        <v>1951</v>
      </c>
      <c r="E235" s="498"/>
      <c r="F235" s="498"/>
      <c r="G235" s="498"/>
      <c r="H235" s="502"/>
      <c r="I235" s="502"/>
      <c r="J235" s="515">
        <f>SUM(J234:J234)</f>
        <v>108266.79000000001</v>
      </c>
    </row>
    <row r="236" spans="1:10" s="483" customFormat="1" ht="20.100000000000001" customHeight="1">
      <c r="A236" s="498"/>
      <c r="B236" s="502"/>
      <c r="C236" s="503"/>
      <c r="D236" s="499" t="s">
        <v>81</v>
      </c>
      <c r="E236" s="498"/>
      <c r="F236" s="498"/>
      <c r="G236" s="498"/>
      <c r="H236" s="502"/>
      <c r="I236" s="498"/>
      <c r="J236" s="514">
        <f>ROUND(J235/15,2)</f>
        <v>7217.79</v>
      </c>
    </row>
    <row r="237" spans="1:10" s="483" customFormat="1" ht="20.100000000000001" customHeight="1">
      <c r="A237" s="512"/>
      <c r="B237" s="488"/>
      <c r="C237" s="498"/>
      <c r="D237" s="499" t="s">
        <v>52</v>
      </c>
      <c r="E237" s="498"/>
      <c r="F237" s="498"/>
      <c r="G237" s="498"/>
      <c r="H237" s="502"/>
      <c r="I237" s="498"/>
      <c r="J237" s="543">
        <f>ROUND(J236,2)</f>
        <v>7217.79</v>
      </c>
    </row>
    <row r="238" spans="1:10" s="483" customFormat="1" ht="20.100000000000001" customHeight="1">
      <c r="A238" s="498"/>
      <c r="B238" s="488"/>
      <c r="C238" s="498"/>
      <c r="D238" s="499"/>
      <c r="E238" s="498"/>
      <c r="F238" s="498"/>
      <c r="G238" s="498"/>
      <c r="H238" s="502"/>
      <c r="I238" s="498"/>
      <c r="J238" s="515" t="s">
        <v>53</v>
      </c>
    </row>
    <row r="239" spans="1:10" s="482" customFormat="1" ht="114.6" customHeight="1">
      <c r="A239" s="497">
        <f>A208+1</f>
        <v>6</v>
      </c>
      <c r="B239" s="3815" t="s">
        <v>2030</v>
      </c>
      <c r="C239" s="3815"/>
      <c r="D239" s="3815"/>
      <c r="E239" s="3815"/>
      <c r="F239" s="3815"/>
      <c r="G239" s="3815"/>
      <c r="H239" s="3815"/>
      <c r="I239" s="3815"/>
      <c r="J239" s="3815"/>
    </row>
    <row r="240" spans="1:10" s="483" customFormat="1" ht="20.100000000000001" customHeight="1">
      <c r="A240" s="498"/>
      <c r="B240" s="488"/>
      <c r="C240" s="498"/>
      <c r="D240" s="499" t="s">
        <v>10</v>
      </c>
      <c r="E240" s="498"/>
      <c r="F240" s="498"/>
      <c r="G240" s="498"/>
      <c r="H240" s="498"/>
      <c r="I240" s="498"/>
      <c r="J240" s="498"/>
    </row>
    <row r="241" spans="1:10" s="483" customFormat="1" ht="20.100000000000001" customHeight="1">
      <c r="A241" s="498"/>
      <c r="B241" s="488"/>
      <c r="C241" s="498"/>
      <c r="D241" s="499" t="s">
        <v>56</v>
      </c>
      <c r="E241" s="498"/>
      <c r="F241" s="498"/>
      <c r="G241" s="498"/>
      <c r="H241" s="498"/>
      <c r="I241" s="498"/>
      <c r="J241" s="498"/>
    </row>
    <row r="242" spans="1:10" s="483" customFormat="1" ht="20.100000000000001" customHeight="1">
      <c r="A242" s="498"/>
      <c r="B242" s="494" t="s">
        <v>36</v>
      </c>
      <c r="C242" s="501" t="s">
        <v>37</v>
      </c>
      <c r="D242" s="498"/>
      <c r="E242" s="498"/>
      <c r="F242" s="498"/>
      <c r="G242" s="498"/>
      <c r="H242" s="498"/>
      <c r="I242" s="498"/>
      <c r="J242" s="498"/>
    </row>
    <row r="243" spans="1:10" s="483" customFormat="1" ht="20.100000000000001" customHeight="1">
      <c r="A243" s="498"/>
      <c r="B243" s="502">
        <v>0.86</v>
      </c>
      <c r="C243" s="503" t="s">
        <v>57</v>
      </c>
      <c r="D243" s="499" t="s">
        <v>14</v>
      </c>
      <c r="E243" s="498"/>
      <c r="F243" s="498"/>
      <c r="G243" s="498"/>
      <c r="H243" s="502">
        <f>'SSR-rates'!$L$58</f>
        <v>575</v>
      </c>
      <c r="I243" s="502" t="s">
        <v>38</v>
      </c>
      <c r="J243" s="514">
        <f>ROUND(B243*H243,2)</f>
        <v>494.5</v>
      </c>
    </row>
    <row r="244" spans="1:10" s="483" customFormat="1" ht="20.100000000000001" customHeight="1">
      <c r="A244" s="498"/>
      <c r="B244" s="502">
        <v>1.5</v>
      </c>
      <c r="C244" s="503" t="s">
        <v>57</v>
      </c>
      <c r="D244" s="499" t="s">
        <v>58</v>
      </c>
      <c r="E244" s="498"/>
      <c r="F244" s="498"/>
      <c r="G244" s="498"/>
      <c r="H244" s="502">
        <f>+'SSR-rates'!$L$54</f>
        <v>615</v>
      </c>
      <c r="I244" s="502" t="s">
        <v>38</v>
      </c>
      <c r="J244" s="514">
        <f>ROUND(B244*H244,2)</f>
        <v>922.5</v>
      </c>
    </row>
    <row r="245" spans="1:10" s="483" customFormat="1" ht="20.100000000000001" customHeight="1">
      <c r="A245" s="498"/>
      <c r="B245" s="502">
        <v>20</v>
      </c>
      <c r="C245" s="503" t="s">
        <v>57</v>
      </c>
      <c r="D245" s="499" t="s">
        <v>59</v>
      </c>
      <c r="E245" s="498"/>
      <c r="F245" s="498"/>
      <c r="G245" s="498"/>
      <c r="H245" s="502">
        <f>'SSR-rates'!$L$60</f>
        <v>575</v>
      </c>
      <c r="I245" s="502" t="s">
        <v>38</v>
      </c>
      <c r="J245" s="514">
        <f>ROUND(B245*H245,2)</f>
        <v>11500</v>
      </c>
    </row>
    <row r="246" spans="1:10" ht="20.100000000000001" customHeight="1">
      <c r="A246" s="494"/>
      <c r="B246" s="504">
        <f>+'Input Data'!D23</f>
        <v>0</v>
      </c>
      <c r="C246" s="505"/>
      <c r="D246" s="498" t="s">
        <v>17</v>
      </c>
      <c r="E246" s="498"/>
      <c r="F246" s="503"/>
      <c r="G246" s="503"/>
      <c r="H246" s="502">
        <f>SUM(J243:J245)</f>
        <v>12917</v>
      </c>
      <c r="I246" s="488"/>
      <c r="J246" s="514">
        <f>B246*H246</f>
        <v>0</v>
      </c>
    </row>
    <row r="247" spans="1:10" s="483" customFormat="1" ht="20.100000000000001" customHeight="1">
      <c r="A247" s="498"/>
      <c r="B247" s="502"/>
      <c r="C247" s="498"/>
      <c r="D247" s="499" t="s">
        <v>60</v>
      </c>
      <c r="E247" s="498"/>
      <c r="F247" s="498"/>
      <c r="G247" s="498"/>
      <c r="H247" s="502"/>
      <c r="I247" s="502"/>
      <c r="J247" s="515">
        <f>SUM(J243:J246)</f>
        <v>12917</v>
      </c>
    </row>
    <row r="248" spans="1:10" s="483" customFormat="1" ht="20.100000000000001" customHeight="1">
      <c r="A248" s="498"/>
      <c r="B248" s="494" t="s">
        <v>39</v>
      </c>
      <c r="C248" s="501" t="s">
        <v>61</v>
      </c>
      <c r="D248" s="498"/>
      <c r="E248" s="498"/>
      <c r="F248" s="498"/>
      <c r="G248" s="498"/>
      <c r="H248" s="498"/>
      <c r="I248" s="502"/>
      <c r="J248" s="514"/>
    </row>
    <row r="249" spans="1:10" ht="20.100000000000001" customHeight="1">
      <c r="A249" s="503"/>
      <c r="B249" s="502">
        <v>8.1</v>
      </c>
      <c r="C249" s="503" t="s">
        <v>31</v>
      </c>
      <c r="D249" s="498" t="s">
        <v>63</v>
      </c>
      <c r="E249" s="498"/>
      <c r="F249" s="498"/>
      <c r="G249" s="498"/>
      <c r="H249" s="502">
        <f>+lead!$J$16</f>
        <v>2005.5179333714741</v>
      </c>
      <c r="I249" s="502" t="s">
        <v>31</v>
      </c>
      <c r="J249" s="499">
        <f>ROUND(B249*H249,2)</f>
        <v>16244.7</v>
      </c>
    </row>
    <row r="250" spans="1:10" ht="20.100000000000001" customHeight="1">
      <c r="A250" s="503"/>
      <c r="B250" s="502">
        <v>5.4</v>
      </c>
      <c r="C250" s="503" t="s">
        <v>31</v>
      </c>
      <c r="D250" s="498" t="s">
        <v>64</v>
      </c>
      <c r="E250" s="498"/>
      <c r="F250" s="498"/>
      <c r="G250" s="498"/>
      <c r="H250" s="502">
        <f>+lead!$J$18</f>
        <v>1754.5179333714741</v>
      </c>
      <c r="I250" s="502" t="s">
        <v>31</v>
      </c>
      <c r="J250" s="499">
        <f>ROUND(B250*H250,2)</f>
        <v>9474.4</v>
      </c>
    </row>
    <row r="251" spans="1:10" s="483" customFormat="1" ht="45" customHeight="1">
      <c r="A251" s="498"/>
      <c r="B251" s="507">
        <f>6.75/2</f>
        <v>3.375</v>
      </c>
      <c r="C251" s="503" t="s">
        <v>31</v>
      </c>
      <c r="D251" s="3813" t="s">
        <v>1852</v>
      </c>
      <c r="E251" s="3813"/>
      <c r="F251" s="3813"/>
      <c r="G251" s="3813"/>
      <c r="H251" s="506">
        <f>lead!$J$31</f>
        <v>1812.3700655723276</v>
      </c>
      <c r="I251" s="502" t="s">
        <v>31</v>
      </c>
      <c r="J251" s="514">
        <f>ROUND(B251*H251,2)</f>
        <v>6116.75</v>
      </c>
    </row>
    <row r="252" spans="1:10" s="483" customFormat="1" ht="35.1" customHeight="1">
      <c r="A252" s="498"/>
      <c r="B252" s="507">
        <f>6.75/2</f>
        <v>3.375</v>
      </c>
      <c r="C252" s="503" t="s">
        <v>31</v>
      </c>
      <c r="D252" s="3813" t="s">
        <v>1853</v>
      </c>
      <c r="E252" s="3813"/>
      <c r="F252" s="3813"/>
      <c r="G252" s="3813"/>
      <c r="H252" s="506">
        <f>lead!$J$33</f>
        <v>1447.5179333714741</v>
      </c>
      <c r="I252" s="502" t="s">
        <v>31</v>
      </c>
      <c r="J252" s="514">
        <f>ROUND(B252*H252,2)</f>
        <v>4885.37</v>
      </c>
    </row>
    <row r="253" spans="1:10" s="483" customFormat="1" ht="20.100000000000001" customHeight="1">
      <c r="A253" s="498"/>
      <c r="B253" s="502">
        <v>6.05</v>
      </c>
      <c r="C253" s="503" t="s">
        <v>66</v>
      </c>
      <c r="D253" s="499" t="s">
        <v>67</v>
      </c>
      <c r="E253" s="498"/>
      <c r="F253" s="498"/>
      <c r="G253" s="498"/>
      <c r="H253" s="502">
        <f>+lead!$J$36</f>
        <v>5000</v>
      </c>
      <c r="I253" s="502" t="s">
        <v>66</v>
      </c>
      <c r="J253" s="514">
        <f>ROUND(B253*H253,2)</f>
        <v>30250</v>
      </c>
    </row>
    <row r="254" spans="1:10" s="483" customFormat="1" ht="20.100000000000001" customHeight="1">
      <c r="A254" s="498"/>
      <c r="B254" s="507"/>
      <c r="C254" s="505"/>
      <c r="D254" s="499" t="s">
        <v>60</v>
      </c>
      <c r="E254" s="498"/>
      <c r="F254" s="498"/>
      <c r="G254" s="498"/>
      <c r="H254" s="502"/>
      <c r="I254" s="502"/>
      <c r="J254" s="515">
        <f>SUM(J249:J253)</f>
        <v>66971.22</v>
      </c>
    </row>
    <row r="255" spans="1:10" s="483" customFormat="1" ht="20.100000000000001" customHeight="1">
      <c r="A255" s="498"/>
      <c r="B255" s="494" t="s">
        <v>1998</v>
      </c>
      <c r="C255" s="501" t="s">
        <v>40</v>
      </c>
      <c r="D255" s="498"/>
      <c r="E255" s="498"/>
      <c r="F255" s="498"/>
      <c r="G255" s="498"/>
      <c r="H255" s="502"/>
      <c r="I255" s="502"/>
      <c r="J255" s="514"/>
    </row>
    <row r="256" spans="1:10" s="483" customFormat="1" ht="20.100000000000001" customHeight="1">
      <c r="A256" s="498"/>
      <c r="B256" s="502">
        <v>6</v>
      </c>
      <c r="C256" s="503" t="s">
        <v>41</v>
      </c>
      <c r="D256" s="499" t="s">
        <v>68</v>
      </c>
      <c r="E256" s="498"/>
      <c r="F256" s="498"/>
      <c r="G256" s="498"/>
      <c r="H256" s="502">
        <f>+'SSR-rates'!$L$88</f>
        <v>697.9</v>
      </c>
      <c r="I256" s="502" t="s">
        <v>41</v>
      </c>
      <c r="J256" s="514">
        <f>ROUND(B256*H256,2)</f>
        <v>4187.3999999999996</v>
      </c>
    </row>
    <row r="257" spans="1:10" s="483" customFormat="1" ht="20.100000000000001" customHeight="1">
      <c r="A257" s="494"/>
      <c r="B257" s="502">
        <v>6</v>
      </c>
      <c r="C257" s="503" t="s">
        <v>41</v>
      </c>
      <c r="D257" s="499" t="s">
        <v>1999</v>
      </c>
      <c r="E257" s="498"/>
      <c r="F257" s="498"/>
      <c r="G257" s="498"/>
      <c r="H257" s="502">
        <f>+'SSR-rates'!$L$87</f>
        <v>1323.5</v>
      </c>
      <c r="I257" s="502" t="s">
        <v>41</v>
      </c>
      <c r="J257" s="514">
        <f>ROUND(B257*H257,2)</f>
        <v>7941</v>
      </c>
    </row>
    <row r="258" spans="1:10" s="483" customFormat="1" ht="20.100000000000001" customHeight="1">
      <c r="A258" s="494"/>
      <c r="B258" s="502"/>
      <c r="C258" s="505"/>
      <c r="D258" s="499" t="s">
        <v>60</v>
      </c>
      <c r="E258" s="498"/>
      <c r="F258" s="498"/>
      <c r="G258" s="498"/>
      <c r="H258" s="502"/>
      <c r="I258" s="502"/>
      <c r="J258" s="515">
        <f>SUM(J256:J257)</f>
        <v>12128.4</v>
      </c>
    </row>
    <row r="259" spans="1:10" ht="20.100000000000001" customHeight="1">
      <c r="A259" s="503"/>
      <c r="B259" s="494" t="s">
        <v>45</v>
      </c>
      <c r="C259" s="501" t="s">
        <v>71</v>
      </c>
      <c r="D259" s="498"/>
      <c r="E259" s="498"/>
      <c r="F259" s="498"/>
      <c r="G259" s="498"/>
      <c r="H259" s="502"/>
      <c r="I259" s="502"/>
      <c r="J259" s="499"/>
    </row>
    <row r="260" spans="1:10" ht="20.100000000000001" customHeight="1">
      <c r="A260" s="503"/>
      <c r="B260" s="502">
        <v>10</v>
      </c>
      <c r="C260" s="503" t="s">
        <v>29</v>
      </c>
      <c r="D260" s="498" t="s">
        <v>72</v>
      </c>
      <c r="E260" s="498"/>
      <c r="F260" s="498"/>
      <c r="G260" s="498"/>
      <c r="H260" s="502">
        <f>+J258+J254+J247</f>
        <v>92016.62</v>
      </c>
      <c r="I260" s="488" t="s">
        <v>73</v>
      </c>
      <c r="J260" s="499">
        <f>ROUND(B260*H260/100,2)</f>
        <v>9201.66</v>
      </c>
    </row>
    <row r="261" spans="1:10" s="483" customFormat="1" ht="20.100000000000001" customHeight="1">
      <c r="A261" s="494"/>
      <c r="B261" s="494" t="s">
        <v>45</v>
      </c>
      <c r="C261" s="508" t="s">
        <v>1332</v>
      </c>
      <c r="D261" s="498"/>
      <c r="E261" s="498"/>
      <c r="F261" s="503"/>
      <c r="G261" s="503"/>
      <c r="H261" s="503"/>
      <c r="I261" s="503"/>
      <c r="J261" s="515"/>
    </row>
    <row r="262" spans="1:10" s="483" customFormat="1" ht="20.100000000000001" customHeight="1">
      <c r="A262" s="498"/>
      <c r="B262" s="509">
        <f>'Input Data'!$D$24</f>
        <v>0.13614999999999999</v>
      </c>
      <c r="C262" s="508" t="s">
        <v>1332</v>
      </c>
      <c r="D262" s="498"/>
      <c r="E262" s="498"/>
      <c r="F262" s="503"/>
      <c r="G262" s="503"/>
      <c r="H262" s="503"/>
      <c r="I262" s="503"/>
      <c r="J262" s="514">
        <f>ROUND((J247+J254+J258+J260)*B262,2)</f>
        <v>13780.87</v>
      </c>
    </row>
    <row r="263" spans="1:10" s="483" customFormat="1" ht="20.100000000000001" customHeight="1">
      <c r="A263" s="498"/>
      <c r="B263" s="510">
        <f>'Input Data'!$E$24</f>
        <v>0</v>
      </c>
      <c r="C263" s="511" t="s">
        <v>1314</v>
      </c>
      <c r="D263" s="498"/>
      <c r="E263" s="498"/>
      <c r="F263" s="503"/>
      <c r="G263" s="503"/>
      <c r="H263" s="505">
        <f>J262+J260+J258+J254+J247</f>
        <v>114999.15</v>
      </c>
      <c r="I263" s="503"/>
      <c r="J263" s="514">
        <f>H263*B263</f>
        <v>0</v>
      </c>
    </row>
    <row r="264" spans="1:10" s="483" customFormat="1" ht="20.100000000000001" customHeight="1">
      <c r="A264" s="498"/>
      <c r="B264" s="494" t="s">
        <v>47</v>
      </c>
      <c r="C264" s="508" t="s">
        <v>89</v>
      </c>
      <c r="D264" s="498"/>
      <c r="E264" s="498"/>
      <c r="F264" s="503"/>
      <c r="G264" s="503"/>
      <c r="H264" s="503"/>
      <c r="I264" s="503"/>
      <c r="J264" s="515">
        <f>J247+J254+J258+J260+J262+J263</f>
        <v>114999.15</v>
      </c>
    </row>
    <row r="265" spans="1:10" s="483" customFormat="1" ht="20.100000000000001" customHeight="1">
      <c r="A265" s="498"/>
      <c r="B265" s="507"/>
      <c r="C265" s="503"/>
      <c r="D265" s="501" t="s">
        <v>1951</v>
      </c>
      <c r="E265" s="498"/>
      <c r="F265" s="498"/>
      <c r="G265" s="498"/>
      <c r="H265" s="502"/>
      <c r="I265" s="502"/>
      <c r="J265" s="515">
        <f>SUM(J264:J264)</f>
        <v>114999.15</v>
      </c>
    </row>
    <row r="266" spans="1:10" s="483" customFormat="1" ht="20.100000000000001" customHeight="1">
      <c r="A266" s="498"/>
      <c r="B266" s="502"/>
      <c r="C266" s="503"/>
      <c r="D266" s="499" t="s">
        <v>81</v>
      </c>
      <c r="E266" s="498"/>
      <c r="F266" s="498"/>
      <c r="G266" s="498"/>
      <c r="H266" s="502"/>
      <c r="I266" s="498"/>
      <c r="J266" s="514">
        <f>ROUND(J265/15,2)</f>
        <v>7666.61</v>
      </c>
    </row>
    <row r="267" spans="1:10" s="483" customFormat="1" ht="20.100000000000001" customHeight="1">
      <c r="A267" s="512"/>
      <c r="B267" s="488"/>
      <c r="C267" s="498"/>
      <c r="D267" s="499" t="s">
        <v>52</v>
      </c>
      <c r="E267" s="498"/>
      <c r="F267" s="498"/>
      <c r="G267" s="498"/>
      <c r="H267" s="502"/>
      <c r="I267" s="498"/>
      <c r="J267" s="516">
        <f>ROUND(J266,2)</f>
        <v>7666.61</v>
      </c>
    </row>
    <row r="268" spans="1:10" s="483" customFormat="1" ht="20.100000000000001" customHeight="1">
      <c r="A268" s="498"/>
      <c r="B268" s="488"/>
      <c r="C268" s="498"/>
      <c r="D268" s="499"/>
      <c r="E268" s="498"/>
      <c r="F268" s="498"/>
      <c r="G268" s="498"/>
      <c r="H268" s="502"/>
      <c r="I268" s="498"/>
      <c r="J268" s="515" t="s">
        <v>53</v>
      </c>
    </row>
    <row r="269" spans="1:10" ht="138" customHeight="1">
      <c r="A269" s="517">
        <f>A239+1</f>
        <v>7</v>
      </c>
      <c r="B269" s="3818" t="s">
        <v>1157</v>
      </c>
      <c r="C269" s="3818"/>
      <c r="D269" s="3818"/>
      <c r="E269" s="3818"/>
      <c r="F269" s="3818"/>
      <c r="G269" s="3818"/>
      <c r="H269" s="3818"/>
      <c r="I269" s="3818"/>
      <c r="J269" s="3818"/>
    </row>
    <row r="270" spans="1:10" ht="20.100000000000001" customHeight="1">
      <c r="A270" s="520"/>
      <c r="B270" s="521"/>
      <c r="C270" s="521"/>
      <c r="D270" s="3819" t="s">
        <v>195</v>
      </c>
      <c r="E270" s="3819"/>
      <c r="F270" s="3819"/>
      <c r="G270" s="3819"/>
      <c r="H270" s="521"/>
      <c r="I270" s="521"/>
      <c r="J270" s="534"/>
    </row>
    <row r="271" spans="1:10" ht="20.100000000000001" customHeight="1">
      <c r="A271" s="520"/>
      <c r="B271" s="521"/>
      <c r="C271" s="521"/>
      <c r="D271" s="3820" t="s">
        <v>186</v>
      </c>
      <c r="E271" s="3820"/>
      <c r="F271" s="3820"/>
      <c r="G271" s="3820"/>
      <c r="H271" s="521"/>
      <c r="I271" s="521"/>
      <c r="J271" s="534"/>
    </row>
    <row r="272" spans="1:10" ht="20.100000000000001" customHeight="1">
      <c r="A272" s="520"/>
      <c r="B272" s="521"/>
      <c r="C272" s="522"/>
      <c r="D272" s="3820" t="s">
        <v>187</v>
      </c>
      <c r="E272" s="3820"/>
      <c r="F272" s="3820"/>
      <c r="G272" s="3820"/>
      <c r="H272" s="521"/>
      <c r="I272" s="521"/>
      <c r="J272" s="534"/>
    </row>
    <row r="273" spans="1:10" ht="20.100000000000001" customHeight="1">
      <c r="A273" s="520"/>
      <c r="B273" s="521"/>
      <c r="C273" s="523"/>
      <c r="D273" s="3821" t="s">
        <v>12</v>
      </c>
      <c r="E273" s="3821"/>
      <c r="F273" s="3821"/>
      <c r="G273" s="3821"/>
      <c r="H273" s="521"/>
      <c r="I273" s="521"/>
      <c r="J273" s="534"/>
    </row>
    <row r="274" spans="1:10" ht="20.100000000000001" customHeight="1">
      <c r="A274" s="520"/>
      <c r="B274" s="522">
        <v>0.34</v>
      </c>
      <c r="C274" s="525" t="s">
        <v>13</v>
      </c>
      <c r="D274" s="3822" t="s">
        <v>14</v>
      </c>
      <c r="E274" s="3822"/>
      <c r="F274" s="3822"/>
      <c r="G274" s="3822"/>
      <c r="H274" s="526">
        <f>'SSR-rates'!$L$58</f>
        <v>575</v>
      </c>
      <c r="I274" s="522">
        <v>1</v>
      </c>
      <c r="J274" s="535">
        <f>ROUND(B274*H274,2)</f>
        <v>195.5</v>
      </c>
    </row>
    <row r="275" spans="1:10" ht="20.100000000000001" customHeight="1">
      <c r="A275" s="520"/>
      <c r="B275" s="522">
        <v>2</v>
      </c>
      <c r="C275" s="525" t="s">
        <v>13</v>
      </c>
      <c r="D275" s="3822" t="s">
        <v>188</v>
      </c>
      <c r="E275" s="3822"/>
      <c r="F275" s="3822"/>
      <c r="G275" s="3822"/>
      <c r="H275" s="526">
        <f>'SSR-rates'!$L$92</f>
        <v>640</v>
      </c>
      <c r="I275" s="522">
        <v>1</v>
      </c>
      <c r="J275" s="535">
        <f>ROUND(B275*H275,2)</f>
        <v>1280</v>
      </c>
    </row>
    <row r="276" spans="1:10" ht="20.100000000000001" customHeight="1">
      <c r="A276" s="520"/>
      <c r="B276" s="522">
        <v>6.5</v>
      </c>
      <c r="C276" s="525" t="s">
        <v>13</v>
      </c>
      <c r="D276" s="3822" t="s">
        <v>59</v>
      </c>
      <c r="E276" s="3822"/>
      <c r="F276" s="3822"/>
      <c r="G276" s="3822"/>
      <c r="H276" s="526">
        <f>'SSR-rates'!$L$60</f>
        <v>575</v>
      </c>
      <c r="I276" s="522">
        <v>1</v>
      </c>
      <c r="J276" s="535">
        <f>ROUND(B276*H276,2)</f>
        <v>3737.5</v>
      </c>
    </row>
    <row r="277" spans="1:10" ht="20.100000000000001" customHeight="1">
      <c r="A277" s="520"/>
      <c r="B277" s="504">
        <f>'Input Data'!$D$23</f>
        <v>0</v>
      </c>
      <c r="C277" s="505"/>
      <c r="D277" s="498" t="s">
        <v>17</v>
      </c>
      <c r="E277" s="498"/>
      <c r="F277" s="503"/>
      <c r="G277" s="503"/>
      <c r="H277" s="502">
        <f>SUM(J274:J276)</f>
        <v>5213</v>
      </c>
      <c r="I277" s="488"/>
      <c r="J277" s="514">
        <f>B277*H277</f>
        <v>0</v>
      </c>
    </row>
    <row r="278" spans="1:10" ht="20.100000000000001" customHeight="1">
      <c r="A278" s="520"/>
      <c r="B278" s="522"/>
      <c r="C278" s="527"/>
      <c r="D278" s="3823" t="s">
        <v>18</v>
      </c>
      <c r="E278" s="3823"/>
      <c r="F278" s="3823"/>
      <c r="G278" s="3823"/>
      <c r="H278" s="522"/>
      <c r="I278" s="536" t="s">
        <v>19</v>
      </c>
      <c r="J278" s="537">
        <f>SUM(J274:J277)</f>
        <v>5213</v>
      </c>
    </row>
    <row r="279" spans="1:10" ht="20.100000000000001" customHeight="1">
      <c r="A279" s="520"/>
      <c r="B279" s="522"/>
      <c r="C279" s="529"/>
      <c r="D279" s="3821" t="s">
        <v>189</v>
      </c>
      <c r="E279" s="3821"/>
      <c r="F279" s="3821"/>
      <c r="G279" s="3821"/>
      <c r="H279" s="522"/>
      <c r="I279" s="522"/>
      <c r="J279" s="535"/>
    </row>
    <row r="280" spans="1:10" ht="20.100000000000001" customHeight="1">
      <c r="A280" s="520"/>
      <c r="B280" s="522">
        <v>1.05</v>
      </c>
      <c r="C280" s="525" t="s">
        <v>66</v>
      </c>
      <c r="D280" s="3822" t="s">
        <v>190</v>
      </c>
      <c r="E280" s="3822"/>
      <c r="F280" s="3822"/>
      <c r="G280" s="3822"/>
      <c r="H280" s="522">
        <f>lead!$J$37</f>
        <v>49000</v>
      </c>
      <c r="I280" s="522">
        <v>1</v>
      </c>
      <c r="J280" s="535">
        <f>ROUND(B280*H280,2)</f>
        <v>51450</v>
      </c>
    </row>
    <row r="281" spans="1:10" ht="35.1" customHeight="1">
      <c r="A281" s="503"/>
      <c r="B281" s="544">
        <v>6</v>
      </c>
      <c r="C281" s="528" t="s">
        <v>191</v>
      </c>
      <c r="D281" s="3826" t="s">
        <v>196</v>
      </c>
      <c r="E281" s="3826"/>
      <c r="F281" s="3826"/>
      <c r="G281" s="3826"/>
      <c r="H281" s="544">
        <f>'SSR-rates'!$L$93</f>
        <v>83</v>
      </c>
      <c r="I281" s="544">
        <v>1</v>
      </c>
      <c r="J281" s="549">
        <f>H281*B281</f>
        <v>498</v>
      </c>
    </row>
    <row r="282" spans="1:10" ht="20.100000000000001" customHeight="1">
      <c r="A282" s="520"/>
      <c r="B282" s="522"/>
      <c r="C282" s="527"/>
      <c r="D282" s="3823" t="s">
        <v>18</v>
      </c>
      <c r="E282" s="3823"/>
      <c r="F282" s="3823"/>
      <c r="G282" s="3823"/>
      <c r="H282" s="522"/>
      <c r="I282" s="536" t="s">
        <v>25</v>
      </c>
      <c r="J282" s="537">
        <f>SUM(J280:J281)</f>
        <v>51948</v>
      </c>
    </row>
    <row r="283" spans="1:10" ht="35.1" customHeight="1">
      <c r="A283" s="520"/>
      <c r="B283" s="526"/>
      <c r="C283" s="530"/>
      <c r="D283" s="3821" t="s">
        <v>26</v>
      </c>
      <c r="E283" s="3821"/>
      <c r="F283" s="3821"/>
      <c r="G283" s="3821"/>
      <c r="H283" s="526"/>
      <c r="I283" s="538"/>
      <c r="J283" s="539">
        <f>J278+J282</f>
        <v>57161</v>
      </c>
    </row>
    <row r="284" spans="1:10" ht="20.100000000000001" customHeight="1">
      <c r="A284" s="503"/>
      <c r="B284" s="509">
        <f>'Input Data'!$D$24</f>
        <v>0.13614999999999999</v>
      </c>
      <c r="C284" s="545"/>
      <c r="D284" s="3825" t="s">
        <v>2031</v>
      </c>
      <c r="E284" s="3825"/>
      <c r="F284" s="3825"/>
      <c r="G284" s="3825"/>
      <c r="H284" s="544">
        <f>J283</f>
        <v>57161</v>
      </c>
      <c r="I284" s="550"/>
      <c r="J284" s="549">
        <f>H284*B284</f>
        <v>7782.4701499999992</v>
      </c>
    </row>
    <row r="285" spans="1:10" ht="20.100000000000001" customHeight="1">
      <c r="A285" s="503"/>
      <c r="B285" s="510">
        <f>'Input Data'!$E$24</f>
        <v>0</v>
      </c>
      <c r="C285" s="511" t="s">
        <v>1314</v>
      </c>
      <c r="D285" s="531"/>
      <c r="E285" s="531"/>
      <c r="F285" s="531"/>
      <c r="G285" s="531"/>
      <c r="H285" s="544">
        <f>J284+J282+J278</f>
        <v>64943.470150000001</v>
      </c>
      <c r="I285" s="550"/>
      <c r="J285" s="549">
        <f>H285*B285</f>
        <v>0</v>
      </c>
    </row>
    <row r="286" spans="1:10" ht="20.100000000000001" customHeight="1">
      <c r="A286" s="520"/>
      <c r="B286" s="526"/>
      <c r="C286" s="530"/>
      <c r="D286" s="3821"/>
      <c r="E286" s="3821"/>
      <c r="F286" s="3821"/>
      <c r="G286" s="3821"/>
      <c r="H286" s="526"/>
      <c r="I286" s="540"/>
      <c r="J286" s="541"/>
    </row>
    <row r="287" spans="1:10" ht="20.100000000000001" customHeight="1">
      <c r="A287" s="520"/>
      <c r="B287" s="526"/>
      <c r="C287" s="530"/>
      <c r="D287" s="3821"/>
      <c r="E287" s="3821"/>
      <c r="F287" s="3821"/>
      <c r="G287" s="3821"/>
      <c r="H287" s="526"/>
      <c r="I287" s="540"/>
      <c r="J287" s="539"/>
    </row>
    <row r="288" spans="1:10" ht="20.100000000000001" customHeight="1">
      <c r="A288" s="520"/>
      <c r="B288" s="526">
        <v>1</v>
      </c>
      <c r="C288" s="530" t="s">
        <v>66</v>
      </c>
      <c r="D288" s="3823" t="str">
        <f>CONCATENATE("TOTAL Cost for ",B288,"  ",C288,"  =  (A+B+C)",)</f>
        <v>TOTAL Cost for 1  MT  =  (A+B+C)</v>
      </c>
      <c r="E288" s="3823"/>
      <c r="F288" s="3823"/>
      <c r="G288" s="3823"/>
      <c r="H288" s="526"/>
      <c r="I288" s="526"/>
      <c r="J288" s="541">
        <f>SUM(J283:J286)</f>
        <v>64943.470150000001</v>
      </c>
    </row>
    <row r="289" spans="1:11" ht="20.100000000000001" customHeight="1">
      <c r="A289" s="520"/>
      <c r="B289" s="526"/>
      <c r="C289" s="526"/>
      <c r="D289" s="3823" t="str">
        <f>CONCATENATE("Rate per  1  ",C288)</f>
        <v>Rate per  1  MT</v>
      </c>
      <c r="E289" s="3823"/>
      <c r="F289" s="3823"/>
      <c r="G289" s="3823"/>
      <c r="H289" s="526"/>
      <c r="I289" s="526"/>
      <c r="J289" s="535">
        <f>J288/B288</f>
        <v>64943.470150000001</v>
      </c>
    </row>
    <row r="290" spans="1:11" ht="20.100000000000001" customHeight="1">
      <c r="A290" s="520"/>
      <c r="B290" s="522"/>
      <c r="C290" s="522"/>
      <c r="D290" s="3819" t="str">
        <f>D289</f>
        <v>Rate per  1  MT</v>
      </c>
      <c r="E290" s="3819"/>
      <c r="F290" s="3819"/>
      <c r="G290" s="3819"/>
      <c r="H290" s="526"/>
      <c r="I290" s="526"/>
      <c r="J290" s="537">
        <f>ROUND(J289,2)</f>
        <v>64943.47</v>
      </c>
      <c r="K290" s="484">
        <v>57086</v>
      </c>
    </row>
    <row r="291" spans="1:11" ht="109.5" customHeight="1">
      <c r="A291" s="546">
        <f>A269+1</f>
        <v>8</v>
      </c>
      <c r="B291" s="3818" t="s">
        <v>200</v>
      </c>
      <c r="C291" s="3818"/>
      <c r="D291" s="3818"/>
      <c r="E291" s="3818"/>
      <c r="F291" s="3818"/>
      <c r="G291" s="3818"/>
      <c r="H291" s="3818"/>
      <c r="I291" s="3818"/>
      <c r="J291" s="3818"/>
    </row>
    <row r="292" spans="1:11" ht="20.100000000000001" customHeight="1">
      <c r="A292" s="503"/>
      <c r="B292" s="488"/>
      <c r="C292" s="498"/>
      <c r="D292" s="499" t="s">
        <v>2032</v>
      </c>
      <c r="E292" s="498"/>
      <c r="F292" s="508" t="s">
        <v>2033</v>
      </c>
      <c r="G292" s="498"/>
      <c r="H292" s="498"/>
      <c r="I292" s="498"/>
      <c r="J292" s="498"/>
    </row>
    <row r="293" spans="1:11" ht="20.100000000000001" customHeight="1">
      <c r="A293" s="503"/>
      <c r="B293" s="488"/>
      <c r="C293" s="498"/>
      <c r="D293" s="499" t="s">
        <v>2034</v>
      </c>
      <c r="E293" s="498"/>
      <c r="F293" s="498"/>
      <c r="G293" s="498"/>
      <c r="H293" s="498"/>
      <c r="I293" s="498"/>
      <c r="J293" s="498"/>
    </row>
    <row r="294" spans="1:11" ht="20.100000000000001" customHeight="1">
      <c r="A294" s="503"/>
      <c r="B294" s="494" t="s">
        <v>36</v>
      </c>
      <c r="C294" s="501" t="s">
        <v>37</v>
      </c>
      <c r="D294" s="498"/>
      <c r="E294" s="498"/>
      <c r="F294" s="498"/>
      <c r="G294" s="498"/>
      <c r="H294" s="498"/>
      <c r="I294" s="498"/>
      <c r="J294" s="498"/>
    </row>
    <row r="295" spans="1:11" ht="20.100000000000001" customHeight="1">
      <c r="A295" s="503"/>
      <c r="B295" s="502">
        <v>0.03</v>
      </c>
      <c r="C295" s="503" t="s">
        <v>57</v>
      </c>
      <c r="D295" s="499" t="s">
        <v>156</v>
      </c>
      <c r="E295" s="498"/>
      <c r="F295" s="498"/>
      <c r="G295" s="498"/>
      <c r="H295" s="502">
        <f>'SSR-rates'!$L$58</f>
        <v>575</v>
      </c>
      <c r="I295" s="488" t="s">
        <v>38</v>
      </c>
      <c r="J295" s="499">
        <f>ROUND(B295*H295,2)</f>
        <v>17.25</v>
      </c>
    </row>
    <row r="296" spans="1:11" ht="20.100000000000001" customHeight="1">
      <c r="A296" s="503"/>
      <c r="B296" s="502">
        <v>0.5</v>
      </c>
      <c r="C296" s="503" t="s">
        <v>57</v>
      </c>
      <c r="D296" s="499" t="s">
        <v>58</v>
      </c>
      <c r="E296" s="498"/>
      <c r="F296" s="498"/>
      <c r="G296" s="498"/>
      <c r="H296" s="502">
        <f>+'SSR-rates'!$L$96</f>
        <v>645</v>
      </c>
      <c r="I296" s="488" t="s">
        <v>38</v>
      </c>
      <c r="J296" s="499">
        <f>ROUND(B296*H296,2)</f>
        <v>322.5</v>
      </c>
    </row>
    <row r="297" spans="1:11" ht="20.100000000000001" customHeight="1">
      <c r="A297" s="503"/>
      <c r="B297" s="502">
        <v>0.25</v>
      </c>
      <c r="C297" s="503" t="s">
        <v>57</v>
      </c>
      <c r="D297" s="499" t="s">
        <v>59</v>
      </c>
      <c r="E297" s="498"/>
      <c r="F297" s="498"/>
      <c r="G297" s="498"/>
      <c r="H297" s="502">
        <f>'SSR-rates'!$L$60</f>
        <v>575</v>
      </c>
      <c r="I297" s="488" t="s">
        <v>38</v>
      </c>
      <c r="J297" s="499">
        <f>ROUND(B297*H297,2)</f>
        <v>143.75</v>
      </c>
    </row>
    <row r="298" spans="1:11" ht="20.100000000000001" customHeight="1">
      <c r="A298" s="508"/>
      <c r="B298" s="504">
        <f>'Input Data'!$D$23</f>
        <v>0</v>
      </c>
      <c r="C298" s="505"/>
      <c r="D298" s="498" t="s">
        <v>17</v>
      </c>
      <c r="E298" s="498"/>
      <c r="F298" s="503"/>
      <c r="G298" s="503"/>
      <c r="H298" s="502">
        <f>SUM(J295:J297)</f>
        <v>483.5</v>
      </c>
      <c r="I298" s="488"/>
      <c r="J298" s="499">
        <f>B298*H298</f>
        <v>0</v>
      </c>
    </row>
    <row r="299" spans="1:11" ht="20.100000000000001" customHeight="1">
      <c r="A299" s="503"/>
      <c r="B299" s="502"/>
      <c r="C299" s="503"/>
      <c r="D299" s="499" t="s">
        <v>60</v>
      </c>
      <c r="E299" s="498"/>
      <c r="F299" s="498"/>
      <c r="G299" s="498"/>
      <c r="H299" s="502"/>
      <c r="I299" s="502"/>
      <c r="J299" s="499">
        <f>SUM(J295:J298)</f>
        <v>483.5</v>
      </c>
    </row>
    <row r="300" spans="1:11" ht="20.100000000000001" customHeight="1">
      <c r="A300" s="503"/>
      <c r="B300" s="494" t="s">
        <v>39</v>
      </c>
      <c r="C300" s="501" t="s">
        <v>61</v>
      </c>
      <c r="D300" s="498"/>
      <c r="E300" s="498"/>
      <c r="F300" s="498"/>
      <c r="G300" s="498"/>
      <c r="H300" s="502"/>
      <c r="I300" s="502"/>
      <c r="J300" s="499"/>
    </row>
    <row r="301" spans="1:11" ht="35.1" customHeight="1">
      <c r="A301" s="503"/>
      <c r="B301" s="502">
        <v>31.5</v>
      </c>
      <c r="C301" s="503" t="s">
        <v>107</v>
      </c>
      <c r="D301" s="498" t="s">
        <v>2035</v>
      </c>
      <c r="E301" s="498"/>
      <c r="F301" s="498"/>
      <c r="G301" s="498"/>
      <c r="H301" s="526">
        <f>'SSR-rates'!$L$125</f>
        <v>267</v>
      </c>
      <c r="I301" s="502" t="s">
        <v>31</v>
      </c>
      <c r="J301" s="499">
        <f>ROUND(B301*H301,2)</f>
        <v>8410.5</v>
      </c>
    </row>
    <row r="302" spans="1:11" ht="20.100000000000001" customHeight="1">
      <c r="A302" s="503"/>
      <c r="B302" s="502">
        <v>30</v>
      </c>
      <c r="C302" s="503" t="s">
        <v>733</v>
      </c>
      <c r="D302" s="498" t="s">
        <v>2036</v>
      </c>
      <c r="E302" s="498"/>
      <c r="F302" s="498"/>
      <c r="G302" s="498"/>
      <c r="H302" s="526">
        <v>195</v>
      </c>
      <c r="I302" s="502" t="s">
        <v>31</v>
      </c>
      <c r="J302" s="499">
        <f>ROUND(B302*H302,2)</f>
        <v>5850</v>
      </c>
    </row>
    <row r="303" spans="1:11" ht="20.100000000000001" customHeight="1">
      <c r="A303" s="503"/>
      <c r="B303" s="502">
        <v>10</v>
      </c>
      <c r="C303" s="503" t="s">
        <v>733</v>
      </c>
      <c r="D303" s="499" t="s">
        <v>2037</v>
      </c>
      <c r="E303" s="498"/>
      <c r="F303" s="498"/>
      <c r="G303" s="498"/>
      <c r="H303" s="526">
        <v>123</v>
      </c>
      <c r="I303" s="502" t="s">
        <v>31</v>
      </c>
      <c r="J303" s="499">
        <f>ROUND(B303*H303,2)</f>
        <v>1230</v>
      </c>
    </row>
    <row r="304" spans="1:11" ht="20.100000000000001" customHeight="1">
      <c r="A304" s="503"/>
      <c r="B304" s="507">
        <v>0.05</v>
      </c>
      <c r="C304" s="503" t="s">
        <v>73</v>
      </c>
      <c r="D304" s="499" t="s">
        <v>2038</v>
      </c>
      <c r="E304" s="498"/>
      <c r="F304" s="498"/>
      <c r="G304" s="498"/>
      <c r="H304" s="502">
        <f>+'Road data'!$G$962</f>
        <v>4917.4399999999996</v>
      </c>
      <c r="I304" s="502" t="s">
        <v>66</v>
      </c>
      <c r="J304" s="499">
        <f>ROUND(B304*H304,2)</f>
        <v>245.87</v>
      </c>
    </row>
    <row r="305" spans="1:10" ht="20.100000000000001" customHeight="1">
      <c r="A305" s="503"/>
      <c r="B305" s="502"/>
      <c r="C305" s="498"/>
      <c r="D305" s="499" t="s">
        <v>60</v>
      </c>
      <c r="E305" s="498"/>
      <c r="F305" s="498"/>
      <c r="G305" s="498"/>
      <c r="H305" s="502"/>
      <c r="I305" s="502"/>
      <c r="J305" s="499">
        <f>SUM(J301:J304)</f>
        <v>15736.37</v>
      </c>
    </row>
    <row r="306" spans="1:10" ht="20.100000000000001" customHeight="1">
      <c r="A306" s="508"/>
      <c r="B306" s="494" t="s">
        <v>47</v>
      </c>
      <c r="C306" s="508" t="s">
        <v>1332</v>
      </c>
      <c r="D306" s="498"/>
      <c r="E306" s="498"/>
      <c r="F306" s="503"/>
      <c r="G306" s="503"/>
      <c r="H306" s="503"/>
      <c r="I306" s="503"/>
      <c r="J306" s="501"/>
    </row>
    <row r="307" spans="1:10" ht="35.1" customHeight="1">
      <c r="A307" s="508"/>
      <c r="B307" s="509">
        <f>'Input Data'!$D$24</f>
        <v>0.13614999999999999</v>
      </c>
      <c r="C307" s="3817" t="str">
        <f>"Over head charges &amp; CP  "&amp;'Input Data'!$D$24*100&amp;"%  on (A) + (B)+(C)+(D)"</f>
        <v>Over head charges &amp; CP  13.615%  on (A) + (B)+(C)+(D)</v>
      </c>
      <c r="D307" s="3817"/>
      <c r="E307" s="3817"/>
      <c r="F307" s="3817"/>
      <c r="G307" s="3817"/>
      <c r="H307" s="502">
        <f>+J305+J299</f>
        <v>16219.87</v>
      </c>
      <c r="I307" s="503"/>
      <c r="J307" s="499">
        <f>H307*B307</f>
        <v>2208.3353004999999</v>
      </c>
    </row>
    <row r="308" spans="1:10" ht="20.100000000000001" customHeight="1">
      <c r="A308" s="508"/>
      <c r="B308" s="510">
        <f>'Input Data'!$E$24</f>
        <v>0</v>
      </c>
      <c r="C308" s="511" t="s">
        <v>1314</v>
      </c>
      <c r="D308" s="506"/>
      <c r="E308" s="506"/>
      <c r="F308" s="506"/>
      <c r="G308" s="506"/>
      <c r="H308" s="502">
        <f>J307+J305+J299</f>
        <v>18428.205300500002</v>
      </c>
      <c r="I308" s="503"/>
      <c r="J308" s="499">
        <f>H308*B308</f>
        <v>0</v>
      </c>
    </row>
    <row r="309" spans="1:10" ht="20.100000000000001" customHeight="1">
      <c r="A309" s="508"/>
      <c r="B309" s="494" t="s">
        <v>76</v>
      </c>
      <c r="C309" s="508" t="s">
        <v>77</v>
      </c>
      <c r="D309" s="498"/>
      <c r="E309" s="498"/>
      <c r="F309" s="503"/>
      <c r="G309" s="503"/>
      <c r="H309" s="503"/>
      <c r="I309" s="503"/>
      <c r="J309" s="518">
        <f>J299+J305+J307+J308</f>
        <v>18428.205300500002</v>
      </c>
    </row>
    <row r="310" spans="1:10" ht="20.100000000000001" customHeight="1">
      <c r="A310" s="503"/>
      <c r="B310" s="502"/>
      <c r="C310" s="503"/>
      <c r="D310" s="501" t="s">
        <v>2039</v>
      </c>
      <c r="E310" s="498"/>
      <c r="F310" s="498"/>
      <c r="G310" s="498"/>
      <c r="H310" s="502"/>
      <c r="I310" s="502"/>
      <c r="J310" s="518">
        <f>SUM(J309:J309)</f>
        <v>18428.205300500002</v>
      </c>
    </row>
    <row r="311" spans="1:10" ht="20.100000000000001" customHeight="1">
      <c r="A311" s="503"/>
      <c r="B311" s="502"/>
      <c r="C311" s="503"/>
      <c r="D311" s="499" t="s">
        <v>2040</v>
      </c>
      <c r="E311" s="498"/>
      <c r="F311" s="498"/>
      <c r="G311" s="498"/>
      <c r="H311" s="502"/>
      <c r="I311" s="502"/>
      <c r="J311" s="499">
        <f>ROUND(J310,2)/30</f>
        <v>614.2736666666666</v>
      </c>
    </row>
    <row r="312" spans="1:10" ht="20.100000000000001" customHeight="1">
      <c r="A312" s="547"/>
      <c r="B312" s="521"/>
      <c r="C312" s="521"/>
      <c r="D312" s="3820" t="s">
        <v>52</v>
      </c>
      <c r="E312" s="3820"/>
      <c r="F312" s="3820"/>
      <c r="G312" s="524"/>
      <c r="H312" s="498"/>
      <c r="I312" s="523" t="s">
        <v>1133</v>
      </c>
      <c r="J312" s="537">
        <f>J311</f>
        <v>614.2736666666666</v>
      </c>
    </row>
    <row r="313" spans="1:10" ht="129" customHeight="1">
      <c r="A313" s="497">
        <f>A291+1</f>
        <v>9</v>
      </c>
      <c r="B313" s="3816" t="s">
        <v>1156</v>
      </c>
      <c r="C313" s="3816"/>
      <c r="D313" s="3816"/>
      <c r="E313" s="3816"/>
      <c r="F313" s="3816"/>
      <c r="G313" s="3816"/>
      <c r="H313" s="3816"/>
      <c r="I313" s="3816"/>
      <c r="J313" s="3816"/>
    </row>
    <row r="314" spans="1:10" ht="20.100000000000001" customHeight="1">
      <c r="A314" s="498"/>
      <c r="B314" s="488"/>
      <c r="C314" s="498"/>
      <c r="D314" s="499" t="s">
        <v>10</v>
      </c>
      <c r="E314" s="498"/>
      <c r="F314" s="508" t="s">
        <v>140</v>
      </c>
      <c r="G314" s="498"/>
      <c r="H314" s="498"/>
      <c r="I314" s="498"/>
      <c r="J314" s="498"/>
    </row>
    <row r="315" spans="1:10" ht="20.100000000000001" customHeight="1">
      <c r="A315" s="498"/>
      <c r="B315" s="488"/>
      <c r="C315" s="498"/>
      <c r="D315" s="499" t="s">
        <v>84</v>
      </c>
      <c r="E315" s="498"/>
      <c r="F315" s="498"/>
      <c r="G315" s="498"/>
      <c r="H315" s="498"/>
      <c r="I315" s="498"/>
      <c r="J315" s="498"/>
    </row>
    <row r="316" spans="1:10" ht="20.100000000000001" customHeight="1">
      <c r="A316" s="498"/>
      <c r="B316" s="494" t="s">
        <v>36</v>
      </c>
      <c r="C316" s="501" t="s">
        <v>37</v>
      </c>
      <c r="D316" s="498"/>
      <c r="E316" s="498"/>
      <c r="F316" s="498"/>
      <c r="G316" s="498"/>
      <c r="H316" s="498"/>
      <c r="I316" s="498"/>
      <c r="J316" s="498"/>
    </row>
    <row r="317" spans="1:10" ht="20.100000000000001" customHeight="1">
      <c r="A317" s="498"/>
      <c r="B317" s="502">
        <v>0.32</v>
      </c>
      <c r="C317" s="503" t="s">
        <v>57</v>
      </c>
      <c r="D317" s="499" t="s">
        <v>14</v>
      </c>
      <c r="E317" s="498"/>
      <c r="F317" s="498"/>
      <c r="G317" s="498"/>
      <c r="H317" s="502">
        <f>'SSR-rates'!$L$58</f>
        <v>575</v>
      </c>
      <c r="I317" s="488" t="s">
        <v>38</v>
      </c>
      <c r="J317" s="499">
        <f>ROUND(B317*H317,2)</f>
        <v>184</v>
      </c>
    </row>
    <row r="318" spans="1:10" ht="20.100000000000001" customHeight="1">
      <c r="A318" s="498"/>
      <c r="B318" s="502">
        <v>7</v>
      </c>
      <c r="C318" s="503" t="s">
        <v>57</v>
      </c>
      <c r="D318" s="499" t="s">
        <v>59</v>
      </c>
      <c r="E318" s="498"/>
      <c r="F318" s="498"/>
      <c r="G318" s="498"/>
      <c r="H318" s="502">
        <f>'SSR-rates'!$L$60</f>
        <v>575</v>
      </c>
      <c r="I318" s="488" t="s">
        <v>38</v>
      </c>
      <c r="J318" s="499">
        <f>ROUND(B318*H318,2)</f>
        <v>4025</v>
      </c>
    </row>
    <row r="319" spans="1:10" ht="20.100000000000001" customHeight="1">
      <c r="A319" s="498"/>
      <c r="B319" s="502">
        <v>1</v>
      </c>
      <c r="C319" s="503" t="s">
        <v>57</v>
      </c>
      <c r="D319" s="499" t="s">
        <v>59</v>
      </c>
      <c r="E319" s="498" t="s">
        <v>141</v>
      </c>
      <c r="F319" s="498"/>
      <c r="G319" s="498"/>
      <c r="H319" s="548">
        <f>'SSR-rates'!$L$59</f>
        <v>575</v>
      </c>
      <c r="I319" s="488" t="s">
        <v>38</v>
      </c>
      <c r="J319" s="499">
        <f>ROUND(B319*H319,2)</f>
        <v>575</v>
      </c>
    </row>
    <row r="320" spans="1:10" ht="20.100000000000001" customHeight="1">
      <c r="A320" s="494"/>
      <c r="B320" s="504">
        <f>'Input Data'!$D$23</f>
        <v>0</v>
      </c>
      <c r="C320" s="505"/>
      <c r="D320" s="498" t="s">
        <v>17</v>
      </c>
      <c r="E320" s="498"/>
      <c r="F320" s="503"/>
      <c r="G320" s="503"/>
      <c r="H320" s="502">
        <f>SUM(J317:J319)</f>
        <v>4784</v>
      </c>
      <c r="I320" s="488"/>
      <c r="J320" s="499">
        <f>B320*H320</f>
        <v>0</v>
      </c>
    </row>
    <row r="321" spans="1:10" ht="20.100000000000001" customHeight="1">
      <c r="A321" s="498"/>
      <c r="B321" s="502"/>
      <c r="C321" s="498"/>
      <c r="D321" s="499" t="s">
        <v>60</v>
      </c>
      <c r="E321" s="498"/>
      <c r="F321" s="498"/>
      <c r="G321" s="498"/>
      <c r="H321" s="502"/>
      <c r="I321" s="502"/>
      <c r="J321" s="499">
        <f>SUM(J317:J320)</f>
        <v>4784</v>
      </c>
    </row>
    <row r="322" spans="1:10" ht="20.100000000000001" customHeight="1">
      <c r="A322" s="498"/>
      <c r="B322" s="494" t="s">
        <v>39</v>
      </c>
      <c r="C322" s="501" t="s">
        <v>61</v>
      </c>
      <c r="D322" s="498"/>
      <c r="E322" s="498"/>
      <c r="F322" s="498"/>
      <c r="G322" s="498"/>
      <c r="H322" s="502"/>
      <c r="I322" s="502"/>
      <c r="J322" s="499"/>
    </row>
    <row r="323" spans="1:10" ht="20.100000000000001" customHeight="1">
      <c r="A323" s="498"/>
      <c r="B323" s="502">
        <v>6</v>
      </c>
      <c r="C323" s="503" t="s">
        <v>31</v>
      </c>
      <c r="D323" s="499" t="s">
        <v>142</v>
      </c>
      <c r="E323" s="498"/>
      <c r="F323" s="498"/>
      <c r="G323" s="498"/>
      <c r="H323" s="502">
        <f>lead!$J$26</f>
        <v>997.5179333714741</v>
      </c>
      <c r="I323" s="502" t="s">
        <v>31</v>
      </c>
      <c r="J323" s="499">
        <f>ROUND(B323*H323,2)</f>
        <v>5985.11</v>
      </c>
    </row>
    <row r="324" spans="1:10" ht="20.100000000000001" customHeight="1">
      <c r="A324" s="498"/>
      <c r="B324" s="502">
        <v>6</v>
      </c>
      <c r="C324" s="503" t="s">
        <v>31</v>
      </c>
      <c r="D324" s="499" t="s">
        <v>143</v>
      </c>
      <c r="E324" s="498"/>
      <c r="F324" s="498"/>
      <c r="G324" s="498"/>
      <c r="H324" s="502">
        <f>lead!$J$20</f>
        <v>1706.5179333714741</v>
      </c>
      <c r="I324" s="502" t="s">
        <v>31</v>
      </c>
      <c r="J324" s="499">
        <f>ROUND(B324*H324,2)</f>
        <v>10239.11</v>
      </c>
    </row>
    <row r="325" spans="1:10" ht="20.100000000000001" customHeight="1">
      <c r="A325" s="498"/>
      <c r="B325" s="502"/>
      <c r="C325" s="505"/>
      <c r="D325" s="499" t="s">
        <v>60</v>
      </c>
      <c r="E325" s="498"/>
      <c r="F325" s="498"/>
      <c r="G325" s="498"/>
      <c r="H325" s="502"/>
      <c r="I325" s="502"/>
      <c r="J325" s="499">
        <f>SUM(J323:J324)</f>
        <v>16224.220000000001</v>
      </c>
    </row>
    <row r="326" spans="1:10" ht="20.100000000000001" customHeight="1">
      <c r="A326" s="498"/>
      <c r="B326" s="494" t="s">
        <v>87</v>
      </c>
      <c r="C326" s="501" t="s">
        <v>40</v>
      </c>
      <c r="D326" s="498"/>
      <c r="E326" s="498"/>
      <c r="F326" s="498"/>
      <c r="G326" s="498"/>
      <c r="H326" s="502"/>
      <c r="I326" s="502"/>
      <c r="J326" s="499"/>
    </row>
    <row r="327" spans="1:10" ht="20.100000000000001" customHeight="1">
      <c r="A327" s="498"/>
      <c r="B327" s="502">
        <v>0.06</v>
      </c>
      <c r="C327" s="503" t="s">
        <v>41</v>
      </c>
      <c r="D327" s="499" t="s">
        <v>70</v>
      </c>
      <c r="E327" s="498"/>
      <c r="F327" s="498"/>
      <c r="G327" s="498"/>
      <c r="H327" s="502">
        <f>'SSR-rates'!L69</f>
        <v>769</v>
      </c>
      <c r="I327" s="502" t="s">
        <v>41</v>
      </c>
      <c r="J327" s="499">
        <f>ROUND(B327*H327,2)</f>
        <v>46.14</v>
      </c>
    </row>
    <row r="328" spans="1:10" ht="20.100000000000001" customHeight="1">
      <c r="A328" s="498"/>
      <c r="B328" s="502"/>
      <c r="C328" s="505"/>
      <c r="D328" s="499" t="s">
        <v>60</v>
      </c>
      <c r="E328" s="498"/>
      <c r="F328" s="498"/>
      <c r="G328" s="498"/>
      <c r="H328" s="502"/>
      <c r="I328" s="502"/>
      <c r="J328" s="499">
        <f>SUM(J327:J327)</f>
        <v>46.14</v>
      </c>
    </row>
    <row r="329" spans="1:10" ht="20.100000000000001" customHeight="1">
      <c r="A329" s="494"/>
      <c r="B329" s="494" t="s">
        <v>45</v>
      </c>
      <c r="C329" s="508" t="s">
        <v>1332</v>
      </c>
      <c r="D329" s="498"/>
      <c r="E329" s="498"/>
      <c r="F329" s="503"/>
      <c r="G329" s="503"/>
      <c r="H329" s="503"/>
      <c r="I329" s="503"/>
      <c r="J329" s="501"/>
    </row>
    <row r="330" spans="1:10" ht="35.1" customHeight="1">
      <c r="A330" s="494"/>
      <c r="B330" s="509">
        <f>'Input Data'!$D$24</f>
        <v>0.13614999999999999</v>
      </c>
      <c r="C330" s="505" t="s">
        <v>2041</v>
      </c>
      <c r="D330" s="499"/>
      <c r="E330" s="498"/>
      <c r="F330" s="503"/>
      <c r="G330" s="503"/>
      <c r="H330" s="502">
        <f>J328+J325+J321</f>
        <v>21054.36</v>
      </c>
      <c r="I330" s="503"/>
      <c r="J330" s="499">
        <f>H330*B330</f>
        <v>2866.5511139999999</v>
      </c>
    </row>
    <row r="331" spans="1:10" ht="20.100000000000001" customHeight="1">
      <c r="A331" s="494"/>
      <c r="B331" s="510">
        <f>'Input Data'!$E$24</f>
        <v>0</v>
      </c>
      <c r="C331" s="511" t="s">
        <v>1314</v>
      </c>
      <c r="D331" s="499"/>
      <c r="E331" s="498"/>
      <c r="F331" s="503"/>
      <c r="G331" s="503"/>
      <c r="H331" s="502">
        <f>J330+J328+J325+J321</f>
        <v>23920.911114000002</v>
      </c>
      <c r="I331" s="503"/>
      <c r="J331" s="499">
        <f>H331*B331</f>
        <v>0</v>
      </c>
    </row>
    <row r="332" spans="1:10" ht="20.100000000000001" customHeight="1">
      <c r="A332" s="494"/>
      <c r="B332" s="494" t="s">
        <v>47</v>
      </c>
      <c r="C332" s="508" t="s">
        <v>89</v>
      </c>
      <c r="D332" s="498"/>
      <c r="E332" s="498"/>
      <c r="F332" s="503"/>
      <c r="G332" s="503"/>
      <c r="H332" s="503"/>
      <c r="I332" s="503"/>
      <c r="J332" s="501">
        <f>J321+J325+J328+J330+J331</f>
        <v>23920.911114000002</v>
      </c>
    </row>
    <row r="333" spans="1:10" ht="20.100000000000001" customHeight="1">
      <c r="A333" s="498"/>
      <c r="B333" s="502"/>
      <c r="C333" s="503"/>
      <c r="D333" s="501" t="s">
        <v>1951</v>
      </c>
      <c r="E333" s="498"/>
      <c r="F333" s="498"/>
      <c r="G333" s="498"/>
      <c r="H333" s="502"/>
      <c r="I333" s="502"/>
      <c r="J333" s="501">
        <f>SUM(J332:J332)</f>
        <v>23920.911114000002</v>
      </c>
    </row>
    <row r="334" spans="1:10" ht="20.100000000000001" customHeight="1">
      <c r="A334" s="498"/>
      <c r="B334" s="502"/>
      <c r="C334" s="503"/>
      <c r="D334" s="499" t="s">
        <v>81</v>
      </c>
      <c r="E334" s="498"/>
      <c r="F334" s="498"/>
      <c r="G334" s="498"/>
      <c r="H334" s="502"/>
      <c r="I334" s="502"/>
      <c r="J334" s="499">
        <f>ROUND(J333/10,2)</f>
        <v>2392.09</v>
      </c>
    </row>
    <row r="335" spans="1:10" ht="20.100000000000001" customHeight="1">
      <c r="A335" s="498"/>
      <c r="B335" s="488"/>
      <c r="C335" s="498"/>
      <c r="D335" s="499" t="s">
        <v>52</v>
      </c>
      <c r="E335" s="498"/>
      <c r="F335" s="498"/>
      <c r="G335" s="498"/>
      <c r="H335" s="502"/>
      <c r="I335" s="502"/>
      <c r="J335" s="519">
        <f>J334</f>
        <v>2392.09</v>
      </c>
    </row>
    <row r="336" spans="1:10" ht="20.100000000000001" customHeight="1">
      <c r="A336" s="498"/>
      <c r="B336" s="488"/>
      <c r="C336" s="498"/>
      <c r="D336" s="499"/>
      <c r="E336" s="498"/>
      <c r="F336" s="498"/>
      <c r="G336" s="498"/>
      <c r="H336" s="502"/>
      <c r="I336" s="502"/>
      <c r="J336" s="515" t="s">
        <v>53</v>
      </c>
    </row>
    <row r="337" spans="1:10">
      <c r="A337" s="503"/>
      <c r="B337" s="508" t="s">
        <v>2042</v>
      </c>
      <c r="C337" s="498"/>
      <c r="D337" s="499"/>
      <c r="E337" s="498"/>
      <c r="F337" s="498"/>
      <c r="G337" s="498"/>
      <c r="H337" s="502"/>
      <c r="I337" s="502"/>
      <c r="J337" s="501"/>
    </row>
    <row r="338" spans="1:10" ht="141" customHeight="1">
      <c r="A338" s="497">
        <f>A313+1</f>
        <v>10</v>
      </c>
      <c r="B338" s="3816" t="s">
        <v>2043</v>
      </c>
      <c r="C338" s="3816"/>
      <c r="D338" s="3816"/>
      <c r="E338" s="3816"/>
      <c r="F338" s="3816"/>
      <c r="G338" s="3816"/>
      <c r="H338" s="3816"/>
      <c r="I338" s="3816"/>
      <c r="J338" s="3816"/>
    </row>
    <row r="339" spans="1:10" ht="20.100000000000001" customHeight="1">
      <c r="A339" s="498"/>
      <c r="B339" s="488"/>
      <c r="C339" s="498"/>
      <c r="D339" s="499" t="s">
        <v>10</v>
      </c>
      <c r="E339" s="498"/>
      <c r="F339" s="508" t="s">
        <v>2044</v>
      </c>
      <c r="G339" s="498"/>
      <c r="H339" s="498"/>
      <c r="I339" s="498"/>
      <c r="J339" s="498"/>
    </row>
    <row r="340" spans="1:10" ht="20.100000000000001" customHeight="1">
      <c r="A340" s="498"/>
      <c r="B340" s="488"/>
      <c r="C340" s="498"/>
      <c r="D340" s="499" t="s">
        <v>56</v>
      </c>
      <c r="E340" s="498"/>
      <c r="F340" s="498"/>
      <c r="G340" s="498"/>
      <c r="H340" s="498"/>
      <c r="I340" s="498"/>
      <c r="J340" s="498"/>
    </row>
    <row r="341" spans="1:10" ht="20.100000000000001" customHeight="1">
      <c r="A341" s="498"/>
      <c r="B341" s="494" t="s">
        <v>36</v>
      </c>
      <c r="C341" s="501" t="s">
        <v>37</v>
      </c>
      <c r="D341" s="498"/>
      <c r="E341" s="498"/>
      <c r="F341" s="498"/>
      <c r="G341" s="498"/>
      <c r="H341" s="498"/>
      <c r="I341" s="498"/>
      <c r="J341" s="498"/>
    </row>
    <row r="342" spans="1:10" ht="20.100000000000001" customHeight="1">
      <c r="A342" s="498"/>
      <c r="B342" s="502">
        <v>0.86</v>
      </c>
      <c r="C342" s="503" t="s">
        <v>57</v>
      </c>
      <c r="D342" s="499" t="s">
        <v>14</v>
      </c>
      <c r="E342" s="498"/>
      <c r="F342" s="498"/>
      <c r="G342" s="498"/>
      <c r="H342" s="502">
        <f>+'SSR-rates'!$L$58</f>
        <v>575</v>
      </c>
      <c r="I342" s="488" t="s">
        <v>38</v>
      </c>
      <c r="J342" s="499">
        <f>ROUND(B342*H342,2)</f>
        <v>494.5</v>
      </c>
    </row>
    <row r="343" spans="1:10" ht="20.100000000000001" customHeight="1">
      <c r="A343" s="498"/>
      <c r="B343" s="502">
        <v>1.5</v>
      </c>
      <c r="C343" s="503" t="s">
        <v>57</v>
      </c>
      <c r="D343" s="499" t="s">
        <v>58</v>
      </c>
      <c r="E343" s="498"/>
      <c r="F343" s="498"/>
      <c r="G343" s="498"/>
      <c r="H343" s="502">
        <f>+'SSR-rates'!$L$54</f>
        <v>615</v>
      </c>
      <c r="I343" s="488" t="s">
        <v>38</v>
      </c>
      <c r="J343" s="499">
        <f>ROUND(B343*H343,2)</f>
        <v>922.5</v>
      </c>
    </row>
    <row r="344" spans="1:10" ht="20.100000000000001" customHeight="1">
      <c r="A344" s="498"/>
      <c r="B344" s="502">
        <v>20</v>
      </c>
      <c r="C344" s="503" t="s">
        <v>57</v>
      </c>
      <c r="D344" s="499" t="s">
        <v>59</v>
      </c>
      <c r="E344" s="498"/>
      <c r="F344" s="498"/>
      <c r="G344" s="498"/>
      <c r="H344" s="502">
        <f>+'SSR-rates'!$L$60</f>
        <v>575</v>
      </c>
      <c r="I344" s="488" t="s">
        <v>38</v>
      </c>
      <c r="J344" s="499">
        <f>ROUND(B344*H344,2)</f>
        <v>11500</v>
      </c>
    </row>
    <row r="345" spans="1:10" ht="20.100000000000001" customHeight="1">
      <c r="A345" s="494"/>
      <c r="B345" s="504">
        <f>'Input Data'!$D$23</f>
        <v>0</v>
      </c>
      <c r="C345" s="505"/>
      <c r="D345" s="498" t="s">
        <v>17</v>
      </c>
      <c r="E345" s="498"/>
      <c r="F345" s="503"/>
      <c r="G345" s="503"/>
      <c r="H345" s="502">
        <f>SUM(J342:J344)</f>
        <v>12917</v>
      </c>
      <c r="I345" s="488"/>
      <c r="J345" s="499">
        <f>ROUND(B345*H345,2)</f>
        <v>0</v>
      </c>
    </row>
    <row r="346" spans="1:10" ht="20.100000000000001" customHeight="1">
      <c r="A346" s="498"/>
      <c r="B346" s="502"/>
      <c r="C346" s="503"/>
      <c r="D346" s="499" t="s">
        <v>60</v>
      </c>
      <c r="E346" s="498"/>
      <c r="F346" s="498"/>
      <c r="G346" s="498"/>
      <c r="H346" s="502"/>
      <c r="I346" s="502"/>
      <c r="J346" s="499">
        <f>SUM(J342:J345)</f>
        <v>12917</v>
      </c>
    </row>
    <row r="347" spans="1:10" ht="20.100000000000001" customHeight="1">
      <c r="A347" s="498"/>
      <c r="B347" s="494" t="s">
        <v>39</v>
      </c>
      <c r="C347" s="501" t="s">
        <v>61</v>
      </c>
      <c r="D347" s="498"/>
      <c r="E347" s="498"/>
      <c r="F347" s="498"/>
      <c r="G347" s="498"/>
      <c r="H347" s="502"/>
      <c r="I347" s="502"/>
      <c r="J347" s="499"/>
    </row>
    <row r="348" spans="1:10" ht="20.100000000000001" customHeight="1">
      <c r="A348" s="498"/>
      <c r="B348" s="502">
        <v>8.1</v>
      </c>
      <c r="C348" s="503" t="s">
        <v>31</v>
      </c>
      <c r="D348" s="498" t="s">
        <v>63</v>
      </c>
      <c r="E348" s="498"/>
      <c r="F348" s="498"/>
      <c r="G348" s="498"/>
      <c r="H348" s="502">
        <f>lead!$J$16</f>
        <v>2005.5179333714741</v>
      </c>
      <c r="I348" s="502" t="s">
        <v>31</v>
      </c>
      <c r="J348" s="499">
        <f>ROUND(B348*H348,2)</f>
        <v>16244.7</v>
      </c>
    </row>
    <row r="349" spans="1:10" ht="20.100000000000001" customHeight="1">
      <c r="A349" s="498"/>
      <c r="B349" s="502">
        <v>5.4</v>
      </c>
      <c r="C349" s="503" t="s">
        <v>31</v>
      </c>
      <c r="D349" s="498" t="s">
        <v>64</v>
      </c>
      <c r="E349" s="498"/>
      <c r="F349" s="498"/>
      <c r="G349" s="498"/>
      <c r="H349" s="502">
        <f>lead!$J$18</f>
        <v>1754.5179333714741</v>
      </c>
      <c r="I349" s="502" t="s">
        <v>31</v>
      </c>
      <c r="J349" s="499">
        <f>ROUND(B349*H349,2)</f>
        <v>9474.4</v>
      </c>
    </row>
    <row r="350" spans="1:10" ht="45" customHeight="1">
      <c r="A350" s="498"/>
      <c r="B350" s="507">
        <f>6.75/2</f>
        <v>3.375</v>
      </c>
      <c r="C350" s="503" t="s">
        <v>31</v>
      </c>
      <c r="D350" s="3813" t="s">
        <v>1852</v>
      </c>
      <c r="E350" s="3813"/>
      <c r="F350" s="3813"/>
      <c r="G350" s="3813"/>
      <c r="H350" s="506">
        <f>lead!$J$31</f>
        <v>1812.3700655723276</v>
      </c>
      <c r="I350" s="502" t="s">
        <v>31</v>
      </c>
      <c r="J350" s="514">
        <f>ROUND(B350*H350,2)</f>
        <v>6116.75</v>
      </c>
    </row>
    <row r="351" spans="1:10" ht="35.1" customHeight="1">
      <c r="A351" s="498"/>
      <c r="B351" s="507">
        <f>6.75/2</f>
        <v>3.375</v>
      </c>
      <c r="C351" s="503" t="s">
        <v>31</v>
      </c>
      <c r="D351" s="3813" t="s">
        <v>1853</v>
      </c>
      <c r="E351" s="3813"/>
      <c r="F351" s="3813"/>
      <c r="G351" s="3813"/>
      <c r="H351" s="506">
        <f>lead!$J$33</f>
        <v>1447.5179333714741</v>
      </c>
      <c r="I351" s="502" t="s">
        <v>31</v>
      </c>
      <c r="J351" s="514">
        <f>ROUND(B351*H351,2)</f>
        <v>4885.37</v>
      </c>
    </row>
    <row r="352" spans="1:10" ht="20.100000000000001" customHeight="1">
      <c r="A352" s="498"/>
      <c r="B352" s="502">
        <v>5.99</v>
      </c>
      <c r="C352" s="503" t="s">
        <v>66</v>
      </c>
      <c r="D352" s="499" t="s">
        <v>67</v>
      </c>
      <c r="E352" s="498"/>
      <c r="F352" s="498"/>
      <c r="G352" s="498"/>
      <c r="H352" s="502">
        <f>lead!$J$36</f>
        <v>5000</v>
      </c>
      <c r="I352" s="502" t="s">
        <v>66</v>
      </c>
      <c r="J352" s="499">
        <f>ROUND(B352*H352,2)</f>
        <v>29950</v>
      </c>
    </row>
    <row r="353" spans="1:10" ht="20.100000000000001" customHeight="1">
      <c r="A353" s="498"/>
      <c r="B353" s="502"/>
      <c r="C353" s="498"/>
      <c r="D353" s="499" t="s">
        <v>60</v>
      </c>
      <c r="E353" s="498"/>
      <c r="F353" s="498"/>
      <c r="G353" s="498"/>
      <c r="H353" s="502"/>
      <c r="I353" s="502"/>
      <c r="J353" s="499">
        <f>SUM(J348:J352)</f>
        <v>66671.22</v>
      </c>
    </row>
    <row r="354" spans="1:10" ht="20.100000000000001" customHeight="1">
      <c r="A354" s="498"/>
      <c r="B354" s="494" t="s">
        <v>27</v>
      </c>
      <c r="C354" s="501" t="s">
        <v>40</v>
      </c>
      <c r="D354" s="498"/>
      <c r="E354" s="498"/>
      <c r="F354" s="498"/>
      <c r="G354" s="498"/>
      <c r="H354" s="502"/>
      <c r="I354" s="502"/>
      <c r="J354" s="499"/>
    </row>
    <row r="355" spans="1:10" ht="20.100000000000001" customHeight="1">
      <c r="A355" s="498"/>
      <c r="B355" s="502">
        <v>6</v>
      </c>
      <c r="C355" s="503" t="s">
        <v>41</v>
      </c>
      <c r="D355" s="499" t="s">
        <v>68</v>
      </c>
      <c r="E355" s="498"/>
      <c r="F355" s="498"/>
      <c r="G355" s="498"/>
      <c r="H355" s="502">
        <f>'SSR-rates'!$L$88</f>
        <v>697.9</v>
      </c>
      <c r="I355" s="502" t="s">
        <v>41</v>
      </c>
      <c r="J355" s="499">
        <f>ROUND(B355*H355,2)</f>
        <v>4187.3999999999996</v>
      </c>
    </row>
    <row r="356" spans="1:10" ht="20.100000000000001" customHeight="1">
      <c r="A356" s="498"/>
      <c r="B356" s="502">
        <v>6</v>
      </c>
      <c r="C356" s="503" t="s">
        <v>41</v>
      </c>
      <c r="D356" s="499" t="s">
        <v>69</v>
      </c>
      <c r="E356" s="498"/>
      <c r="F356" s="498"/>
      <c r="G356" s="498"/>
      <c r="H356" s="502">
        <f>'SSR-rates'!$L$87</f>
        <v>1323.5</v>
      </c>
      <c r="I356" s="502" t="s">
        <v>41</v>
      </c>
      <c r="J356" s="499">
        <f>ROUND(B356*H356,2)</f>
        <v>7941</v>
      </c>
    </row>
    <row r="357" spans="1:10" ht="20.100000000000001" customHeight="1">
      <c r="A357" s="498"/>
      <c r="B357" s="502"/>
      <c r="C357" s="505"/>
      <c r="D357" s="499" t="s">
        <v>60</v>
      </c>
      <c r="E357" s="498"/>
      <c r="F357" s="498"/>
      <c r="G357" s="498"/>
      <c r="H357" s="502"/>
      <c r="I357" s="502"/>
      <c r="J357" s="499">
        <f>SUM(J355:J356)</f>
        <v>12128.4</v>
      </c>
    </row>
    <row r="358" spans="1:10" ht="20.100000000000001" customHeight="1">
      <c r="A358" s="498"/>
      <c r="B358" s="494" t="s">
        <v>45</v>
      </c>
      <c r="C358" s="501" t="s">
        <v>71</v>
      </c>
      <c r="D358" s="498"/>
      <c r="E358" s="498"/>
      <c r="F358" s="498"/>
      <c r="G358" s="498"/>
      <c r="H358" s="502"/>
      <c r="I358" s="502"/>
      <c r="J358" s="499"/>
    </row>
    <row r="359" spans="1:10" ht="20.100000000000001" customHeight="1">
      <c r="A359" s="498"/>
      <c r="B359" s="548">
        <v>20</v>
      </c>
      <c r="C359" s="503" t="s">
        <v>29</v>
      </c>
      <c r="D359" s="498" t="s">
        <v>161</v>
      </c>
      <c r="E359" s="498"/>
      <c r="F359" s="498"/>
      <c r="G359" s="498"/>
      <c r="H359" s="502">
        <f>J346+J353+J357</f>
        <v>91716.62</v>
      </c>
      <c r="I359" s="488" t="s">
        <v>73</v>
      </c>
      <c r="J359" s="499">
        <f>ROUND(B359*H359/100,2)</f>
        <v>18343.32</v>
      </c>
    </row>
    <row r="360" spans="1:10" ht="20.100000000000001" customHeight="1">
      <c r="A360" s="494"/>
      <c r="B360" s="494" t="s">
        <v>47</v>
      </c>
      <c r="C360" s="508" t="s">
        <v>1332</v>
      </c>
      <c r="D360" s="498"/>
      <c r="E360" s="498"/>
      <c r="F360" s="503"/>
      <c r="G360" s="503"/>
      <c r="H360" s="503"/>
      <c r="I360" s="503"/>
      <c r="J360" s="501"/>
    </row>
    <row r="361" spans="1:10" ht="35.1" customHeight="1">
      <c r="A361" s="494"/>
      <c r="B361" s="509">
        <f>'Input Data'!$D$24</f>
        <v>0.13614999999999999</v>
      </c>
      <c r="C361" s="505" t="s">
        <v>2045</v>
      </c>
      <c r="D361" s="499"/>
      <c r="E361" s="498"/>
      <c r="F361" s="503"/>
      <c r="G361" s="503"/>
      <c r="H361" s="502">
        <f>J359+J357+J353+J346</f>
        <v>110059.94</v>
      </c>
      <c r="I361" s="503"/>
      <c r="J361" s="499">
        <f>H361*B361</f>
        <v>14984.660830999999</v>
      </c>
    </row>
    <row r="362" spans="1:10" ht="20.100000000000001" customHeight="1">
      <c r="A362" s="494"/>
      <c r="B362" s="510">
        <f>'Input Data'!$E$24</f>
        <v>0</v>
      </c>
      <c r="C362" s="511" t="s">
        <v>1314</v>
      </c>
      <c r="D362" s="499"/>
      <c r="E362" s="498"/>
      <c r="F362" s="503"/>
      <c r="G362" s="503"/>
      <c r="H362" s="502">
        <f>J361+J359+J357+J353+J346</f>
        <v>125044.600831</v>
      </c>
      <c r="I362" s="503"/>
      <c r="J362" s="499">
        <f>H362*B362</f>
        <v>0</v>
      </c>
    </row>
    <row r="363" spans="1:10" ht="20.100000000000001" customHeight="1">
      <c r="A363" s="494"/>
      <c r="B363" s="494" t="s">
        <v>76</v>
      </c>
      <c r="C363" s="508" t="s">
        <v>77</v>
      </c>
      <c r="D363" s="498"/>
      <c r="E363" s="498"/>
      <c r="F363" s="503"/>
      <c r="G363" s="503"/>
      <c r="H363" s="503"/>
      <c r="I363" s="503"/>
      <c r="J363" s="501">
        <f>J346+J353+J357+J359+J361+J362</f>
        <v>125044.600831</v>
      </c>
    </row>
    <row r="364" spans="1:10" ht="20.100000000000001" customHeight="1">
      <c r="A364" s="498"/>
      <c r="B364" s="502"/>
      <c r="C364" s="503"/>
      <c r="D364" s="501" t="s">
        <v>1951</v>
      </c>
      <c r="E364" s="498"/>
      <c r="F364" s="498"/>
      <c r="G364" s="498"/>
      <c r="H364" s="502"/>
      <c r="I364" s="502"/>
      <c r="J364" s="501">
        <f>SUM(J363:J363)</f>
        <v>125044.600831</v>
      </c>
    </row>
    <row r="365" spans="1:10" ht="20.100000000000001" customHeight="1">
      <c r="A365" s="498"/>
      <c r="B365" s="502"/>
      <c r="C365" s="503"/>
      <c r="D365" s="499" t="s">
        <v>81</v>
      </c>
      <c r="E365" s="498"/>
      <c r="F365" s="498"/>
      <c r="G365" s="498"/>
      <c r="H365" s="502"/>
      <c r="I365" s="502"/>
      <c r="J365" s="499">
        <f>ROUND(J364/15,2)</f>
        <v>8336.31</v>
      </c>
    </row>
    <row r="366" spans="1:10" ht="20.100000000000001" customHeight="1">
      <c r="A366" s="498"/>
      <c r="B366" s="488"/>
      <c r="C366" s="498"/>
      <c r="D366" s="499" t="s">
        <v>52</v>
      </c>
      <c r="E366" s="498"/>
      <c r="F366" s="498"/>
      <c r="G366" s="498"/>
      <c r="H366" s="502"/>
      <c r="I366" s="502"/>
      <c r="J366" s="519">
        <f>ROUND(J365,2)</f>
        <v>8336.31</v>
      </c>
    </row>
    <row r="367" spans="1:10" ht="20.100000000000001" customHeight="1">
      <c r="A367" s="498"/>
      <c r="B367" s="488"/>
      <c r="C367" s="498"/>
      <c r="D367" s="499"/>
      <c r="E367" s="498"/>
      <c r="F367" s="498"/>
      <c r="G367" s="498"/>
      <c r="H367" s="502"/>
      <c r="I367" s="502"/>
      <c r="J367" s="515" t="s">
        <v>53</v>
      </c>
    </row>
    <row r="368" spans="1:10" ht="20.100000000000001" customHeight="1">
      <c r="A368" s="498"/>
      <c r="B368" s="488"/>
      <c r="C368" s="498"/>
      <c r="D368" s="499"/>
      <c r="E368" s="498"/>
      <c r="F368" s="498"/>
      <c r="G368" s="498"/>
      <c r="H368" s="502"/>
      <c r="I368" s="502"/>
      <c r="J368" s="551"/>
    </row>
    <row r="369" spans="1:10" ht="141" customHeight="1">
      <c r="A369" s="517">
        <f>A338+1</f>
        <v>11</v>
      </c>
      <c r="B369" s="3816" t="s">
        <v>1146</v>
      </c>
      <c r="C369" s="3816"/>
      <c r="D369" s="3816"/>
      <c r="E369" s="3816"/>
      <c r="F369" s="3816"/>
      <c r="G369" s="3816"/>
      <c r="H369" s="3816"/>
      <c r="I369" s="3816"/>
      <c r="J369" s="3816"/>
    </row>
    <row r="370" spans="1:10" ht="20.100000000000001" customHeight="1">
      <c r="A370" s="498"/>
      <c r="B370" s="488"/>
      <c r="C370" s="498"/>
      <c r="D370" s="499" t="s">
        <v>10</v>
      </c>
      <c r="E370" s="498"/>
      <c r="F370" s="508" t="s">
        <v>280</v>
      </c>
      <c r="G370" s="498"/>
      <c r="H370" s="498"/>
      <c r="I370" s="498"/>
      <c r="J370" s="498"/>
    </row>
    <row r="371" spans="1:10" ht="20.100000000000001" customHeight="1">
      <c r="A371" s="498"/>
      <c r="B371" s="488"/>
      <c r="C371" s="498"/>
      <c r="D371" s="499" t="s">
        <v>2023</v>
      </c>
      <c r="E371" s="498"/>
      <c r="F371" s="498"/>
      <c r="G371" s="498"/>
      <c r="H371" s="498"/>
      <c r="I371" s="498"/>
      <c r="J371" s="498"/>
    </row>
    <row r="372" spans="1:10" ht="20.100000000000001" customHeight="1">
      <c r="A372" s="498"/>
      <c r="B372" s="494" t="s">
        <v>36</v>
      </c>
      <c r="C372" s="501" t="s">
        <v>37</v>
      </c>
      <c r="D372" s="498"/>
      <c r="E372" s="498"/>
      <c r="F372" s="498"/>
      <c r="G372" s="498"/>
      <c r="H372" s="498"/>
      <c r="I372" s="498"/>
      <c r="J372" s="498"/>
    </row>
    <row r="373" spans="1:10" ht="20.100000000000001" customHeight="1">
      <c r="A373" s="498"/>
      <c r="B373" s="502">
        <v>0.9</v>
      </c>
      <c r="C373" s="503" t="s">
        <v>57</v>
      </c>
      <c r="D373" s="499" t="s">
        <v>156</v>
      </c>
      <c r="E373" s="498"/>
      <c r="F373" s="498"/>
      <c r="G373" s="498"/>
      <c r="H373" s="502">
        <f>'SSR-rates'!L$58</f>
        <v>575</v>
      </c>
      <c r="I373" s="488" t="s">
        <v>38</v>
      </c>
      <c r="J373" s="499">
        <f>ROUND(B373*H373,2)</f>
        <v>517.5</v>
      </c>
    </row>
    <row r="374" spans="1:10" ht="20.100000000000001" customHeight="1">
      <c r="A374" s="498"/>
      <c r="B374" s="502">
        <v>1.5</v>
      </c>
      <c r="C374" s="503" t="s">
        <v>57</v>
      </c>
      <c r="D374" s="499" t="s">
        <v>58</v>
      </c>
      <c r="E374" s="498"/>
      <c r="F374" s="498"/>
      <c r="G374" s="498"/>
      <c r="H374" s="502">
        <f>+'SSR-rates'!L96</f>
        <v>645</v>
      </c>
      <c r="I374" s="488" t="s">
        <v>38</v>
      </c>
      <c r="J374" s="499">
        <f>ROUND(B374*H374,2)</f>
        <v>967.5</v>
      </c>
    </row>
    <row r="375" spans="1:10" ht="20.100000000000001" customHeight="1">
      <c r="A375" s="498"/>
      <c r="B375" s="502">
        <v>21</v>
      </c>
      <c r="C375" s="503" t="s">
        <v>57</v>
      </c>
      <c r="D375" s="499" t="s">
        <v>59</v>
      </c>
      <c r="E375" s="498"/>
      <c r="F375" s="498"/>
      <c r="G375" s="498"/>
      <c r="H375" s="502">
        <f>'SSR-rates'!L$60</f>
        <v>575</v>
      </c>
      <c r="I375" s="488" t="s">
        <v>38</v>
      </c>
      <c r="J375" s="499">
        <f>ROUND(B375*H375,2)</f>
        <v>12075</v>
      </c>
    </row>
    <row r="376" spans="1:10" ht="20.100000000000001" customHeight="1">
      <c r="A376" s="494"/>
      <c r="B376" s="504">
        <f>'Input Data'!$D$23</f>
        <v>0</v>
      </c>
      <c r="C376" s="505"/>
      <c r="D376" s="498" t="s">
        <v>17</v>
      </c>
      <c r="E376" s="498"/>
      <c r="F376" s="503"/>
      <c r="G376" s="503"/>
      <c r="H376" s="502">
        <f>SUM(J373:J375)</f>
        <v>13560</v>
      </c>
      <c r="I376" s="488"/>
      <c r="J376" s="499">
        <f>B376*H376</f>
        <v>0</v>
      </c>
    </row>
    <row r="377" spans="1:10" ht="20.100000000000001" customHeight="1">
      <c r="A377" s="498"/>
      <c r="B377" s="502"/>
      <c r="C377" s="503"/>
      <c r="D377" s="499" t="s">
        <v>60</v>
      </c>
      <c r="E377" s="498"/>
      <c r="F377" s="498"/>
      <c r="G377" s="498"/>
      <c r="H377" s="502"/>
      <c r="I377" s="502"/>
      <c r="J377" s="499">
        <f>SUM(J373:J376)</f>
        <v>13560</v>
      </c>
    </row>
    <row r="378" spans="1:10" ht="20.100000000000001" customHeight="1">
      <c r="A378" s="498"/>
      <c r="B378" s="494" t="s">
        <v>39</v>
      </c>
      <c r="C378" s="501" t="s">
        <v>61</v>
      </c>
      <c r="D378" s="498"/>
      <c r="E378" s="498"/>
      <c r="F378" s="498"/>
      <c r="G378" s="498"/>
      <c r="H378" s="502"/>
      <c r="I378" s="502"/>
      <c r="J378" s="499"/>
    </row>
    <row r="379" spans="1:10" ht="20.100000000000001" customHeight="1">
      <c r="A379" s="498"/>
      <c r="B379" s="502">
        <v>8.1</v>
      </c>
      <c r="C379" s="503" t="s">
        <v>31</v>
      </c>
      <c r="D379" s="498" t="s">
        <v>63</v>
      </c>
      <c r="E379" s="498"/>
      <c r="F379" s="498"/>
      <c r="G379" s="498"/>
      <c r="H379" s="502">
        <f>lead!J$16</f>
        <v>2005.5179333714741</v>
      </c>
      <c r="I379" s="502" t="s">
        <v>31</v>
      </c>
      <c r="J379" s="499">
        <f>ROUND(B379*H379,2)</f>
        <v>16244.7</v>
      </c>
    </row>
    <row r="380" spans="1:10" ht="20.100000000000001" customHeight="1">
      <c r="A380" s="498"/>
      <c r="B380" s="502">
        <v>5.4</v>
      </c>
      <c r="C380" s="503" t="s">
        <v>31</v>
      </c>
      <c r="D380" s="498" t="s">
        <v>64</v>
      </c>
      <c r="E380" s="498"/>
      <c r="F380" s="498"/>
      <c r="G380" s="498"/>
      <c r="H380" s="502">
        <f>lead!J$18</f>
        <v>1754.5179333714741</v>
      </c>
      <c r="I380" s="502" t="s">
        <v>31</v>
      </c>
      <c r="J380" s="499">
        <f>ROUND(B380*H380,2)</f>
        <v>9474.4</v>
      </c>
    </row>
    <row r="381" spans="1:10" ht="45" customHeight="1">
      <c r="A381" s="498"/>
      <c r="B381" s="507">
        <f>6.75/2</f>
        <v>3.375</v>
      </c>
      <c r="C381" s="503" t="s">
        <v>31</v>
      </c>
      <c r="D381" s="3813" t="s">
        <v>1852</v>
      </c>
      <c r="E381" s="3813"/>
      <c r="F381" s="3813"/>
      <c r="G381" s="3813"/>
      <c r="H381" s="506">
        <f>lead!$J$31</f>
        <v>1812.3700655723276</v>
      </c>
      <c r="I381" s="502" t="s">
        <v>31</v>
      </c>
      <c r="J381" s="514">
        <f>ROUND(B381*H381,2)</f>
        <v>6116.75</v>
      </c>
    </row>
    <row r="382" spans="1:10" ht="35.1" customHeight="1">
      <c r="A382" s="498"/>
      <c r="B382" s="507">
        <f>6.75/2</f>
        <v>3.375</v>
      </c>
      <c r="C382" s="503" t="s">
        <v>31</v>
      </c>
      <c r="D382" s="3813" t="s">
        <v>1853</v>
      </c>
      <c r="E382" s="3813"/>
      <c r="F382" s="3813"/>
      <c r="G382" s="3813"/>
      <c r="H382" s="506">
        <f>lead!$J$33</f>
        <v>1447.5179333714741</v>
      </c>
      <c r="I382" s="502" t="s">
        <v>31</v>
      </c>
      <c r="J382" s="514">
        <f>ROUND(B382*H382,2)</f>
        <v>4885.37</v>
      </c>
    </row>
    <row r="383" spans="1:10" ht="20.100000000000001" customHeight="1">
      <c r="A383" s="498"/>
      <c r="B383" s="507">
        <v>6.1</v>
      </c>
      <c r="C383" s="503" t="s">
        <v>66</v>
      </c>
      <c r="D383" s="499" t="s">
        <v>67</v>
      </c>
      <c r="E383" s="498"/>
      <c r="F383" s="498"/>
      <c r="G383" s="498"/>
      <c r="H383" s="502">
        <f>lead!J$36</f>
        <v>5000</v>
      </c>
      <c r="I383" s="502" t="s">
        <v>66</v>
      </c>
      <c r="J383" s="499">
        <f>ROUND(B383*H383,2)</f>
        <v>30500</v>
      </c>
    </row>
    <row r="384" spans="1:10" ht="20.100000000000001" customHeight="1">
      <c r="A384" s="498"/>
      <c r="B384" s="502"/>
      <c r="C384" s="498"/>
      <c r="D384" s="499" t="s">
        <v>60</v>
      </c>
      <c r="E384" s="498"/>
      <c r="F384" s="498"/>
      <c r="G384" s="498"/>
      <c r="H384" s="502"/>
      <c r="I384" s="502"/>
      <c r="J384" s="499">
        <f>SUM(J379:J383)</f>
        <v>67221.22</v>
      </c>
    </row>
    <row r="385" spans="1:10" ht="20.100000000000001" customHeight="1">
      <c r="A385" s="498"/>
      <c r="B385" s="494" t="s">
        <v>27</v>
      </c>
      <c r="C385" s="501" t="s">
        <v>40</v>
      </c>
      <c r="D385" s="498"/>
      <c r="E385" s="498"/>
      <c r="F385" s="498"/>
      <c r="G385" s="498"/>
      <c r="H385" s="502"/>
      <c r="I385" s="502"/>
      <c r="J385" s="499"/>
    </row>
    <row r="386" spans="1:10" ht="20.100000000000001" customHeight="1">
      <c r="A386" s="498"/>
      <c r="B386" s="502">
        <v>6</v>
      </c>
      <c r="C386" s="503" t="s">
        <v>41</v>
      </c>
      <c r="D386" s="499" t="s">
        <v>68</v>
      </c>
      <c r="E386" s="498"/>
      <c r="F386" s="498"/>
      <c r="G386" s="498"/>
      <c r="H386" s="502">
        <f>+H355</f>
        <v>697.9</v>
      </c>
      <c r="I386" s="502" t="s">
        <v>41</v>
      </c>
      <c r="J386" s="499">
        <f>ROUND(B386*H386,2)</f>
        <v>4187.3999999999996</v>
      </c>
    </row>
    <row r="387" spans="1:10" ht="20.100000000000001" customHeight="1">
      <c r="A387" s="498"/>
      <c r="B387" s="502">
        <v>6</v>
      </c>
      <c r="C387" s="503" t="s">
        <v>41</v>
      </c>
      <c r="D387" s="499" t="s">
        <v>69</v>
      </c>
      <c r="E387" s="498"/>
      <c r="F387" s="498"/>
      <c r="G387" s="498"/>
      <c r="H387" s="502">
        <f>+H356</f>
        <v>1323.5</v>
      </c>
      <c r="I387" s="502" t="s">
        <v>41</v>
      </c>
      <c r="J387" s="499">
        <f>ROUND(B387*H387,2)</f>
        <v>7941</v>
      </c>
    </row>
    <row r="388" spans="1:10" ht="20.100000000000001" customHeight="1">
      <c r="A388" s="498"/>
      <c r="B388" s="502"/>
      <c r="C388" s="505"/>
      <c r="D388" s="499" t="s">
        <v>60</v>
      </c>
      <c r="E388" s="498"/>
      <c r="F388" s="498"/>
      <c r="G388" s="498"/>
      <c r="H388" s="502"/>
      <c r="I388" s="502"/>
      <c r="J388" s="499">
        <f>SUM(J386:J387)</f>
        <v>12128.4</v>
      </c>
    </row>
    <row r="389" spans="1:10" ht="20.100000000000001" customHeight="1">
      <c r="A389" s="498"/>
      <c r="B389" s="494" t="s">
        <v>45</v>
      </c>
      <c r="C389" s="501" t="s">
        <v>71</v>
      </c>
      <c r="D389" s="498"/>
      <c r="E389" s="498"/>
      <c r="F389" s="498"/>
      <c r="G389" s="498"/>
      <c r="H389" s="502"/>
      <c r="I389" s="502"/>
      <c r="J389" s="499"/>
    </row>
    <row r="390" spans="1:10" ht="20.100000000000001" customHeight="1">
      <c r="A390" s="498"/>
      <c r="B390" s="502">
        <v>20</v>
      </c>
      <c r="C390" s="503" t="s">
        <v>29</v>
      </c>
      <c r="D390" s="498" t="s">
        <v>2046</v>
      </c>
      <c r="E390" s="498"/>
      <c r="F390" s="498"/>
      <c r="G390" s="498"/>
      <c r="H390" s="502">
        <f>J377+J384+J388</f>
        <v>92909.62</v>
      </c>
      <c r="I390" s="488" t="s">
        <v>73</v>
      </c>
      <c r="J390" s="499">
        <f>ROUND(B390*H390/100,2)</f>
        <v>18581.919999999998</v>
      </c>
    </row>
    <row r="391" spans="1:10" ht="20.100000000000001" customHeight="1">
      <c r="A391" s="494"/>
      <c r="B391" s="494" t="s">
        <v>47</v>
      </c>
      <c r="C391" s="508" t="s">
        <v>1332</v>
      </c>
      <c r="D391" s="498"/>
      <c r="E391" s="498"/>
      <c r="F391" s="503"/>
      <c r="G391" s="503"/>
      <c r="H391" s="503"/>
      <c r="I391" s="503"/>
      <c r="J391" s="501"/>
    </row>
    <row r="392" spans="1:10" ht="35.1" customHeight="1">
      <c r="A392" s="494"/>
      <c r="B392" s="509">
        <f>'Input Data'!$D$24</f>
        <v>0.13614999999999999</v>
      </c>
      <c r="C392" s="505" t="s">
        <v>2045</v>
      </c>
      <c r="D392" s="499"/>
      <c r="E392" s="498"/>
      <c r="F392" s="503"/>
      <c r="G392" s="503"/>
      <c r="H392" s="505">
        <f>J390+J388+J384+J377</f>
        <v>111491.54000000001</v>
      </c>
      <c r="I392" s="503"/>
      <c r="J392" s="499">
        <f>H392*B392</f>
        <v>15179.573171</v>
      </c>
    </row>
    <row r="393" spans="1:10" ht="20.100000000000001" customHeight="1">
      <c r="A393" s="494"/>
      <c r="B393" s="510">
        <f>'Input Data'!$E$24</f>
        <v>0</v>
      </c>
      <c r="C393" s="511" t="s">
        <v>1314</v>
      </c>
      <c r="D393" s="499"/>
      <c r="E393" s="498"/>
      <c r="F393" s="503"/>
      <c r="G393" s="503"/>
      <c r="H393" s="505">
        <f>J392+J390+J388+J384+J377</f>
        <v>126671.113171</v>
      </c>
      <c r="I393" s="503"/>
      <c r="J393" s="499">
        <f>H393*B393</f>
        <v>0</v>
      </c>
    </row>
    <row r="394" spans="1:10" ht="20.100000000000001" customHeight="1">
      <c r="A394" s="494"/>
      <c r="B394" s="494" t="s">
        <v>76</v>
      </c>
      <c r="C394" s="508" t="s">
        <v>77</v>
      </c>
      <c r="D394" s="498"/>
      <c r="E394" s="498"/>
      <c r="F394" s="503"/>
      <c r="G394" s="503"/>
      <c r="H394" s="503"/>
      <c r="I394" s="503"/>
      <c r="J394" s="501">
        <f>J377+J384+J388+J390+J392+J393</f>
        <v>126671.11317099999</v>
      </c>
    </row>
    <row r="395" spans="1:10" ht="20.100000000000001" customHeight="1">
      <c r="A395" s="498"/>
      <c r="B395" s="502"/>
      <c r="C395" s="503"/>
      <c r="D395" s="501" t="s">
        <v>80</v>
      </c>
      <c r="E395" s="498"/>
      <c r="F395" s="498"/>
      <c r="G395" s="498"/>
      <c r="H395" s="502"/>
      <c r="I395" s="502"/>
      <c r="J395" s="501">
        <f>SUM(J394:J394)</f>
        <v>126671.11317099999</v>
      </c>
    </row>
    <row r="396" spans="1:10" ht="20.100000000000001" customHeight="1">
      <c r="A396" s="498"/>
      <c r="B396" s="502"/>
      <c r="C396" s="503"/>
      <c r="D396" s="499" t="s">
        <v>81</v>
      </c>
      <c r="E396" s="498"/>
      <c r="F396" s="498"/>
      <c r="G396" s="498"/>
      <c r="H396" s="502"/>
      <c r="I396" s="502"/>
      <c r="J396" s="499">
        <f>ROUND(J395/15,2)</f>
        <v>8444.74</v>
      </c>
    </row>
    <row r="397" spans="1:10" ht="20.100000000000001" customHeight="1">
      <c r="A397" s="498"/>
      <c r="B397" s="488"/>
      <c r="C397" s="498"/>
      <c r="D397" s="499" t="s">
        <v>52</v>
      </c>
      <c r="E397" s="498"/>
      <c r="F397" s="498"/>
      <c r="G397" s="498"/>
      <c r="H397" s="502"/>
      <c r="I397" s="502"/>
      <c r="J397" s="519">
        <f>ROUND(J396,2)</f>
        <v>8444.74</v>
      </c>
    </row>
    <row r="398" spans="1:10" ht="20.100000000000001" customHeight="1">
      <c r="A398" s="498"/>
      <c r="B398" s="488"/>
      <c r="C398" s="498"/>
      <c r="D398" s="499"/>
      <c r="E398" s="498"/>
      <c r="F398" s="498"/>
      <c r="G398" s="498"/>
      <c r="H398" s="502"/>
      <c r="I398" s="502"/>
      <c r="J398" s="515" t="s">
        <v>53</v>
      </c>
    </row>
    <row r="399" spans="1:10" ht="20.100000000000001" customHeight="1">
      <c r="A399" s="498"/>
      <c r="B399" s="488"/>
      <c r="C399" s="498"/>
      <c r="D399" s="499"/>
      <c r="E399" s="498"/>
      <c r="F399" s="498"/>
      <c r="G399" s="498"/>
      <c r="H399" s="502"/>
      <c r="I399" s="502"/>
      <c r="J399" s="515"/>
    </row>
    <row r="400" spans="1:10" ht="138.6" customHeight="1">
      <c r="A400" s="517">
        <f>A369+1</f>
        <v>12</v>
      </c>
      <c r="B400" s="3816" t="s">
        <v>1147</v>
      </c>
      <c r="C400" s="3816"/>
      <c r="D400" s="3816"/>
      <c r="E400" s="3816"/>
      <c r="F400" s="3816"/>
      <c r="G400" s="3816"/>
      <c r="H400" s="3816"/>
      <c r="I400" s="3816"/>
      <c r="J400" s="3816"/>
    </row>
    <row r="401" spans="1:10" ht="20.100000000000001" customHeight="1">
      <c r="A401" s="503"/>
      <c r="B401" s="488"/>
      <c r="C401" s="498"/>
      <c r="D401" s="499" t="s">
        <v>10</v>
      </c>
      <c r="E401" s="498"/>
      <c r="F401" s="508" t="s">
        <v>160</v>
      </c>
      <c r="G401" s="498"/>
      <c r="H401" s="498"/>
      <c r="I401" s="498"/>
      <c r="J401" s="498"/>
    </row>
    <row r="402" spans="1:10" ht="20.100000000000001" customHeight="1">
      <c r="A402" s="503"/>
      <c r="B402" s="488"/>
      <c r="C402" s="498"/>
      <c r="D402" s="499" t="s">
        <v>56</v>
      </c>
      <c r="E402" s="498"/>
      <c r="F402" s="498"/>
      <c r="G402" s="498"/>
      <c r="H402" s="498"/>
      <c r="I402" s="498"/>
      <c r="J402" s="498"/>
    </row>
    <row r="403" spans="1:10" ht="20.100000000000001" customHeight="1">
      <c r="A403" s="503"/>
      <c r="B403" s="494" t="s">
        <v>36</v>
      </c>
      <c r="C403" s="501" t="s">
        <v>37</v>
      </c>
      <c r="D403" s="498"/>
      <c r="E403" s="498"/>
      <c r="F403" s="498"/>
      <c r="G403" s="498"/>
      <c r="H403" s="498"/>
      <c r="I403" s="498"/>
      <c r="J403" s="554"/>
    </row>
    <row r="404" spans="1:10" ht="20.100000000000001" customHeight="1">
      <c r="A404" s="503"/>
      <c r="B404" s="502">
        <v>0.9</v>
      </c>
      <c r="C404" s="503" t="s">
        <v>57</v>
      </c>
      <c r="D404" s="499" t="s">
        <v>156</v>
      </c>
      <c r="E404" s="498"/>
      <c r="F404" s="498"/>
      <c r="G404" s="498"/>
      <c r="H404" s="502">
        <f>'SSR-rates'!$L58</f>
        <v>575</v>
      </c>
      <c r="I404" s="488" t="s">
        <v>38</v>
      </c>
      <c r="J404" s="514">
        <f>ROUND(B404*H404,2)</f>
        <v>517.5</v>
      </c>
    </row>
    <row r="405" spans="1:10" ht="20.100000000000001" customHeight="1">
      <c r="A405" s="503"/>
      <c r="B405" s="502">
        <v>1.5</v>
      </c>
      <c r="C405" s="503" t="s">
        <v>57</v>
      </c>
      <c r="D405" s="499" t="s">
        <v>58</v>
      </c>
      <c r="E405" s="498"/>
      <c r="F405" s="498"/>
      <c r="G405" s="498"/>
      <c r="H405" s="502">
        <f>+'SSR-rates'!$L$96</f>
        <v>645</v>
      </c>
      <c r="I405" s="488" t="s">
        <v>38</v>
      </c>
      <c r="J405" s="514">
        <f>ROUND(B405*H405,2)</f>
        <v>967.5</v>
      </c>
    </row>
    <row r="406" spans="1:10" ht="20.100000000000001" customHeight="1">
      <c r="A406" s="503"/>
      <c r="B406" s="502">
        <v>21</v>
      </c>
      <c r="C406" s="503" t="s">
        <v>57</v>
      </c>
      <c r="D406" s="499" t="s">
        <v>59</v>
      </c>
      <c r="E406" s="498"/>
      <c r="F406" s="498"/>
      <c r="G406" s="498"/>
      <c r="H406" s="502">
        <f>'SSR-rates'!$L60</f>
        <v>575</v>
      </c>
      <c r="I406" s="488" t="s">
        <v>38</v>
      </c>
      <c r="J406" s="514">
        <f>ROUND(B406*H406,2)</f>
        <v>12075</v>
      </c>
    </row>
    <row r="407" spans="1:10" ht="20.100000000000001" customHeight="1">
      <c r="A407" s="508"/>
      <c r="B407" s="504">
        <f>'Input Data'!$D$23</f>
        <v>0</v>
      </c>
      <c r="C407" s="505"/>
      <c r="D407" s="498" t="s">
        <v>17</v>
      </c>
      <c r="E407" s="498"/>
      <c r="F407" s="503"/>
      <c r="G407" s="503"/>
      <c r="H407" s="502">
        <f>SUM(J404:J406)</f>
        <v>13560</v>
      </c>
      <c r="I407" s="488"/>
      <c r="J407" s="514">
        <f>B407*H407</f>
        <v>0</v>
      </c>
    </row>
    <row r="408" spans="1:10" ht="20.100000000000001" customHeight="1">
      <c r="A408" s="503"/>
      <c r="B408" s="502"/>
      <c r="C408" s="503"/>
      <c r="D408" s="499" t="s">
        <v>60</v>
      </c>
      <c r="E408" s="498"/>
      <c r="F408" s="498"/>
      <c r="G408" s="498"/>
      <c r="H408" s="502"/>
      <c r="I408" s="502"/>
      <c r="J408" s="514">
        <f>SUM(J404:J407)</f>
        <v>13560</v>
      </c>
    </row>
    <row r="409" spans="1:10" ht="20.100000000000001" customHeight="1">
      <c r="A409" s="503"/>
      <c r="B409" s="494" t="s">
        <v>39</v>
      </c>
      <c r="C409" s="501" t="s">
        <v>61</v>
      </c>
      <c r="D409" s="498"/>
      <c r="E409" s="498"/>
      <c r="F409" s="498"/>
      <c r="G409" s="498"/>
      <c r="H409" s="502"/>
      <c r="I409" s="502"/>
      <c r="J409" s="514"/>
    </row>
    <row r="410" spans="1:10" ht="20.100000000000001" customHeight="1">
      <c r="A410" s="503"/>
      <c r="B410" s="502">
        <v>8.1</v>
      </c>
      <c r="C410" s="503" t="s">
        <v>31</v>
      </c>
      <c r="D410" s="498" t="s">
        <v>63</v>
      </c>
      <c r="E410" s="498"/>
      <c r="F410" s="498"/>
      <c r="G410" s="498"/>
      <c r="H410" s="502">
        <f>lead!$J$16</f>
        <v>2005.5179333714741</v>
      </c>
      <c r="I410" s="502" t="s">
        <v>31</v>
      </c>
      <c r="J410" s="514">
        <f>ROUND(B410*H410,2)</f>
        <v>16244.7</v>
      </c>
    </row>
    <row r="411" spans="1:10" ht="20.100000000000001" customHeight="1">
      <c r="A411" s="503"/>
      <c r="B411" s="502">
        <v>5.4</v>
      </c>
      <c r="C411" s="503" t="s">
        <v>31</v>
      </c>
      <c r="D411" s="498" t="s">
        <v>64</v>
      </c>
      <c r="E411" s="498"/>
      <c r="F411" s="498"/>
      <c r="G411" s="498"/>
      <c r="H411" s="502">
        <f>lead!$J$18</f>
        <v>1754.5179333714741</v>
      </c>
      <c r="I411" s="502" t="s">
        <v>31</v>
      </c>
      <c r="J411" s="514">
        <f>ROUND(B411*H411,2)</f>
        <v>9474.4</v>
      </c>
    </row>
    <row r="412" spans="1:10" ht="45" customHeight="1">
      <c r="A412" s="503"/>
      <c r="B412" s="507">
        <f>6.75/2</f>
        <v>3.375</v>
      </c>
      <c r="C412" s="503" t="s">
        <v>31</v>
      </c>
      <c r="D412" s="3813" t="s">
        <v>1852</v>
      </c>
      <c r="E412" s="3813"/>
      <c r="F412" s="3813"/>
      <c r="G412" s="3813"/>
      <c r="H412" s="506">
        <f>lead!$J$31</f>
        <v>1812.3700655723276</v>
      </c>
      <c r="I412" s="502" t="s">
        <v>31</v>
      </c>
      <c r="J412" s="514">
        <f>ROUND(B412*H412,2)</f>
        <v>6116.75</v>
      </c>
    </row>
    <row r="413" spans="1:10" ht="35.1" customHeight="1">
      <c r="A413" s="503"/>
      <c r="B413" s="507">
        <f>6.75/2</f>
        <v>3.375</v>
      </c>
      <c r="C413" s="503" t="s">
        <v>31</v>
      </c>
      <c r="D413" s="3813" t="s">
        <v>1853</v>
      </c>
      <c r="E413" s="3813"/>
      <c r="F413" s="3813"/>
      <c r="G413" s="3813"/>
      <c r="H413" s="506">
        <f>lead!$J$33</f>
        <v>1447.5179333714741</v>
      </c>
      <c r="I413" s="502" t="s">
        <v>31</v>
      </c>
      <c r="J413" s="514">
        <f>ROUND(B413*H413,2)</f>
        <v>4885.37</v>
      </c>
    </row>
    <row r="414" spans="1:10" ht="20.100000000000001" customHeight="1">
      <c r="A414" s="503"/>
      <c r="B414" s="502">
        <v>6.1</v>
      </c>
      <c r="C414" s="503" t="s">
        <v>66</v>
      </c>
      <c r="D414" s="499" t="s">
        <v>67</v>
      </c>
      <c r="E414" s="498"/>
      <c r="F414" s="498"/>
      <c r="G414" s="498"/>
      <c r="H414" s="502">
        <f>lead!$J$36</f>
        <v>5000</v>
      </c>
      <c r="I414" s="502" t="s">
        <v>66</v>
      </c>
      <c r="J414" s="514">
        <f>ROUND(B414*H414,2)</f>
        <v>30500</v>
      </c>
    </row>
    <row r="415" spans="1:10" ht="20.100000000000001" customHeight="1">
      <c r="A415" s="503"/>
      <c r="B415" s="502"/>
      <c r="C415" s="498"/>
      <c r="D415" s="499" t="s">
        <v>60</v>
      </c>
      <c r="E415" s="498"/>
      <c r="F415" s="498"/>
      <c r="G415" s="498"/>
      <c r="H415" s="502"/>
      <c r="I415" s="502"/>
      <c r="J415" s="514">
        <f>SUM(J410:J414)</f>
        <v>67221.22</v>
      </c>
    </row>
    <row r="416" spans="1:10" ht="20.100000000000001" customHeight="1">
      <c r="A416" s="503"/>
      <c r="B416" s="494" t="s">
        <v>27</v>
      </c>
      <c r="C416" s="501" t="s">
        <v>40</v>
      </c>
      <c r="D416" s="498"/>
      <c r="E416" s="498"/>
      <c r="F416" s="498"/>
      <c r="G416" s="498"/>
      <c r="H416" s="502"/>
      <c r="I416" s="502"/>
      <c r="J416" s="514"/>
    </row>
    <row r="417" spans="1:10" ht="20.100000000000001" customHeight="1">
      <c r="A417" s="503"/>
      <c r="B417" s="502">
        <v>6</v>
      </c>
      <c r="C417" s="503" t="s">
        <v>41</v>
      </c>
      <c r="D417" s="499" t="s">
        <v>68</v>
      </c>
      <c r="E417" s="498"/>
      <c r="F417" s="498"/>
      <c r="G417" s="498"/>
      <c r="H417" s="502">
        <f>'SSR-rates'!$L$88</f>
        <v>697.9</v>
      </c>
      <c r="I417" s="502" t="s">
        <v>41</v>
      </c>
      <c r="J417" s="514">
        <f>ROUND(B417*H417,2)</f>
        <v>4187.3999999999996</v>
      </c>
    </row>
    <row r="418" spans="1:10" ht="20.100000000000001" customHeight="1">
      <c r="A418" s="503"/>
      <c r="B418" s="502">
        <v>6</v>
      </c>
      <c r="C418" s="503" t="s">
        <v>41</v>
      </c>
      <c r="D418" s="499" t="s">
        <v>69</v>
      </c>
      <c r="E418" s="498"/>
      <c r="F418" s="498"/>
      <c r="G418" s="498"/>
      <c r="H418" s="502">
        <f>'SSR-rates'!$L$87</f>
        <v>1323.5</v>
      </c>
      <c r="I418" s="502" t="s">
        <v>41</v>
      </c>
      <c r="J418" s="514">
        <f>ROUND(B418*H418,2)</f>
        <v>7941</v>
      </c>
    </row>
    <row r="419" spans="1:10" ht="20.100000000000001" customHeight="1">
      <c r="A419" s="503"/>
      <c r="B419" s="502"/>
      <c r="C419" s="505"/>
      <c r="D419" s="499" t="s">
        <v>60</v>
      </c>
      <c r="E419" s="498"/>
      <c r="F419" s="498"/>
      <c r="G419" s="498"/>
      <c r="H419" s="502"/>
      <c r="I419" s="502"/>
      <c r="J419" s="514">
        <f>SUM(J417:J418)</f>
        <v>12128.4</v>
      </c>
    </row>
    <row r="420" spans="1:10" ht="20.100000000000001" customHeight="1">
      <c r="A420" s="503"/>
      <c r="B420" s="494" t="s">
        <v>45</v>
      </c>
      <c r="C420" s="501" t="s">
        <v>71</v>
      </c>
      <c r="D420" s="498"/>
      <c r="E420" s="498"/>
      <c r="F420" s="498"/>
      <c r="G420" s="498"/>
      <c r="H420" s="502"/>
      <c r="I420" s="502"/>
      <c r="J420" s="514"/>
    </row>
    <row r="421" spans="1:10" ht="35.1" customHeight="1">
      <c r="A421" s="503"/>
      <c r="B421" s="552">
        <v>0</v>
      </c>
      <c r="C421" s="553"/>
      <c r="D421" s="498" t="s">
        <v>2047</v>
      </c>
      <c r="E421" s="498"/>
      <c r="F421" s="498"/>
      <c r="G421" s="498"/>
      <c r="H421" s="502">
        <f>J408+J415+J419</f>
        <v>92909.62</v>
      </c>
      <c r="I421" s="488" t="s">
        <v>73</v>
      </c>
      <c r="J421" s="514">
        <f>ROUND(B421*H421,2)</f>
        <v>0</v>
      </c>
    </row>
    <row r="422" spans="1:10" ht="20.100000000000001" customHeight="1">
      <c r="A422" s="508"/>
      <c r="B422" s="494" t="s">
        <v>47</v>
      </c>
      <c r="C422" s="508" t="s">
        <v>1283</v>
      </c>
      <c r="D422" s="498"/>
      <c r="E422" s="498"/>
      <c r="F422" s="503"/>
      <c r="G422" s="503"/>
      <c r="H422" s="503"/>
      <c r="I422" s="503"/>
      <c r="J422" s="515"/>
    </row>
    <row r="423" spans="1:10" ht="35.1" customHeight="1">
      <c r="A423" s="508"/>
      <c r="B423" s="509">
        <f>'Input Data'!$D$24</f>
        <v>0.13614999999999999</v>
      </c>
      <c r="C423" s="3817" t="str">
        <f>"Over head charges &amp; CP "&amp;'Input Data'!$D$24*100&amp;"%  on (A) + (B)+(C)+(D)"</f>
        <v>Over head charges &amp; CP 13.615%  on (A) + (B)+(C)+(D)</v>
      </c>
      <c r="D423" s="3817"/>
      <c r="E423" s="3817"/>
      <c r="F423" s="3817"/>
      <c r="G423" s="3817"/>
      <c r="H423" s="505">
        <f>J421+J419+J415+J408</f>
        <v>92909.62</v>
      </c>
      <c r="I423" s="503"/>
      <c r="J423" s="514">
        <f>H423*B423</f>
        <v>12649.644762999998</v>
      </c>
    </row>
    <row r="424" spans="1:10" ht="20.100000000000001" customHeight="1">
      <c r="A424" s="508"/>
      <c r="B424" s="510">
        <f>'Input Data'!$E$24</f>
        <v>0</v>
      </c>
      <c r="C424" s="511" t="s">
        <v>1314</v>
      </c>
      <c r="D424" s="506"/>
      <c r="E424" s="506"/>
      <c r="F424" s="506"/>
      <c r="G424" s="506"/>
      <c r="H424" s="505">
        <f>J423+J421+J419+J415+J408</f>
        <v>105559.264763</v>
      </c>
      <c r="I424" s="503"/>
      <c r="J424" s="514">
        <f>H424*B424</f>
        <v>0</v>
      </c>
    </row>
    <row r="425" spans="1:10" ht="20.100000000000001" customHeight="1">
      <c r="A425" s="508"/>
      <c r="B425" s="494" t="s">
        <v>76</v>
      </c>
      <c r="C425" s="508" t="s">
        <v>77</v>
      </c>
      <c r="D425" s="498"/>
      <c r="E425" s="498"/>
      <c r="F425" s="503"/>
      <c r="G425" s="503"/>
      <c r="H425" s="503"/>
      <c r="I425" s="503"/>
      <c r="J425" s="515">
        <f>J408+J415+J419+J421+J423+J424</f>
        <v>105559.264763</v>
      </c>
    </row>
    <row r="426" spans="1:10" ht="20.100000000000001" customHeight="1">
      <c r="A426" s="503"/>
      <c r="B426" s="502"/>
      <c r="C426" s="503"/>
      <c r="D426" s="501" t="s">
        <v>1951</v>
      </c>
      <c r="E426" s="498"/>
      <c r="F426" s="498"/>
      <c r="G426" s="498"/>
      <c r="H426" s="502"/>
      <c r="I426" s="502"/>
      <c r="J426" s="555">
        <f>SUM(J425:J425)</f>
        <v>105559.264763</v>
      </c>
    </row>
    <row r="427" spans="1:10" ht="20.100000000000001" customHeight="1">
      <c r="A427" s="503"/>
      <c r="B427" s="502"/>
      <c r="C427" s="503"/>
      <c r="D427" s="499" t="s">
        <v>81</v>
      </c>
      <c r="E427" s="498"/>
      <c r="F427" s="498"/>
      <c r="G427" s="498"/>
      <c r="H427" s="502"/>
      <c r="I427" s="502"/>
      <c r="J427" s="514">
        <f>ROUND(J426/15,2)</f>
        <v>7037.28</v>
      </c>
    </row>
    <row r="428" spans="1:10" ht="20.100000000000001" customHeight="1">
      <c r="A428" s="503"/>
      <c r="B428" s="488"/>
      <c r="C428" s="498"/>
      <c r="D428" s="499" t="s">
        <v>52</v>
      </c>
      <c r="E428" s="498"/>
      <c r="F428" s="498"/>
      <c r="G428" s="498"/>
      <c r="H428" s="502"/>
      <c r="I428" s="502"/>
      <c r="J428" s="516">
        <f>ROUND(J427,2)</f>
        <v>7037.28</v>
      </c>
    </row>
    <row r="429" spans="1:10" ht="20.100000000000001" customHeight="1">
      <c r="A429" s="503"/>
      <c r="B429" s="488"/>
      <c r="C429" s="498"/>
      <c r="D429" s="499"/>
      <c r="E429" s="498"/>
      <c r="F429" s="498"/>
      <c r="G429" s="498"/>
      <c r="H429" s="502"/>
      <c r="I429" s="502"/>
      <c r="J429" s="515" t="s">
        <v>53</v>
      </c>
    </row>
    <row r="430" spans="1:10" ht="20.100000000000001" customHeight="1">
      <c r="A430" s="498"/>
      <c r="B430" s="488"/>
      <c r="C430" s="498"/>
      <c r="D430" s="499"/>
      <c r="E430" s="498"/>
      <c r="F430" s="498"/>
      <c r="G430" s="498"/>
      <c r="H430" s="502"/>
      <c r="I430" s="502"/>
      <c r="J430" s="556"/>
    </row>
    <row r="431" spans="1:10" ht="141" customHeight="1">
      <c r="A431" s="517">
        <f>A400+1</f>
        <v>13</v>
      </c>
      <c r="B431" s="3818" t="s">
        <v>1158</v>
      </c>
      <c r="C431" s="3818"/>
      <c r="D431" s="3818"/>
      <c r="E431" s="3818"/>
      <c r="F431" s="3818"/>
      <c r="G431" s="3818"/>
      <c r="H431" s="3818"/>
      <c r="I431" s="3818"/>
      <c r="J431" s="3818"/>
    </row>
    <row r="432" spans="1:10" ht="20.100000000000001" customHeight="1">
      <c r="A432" s="520"/>
      <c r="B432" s="521"/>
      <c r="C432" s="521"/>
      <c r="D432" s="3819" t="s">
        <v>198</v>
      </c>
      <c r="E432" s="3819"/>
      <c r="F432" s="3819"/>
      <c r="G432" s="3819"/>
      <c r="H432" s="521"/>
      <c r="I432" s="521"/>
      <c r="J432" s="534"/>
    </row>
    <row r="433" spans="1:12" ht="20.100000000000001" customHeight="1">
      <c r="A433" s="520"/>
      <c r="B433" s="521"/>
      <c r="C433" s="521"/>
      <c r="D433" s="3820" t="s">
        <v>186</v>
      </c>
      <c r="E433" s="3820"/>
      <c r="F433" s="3820"/>
      <c r="G433" s="3820"/>
      <c r="H433" s="521"/>
      <c r="I433" s="521"/>
      <c r="J433" s="534"/>
    </row>
    <row r="434" spans="1:12" ht="20.100000000000001" customHeight="1">
      <c r="A434" s="520"/>
      <c r="B434" s="521"/>
      <c r="C434" s="522"/>
      <c r="D434" s="3820" t="s">
        <v>187</v>
      </c>
      <c r="E434" s="3820"/>
      <c r="F434" s="3820"/>
      <c r="G434" s="3820"/>
      <c r="H434" s="521"/>
      <c r="I434" s="521"/>
      <c r="J434" s="534"/>
    </row>
    <row r="435" spans="1:12" ht="20.100000000000001" customHeight="1">
      <c r="A435" s="520"/>
      <c r="B435" s="521"/>
      <c r="C435" s="523"/>
      <c r="D435" s="3821" t="s">
        <v>12</v>
      </c>
      <c r="E435" s="3821"/>
      <c r="F435" s="3821"/>
      <c r="G435" s="3821"/>
      <c r="H435" s="521"/>
      <c r="I435" s="521"/>
      <c r="J435" s="534"/>
    </row>
    <row r="436" spans="1:12" ht="20.100000000000001" customHeight="1">
      <c r="A436" s="520"/>
      <c r="B436" s="522">
        <v>0.44</v>
      </c>
      <c r="C436" s="525" t="s">
        <v>13</v>
      </c>
      <c r="D436" s="3822" t="s">
        <v>14</v>
      </c>
      <c r="E436" s="3822"/>
      <c r="F436" s="3822"/>
      <c r="G436" s="3822"/>
      <c r="H436" s="526">
        <f>'SSR-rates'!$L$58</f>
        <v>575</v>
      </c>
      <c r="I436" s="522">
        <v>1</v>
      </c>
      <c r="J436" s="535">
        <f>ROUND(B436*H436,2)</f>
        <v>253</v>
      </c>
      <c r="L436" s="484">
        <v>0.44</v>
      </c>
    </row>
    <row r="437" spans="1:12" ht="20.100000000000001" customHeight="1">
      <c r="A437" s="520"/>
      <c r="B437" s="522">
        <v>3</v>
      </c>
      <c r="C437" s="525" t="s">
        <v>13</v>
      </c>
      <c r="D437" s="3822" t="s">
        <v>188</v>
      </c>
      <c r="E437" s="3822"/>
      <c r="F437" s="3822"/>
      <c r="G437" s="3822"/>
      <c r="H437" s="526">
        <f>'SSR-rates'!$L$92</f>
        <v>640</v>
      </c>
      <c r="I437" s="522">
        <v>1</v>
      </c>
      <c r="J437" s="535">
        <f>ROUND(B437*H437,2)</f>
        <v>1920</v>
      </c>
      <c r="L437" s="484">
        <v>3</v>
      </c>
    </row>
    <row r="438" spans="1:12" ht="20.100000000000001" customHeight="1">
      <c r="A438" s="520"/>
      <c r="B438" s="522">
        <v>8</v>
      </c>
      <c r="C438" s="525" t="s">
        <v>13</v>
      </c>
      <c r="D438" s="3822" t="s">
        <v>59</v>
      </c>
      <c r="E438" s="3822"/>
      <c r="F438" s="3822"/>
      <c r="G438" s="3822"/>
      <c r="H438" s="526">
        <f>'SSR-rates'!$L$60</f>
        <v>575</v>
      </c>
      <c r="I438" s="522">
        <v>1</v>
      </c>
      <c r="J438" s="535">
        <f>ROUND(B438*H438,2)</f>
        <v>4600</v>
      </c>
      <c r="L438" s="484">
        <v>8</v>
      </c>
    </row>
    <row r="439" spans="1:12" ht="20.100000000000001" customHeight="1">
      <c r="A439" s="520"/>
      <c r="B439" s="504">
        <f>'Input Data'!$D$23</f>
        <v>0</v>
      </c>
      <c r="C439" s="505"/>
      <c r="D439" s="498" t="s">
        <v>17</v>
      </c>
      <c r="E439" s="498"/>
      <c r="F439" s="503"/>
      <c r="G439" s="503"/>
      <c r="H439" s="502">
        <f>SUM(J436:J438)</f>
        <v>6773</v>
      </c>
      <c r="I439" s="488"/>
      <c r="J439" s="514">
        <f>B439*H439</f>
        <v>0</v>
      </c>
    </row>
    <row r="440" spans="1:12" ht="20.100000000000001" customHeight="1">
      <c r="A440" s="520"/>
      <c r="B440" s="522"/>
      <c r="C440" s="527"/>
      <c r="D440" s="3823" t="s">
        <v>18</v>
      </c>
      <c r="E440" s="3823"/>
      <c r="F440" s="3823"/>
      <c r="G440" s="3823"/>
      <c r="H440" s="522"/>
      <c r="I440" s="536" t="s">
        <v>19</v>
      </c>
      <c r="J440" s="537">
        <f>SUM(J436:J439)</f>
        <v>6773</v>
      </c>
    </row>
    <row r="441" spans="1:12" ht="20.100000000000001" customHeight="1">
      <c r="A441" s="520"/>
      <c r="B441" s="522"/>
      <c r="C441" s="529"/>
      <c r="D441" s="3821" t="s">
        <v>189</v>
      </c>
      <c r="E441" s="3821"/>
      <c r="F441" s="3821"/>
      <c r="G441" s="3821"/>
      <c r="H441" s="522"/>
      <c r="I441" s="522"/>
      <c r="J441" s="535"/>
    </row>
    <row r="442" spans="1:12" ht="35.1" customHeight="1">
      <c r="A442" s="503"/>
      <c r="B442" s="544">
        <v>1.05</v>
      </c>
      <c r="C442" s="528" t="s">
        <v>66</v>
      </c>
      <c r="D442" s="3827" t="s">
        <v>199</v>
      </c>
      <c r="E442" s="3827"/>
      <c r="F442" s="3827"/>
      <c r="G442" s="3827"/>
      <c r="H442" s="544">
        <f>lead!$J$37</f>
        <v>49000</v>
      </c>
      <c r="I442" s="544">
        <v>1</v>
      </c>
      <c r="J442" s="549">
        <f>ROUND(B442*H442,2)</f>
        <v>51450</v>
      </c>
    </row>
    <row r="443" spans="1:12" ht="35.1" customHeight="1">
      <c r="A443" s="520"/>
      <c r="B443" s="522">
        <v>8</v>
      </c>
      <c r="C443" s="525" t="s">
        <v>191</v>
      </c>
      <c r="D443" s="3823" t="s">
        <v>196</v>
      </c>
      <c r="E443" s="3823"/>
      <c r="F443" s="3823"/>
      <c r="G443" s="3823"/>
      <c r="H443" s="522">
        <f>'SSR-rates'!$L$93</f>
        <v>83</v>
      </c>
      <c r="I443" s="522">
        <v>1</v>
      </c>
      <c r="J443" s="535">
        <f>H443*B443</f>
        <v>664</v>
      </c>
    </row>
    <row r="444" spans="1:12" ht="20.100000000000001" customHeight="1">
      <c r="A444" s="520"/>
      <c r="B444" s="522"/>
      <c r="C444" s="527"/>
      <c r="D444" s="3823" t="s">
        <v>18</v>
      </c>
      <c r="E444" s="3823"/>
      <c r="F444" s="3823"/>
      <c r="G444" s="3823"/>
      <c r="H444" s="522"/>
      <c r="I444" s="536" t="s">
        <v>25</v>
      </c>
      <c r="J444" s="537">
        <f>SUM(J442:J443)</f>
        <v>52114</v>
      </c>
    </row>
    <row r="445" spans="1:12" ht="20.100000000000001" customHeight="1">
      <c r="A445" s="520"/>
      <c r="B445" s="526"/>
      <c r="C445" s="530"/>
      <c r="D445" s="3821" t="s">
        <v>26</v>
      </c>
      <c r="E445" s="3821"/>
      <c r="F445" s="3821"/>
      <c r="G445" s="3821"/>
      <c r="H445" s="526"/>
      <c r="I445" s="538"/>
      <c r="J445" s="539">
        <f>J440+J444</f>
        <v>58887</v>
      </c>
    </row>
    <row r="446" spans="1:12" ht="35.1" customHeight="1">
      <c r="A446" s="520"/>
      <c r="B446" s="509">
        <f>'Input Data'!$D$24</f>
        <v>0.13614999999999999</v>
      </c>
      <c r="C446" s="530"/>
      <c r="D446" s="3825" t="s">
        <v>2026</v>
      </c>
      <c r="E446" s="3825"/>
      <c r="F446" s="3825"/>
      <c r="G446" s="3825"/>
      <c r="H446" s="526">
        <f>J445</f>
        <v>58887</v>
      </c>
      <c r="I446" s="540"/>
      <c r="J446" s="541">
        <f>H446*B446</f>
        <v>8017.4650499999998</v>
      </c>
    </row>
    <row r="447" spans="1:12" ht="20.100000000000001" customHeight="1">
      <c r="A447" s="520"/>
      <c r="B447" s="510">
        <f>'Input Data'!$E$24</f>
        <v>0</v>
      </c>
      <c r="C447" s="511" t="s">
        <v>1314</v>
      </c>
      <c r="D447" s="3821"/>
      <c r="E447" s="3821"/>
      <c r="F447" s="3821"/>
      <c r="G447" s="3821"/>
      <c r="H447" s="526">
        <f>J446+J444+J440</f>
        <v>66904.465049999999</v>
      </c>
      <c r="I447" s="540"/>
      <c r="J447" s="541">
        <f>H447*B447</f>
        <v>0</v>
      </c>
    </row>
    <row r="448" spans="1:12" ht="20.100000000000001" customHeight="1">
      <c r="A448" s="520"/>
      <c r="B448" s="526"/>
      <c r="C448" s="530"/>
      <c r="D448" s="3821"/>
      <c r="E448" s="3821"/>
      <c r="F448" s="3821"/>
      <c r="G448" s="3821"/>
      <c r="H448" s="526"/>
      <c r="I448" s="540"/>
      <c r="J448" s="539"/>
    </row>
    <row r="449" spans="1:11" ht="20.100000000000001" customHeight="1">
      <c r="A449" s="520"/>
      <c r="B449" s="526">
        <v>1</v>
      </c>
      <c r="C449" s="530" t="s">
        <v>66</v>
      </c>
      <c r="D449" s="3823" t="str">
        <f>CONCATENATE("TOTAL Cost for ",B449,"  ",C449,"  =  (A+B+C+D)",)</f>
        <v>TOTAL Cost for 1  MT  =  (A+B+C+D)</v>
      </c>
      <c r="E449" s="3823"/>
      <c r="F449" s="3823"/>
      <c r="G449" s="3823"/>
      <c r="H449" s="526"/>
      <c r="I449" s="526"/>
      <c r="J449" s="541">
        <f>SUM(J445:J447)</f>
        <v>66904.465049999999</v>
      </c>
    </row>
    <row r="450" spans="1:11" ht="20.100000000000001" customHeight="1">
      <c r="A450" s="520"/>
      <c r="B450" s="526"/>
      <c r="C450" s="526"/>
      <c r="D450" s="3823" t="str">
        <f>CONCATENATE("Rate per  1  ",C449)</f>
        <v>Rate per  1  MT</v>
      </c>
      <c r="E450" s="3823"/>
      <c r="F450" s="3823"/>
      <c r="G450" s="3823"/>
      <c r="H450" s="526"/>
      <c r="I450" s="526"/>
      <c r="J450" s="535">
        <f>J449/B449</f>
        <v>66904.465049999999</v>
      </c>
    </row>
    <row r="451" spans="1:11" ht="20.100000000000001" customHeight="1">
      <c r="A451" s="520"/>
      <c r="B451" s="522"/>
      <c r="C451" s="522"/>
      <c r="D451" s="3819" t="str">
        <f>D450</f>
        <v>Rate per  1  MT</v>
      </c>
      <c r="E451" s="3819"/>
      <c r="F451" s="3819"/>
      <c r="G451" s="3819"/>
      <c r="H451" s="526"/>
      <c r="I451" s="526"/>
      <c r="J451" s="537">
        <f>ROUND(J450,2)</f>
        <v>66904.47</v>
      </c>
      <c r="K451" s="484">
        <v>58243</v>
      </c>
    </row>
    <row r="452" spans="1:11" ht="20.100000000000001" customHeight="1">
      <c r="A452" s="520"/>
      <c r="B452" s="522"/>
      <c r="C452" s="522"/>
      <c r="D452" s="532"/>
      <c r="E452" s="532"/>
      <c r="F452" s="532"/>
      <c r="G452" s="532"/>
      <c r="H452" s="526"/>
      <c r="I452" s="526"/>
      <c r="J452" s="537"/>
    </row>
    <row r="453" spans="1:11" ht="33.6" customHeight="1">
      <c r="A453" s="497">
        <f>A431+1</f>
        <v>14</v>
      </c>
      <c r="B453" s="3818" t="s">
        <v>231</v>
      </c>
      <c r="C453" s="3818"/>
      <c r="D453" s="3818"/>
      <c r="E453" s="3818"/>
      <c r="F453" s="3818"/>
      <c r="G453" s="3818"/>
      <c r="H453" s="3818"/>
      <c r="I453" s="3818"/>
      <c r="J453" s="3818"/>
    </row>
    <row r="454" spans="1:11" ht="20.100000000000001" customHeight="1">
      <c r="A454" s="557"/>
      <c r="B454" s="521"/>
      <c r="C454" s="521"/>
      <c r="D454" s="3819" t="s">
        <v>2048</v>
      </c>
      <c r="E454" s="3819"/>
      <c r="F454" s="3819"/>
      <c r="G454" s="3819"/>
      <c r="H454" s="521"/>
      <c r="I454" s="521"/>
      <c r="J454" s="534"/>
    </row>
    <row r="455" spans="1:11" ht="20.100000000000001" customHeight="1">
      <c r="A455" s="557"/>
      <c r="B455" s="521"/>
      <c r="C455" s="521"/>
      <c r="D455" s="3820" t="s">
        <v>233</v>
      </c>
      <c r="E455" s="3820"/>
      <c r="F455" s="3820"/>
      <c r="G455" s="3820"/>
      <c r="H455" s="521"/>
      <c r="I455" s="521"/>
      <c r="J455" s="534"/>
    </row>
    <row r="456" spans="1:11" ht="20.100000000000001" customHeight="1">
      <c r="A456" s="557"/>
      <c r="B456" s="521"/>
      <c r="C456" s="523"/>
      <c r="D456" s="3821" t="s">
        <v>12</v>
      </c>
      <c r="E456" s="3821"/>
      <c r="F456" s="3821"/>
      <c r="G456" s="3821"/>
      <c r="H456" s="521"/>
      <c r="I456" s="521"/>
      <c r="J456" s="534"/>
    </row>
    <row r="457" spans="1:11" ht="20.100000000000001" customHeight="1">
      <c r="A457" s="557"/>
      <c r="B457" s="522">
        <v>0.03</v>
      </c>
      <c r="C457" s="525" t="s">
        <v>13</v>
      </c>
      <c r="D457" s="3822" t="s">
        <v>156</v>
      </c>
      <c r="E457" s="3822"/>
      <c r="F457" s="3822"/>
      <c r="G457" s="3822"/>
      <c r="H457" s="526">
        <f>'SSR-rates'!L$58</f>
        <v>575</v>
      </c>
      <c r="I457" s="522">
        <v>1</v>
      </c>
      <c r="J457" s="535">
        <f>ROUND(B457*H457,2)</f>
        <v>17.25</v>
      </c>
    </row>
    <row r="458" spans="1:11" ht="20.100000000000001" customHeight="1">
      <c r="A458" s="557"/>
      <c r="B458" s="522">
        <v>0.01</v>
      </c>
      <c r="C458" s="525" t="s">
        <v>13</v>
      </c>
      <c r="D458" s="3822" t="s">
        <v>236</v>
      </c>
      <c r="E458" s="3822"/>
      <c r="F458" s="3822"/>
      <c r="G458" s="3822"/>
      <c r="H458" s="526">
        <f>'SSR-rates'!L$97</f>
        <v>575</v>
      </c>
      <c r="I458" s="522">
        <v>1</v>
      </c>
      <c r="J458" s="535">
        <f>ROUND(B458*H458,2)</f>
        <v>5.75</v>
      </c>
    </row>
    <row r="459" spans="1:11" ht="20.100000000000001" customHeight="1">
      <c r="A459" s="557"/>
      <c r="B459" s="522">
        <v>0.02</v>
      </c>
      <c r="C459" s="525" t="s">
        <v>13</v>
      </c>
      <c r="D459" s="3822" t="s">
        <v>188</v>
      </c>
      <c r="E459" s="3822"/>
      <c r="F459" s="3822"/>
      <c r="G459" s="3822"/>
      <c r="H459" s="526">
        <f>'SSR-rates'!L$92</f>
        <v>640</v>
      </c>
      <c r="I459" s="522">
        <v>1</v>
      </c>
      <c r="J459" s="535">
        <f>ROUND(B459*H459,2)</f>
        <v>12.8</v>
      </c>
    </row>
    <row r="460" spans="1:11" ht="20.100000000000001" customHeight="1">
      <c r="A460" s="557"/>
      <c r="B460" s="522">
        <v>0.22</v>
      </c>
      <c r="C460" s="525" t="s">
        <v>13</v>
      </c>
      <c r="D460" s="3822" t="s">
        <v>59</v>
      </c>
      <c r="E460" s="3822"/>
      <c r="F460" s="3822"/>
      <c r="G460" s="3822"/>
      <c r="H460" s="526">
        <f>'SSR-rates'!L$60</f>
        <v>575</v>
      </c>
      <c r="I460" s="522">
        <v>1</v>
      </c>
      <c r="J460" s="535">
        <f>ROUND(B460*H460,2)</f>
        <v>126.5</v>
      </c>
    </row>
    <row r="461" spans="1:11" ht="20.100000000000001" customHeight="1">
      <c r="A461" s="557"/>
      <c r="B461" s="504">
        <f>'Input Data'!$D$23</f>
        <v>0</v>
      </c>
      <c r="C461" s="505"/>
      <c r="D461" s="498" t="s">
        <v>17</v>
      </c>
      <c r="E461" s="498"/>
      <c r="F461" s="503"/>
      <c r="G461" s="503"/>
      <c r="H461" s="502">
        <f>SUM(J457:J460)</f>
        <v>162.30000000000001</v>
      </c>
      <c r="I461" s="488"/>
      <c r="J461" s="514">
        <f>B461*H461</f>
        <v>0</v>
      </c>
    </row>
    <row r="462" spans="1:11" ht="20.100000000000001" customHeight="1">
      <c r="A462" s="557"/>
      <c r="B462" s="522"/>
      <c r="C462" s="527"/>
      <c r="D462" s="3823" t="s">
        <v>18</v>
      </c>
      <c r="E462" s="3823"/>
      <c r="F462" s="3823"/>
      <c r="G462" s="3823"/>
      <c r="H462" s="522"/>
      <c r="I462" s="536" t="s">
        <v>19</v>
      </c>
      <c r="J462" s="537">
        <f>SUM(J457:J461)</f>
        <v>162.30000000000001</v>
      </c>
    </row>
    <row r="463" spans="1:11" ht="20.100000000000001" customHeight="1">
      <c r="A463" s="557"/>
      <c r="B463" s="522"/>
      <c r="C463" s="529"/>
      <c r="D463" s="3821" t="s">
        <v>189</v>
      </c>
      <c r="E463" s="3821"/>
      <c r="F463" s="3821"/>
      <c r="G463" s="3821"/>
      <c r="H463" s="522"/>
      <c r="I463" s="522"/>
      <c r="J463" s="535"/>
    </row>
    <row r="464" spans="1:11" s="482" customFormat="1" ht="33.75" customHeight="1">
      <c r="A464" s="558"/>
      <c r="B464" s="559">
        <f>4/1000</f>
        <v>4.0000000000000001E-3</v>
      </c>
      <c r="C464" s="547" t="s">
        <v>66</v>
      </c>
      <c r="D464" s="3828" t="s">
        <v>2049</v>
      </c>
      <c r="E464" s="3828"/>
      <c r="F464" s="3828"/>
      <c r="G464" s="3828"/>
      <c r="H464" s="538">
        <f>lead!J38</f>
        <v>60000</v>
      </c>
      <c r="I464" s="526">
        <v>1</v>
      </c>
      <c r="J464" s="541">
        <f>ROUND(B464*H464,2)</f>
        <v>240</v>
      </c>
    </row>
    <row r="465" spans="1:10" s="482" customFormat="1" ht="36.75" customHeight="1">
      <c r="A465" s="558"/>
      <c r="B465" s="560">
        <v>6</v>
      </c>
      <c r="C465" s="561" t="s">
        <v>106</v>
      </c>
      <c r="D465" s="3829" t="s">
        <v>2050</v>
      </c>
      <c r="E465" s="3829"/>
      <c r="F465" s="3829"/>
      <c r="G465" s="3829"/>
      <c r="H465" s="502">
        <v>23</v>
      </c>
      <c r="I465" s="526">
        <v>1</v>
      </c>
      <c r="J465" s="541">
        <f>H465*B465</f>
        <v>138</v>
      </c>
    </row>
    <row r="466" spans="1:10" s="482" customFormat="1" ht="35.25" customHeight="1">
      <c r="A466" s="558"/>
      <c r="B466" s="560">
        <v>2</v>
      </c>
      <c r="C466" s="561" t="s">
        <v>107</v>
      </c>
      <c r="D466" s="3829" t="s">
        <v>2051</v>
      </c>
      <c r="E466" s="3829"/>
      <c r="F466" s="3829"/>
      <c r="G466" s="3829"/>
      <c r="H466" s="502">
        <f>+'SSR-rates'!$L$124</f>
        <v>935</v>
      </c>
      <c r="I466" s="526">
        <v>1</v>
      </c>
      <c r="J466" s="541">
        <f>H466*B466</f>
        <v>1870</v>
      </c>
    </row>
    <row r="467" spans="1:10" s="482" customFormat="1" ht="20.100000000000001" customHeight="1">
      <c r="A467" s="558"/>
      <c r="B467" s="526">
        <v>2</v>
      </c>
      <c r="C467" s="547" t="s">
        <v>241</v>
      </c>
      <c r="D467" s="3830" t="s">
        <v>2052</v>
      </c>
      <c r="E467" s="3830"/>
      <c r="F467" s="3830"/>
      <c r="G467" s="3830"/>
      <c r="H467" s="538">
        <v>195</v>
      </c>
      <c r="I467" s="526">
        <v>1</v>
      </c>
      <c r="J467" s="541">
        <f>B467*H467</f>
        <v>390</v>
      </c>
    </row>
    <row r="468" spans="1:10" ht="20.100000000000001" customHeight="1">
      <c r="A468" s="557"/>
      <c r="B468" s="522"/>
      <c r="C468" s="527"/>
      <c r="D468" s="3823" t="s">
        <v>18</v>
      </c>
      <c r="E468" s="3823"/>
      <c r="F468" s="3823"/>
      <c r="G468" s="3823"/>
      <c r="H468" s="522"/>
      <c r="I468" s="536" t="s">
        <v>25</v>
      </c>
      <c r="J468" s="537">
        <f>SUM(J464:J467)</f>
        <v>2638</v>
      </c>
    </row>
    <row r="469" spans="1:10" ht="20.100000000000001" customHeight="1">
      <c r="A469" s="557"/>
      <c r="B469" s="526"/>
      <c r="C469" s="530"/>
      <c r="D469" s="3821" t="s">
        <v>26</v>
      </c>
      <c r="E469" s="3821"/>
      <c r="F469" s="3821"/>
      <c r="G469" s="3821"/>
      <c r="H469" s="526"/>
      <c r="I469" s="538"/>
      <c r="J469" s="539">
        <f>J462+J468</f>
        <v>2800.3</v>
      </c>
    </row>
    <row r="470" spans="1:10" ht="45" customHeight="1">
      <c r="A470" s="557"/>
      <c r="B470" s="526">
        <v>5</v>
      </c>
      <c r="C470" s="530" t="s">
        <v>29</v>
      </c>
      <c r="D470" s="3826" t="s">
        <v>243</v>
      </c>
      <c r="E470" s="3826"/>
      <c r="F470" s="3826"/>
      <c r="G470" s="3826"/>
      <c r="H470" s="526">
        <f>J469</f>
        <v>2800.3</v>
      </c>
      <c r="I470" s="540"/>
      <c r="J470" s="541">
        <f>ROUND(B470*H470/100,2)</f>
        <v>140.02000000000001</v>
      </c>
    </row>
    <row r="471" spans="1:10" ht="20.100000000000001" customHeight="1">
      <c r="A471" s="557"/>
      <c r="B471" s="509">
        <f>'Input Data'!$D$24</f>
        <v>0.13614999999999999</v>
      </c>
      <c r="C471" s="530"/>
      <c r="D471" s="3821" t="s">
        <v>193</v>
      </c>
      <c r="E471" s="3821"/>
      <c r="F471" s="3821"/>
      <c r="G471" s="3821"/>
      <c r="H471" s="526">
        <f>J469+J470</f>
        <v>2940.32</v>
      </c>
      <c r="I471" s="540"/>
      <c r="J471" s="541">
        <f>H471*B471</f>
        <v>400.324568</v>
      </c>
    </row>
    <row r="472" spans="1:10" ht="20.100000000000001" customHeight="1">
      <c r="A472" s="557"/>
      <c r="B472" s="510">
        <f>'Input Data'!$E$24</f>
        <v>0</v>
      </c>
      <c r="C472" s="511" t="s">
        <v>1314</v>
      </c>
      <c r="D472" s="524"/>
      <c r="E472" s="524"/>
      <c r="F472" s="524"/>
      <c r="G472" s="524"/>
      <c r="H472" s="526">
        <f>J471+J470+J468+J462</f>
        <v>3340.6445680000002</v>
      </c>
      <c r="I472" s="540"/>
      <c r="J472" s="541">
        <f>H472*B472</f>
        <v>0</v>
      </c>
    </row>
    <row r="473" spans="1:10" ht="20.100000000000001" customHeight="1">
      <c r="A473" s="557"/>
      <c r="B473" s="526">
        <v>1</v>
      </c>
      <c r="C473" s="530" t="s">
        <v>244</v>
      </c>
      <c r="D473" s="3823" t="str">
        <f>CONCATENATE("TOTAL Cost for ",B473,"  ",C473,"  =  (A+B+C)",)</f>
        <v>TOTAL Cost for 1  NO  =  (A+B+C)</v>
      </c>
      <c r="E473" s="3823"/>
      <c r="F473" s="3823"/>
      <c r="G473" s="3823"/>
      <c r="H473" s="526"/>
      <c r="I473" s="526"/>
      <c r="J473" s="541">
        <f>SUM(J469:J472)</f>
        <v>3340.6445680000002</v>
      </c>
    </row>
    <row r="474" spans="1:10" ht="20.100000000000001" customHeight="1">
      <c r="A474" s="557"/>
      <c r="B474" s="526"/>
      <c r="C474" s="526"/>
      <c r="D474" s="3823" t="str">
        <f>CONCATENATE("Rate per  1  ",C473)</f>
        <v>Rate per  1  NO</v>
      </c>
      <c r="E474" s="3823"/>
      <c r="F474" s="3823"/>
      <c r="G474" s="3823"/>
      <c r="H474" s="526"/>
      <c r="I474" s="526"/>
      <c r="J474" s="535">
        <f>J473/B473</f>
        <v>3340.6445680000002</v>
      </c>
    </row>
    <row r="475" spans="1:10" ht="20.100000000000001" customHeight="1">
      <c r="A475" s="557"/>
      <c r="B475" s="522"/>
      <c r="C475" s="522"/>
      <c r="D475" s="3819" t="str">
        <f>D474</f>
        <v>Rate per  1  NO</v>
      </c>
      <c r="E475" s="3819"/>
      <c r="F475" s="3819"/>
      <c r="G475" s="3819"/>
      <c r="H475" s="526"/>
      <c r="I475" s="526"/>
      <c r="J475" s="537">
        <f>ROUND(J474,2)</f>
        <v>3340.64</v>
      </c>
    </row>
    <row r="476" spans="1:10" s="485" customFormat="1" ht="140.25" customHeight="1">
      <c r="A476" s="517">
        <f>A453+1</f>
        <v>15</v>
      </c>
      <c r="B476" s="3816" t="s">
        <v>1153</v>
      </c>
      <c r="C476" s="3816"/>
      <c r="D476" s="3816"/>
      <c r="E476" s="3816"/>
      <c r="F476" s="3816"/>
      <c r="G476" s="3816"/>
      <c r="H476" s="3816"/>
      <c r="I476" s="3816"/>
      <c r="J476" s="3816"/>
    </row>
    <row r="477" spans="1:10" s="485" customFormat="1" ht="20.100000000000001" customHeight="1">
      <c r="A477" s="503"/>
      <c r="B477" s="488"/>
      <c r="C477" s="498"/>
      <c r="D477" s="499" t="s">
        <v>10</v>
      </c>
      <c r="E477" s="498"/>
      <c r="F477" s="508" t="s">
        <v>2053</v>
      </c>
      <c r="G477" s="498"/>
      <c r="H477" s="498"/>
      <c r="I477" s="498"/>
      <c r="J477" s="498"/>
    </row>
    <row r="478" spans="1:10" ht="20.100000000000001" customHeight="1">
      <c r="A478" s="503"/>
      <c r="B478" s="488"/>
      <c r="C478" s="498"/>
      <c r="D478" s="499" t="s">
        <v>56</v>
      </c>
      <c r="E478" s="498"/>
      <c r="F478" s="498"/>
      <c r="G478" s="498"/>
      <c r="H478" s="498"/>
      <c r="I478" s="498"/>
      <c r="J478" s="498"/>
    </row>
    <row r="479" spans="1:10" ht="20.100000000000001" customHeight="1">
      <c r="A479" s="503"/>
      <c r="B479" s="494" t="s">
        <v>36</v>
      </c>
      <c r="C479" s="501" t="s">
        <v>37</v>
      </c>
      <c r="D479" s="498"/>
      <c r="E479" s="498"/>
      <c r="F479" s="498"/>
      <c r="G479" s="498"/>
      <c r="H479" s="498"/>
      <c r="I479" s="498"/>
      <c r="J479" s="498"/>
    </row>
    <row r="480" spans="1:10" ht="20.100000000000001" customHeight="1">
      <c r="A480" s="503"/>
      <c r="B480" s="502">
        <v>0.86</v>
      </c>
      <c r="C480" s="503" t="s">
        <v>57</v>
      </c>
      <c r="D480" s="499" t="s">
        <v>156</v>
      </c>
      <c r="E480" s="498"/>
      <c r="F480" s="498"/>
      <c r="G480" s="498"/>
      <c r="H480" s="502">
        <f>'SSR-rates'!$L$58</f>
        <v>575</v>
      </c>
      <c r="I480" s="488" t="s">
        <v>38</v>
      </c>
      <c r="J480" s="499">
        <f>ROUND(B480*H480,2)</f>
        <v>494.5</v>
      </c>
    </row>
    <row r="481" spans="1:10" ht="20.100000000000001" customHeight="1">
      <c r="A481" s="503"/>
      <c r="B481" s="502">
        <v>1.5</v>
      </c>
      <c r="C481" s="503" t="s">
        <v>57</v>
      </c>
      <c r="D481" s="499" t="s">
        <v>58</v>
      </c>
      <c r="E481" s="498"/>
      <c r="F481" s="498"/>
      <c r="G481" s="498"/>
      <c r="H481" s="502">
        <f>+'SSR-rates'!$L$96</f>
        <v>645</v>
      </c>
      <c r="I481" s="488" t="s">
        <v>38</v>
      </c>
      <c r="J481" s="499">
        <f>ROUND(B481*H481,2)</f>
        <v>967.5</v>
      </c>
    </row>
    <row r="482" spans="1:10" ht="20.100000000000001" customHeight="1">
      <c r="A482" s="503"/>
      <c r="B482" s="502">
        <v>20</v>
      </c>
      <c r="C482" s="503" t="s">
        <v>57</v>
      </c>
      <c r="D482" s="499" t="s">
        <v>59</v>
      </c>
      <c r="E482" s="498"/>
      <c r="F482" s="498"/>
      <c r="G482" s="498"/>
      <c r="H482" s="502">
        <f>'SSR-rates'!$L$60</f>
        <v>575</v>
      </c>
      <c r="I482" s="488" t="s">
        <v>38</v>
      </c>
      <c r="J482" s="499">
        <f>ROUND(B482*H482,2)</f>
        <v>11500</v>
      </c>
    </row>
    <row r="483" spans="1:10" ht="20.100000000000001" customHeight="1">
      <c r="A483" s="508"/>
      <c r="B483" s="504">
        <f>'Input Data'!$D$23</f>
        <v>0</v>
      </c>
      <c r="C483" s="505"/>
      <c r="D483" s="498" t="s">
        <v>17</v>
      </c>
      <c r="E483" s="498"/>
      <c r="F483" s="503"/>
      <c r="G483" s="503"/>
      <c r="H483" s="502">
        <f>SUM(J479:J482)</f>
        <v>12962</v>
      </c>
      <c r="I483" s="488"/>
      <c r="J483" s="499">
        <f>B483*H483</f>
        <v>0</v>
      </c>
    </row>
    <row r="484" spans="1:10" ht="20.100000000000001" customHeight="1">
      <c r="A484" s="503"/>
      <c r="B484" s="502"/>
      <c r="C484" s="503"/>
      <c r="D484" s="499" t="s">
        <v>60</v>
      </c>
      <c r="E484" s="498"/>
      <c r="F484" s="498"/>
      <c r="G484" s="498"/>
      <c r="H484" s="502"/>
      <c r="I484" s="502"/>
      <c r="J484" s="499">
        <f>SUM(J480:J483)</f>
        <v>12962</v>
      </c>
    </row>
    <row r="485" spans="1:10" ht="20.100000000000001" customHeight="1">
      <c r="A485" s="503"/>
      <c r="B485" s="494" t="s">
        <v>39</v>
      </c>
      <c r="C485" s="501" t="s">
        <v>61</v>
      </c>
      <c r="D485" s="498"/>
      <c r="E485" s="498"/>
      <c r="F485" s="498"/>
      <c r="G485" s="498"/>
      <c r="H485" s="502"/>
      <c r="I485" s="502"/>
      <c r="J485" s="499"/>
    </row>
    <row r="486" spans="1:10" ht="20.100000000000001" customHeight="1">
      <c r="A486" s="503"/>
      <c r="B486" s="502">
        <v>8.1</v>
      </c>
      <c r="C486" s="503" t="s">
        <v>31</v>
      </c>
      <c r="D486" s="498" t="s">
        <v>63</v>
      </c>
      <c r="E486" s="498"/>
      <c r="F486" s="498"/>
      <c r="G486" s="498"/>
      <c r="H486" s="502">
        <f>lead!$J$16</f>
        <v>2005.5179333714741</v>
      </c>
      <c r="I486" s="502" t="s">
        <v>31</v>
      </c>
      <c r="J486" s="499">
        <f>ROUND(B486*H486,2)</f>
        <v>16244.7</v>
      </c>
    </row>
    <row r="487" spans="1:10" ht="20.100000000000001" customHeight="1">
      <c r="A487" s="503"/>
      <c r="B487" s="502">
        <v>5.4</v>
      </c>
      <c r="C487" s="503" t="s">
        <v>31</v>
      </c>
      <c r="D487" s="498" t="s">
        <v>64</v>
      </c>
      <c r="E487" s="498"/>
      <c r="F487" s="498"/>
      <c r="G487" s="498"/>
      <c r="H487" s="502">
        <f>lead!$J$18</f>
        <v>1754.5179333714741</v>
      </c>
      <c r="I487" s="502" t="s">
        <v>31</v>
      </c>
      <c r="J487" s="499">
        <f>ROUND(B487*H487,2)</f>
        <v>9474.4</v>
      </c>
    </row>
    <row r="488" spans="1:10" ht="45" customHeight="1">
      <c r="A488" s="503"/>
      <c r="B488" s="507">
        <f>6.75/2</f>
        <v>3.375</v>
      </c>
      <c r="C488" s="503" t="s">
        <v>31</v>
      </c>
      <c r="D488" s="3813" t="s">
        <v>1852</v>
      </c>
      <c r="E488" s="3813"/>
      <c r="F488" s="3813"/>
      <c r="G488" s="3813"/>
      <c r="H488" s="506">
        <f>lead!$J$31</f>
        <v>1812.3700655723276</v>
      </c>
      <c r="I488" s="502" t="s">
        <v>31</v>
      </c>
      <c r="J488" s="514">
        <f>ROUND(B488*H488,2)</f>
        <v>6116.75</v>
      </c>
    </row>
    <row r="489" spans="1:10" ht="35.1" customHeight="1">
      <c r="A489" s="503"/>
      <c r="B489" s="507">
        <f>6.75/2</f>
        <v>3.375</v>
      </c>
      <c r="C489" s="503" t="s">
        <v>31</v>
      </c>
      <c r="D489" s="3813" t="s">
        <v>1853</v>
      </c>
      <c r="E489" s="3813"/>
      <c r="F489" s="3813"/>
      <c r="G489" s="3813"/>
      <c r="H489" s="506">
        <f>lead!$J$33</f>
        <v>1447.5179333714741</v>
      </c>
      <c r="I489" s="502" t="s">
        <v>31</v>
      </c>
      <c r="J489" s="514">
        <f>ROUND(B489*H489,2)</f>
        <v>4885.37</v>
      </c>
    </row>
    <row r="490" spans="1:10" ht="20.100000000000001" customHeight="1">
      <c r="A490" s="503"/>
      <c r="B490" s="507">
        <v>6.1</v>
      </c>
      <c r="C490" s="503" t="s">
        <v>66</v>
      </c>
      <c r="D490" s="499" t="s">
        <v>67</v>
      </c>
      <c r="E490" s="498"/>
      <c r="F490" s="498"/>
      <c r="G490" s="498"/>
      <c r="H490" s="502">
        <f>lead!$J$36</f>
        <v>5000</v>
      </c>
      <c r="I490" s="502" t="s">
        <v>66</v>
      </c>
      <c r="J490" s="499">
        <f>ROUND(B490*H490,2)</f>
        <v>30500</v>
      </c>
    </row>
    <row r="491" spans="1:10" ht="20.100000000000001" customHeight="1">
      <c r="A491" s="503"/>
      <c r="B491" s="502"/>
      <c r="C491" s="498"/>
      <c r="D491" s="499" t="s">
        <v>60</v>
      </c>
      <c r="E491" s="498"/>
      <c r="F491" s="498"/>
      <c r="G491" s="498"/>
      <c r="H491" s="502"/>
      <c r="I491" s="502"/>
      <c r="J491" s="499">
        <f>SUM(J486:J490)</f>
        <v>67221.22</v>
      </c>
    </row>
    <row r="492" spans="1:10" ht="20.100000000000001" customHeight="1">
      <c r="A492" s="503"/>
      <c r="B492" s="494" t="s">
        <v>27</v>
      </c>
      <c r="C492" s="501" t="s">
        <v>40</v>
      </c>
      <c r="D492" s="498"/>
      <c r="E492" s="498"/>
      <c r="F492" s="498"/>
      <c r="G492" s="498"/>
      <c r="H492" s="502"/>
      <c r="I492" s="502"/>
      <c r="J492" s="499"/>
    </row>
    <row r="493" spans="1:10" ht="20.100000000000001" customHeight="1">
      <c r="A493" s="503"/>
      <c r="B493" s="502">
        <v>6</v>
      </c>
      <c r="C493" s="503" t="s">
        <v>41</v>
      </c>
      <c r="D493" s="499" t="s">
        <v>68</v>
      </c>
      <c r="E493" s="498"/>
      <c r="F493" s="498"/>
      <c r="G493" s="498"/>
      <c r="H493" s="502">
        <f>+'SSR-rates'!$L$88</f>
        <v>697.9</v>
      </c>
      <c r="I493" s="502" t="s">
        <v>41</v>
      </c>
      <c r="J493" s="499">
        <f t="shared" ref="J493:J494" si="7">ROUND(B493*H493,2)</f>
        <v>4187.3999999999996</v>
      </c>
    </row>
    <row r="494" spans="1:10" ht="20.100000000000001" customHeight="1">
      <c r="A494" s="503"/>
      <c r="B494" s="502">
        <v>6</v>
      </c>
      <c r="C494" s="503" t="s">
        <v>41</v>
      </c>
      <c r="D494" s="499" t="s">
        <v>1999</v>
      </c>
      <c r="E494" s="498"/>
      <c r="F494" s="498"/>
      <c r="G494" s="498"/>
      <c r="H494" s="502">
        <f>+'SSR-rates'!$L$87</f>
        <v>1323.5</v>
      </c>
      <c r="I494" s="502" t="s">
        <v>41</v>
      </c>
      <c r="J494" s="499">
        <f t="shared" si="7"/>
        <v>7941</v>
      </c>
    </row>
    <row r="495" spans="1:10" ht="20.100000000000001" customHeight="1">
      <c r="A495" s="503"/>
      <c r="B495" s="502"/>
      <c r="C495" s="505"/>
      <c r="D495" s="499" t="s">
        <v>60</v>
      </c>
      <c r="E495" s="498"/>
      <c r="F495" s="498"/>
      <c r="G495" s="498"/>
      <c r="H495" s="502"/>
      <c r="I495" s="502"/>
      <c r="J495" s="499">
        <f>SUM(J493:J494)</f>
        <v>12128.4</v>
      </c>
    </row>
    <row r="496" spans="1:10" ht="20.100000000000001" customHeight="1">
      <c r="A496" s="503"/>
      <c r="B496" s="494" t="s">
        <v>45</v>
      </c>
      <c r="C496" s="501" t="s">
        <v>71</v>
      </c>
      <c r="D496" s="498"/>
      <c r="E496" s="498"/>
      <c r="F496" s="498"/>
      <c r="G496" s="498"/>
      <c r="H496" s="502"/>
      <c r="I496" s="502"/>
      <c r="J496" s="499"/>
    </row>
    <row r="497" spans="1:10" ht="20.100000000000001" customHeight="1">
      <c r="A497" s="503"/>
      <c r="B497" s="502">
        <v>2</v>
      </c>
      <c r="C497" s="503" t="s">
        <v>29</v>
      </c>
      <c r="D497" s="498" t="s">
        <v>2054</v>
      </c>
      <c r="E497" s="498"/>
      <c r="F497" s="498"/>
      <c r="G497" s="498"/>
      <c r="H497" s="502">
        <f>J484+J491+J495</f>
        <v>92311.62</v>
      </c>
      <c r="I497" s="488" t="s">
        <v>73</v>
      </c>
      <c r="J497" s="499">
        <f>ROUND(B497*H497/100,2)</f>
        <v>1846.23</v>
      </c>
    </row>
    <row r="498" spans="1:10" ht="20.100000000000001" customHeight="1">
      <c r="A498" s="508"/>
      <c r="B498" s="494" t="s">
        <v>47</v>
      </c>
      <c r="C498" s="508" t="s">
        <v>1332</v>
      </c>
      <c r="D498" s="498"/>
      <c r="E498" s="498"/>
      <c r="F498" s="503"/>
      <c r="G498" s="503"/>
      <c r="H498" s="503"/>
      <c r="I498" s="503"/>
      <c r="J498" s="501"/>
    </row>
    <row r="499" spans="1:10" ht="35.1" customHeight="1">
      <c r="A499" s="508"/>
      <c r="B499" s="509">
        <f>'Input Data'!$D$24</f>
        <v>0.13614999999999999</v>
      </c>
      <c r="C499" s="3817" t="str">
        <f>"Over head charges &amp; CP  "&amp;'Input Data'!$D$24*100&amp;"%  on (A) + (B)+(C)+(D)"</f>
        <v>Over head charges &amp; CP  13.615%  on (A) + (B)+(C)+(D)</v>
      </c>
      <c r="D499" s="3817"/>
      <c r="E499" s="3817"/>
      <c r="F499" s="3817"/>
      <c r="G499" s="3817"/>
      <c r="H499" s="502">
        <f>J497+J495+J491+J484</f>
        <v>94157.85</v>
      </c>
      <c r="I499" s="503"/>
      <c r="J499" s="499">
        <f>H499*B499</f>
        <v>12819.5912775</v>
      </c>
    </row>
    <row r="500" spans="1:10" ht="20.100000000000001" customHeight="1">
      <c r="A500" s="508"/>
      <c r="B500" s="510">
        <f>'Input Data'!$E$24</f>
        <v>0</v>
      </c>
      <c r="C500" s="511" t="s">
        <v>1314</v>
      </c>
      <c r="D500" s="506"/>
      <c r="E500" s="506"/>
      <c r="F500" s="506"/>
      <c r="G500" s="506"/>
      <c r="H500" s="502">
        <f>J499+J497+J495+J491+J484</f>
        <v>106977.44127750001</v>
      </c>
      <c r="I500" s="503"/>
      <c r="J500" s="499">
        <f>H500*B500</f>
        <v>0</v>
      </c>
    </row>
    <row r="501" spans="1:10" ht="20.100000000000001" customHeight="1">
      <c r="A501" s="508"/>
      <c r="B501" s="494" t="s">
        <v>76</v>
      </c>
      <c r="C501" s="508" t="s">
        <v>77</v>
      </c>
      <c r="D501" s="498"/>
      <c r="E501" s="498"/>
      <c r="F501" s="503"/>
      <c r="G501" s="503"/>
      <c r="H501" s="503"/>
      <c r="I501" s="503"/>
      <c r="J501" s="518">
        <f>J484+J491+J495+J497+J499+J500</f>
        <v>106977.44127749999</v>
      </c>
    </row>
    <row r="502" spans="1:10" ht="20.100000000000001" customHeight="1">
      <c r="A502" s="503"/>
      <c r="B502" s="502"/>
      <c r="C502" s="503"/>
      <c r="D502" s="501" t="s">
        <v>80</v>
      </c>
      <c r="E502" s="498"/>
      <c r="F502" s="498"/>
      <c r="G502" s="498"/>
      <c r="H502" s="502"/>
      <c r="I502" s="502"/>
      <c r="J502" s="518">
        <f>SUM(J501:J501)</f>
        <v>106977.44127749999</v>
      </c>
    </row>
    <row r="503" spans="1:10" ht="20.100000000000001" customHeight="1">
      <c r="A503" s="503"/>
      <c r="B503" s="502"/>
      <c r="C503" s="503"/>
      <c r="D503" s="499" t="s">
        <v>81</v>
      </c>
      <c r="E503" s="498"/>
      <c r="F503" s="498"/>
      <c r="G503" s="498"/>
      <c r="H503" s="502"/>
      <c r="I503" s="502"/>
      <c r="J503" s="499">
        <f>ROUND(J502,2)/15</f>
        <v>7131.8293333333331</v>
      </c>
    </row>
    <row r="504" spans="1:10" ht="20.100000000000001" customHeight="1">
      <c r="A504" s="503"/>
      <c r="B504" s="488"/>
      <c r="C504" s="498"/>
      <c r="D504" s="499" t="s">
        <v>52</v>
      </c>
      <c r="E504" s="498"/>
      <c r="F504" s="498"/>
      <c r="G504" s="498"/>
      <c r="H504" s="502"/>
      <c r="I504" s="502"/>
      <c r="J504" s="519">
        <f>ROUND(J503,2)</f>
        <v>7131.83</v>
      </c>
    </row>
    <row r="505" spans="1:10" ht="20.100000000000001" customHeight="1">
      <c r="A505" s="503"/>
      <c r="B505" s="488"/>
      <c r="C505" s="498"/>
      <c r="D505" s="499"/>
      <c r="E505" s="498"/>
      <c r="F505" s="498"/>
      <c r="G505" s="498"/>
      <c r="H505" s="502"/>
      <c r="I505" s="502"/>
      <c r="J505" s="515" t="s">
        <v>53</v>
      </c>
    </row>
    <row r="506" spans="1:10" ht="124.5" customHeight="1">
      <c r="A506" s="497">
        <f>A476+1</f>
        <v>16</v>
      </c>
      <c r="B506" s="3816" t="s">
        <v>1152</v>
      </c>
      <c r="C506" s="3816"/>
      <c r="D506" s="3816"/>
      <c r="E506" s="3816"/>
      <c r="F506" s="3816"/>
      <c r="G506" s="3816"/>
      <c r="H506" s="3816"/>
      <c r="I506" s="3816"/>
      <c r="J506" s="3816"/>
    </row>
    <row r="507" spans="1:10" ht="20.100000000000001" customHeight="1">
      <c r="A507" s="498"/>
      <c r="B507" s="488"/>
      <c r="C507" s="498"/>
      <c r="D507" s="499" t="s">
        <v>10</v>
      </c>
      <c r="E507" s="498"/>
      <c r="F507" s="508" t="s">
        <v>148</v>
      </c>
      <c r="G507" s="498"/>
      <c r="H507" s="498"/>
      <c r="I507" s="498"/>
      <c r="J507" s="498"/>
    </row>
    <row r="508" spans="1:10" ht="20.100000000000001" customHeight="1">
      <c r="A508" s="498"/>
      <c r="B508" s="488"/>
      <c r="C508" s="498"/>
      <c r="D508" s="499" t="s">
        <v>56</v>
      </c>
      <c r="E508" s="498"/>
      <c r="F508" s="498"/>
      <c r="G508" s="498"/>
      <c r="H508" s="498"/>
      <c r="I508" s="498"/>
      <c r="J508" s="498"/>
    </row>
    <row r="509" spans="1:10" ht="20.100000000000001" customHeight="1">
      <c r="A509" s="498"/>
      <c r="B509" s="494" t="s">
        <v>36</v>
      </c>
      <c r="C509" s="501" t="s">
        <v>37</v>
      </c>
      <c r="D509" s="498"/>
      <c r="E509" s="498"/>
      <c r="F509" s="498"/>
      <c r="G509" s="498"/>
      <c r="H509" s="498"/>
      <c r="I509" s="498"/>
      <c r="J509" s="498"/>
    </row>
    <row r="510" spans="1:10" ht="20.100000000000001" customHeight="1">
      <c r="A510" s="498"/>
      <c r="B510" s="502">
        <v>0.86</v>
      </c>
      <c r="C510" s="503" t="s">
        <v>57</v>
      </c>
      <c r="D510" s="499" t="s">
        <v>14</v>
      </c>
      <c r="E510" s="498"/>
      <c r="F510" s="498"/>
      <c r="G510" s="498"/>
      <c r="H510" s="502">
        <f>'SSR-rates'!L$58</f>
        <v>575</v>
      </c>
      <c r="I510" s="488" t="s">
        <v>38</v>
      </c>
      <c r="J510" s="499">
        <f>ROUND(B510*H510,2)</f>
        <v>494.5</v>
      </c>
    </row>
    <row r="511" spans="1:10" ht="20.100000000000001" customHeight="1">
      <c r="A511" s="498"/>
      <c r="B511" s="502">
        <v>1.5</v>
      </c>
      <c r="C511" s="503" t="s">
        <v>57</v>
      </c>
      <c r="D511" s="499" t="s">
        <v>58</v>
      </c>
      <c r="E511" s="498"/>
      <c r="F511" s="498"/>
      <c r="G511" s="498"/>
      <c r="H511" s="502">
        <f>+'SSR-rates'!L96</f>
        <v>645</v>
      </c>
      <c r="I511" s="488" t="s">
        <v>38</v>
      </c>
      <c r="J511" s="499">
        <f>ROUND(B511*H511,2)</f>
        <v>967.5</v>
      </c>
    </row>
    <row r="512" spans="1:10" ht="20.100000000000001" customHeight="1">
      <c r="A512" s="498"/>
      <c r="B512" s="502">
        <v>20</v>
      </c>
      <c r="C512" s="503" t="s">
        <v>57</v>
      </c>
      <c r="D512" s="499" t="s">
        <v>59</v>
      </c>
      <c r="E512" s="498"/>
      <c r="F512" s="498"/>
      <c r="G512" s="498"/>
      <c r="H512" s="502">
        <f>'SSR-rates'!L$60</f>
        <v>575</v>
      </c>
      <c r="I512" s="488" t="s">
        <v>38</v>
      </c>
      <c r="J512" s="499">
        <f>ROUND(B512*H512,2)</f>
        <v>11500</v>
      </c>
    </row>
    <row r="513" spans="1:10" ht="20.100000000000001" customHeight="1">
      <c r="A513" s="494"/>
      <c r="B513" s="504">
        <f>'Input Data'!$D$23</f>
        <v>0</v>
      </c>
      <c r="C513" s="505"/>
      <c r="D513" s="498" t="s">
        <v>17</v>
      </c>
      <c r="E513" s="498"/>
      <c r="F513" s="503"/>
      <c r="G513" s="503"/>
      <c r="H513" s="502">
        <f>SUM(J510:J512)</f>
        <v>12962</v>
      </c>
      <c r="I513" s="488"/>
      <c r="J513" s="499">
        <f>B513*H513</f>
        <v>0</v>
      </c>
    </row>
    <row r="514" spans="1:10" ht="20.100000000000001" customHeight="1">
      <c r="A514" s="498"/>
      <c r="B514" s="502"/>
      <c r="C514" s="498"/>
      <c r="D514" s="499" t="s">
        <v>60</v>
      </c>
      <c r="E514" s="498"/>
      <c r="F514" s="498"/>
      <c r="G514" s="498"/>
      <c r="H514" s="502"/>
      <c r="I514" s="502"/>
      <c r="J514" s="499">
        <f>SUM(J510:J513)</f>
        <v>12962</v>
      </c>
    </row>
    <row r="515" spans="1:10" ht="20.100000000000001" customHeight="1">
      <c r="A515" s="498"/>
      <c r="B515" s="494" t="s">
        <v>39</v>
      </c>
      <c r="C515" s="501" t="s">
        <v>61</v>
      </c>
      <c r="D515" s="498"/>
      <c r="E515" s="498"/>
      <c r="F515" s="498"/>
      <c r="G515" s="498"/>
      <c r="H515" s="502"/>
      <c r="I515" s="502"/>
      <c r="J515" s="499"/>
    </row>
    <row r="516" spans="1:10" ht="20.100000000000001" customHeight="1">
      <c r="A516" s="498"/>
      <c r="B516" s="502">
        <v>8.1</v>
      </c>
      <c r="C516" s="503" t="s">
        <v>31</v>
      </c>
      <c r="D516" s="499" t="s">
        <v>62</v>
      </c>
      <c r="E516" s="498"/>
      <c r="F516" s="498"/>
      <c r="G516" s="498"/>
      <c r="H516" s="502">
        <f>+lead!$J$14</f>
        <v>1706.5179333714741</v>
      </c>
      <c r="I516" s="502" t="s">
        <v>31</v>
      </c>
      <c r="J516" s="499">
        <f t="shared" ref="J516:J521" si="8">ROUND(B516*H516,2)</f>
        <v>13822.8</v>
      </c>
    </row>
    <row r="517" spans="1:10" ht="20.100000000000001" customHeight="1">
      <c r="A517" s="498"/>
      <c r="B517" s="502">
        <v>4.05</v>
      </c>
      <c r="C517" s="503" t="s">
        <v>31</v>
      </c>
      <c r="D517" s="498" t="s">
        <v>63</v>
      </c>
      <c r="E517" s="498"/>
      <c r="F517" s="498"/>
      <c r="G517" s="498"/>
      <c r="H517" s="502">
        <f>lead!$J$16</f>
        <v>2005.5179333714741</v>
      </c>
      <c r="I517" s="502" t="s">
        <v>31</v>
      </c>
      <c r="J517" s="499">
        <f t="shared" si="8"/>
        <v>8122.35</v>
      </c>
    </row>
    <row r="518" spans="1:10" ht="20.100000000000001" customHeight="1">
      <c r="A518" s="498"/>
      <c r="B518" s="502">
        <v>1.35</v>
      </c>
      <c r="C518" s="503" t="s">
        <v>31</v>
      </c>
      <c r="D518" s="498" t="s">
        <v>64</v>
      </c>
      <c r="E518" s="498"/>
      <c r="F518" s="498"/>
      <c r="G518" s="498"/>
      <c r="H518" s="502">
        <f>+lead!$J$18</f>
        <v>1754.5179333714741</v>
      </c>
      <c r="I518" s="502" t="s">
        <v>31</v>
      </c>
      <c r="J518" s="499">
        <f t="shared" si="8"/>
        <v>2368.6</v>
      </c>
    </row>
    <row r="519" spans="1:10" ht="45" customHeight="1">
      <c r="A519" s="498"/>
      <c r="B519" s="507">
        <f>6.75/2</f>
        <v>3.375</v>
      </c>
      <c r="C519" s="503" t="s">
        <v>31</v>
      </c>
      <c r="D519" s="3813" t="s">
        <v>1852</v>
      </c>
      <c r="E519" s="3813"/>
      <c r="F519" s="3813"/>
      <c r="G519" s="3813"/>
      <c r="H519" s="506">
        <f>lead!$J$31</f>
        <v>1812.3700655723276</v>
      </c>
      <c r="I519" s="502" t="s">
        <v>31</v>
      </c>
      <c r="J519" s="514">
        <f t="shared" si="8"/>
        <v>6116.75</v>
      </c>
    </row>
    <row r="520" spans="1:10" ht="35.1" customHeight="1">
      <c r="A520" s="498"/>
      <c r="B520" s="507">
        <f>6.75/2</f>
        <v>3.375</v>
      </c>
      <c r="C520" s="503" t="s">
        <v>31</v>
      </c>
      <c r="D520" s="3813" t="s">
        <v>1853</v>
      </c>
      <c r="E520" s="3813"/>
      <c r="F520" s="3813"/>
      <c r="G520" s="3813"/>
      <c r="H520" s="506">
        <f>lead!$J$33</f>
        <v>1447.5179333714741</v>
      </c>
      <c r="I520" s="502" t="s">
        <v>31</v>
      </c>
      <c r="J520" s="514">
        <f t="shared" si="8"/>
        <v>4885.37</v>
      </c>
    </row>
    <row r="521" spans="1:10" ht="20.100000000000001" customHeight="1">
      <c r="A521" s="498"/>
      <c r="B521" s="502">
        <v>4.13</v>
      </c>
      <c r="C521" s="503" t="s">
        <v>66</v>
      </c>
      <c r="D521" s="499" t="s">
        <v>67</v>
      </c>
      <c r="E521" s="498"/>
      <c r="F521" s="498"/>
      <c r="G521" s="498"/>
      <c r="H521" s="502">
        <f>lead!$J$36</f>
        <v>5000</v>
      </c>
      <c r="I521" s="502" t="s">
        <v>66</v>
      </c>
      <c r="J521" s="499">
        <f t="shared" si="8"/>
        <v>20650</v>
      </c>
    </row>
    <row r="522" spans="1:10" ht="20.100000000000001" customHeight="1">
      <c r="A522" s="498"/>
      <c r="B522" s="502"/>
      <c r="C522" s="505"/>
      <c r="D522" s="499" t="s">
        <v>60</v>
      </c>
      <c r="E522" s="498"/>
      <c r="F522" s="498"/>
      <c r="G522" s="498"/>
      <c r="H522" s="502"/>
      <c r="I522" s="502"/>
      <c r="J522" s="499">
        <f>SUM(J516:J521)</f>
        <v>55965.87</v>
      </c>
    </row>
    <row r="523" spans="1:10" ht="20.100000000000001" customHeight="1">
      <c r="A523" s="498"/>
      <c r="B523" s="494" t="s">
        <v>87</v>
      </c>
      <c r="C523" s="501" t="s">
        <v>40</v>
      </c>
      <c r="D523" s="498"/>
      <c r="E523" s="498"/>
      <c r="F523" s="498"/>
      <c r="G523" s="498"/>
      <c r="H523" s="502"/>
      <c r="I523" s="502"/>
      <c r="J523" s="499"/>
    </row>
    <row r="524" spans="1:10" ht="20.100000000000001" customHeight="1">
      <c r="A524" s="498"/>
      <c r="B524" s="502">
        <v>6</v>
      </c>
      <c r="C524" s="503" t="s">
        <v>41</v>
      </c>
      <c r="D524" s="499" t="s">
        <v>68</v>
      </c>
      <c r="E524" s="498"/>
      <c r="F524" s="498"/>
      <c r="G524" s="498"/>
      <c r="H524" s="502">
        <f>'SSR-rates'!$L$88</f>
        <v>697.9</v>
      </c>
      <c r="I524" s="502" t="s">
        <v>41</v>
      </c>
      <c r="J524" s="499">
        <f>ROUND(B524*H524,2)</f>
        <v>4187.3999999999996</v>
      </c>
    </row>
    <row r="525" spans="1:10" ht="20.100000000000001" customHeight="1">
      <c r="A525" s="498"/>
      <c r="B525" s="502">
        <v>6</v>
      </c>
      <c r="C525" s="503" t="s">
        <v>41</v>
      </c>
      <c r="D525" s="499" t="s">
        <v>69</v>
      </c>
      <c r="E525" s="498"/>
      <c r="F525" s="498"/>
      <c r="G525" s="498"/>
      <c r="H525" s="502">
        <f>'SSR-rates'!$L$87</f>
        <v>1323.5</v>
      </c>
      <c r="I525" s="502" t="s">
        <v>41</v>
      </c>
      <c r="J525" s="499">
        <f>ROUND(B525*H525,2)</f>
        <v>7941</v>
      </c>
    </row>
    <row r="526" spans="1:10" ht="20.100000000000001" customHeight="1">
      <c r="A526" s="498"/>
      <c r="B526" s="502"/>
      <c r="C526" s="505"/>
      <c r="D526" s="499" t="s">
        <v>60</v>
      </c>
      <c r="E526" s="498"/>
      <c r="F526" s="498"/>
      <c r="G526" s="498"/>
      <c r="H526" s="502"/>
      <c r="I526" s="502"/>
      <c r="J526" s="499">
        <f>SUM(J524:J525)</f>
        <v>12128.4</v>
      </c>
    </row>
    <row r="527" spans="1:10" ht="20.100000000000001" customHeight="1">
      <c r="A527" s="494"/>
      <c r="B527" s="494" t="s">
        <v>45</v>
      </c>
      <c r="C527" s="508" t="s">
        <v>2055</v>
      </c>
      <c r="D527" s="498"/>
      <c r="E527" s="498"/>
      <c r="F527" s="503"/>
      <c r="G527" s="503"/>
      <c r="H527" s="503"/>
      <c r="I527" s="503"/>
      <c r="J527" s="501"/>
    </row>
    <row r="528" spans="1:10" ht="20.100000000000001" customHeight="1">
      <c r="A528" s="494"/>
      <c r="B528" s="502">
        <v>0</v>
      </c>
      <c r="C528" s="505" t="s">
        <v>29</v>
      </c>
      <c r="D528" s="499" t="s">
        <v>2056</v>
      </c>
      <c r="E528" s="498"/>
      <c r="F528" s="503"/>
      <c r="G528" s="503"/>
      <c r="H528" s="503"/>
      <c r="I528" s="503"/>
      <c r="J528" s="499">
        <f>ROUND((J514+J522+J526)*B528/100,2)</f>
        <v>0</v>
      </c>
    </row>
    <row r="529" spans="1:10" ht="20.100000000000001" customHeight="1">
      <c r="A529" s="494"/>
      <c r="B529" s="494" t="s">
        <v>47</v>
      </c>
      <c r="C529" s="508" t="s">
        <v>1283</v>
      </c>
      <c r="D529" s="498"/>
      <c r="E529" s="498"/>
      <c r="F529" s="503"/>
      <c r="G529" s="503"/>
      <c r="H529" s="503"/>
      <c r="I529" s="503"/>
      <c r="J529" s="501"/>
    </row>
    <row r="530" spans="1:10" ht="35.1" customHeight="1">
      <c r="A530" s="494"/>
      <c r="B530" s="509">
        <f>'Input Data'!$D$24</f>
        <v>0.13614999999999999</v>
      </c>
      <c r="C530" s="505" t="s">
        <v>2045</v>
      </c>
      <c r="D530" s="499"/>
      <c r="E530" s="498"/>
      <c r="F530" s="503"/>
      <c r="G530" s="503"/>
      <c r="H530" s="505">
        <f>J528+J526+J522+J514</f>
        <v>81056.27</v>
      </c>
      <c r="I530" s="503"/>
      <c r="J530" s="499">
        <f>H530*B530</f>
        <v>11035.811160499999</v>
      </c>
    </row>
    <row r="531" spans="1:10" ht="20.100000000000001" customHeight="1">
      <c r="A531" s="494"/>
      <c r="B531" s="510">
        <f>'Input Data'!$E$24</f>
        <v>0</v>
      </c>
      <c r="C531" s="511" t="s">
        <v>1314</v>
      </c>
      <c r="D531" s="499"/>
      <c r="E531" s="498"/>
      <c r="F531" s="503"/>
      <c r="G531" s="503"/>
      <c r="H531" s="505">
        <f>J530+J528+J526+J522+J514</f>
        <v>92092.081160500005</v>
      </c>
      <c r="I531" s="503"/>
      <c r="J531" s="499">
        <f>H531*B531</f>
        <v>0</v>
      </c>
    </row>
    <row r="532" spans="1:10" ht="20.100000000000001" customHeight="1">
      <c r="A532" s="494"/>
      <c r="B532" s="494" t="s">
        <v>76</v>
      </c>
      <c r="C532" s="508" t="s">
        <v>89</v>
      </c>
      <c r="D532" s="498"/>
      <c r="E532" s="498"/>
      <c r="F532" s="503"/>
      <c r="G532" s="503"/>
      <c r="H532" s="503"/>
      <c r="I532" s="503"/>
      <c r="J532" s="501">
        <f>J514+J522+J526+J530+J528+J531</f>
        <v>92092.081160499991</v>
      </c>
    </row>
    <row r="533" spans="1:10" ht="20.100000000000001" customHeight="1">
      <c r="A533" s="498"/>
      <c r="B533" s="502"/>
      <c r="C533" s="503"/>
      <c r="D533" s="501" t="s">
        <v>1951</v>
      </c>
      <c r="E533" s="498"/>
      <c r="F533" s="498"/>
      <c r="G533" s="498"/>
      <c r="H533" s="502"/>
      <c r="I533" s="502"/>
      <c r="J533" s="501">
        <f>SUM(J532:J532)</f>
        <v>92092.081160499991</v>
      </c>
    </row>
    <row r="534" spans="1:10" ht="20.100000000000001" customHeight="1">
      <c r="A534" s="498"/>
      <c r="B534" s="502"/>
      <c r="C534" s="503"/>
      <c r="D534" s="499" t="s">
        <v>81</v>
      </c>
      <c r="E534" s="498"/>
      <c r="F534" s="498"/>
      <c r="G534" s="498"/>
      <c r="H534" s="502"/>
      <c r="I534" s="502"/>
      <c r="J534" s="499">
        <f>ROUND(J533/15,2)</f>
        <v>6139.47</v>
      </c>
    </row>
    <row r="535" spans="1:10" ht="20.100000000000001" customHeight="1">
      <c r="A535" s="498"/>
      <c r="B535" s="488"/>
      <c r="C535" s="498"/>
      <c r="D535" s="499" t="s">
        <v>52</v>
      </c>
      <c r="E535" s="498"/>
      <c r="F535" s="498"/>
      <c r="G535" s="498"/>
      <c r="H535" s="502"/>
      <c r="I535" s="502"/>
      <c r="J535" s="519">
        <f>ROUND(J534,2)</f>
        <v>6139.47</v>
      </c>
    </row>
    <row r="536" spans="1:10" ht="20.100000000000001" customHeight="1">
      <c r="A536" s="498"/>
      <c r="B536" s="488"/>
      <c r="C536" s="498"/>
      <c r="D536" s="499"/>
      <c r="E536" s="498"/>
      <c r="F536" s="498"/>
      <c r="G536" s="498"/>
      <c r="H536" s="502"/>
      <c r="I536" s="502"/>
      <c r="J536" s="515" t="s">
        <v>53</v>
      </c>
    </row>
    <row r="537" spans="1:10" ht="20.100000000000001" customHeight="1">
      <c r="A537" s="503"/>
      <c r="B537" s="494" t="s">
        <v>2057</v>
      </c>
      <c r="C537" s="498"/>
      <c r="D537" s="499"/>
      <c r="E537" s="498"/>
      <c r="F537" s="498"/>
      <c r="G537" s="498"/>
      <c r="H537" s="502"/>
      <c r="I537" s="502"/>
      <c r="J537" s="515"/>
    </row>
    <row r="538" spans="1:10" ht="68.25" customHeight="1">
      <c r="A538" s="497">
        <f>A506+1</f>
        <v>17</v>
      </c>
      <c r="B538" s="3816" t="s">
        <v>1151</v>
      </c>
      <c r="C538" s="3816"/>
      <c r="D538" s="3816"/>
      <c r="E538" s="3816"/>
      <c r="F538" s="3816"/>
      <c r="G538" s="3816"/>
      <c r="H538" s="3816"/>
      <c r="I538" s="3816"/>
      <c r="J538" s="3816"/>
    </row>
    <row r="539" spans="1:10" ht="20.100000000000001" customHeight="1">
      <c r="A539" s="498"/>
      <c r="B539" s="488"/>
      <c r="C539" s="498"/>
      <c r="D539" s="499" t="s">
        <v>10</v>
      </c>
      <c r="E539" s="498"/>
      <c r="F539" s="508" t="s">
        <v>123</v>
      </c>
      <c r="G539" s="498"/>
      <c r="H539" s="498"/>
      <c r="I539" s="498"/>
      <c r="J539" s="498"/>
    </row>
    <row r="540" spans="1:10" ht="20.100000000000001" customHeight="1">
      <c r="A540" s="498"/>
      <c r="B540" s="488"/>
      <c r="C540" s="498"/>
      <c r="D540" s="499" t="s">
        <v>115</v>
      </c>
      <c r="E540" s="498"/>
      <c r="F540" s="498"/>
      <c r="G540" s="498"/>
      <c r="H540" s="498"/>
      <c r="I540" s="498"/>
      <c r="J540" s="498"/>
    </row>
    <row r="541" spans="1:10" ht="20.100000000000001" customHeight="1">
      <c r="A541" s="498"/>
      <c r="B541" s="494" t="s">
        <v>36</v>
      </c>
      <c r="C541" s="501" t="s">
        <v>37</v>
      </c>
      <c r="D541" s="498"/>
      <c r="E541" s="498"/>
      <c r="F541" s="498"/>
      <c r="G541" s="498"/>
      <c r="H541" s="498"/>
      <c r="I541" s="498"/>
      <c r="J541" s="498"/>
    </row>
    <row r="542" spans="1:10" ht="20.100000000000001" customHeight="1">
      <c r="A542" s="498"/>
      <c r="B542" s="502">
        <v>0.04</v>
      </c>
      <c r="C542" s="503" t="s">
        <v>57</v>
      </c>
      <c r="D542" s="499" t="s">
        <v>14</v>
      </c>
      <c r="E542" s="498"/>
      <c r="F542" s="498"/>
      <c r="G542" s="498"/>
      <c r="H542" s="502">
        <f>'SSR-rates'!L$58</f>
        <v>575</v>
      </c>
      <c r="I542" s="488" t="s">
        <v>38</v>
      </c>
      <c r="J542" s="502">
        <f>ROUND(B542*H542,2)</f>
        <v>23</v>
      </c>
    </row>
    <row r="543" spans="1:10" ht="20.100000000000001" customHeight="1">
      <c r="A543" s="498"/>
      <c r="B543" s="502">
        <v>0.35</v>
      </c>
      <c r="C543" s="503" t="s">
        <v>57</v>
      </c>
      <c r="D543" s="499" t="s">
        <v>58</v>
      </c>
      <c r="E543" s="498"/>
      <c r="F543" s="498"/>
      <c r="G543" s="498"/>
      <c r="H543" s="502">
        <f>+'SSR-rates'!L96</f>
        <v>645</v>
      </c>
      <c r="I543" s="488" t="s">
        <v>38</v>
      </c>
      <c r="J543" s="502">
        <f>ROUND(B543*H543,2)</f>
        <v>225.75</v>
      </c>
    </row>
    <row r="544" spans="1:10" ht="20.100000000000001" customHeight="1">
      <c r="A544" s="498"/>
      <c r="B544" s="502">
        <v>0.75</v>
      </c>
      <c r="C544" s="503" t="s">
        <v>57</v>
      </c>
      <c r="D544" s="499" t="s">
        <v>59</v>
      </c>
      <c r="E544" s="498"/>
      <c r="F544" s="498"/>
      <c r="G544" s="498"/>
      <c r="H544" s="502">
        <f>'SSR-rates'!L$60</f>
        <v>575</v>
      </c>
      <c r="I544" s="488" t="s">
        <v>38</v>
      </c>
      <c r="J544" s="502">
        <f>ROUND(B544*H544,2)</f>
        <v>431.25</v>
      </c>
    </row>
    <row r="545" spans="1:10" ht="20.100000000000001" customHeight="1">
      <c r="A545" s="494"/>
      <c r="B545" s="504">
        <f>'Input Data'!$D$23</f>
        <v>0</v>
      </c>
      <c r="C545" s="505"/>
      <c r="D545" s="498" t="s">
        <v>17</v>
      </c>
      <c r="E545" s="498"/>
      <c r="F545" s="503"/>
      <c r="G545" s="503"/>
      <c r="H545" s="502">
        <f>SUM(J542:J544)</f>
        <v>680</v>
      </c>
      <c r="I545" s="488"/>
      <c r="J545" s="502">
        <f>B545*H545</f>
        <v>0</v>
      </c>
    </row>
    <row r="546" spans="1:10" ht="20.100000000000001" customHeight="1">
      <c r="A546" s="498"/>
      <c r="B546" s="502" t="s">
        <v>85</v>
      </c>
      <c r="C546" s="498"/>
      <c r="D546" s="499" t="s">
        <v>60</v>
      </c>
      <c r="E546" s="498"/>
      <c r="F546" s="498"/>
      <c r="G546" s="498"/>
      <c r="H546" s="502"/>
      <c r="I546" s="488"/>
      <c r="J546" s="502">
        <f>SUM(J542:J545)</f>
        <v>680</v>
      </c>
    </row>
    <row r="547" spans="1:10" ht="20.100000000000001" customHeight="1">
      <c r="A547" s="498"/>
      <c r="B547" s="502"/>
      <c r="C547" s="498"/>
      <c r="D547" s="499"/>
      <c r="E547" s="498"/>
      <c r="F547" s="498"/>
      <c r="G547" s="498"/>
      <c r="H547" s="502"/>
      <c r="I547" s="502"/>
      <c r="J547" s="502"/>
    </row>
    <row r="548" spans="1:10" ht="20.100000000000001" customHeight="1">
      <c r="A548" s="498"/>
      <c r="B548" s="494" t="s">
        <v>39</v>
      </c>
      <c r="C548" s="501" t="s">
        <v>61</v>
      </c>
      <c r="D548" s="498"/>
      <c r="E548" s="498"/>
      <c r="F548" s="498"/>
      <c r="G548" s="498"/>
      <c r="H548" s="502"/>
      <c r="I548" s="502"/>
      <c r="J548" s="502"/>
    </row>
    <row r="549" spans="1:10" ht="20.100000000000001" customHeight="1">
      <c r="A549" s="498"/>
      <c r="B549" s="502">
        <v>1</v>
      </c>
      <c r="C549" s="501"/>
      <c r="D549" s="498" t="s">
        <v>1970</v>
      </c>
      <c r="E549" s="498"/>
      <c r="F549" s="498"/>
      <c r="G549" s="498"/>
      <c r="H549" s="502">
        <f>+lead!J23</f>
        <v>1070.5179333714741</v>
      </c>
      <c r="I549" s="502" t="s">
        <v>31</v>
      </c>
      <c r="J549" s="502">
        <f>ROUND(B549*H549,2)</f>
        <v>1070.52</v>
      </c>
    </row>
    <row r="550" spans="1:10" ht="20.100000000000001" customHeight="1">
      <c r="A550" s="498"/>
      <c r="B550" s="502">
        <v>0.2</v>
      </c>
      <c r="C550" s="503" t="s">
        <v>31</v>
      </c>
      <c r="D550" s="499" t="s">
        <v>86</v>
      </c>
      <c r="E550" s="498"/>
      <c r="F550" s="498"/>
      <c r="G550" s="498"/>
      <c r="H550" s="502">
        <f>lead!J$34</f>
        <v>173.07604629670379</v>
      </c>
      <c r="I550" s="502" t="s">
        <v>31</v>
      </c>
      <c r="J550" s="502">
        <f>ROUND(B550*H550,2)</f>
        <v>34.619999999999997</v>
      </c>
    </row>
    <row r="551" spans="1:10" ht="20.100000000000001" customHeight="1">
      <c r="A551" s="498"/>
      <c r="B551" s="502"/>
      <c r="C551" s="498"/>
      <c r="D551" s="499" t="s">
        <v>60</v>
      </c>
      <c r="E551" s="498"/>
      <c r="F551" s="498"/>
      <c r="G551" s="498"/>
      <c r="H551" s="502"/>
      <c r="I551" s="502"/>
      <c r="J551" s="502">
        <f>SUM(J549:J550)</f>
        <v>1105.1399999999999</v>
      </c>
    </row>
    <row r="552" spans="1:10" ht="20.100000000000001" customHeight="1">
      <c r="A552" s="494"/>
      <c r="B552" s="494" t="s">
        <v>45</v>
      </c>
      <c r="C552" s="508" t="s">
        <v>1332</v>
      </c>
      <c r="D552" s="498"/>
      <c r="E552" s="498"/>
      <c r="F552" s="503"/>
      <c r="G552" s="503"/>
      <c r="H552" s="503"/>
      <c r="I552" s="503"/>
      <c r="J552" s="551"/>
    </row>
    <row r="553" spans="1:10" ht="35.1" customHeight="1">
      <c r="A553" s="494"/>
      <c r="B553" s="509">
        <f>'Input Data'!$D$24</f>
        <v>0.13614999999999999</v>
      </c>
      <c r="C553" s="505" t="s">
        <v>2058</v>
      </c>
      <c r="D553" s="499"/>
      <c r="E553" s="498"/>
      <c r="F553" s="503"/>
      <c r="G553" s="503"/>
      <c r="H553" s="502">
        <f>J551+J546</f>
        <v>1785.1399999999999</v>
      </c>
      <c r="I553" s="503"/>
      <c r="J553" s="502">
        <f>H553*B553</f>
        <v>243.04681099999996</v>
      </c>
    </row>
    <row r="554" spans="1:10" ht="20.100000000000001" customHeight="1">
      <c r="A554" s="494"/>
      <c r="B554" s="510">
        <f>'Input Data'!$E$24</f>
        <v>0</v>
      </c>
      <c r="C554" s="511" t="s">
        <v>1314</v>
      </c>
      <c r="D554" s="499"/>
      <c r="E554" s="498"/>
      <c r="F554" s="503"/>
      <c r="G554" s="503"/>
      <c r="H554" s="502">
        <f>J553+J551+J546</f>
        <v>2028.1868109999998</v>
      </c>
      <c r="I554" s="503"/>
      <c r="J554" s="502">
        <f>H554*B554</f>
        <v>0</v>
      </c>
    </row>
    <row r="555" spans="1:10" ht="20.100000000000001" customHeight="1">
      <c r="A555" s="494"/>
      <c r="B555" s="494" t="s">
        <v>47</v>
      </c>
      <c r="C555" s="508" t="s">
        <v>89</v>
      </c>
      <c r="D555" s="498"/>
      <c r="E555" s="498"/>
      <c r="F555" s="503"/>
      <c r="G555" s="503"/>
      <c r="H555" s="503"/>
      <c r="I555" s="503"/>
      <c r="J555" s="551">
        <f>J546+J551+J553+J554</f>
        <v>2028.1868109999998</v>
      </c>
    </row>
    <row r="556" spans="1:10" ht="20.100000000000001" customHeight="1">
      <c r="A556" s="494"/>
      <c r="B556" s="494"/>
      <c r="C556" s="508"/>
      <c r="D556" s="498"/>
      <c r="E556" s="498"/>
      <c r="F556" s="503"/>
      <c r="G556" s="503"/>
      <c r="H556" s="503"/>
      <c r="I556" s="503"/>
      <c r="J556" s="551"/>
    </row>
    <row r="557" spans="1:10" ht="20.100000000000001" customHeight="1">
      <c r="A557" s="498"/>
      <c r="B557" s="502"/>
      <c r="C557" s="503"/>
      <c r="D557" s="501" t="s">
        <v>1984</v>
      </c>
      <c r="E557" s="498"/>
      <c r="F557" s="498"/>
      <c r="G557" s="498"/>
      <c r="H557" s="502"/>
      <c r="I557" s="502"/>
      <c r="J557" s="551">
        <f>SUM(J555:J556)</f>
        <v>2028.1868109999998</v>
      </c>
    </row>
    <row r="558" spans="1:10" ht="20.100000000000001" customHeight="1">
      <c r="A558" s="498"/>
      <c r="B558" s="502"/>
      <c r="C558" s="503"/>
      <c r="D558" s="499" t="s">
        <v>50</v>
      </c>
      <c r="E558" s="498"/>
      <c r="F558" s="498"/>
      <c r="G558" s="498"/>
      <c r="H558" s="502"/>
      <c r="I558" s="502"/>
      <c r="J558" s="502">
        <f>J557</f>
        <v>2028.1868109999998</v>
      </c>
    </row>
    <row r="559" spans="1:10" ht="20.100000000000001" customHeight="1">
      <c r="A559" s="498"/>
      <c r="B559" s="488"/>
      <c r="C559" s="498"/>
      <c r="D559" s="499" t="s">
        <v>52</v>
      </c>
      <c r="E559" s="498"/>
      <c r="F559" s="498"/>
      <c r="G559" s="498"/>
      <c r="H559" s="502"/>
      <c r="I559" s="502"/>
      <c r="J559" s="556">
        <f>ROUND(J558,2)</f>
        <v>2028.19</v>
      </c>
    </row>
    <row r="560" spans="1:10" ht="20.100000000000001" customHeight="1">
      <c r="A560" s="498"/>
      <c r="B560" s="488"/>
      <c r="C560" s="498"/>
      <c r="D560" s="499"/>
      <c r="E560" s="498"/>
      <c r="F560" s="498"/>
      <c r="G560" s="498"/>
      <c r="H560" s="502"/>
      <c r="I560" s="502"/>
      <c r="J560" s="551" t="s">
        <v>53</v>
      </c>
    </row>
    <row r="561" spans="1:10" ht="78" customHeight="1">
      <c r="A561" s="517">
        <f>A538+1</f>
        <v>18</v>
      </c>
      <c r="B561" s="3816" t="s">
        <v>116</v>
      </c>
      <c r="C561" s="3816"/>
      <c r="D561" s="3816"/>
      <c r="E561" s="3816"/>
      <c r="F561" s="3816"/>
      <c r="G561" s="3816"/>
      <c r="H561" s="3816"/>
      <c r="I561" s="3816"/>
      <c r="J561" s="3816"/>
    </row>
    <row r="562" spans="1:10" ht="20.100000000000001" customHeight="1">
      <c r="A562" s="498"/>
      <c r="B562" s="488"/>
      <c r="C562" s="498"/>
      <c r="D562" s="499" t="s">
        <v>10</v>
      </c>
      <c r="E562" s="498"/>
      <c r="F562" s="508" t="s">
        <v>117</v>
      </c>
      <c r="G562" s="498"/>
      <c r="H562" s="498"/>
      <c r="I562" s="498"/>
      <c r="J562" s="498"/>
    </row>
    <row r="563" spans="1:10" ht="20.100000000000001" customHeight="1">
      <c r="A563" s="498"/>
      <c r="B563" s="488"/>
      <c r="C563" s="498"/>
      <c r="D563" s="499" t="s">
        <v>115</v>
      </c>
      <c r="E563" s="498"/>
      <c r="F563" s="498"/>
      <c r="G563" s="498"/>
      <c r="H563" s="498"/>
      <c r="I563" s="498"/>
      <c r="J563" s="498"/>
    </row>
    <row r="564" spans="1:10" ht="20.100000000000001" customHeight="1">
      <c r="A564" s="498"/>
      <c r="B564" s="494" t="s">
        <v>36</v>
      </c>
      <c r="C564" s="501" t="s">
        <v>37</v>
      </c>
      <c r="D564" s="498"/>
      <c r="E564" s="498"/>
      <c r="F564" s="498"/>
      <c r="G564" s="498"/>
      <c r="H564" s="498"/>
      <c r="I564" s="498"/>
      <c r="J564" s="498"/>
    </row>
    <row r="565" spans="1:10" ht="20.100000000000001" customHeight="1">
      <c r="A565" s="498"/>
      <c r="B565" s="502">
        <v>0.04</v>
      </c>
      <c r="C565" s="503" t="s">
        <v>57</v>
      </c>
      <c r="D565" s="499" t="s">
        <v>14</v>
      </c>
      <c r="E565" s="498"/>
      <c r="F565" s="498"/>
      <c r="G565" s="498"/>
      <c r="H565" s="502">
        <f>'SSR-rates'!L$58</f>
        <v>575</v>
      </c>
      <c r="I565" s="488" t="s">
        <v>38</v>
      </c>
      <c r="J565" s="514">
        <f>ROUND(B565*H565,2)</f>
        <v>23</v>
      </c>
    </row>
    <row r="566" spans="1:10" ht="20.100000000000001" customHeight="1">
      <c r="A566" s="498"/>
      <c r="B566" s="502">
        <v>0.35</v>
      </c>
      <c r="C566" s="503" t="s">
        <v>57</v>
      </c>
      <c r="D566" s="499" t="s">
        <v>58</v>
      </c>
      <c r="E566" s="498"/>
      <c r="F566" s="498"/>
      <c r="G566" s="498"/>
      <c r="H566" s="502">
        <f>+'SSR-rates'!$L$96</f>
        <v>645</v>
      </c>
      <c r="I566" s="488" t="s">
        <v>38</v>
      </c>
      <c r="J566" s="514">
        <f>ROUND(B566*H566,2)</f>
        <v>225.75</v>
      </c>
    </row>
    <row r="567" spans="1:10" ht="20.100000000000001" customHeight="1">
      <c r="A567" s="498"/>
      <c r="B567" s="502">
        <v>0.75</v>
      </c>
      <c r="C567" s="503" t="s">
        <v>57</v>
      </c>
      <c r="D567" s="499" t="s">
        <v>59</v>
      </c>
      <c r="E567" s="498"/>
      <c r="F567" s="498"/>
      <c r="G567" s="498"/>
      <c r="H567" s="502">
        <f>'SSR-rates'!L$60</f>
        <v>575</v>
      </c>
      <c r="I567" s="488" t="s">
        <v>38</v>
      </c>
      <c r="J567" s="514">
        <f>ROUND(B567*H567,2)</f>
        <v>431.25</v>
      </c>
    </row>
    <row r="568" spans="1:10" ht="20.100000000000001" customHeight="1">
      <c r="A568" s="494"/>
      <c r="B568" s="504">
        <f>'Input Data'!$D$23</f>
        <v>0</v>
      </c>
      <c r="C568" s="505"/>
      <c r="D568" s="498" t="s">
        <v>17</v>
      </c>
      <c r="E568" s="498"/>
      <c r="F568" s="503"/>
      <c r="G568" s="503"/>
      <c r="H568" s="502">
        <f>SUM(J565:J567)</f>
        <v>680</v>
      </c>
      <c r="I568" s="488"/>
      <c r="J568" s="514">
        <f>B568*H568</f>
        <v>0</v>
      </c>
    </row>
    <row r="569" spans="1:10" ht="20.100000000000001" customHeight="1">
      <c r="A569" s="498"/>
      <c r="B569" s="502" t="s">
        <v>85</v>
      </c>
      <c r="C569" s="498"/>
      <c r="D569" s="499" t="s">
        <v>60</v>
      </c>
      <c r="E569" s="498"/>
      <c r="F569" s="498"/>
      <c r="G569" s="498"/>
      <c r="H569" s="502"/>
      <c r="I569" s="488"/>
      <c r="J569" s="514">
        <f>SUM(J565:J568)</f>
        <v>680</v>
      </c>
    </row>
    <row r="570" spans="1:10" ht="20.100000000000001" customHeight="1">
      <c r="A570" s="498"/>
      <c r="B570" s="494" t="s">
        <v>39</v>
      </c>
      <c r="C570" s="501" t="s">
        <v>61</v>
      </c>
      <c r="D570" s="498"/>
      <c r="E570" s="498"/>
      <c r="F570" s="498"/>
      <c r="G570" s="498"/>
      <c r="H570" s="502"/>
      <c r="I570" s="502"/>
      <c r="J570" s="514"/>
    </row>
    <row r="571" spans="1:10" ht="20.100000000000001" customHeight="1">
      <c r="A571" s="498"/>
      <c r="B571" s="502">
        <v>1</v>
      </c>
      <c r="C571" s="503" t="s">
        <v>31</v>
      </c>
      <c r="D571" s="499" t="s">
        <v>118</v>
      </c>
      <c r="E571" s="498"/>
      <c r="F571" s="498"/>
      <c r="G571" s="498"/>
      <c r="H571" s="502">
        <f>lead!J$23</f>
        <v>1070.5179333714741</v>
      </c>
      <c r="I571" s="502" t="s">
        <v>31</v>
      </c>
      <c r="J571" s="514">
        <f>ROUND(B571*H571,2)</f>
        <v>1070.52</v>
      </c>
    </row>
    <row r="572" spans="1:10" ht="20.100000000000001" customHeight="1">
      <c r="A572" s="498"/>
      <c r="B572" s="502">
        <v>0.2</v>
      </c>
      <c r="C572" s="503" t="s">
        <v>31</v>
      </c>
      <c r="D572" s="499" t="s">
        <v>119</v>
      </c>
      <c r="E572" s="498"/>
      <c r="F572" s="498"/>
      <c r="G572" s="498"/>
      <c r="H572" s="502">
        <f>lead!J$25</f>
        <v>841.5179333714741</v>
      </c>
      <c r="I572" s="502" t="s">
        <v>31</v>
      </c>
      <c r="J572" s="514">
        <f>ROUND(B572*H572,2)</f>
        <v>168.3</v>
      </c>
    </row>
    <row r="573" spans="1:10" ht="20.100000000000001" customHeight="1">
      <c r="A573" s="498"/>
      <c r="B573" s="502"/>
      <c r="C573" s="498"/>
      <c r="D573" s="499" t="s">
        <v>60</v>
      </c>
      <c r="E573" s="498"/>
      <c r="F573" s="498"/>
      <c r="G573" s="498"/>
      <c r="H573" s="502"/>
      <c r="I573" s="502"/>
      <c r="J573" s="514">
        <f>SUM(J571:J572)</f>
        <v>1238.82</v>
      </c>
    </row>
    <row r="574" spans="1:10" ht="20.100000000000001" customHeight="1">
      <c r="A574" s="494"/>
      <c r="B574" s="494" t="s">
        <v>45</v>
      </c>
      <c r="C574" s="508" t="s">
        <v>1332</v>
      </c>
      <c r="D574" s="498"/>
      <c r="E574" s="498"/>
      <c r="F574" s="503"/>
      <c r="G574" s="503"/>
      <c r="H574" s="503"/>
      <c r="I574" s="503"/>
      <c r="J574" s="515"/>
    </row>
    <row r="575" spans="1:10" ht="35.1" customHeight="1">
      <c r="A575" s="494"/>
      <c r="B575" s="509">
        <f>'Input Data'!$D$24</f>
        <v>0.13614999999999999</v>
      </c>
      <c r="C575" s="3817" t="s">
        <v>2045</v>
      </c>
      <c r="D575" s="3817"/>
      <c r="E575" s="3817"/>
      <c r="F575" s="3817"/>
      <c r="G575" s="3817"/>
      <c r="H575" s="502">
        <f>J573+J569</f>
        <v>1918.82</v>
      </c>
      <c r="I575" s="503"/>
      <c r="J575" s="514">
        <f>H575*B575</f>
        <v>261.247343</v>
      </c>
    </row>
    <row r="576" spans="1:10" ht="20.100000000000001" customHeight="1">
      <c r="A576" s="494"/>
      <c r="B576" s="510">
        <f>'Input Data'!$E$24</f>
        <v>0</v>
      </c>
      <c r="C576" s="511" t="s">
        <v>1314</v>
      </c>
      <c r="D576" s="506"/>
      <c r="E576" s="506"/>
      <c r="F576" s="506"/>
      <c r="G576" s="506"/>
      <c r="H576" s="502">
        <f>J575+J573+J569</f>
        <v>2180.0673429999997</v>
      </c>
      <c r="I576" s="503"/>
      <c r="J576" s="514">
        <f>H576*B576</f>
        <v>0</v>
      </c>
    </row>
    <row r="577" spans="1:10" ht="20.100000000000001" customHeight="1">
      <c r="A577" s="494"/>
      <c r="B577" s="494" t="s">
        <v>47</v>
      </c>
      <c r="C577" s="508" t="s">
        <v>89</v>
      </c>
      <c r="D577" s="498"/>
      <c r="E577" s="498"/>
      <c r="F577" s="503"/>
      <c r="G577" s="503"/>
      <c r="H577" s="503"/>
      <c r="I577" s="503"/>
      <c r="J577" s="515">
        <f>J569+J573+J575+J576</f>
        <v>2180.0673429999997</v>
      </c>
    </row>
    <row r="578" spans="1:10" ht="20.100000000000001" customHeight="1">
      <c r="A578" s="498"/>
      <c r="B578" s="502"/>
      <c r="C578" s="503"/>
      <c r="D578" s="501" t="s">
        <v>120</v>
      </c>
      <c r="E578" s="498"/>
      <c r="F578" s="498"/>
      <c r="G578" s="498"/>
      <c r="H578" s="502"/>
      <c r="I578" s="502"/>
      <c r="J578" s="515">
        <f>SUM(J577:J577)</f>
        <v>2180.0673429999997</v>
      </c>
    </row>
    <row r="579" spans="1:10" ht="20.100000000000001" customHeight="1">
      <c r="A579" s="498"/>
      <c r="B579" s="488"/>
      <c r="C579" s="498"/>
      <c r="D579" s="499" t="s">
        <v>52</v>
      </c>
      <c r="E579" s="498"/>
      <c r="F579" s="498"/>
      <c r="G579" s="498"/>
      <c r="H579" s="502"/>
      <c r="I579" s="502"/>
      <c r="J579" s="516">
        <f>J577</f>
        <v>2180.0673429999997</v>
      </c>
    </row>
    <row r="580" spans="1:10" ht="48.6" customHeight="1">
      <c r="A580" s="497">
        <f>A561+1</f>
        <v>19</v>
      </c>
      <c r="B580" s="3815" t="s">
        <v>2059</v>
      </c>
      <c r="C580" s="3815"/>
      <c r="D580" s="3815"/>
      <c r="E580" s="3815"/>
      <c r="F580" s="3815"/>
      <c r="G580" s="3815"/>
      <c r="H580" s="3815"/>
      <c r="I580" s="3815"/>
      <c r="J580" s="3815"/>
    </row>
    <row r="581" spans="1:10" ht="20.100000000000001" customHeight="1">
      <c r="A581" s="498"/>
      <c r="B581" s="502"/>
      <c r="C581" s="503"/>
      <c r="D581" s="499" t="s">
        <v>2060</v>
      </c>
      <c r="E581" s="498"/>
      <c r="F581" s="500" t="s">
        <v>2061</v>
      </c>
      <c r="G581" s="498"/>
      <c r="H581" s="502"/>
      <c r="I581" s="502"/>
      <c r="J581" s="514"/>
    </row>
    <row r="582" spans="1:10" s="482" customFormat="1" ht="20.100000000000001" customHeight="1">
      <c r="A582" s="498"/>
      <c r="B582" s="502"/>
      <c r="C582" s="503"/>
      <c r="D582" s="499" t="s">
        <v>2062</v>
      </c>
      <c r="E582" s="498"/>
      <c r="F582" s="498"/>
      <c r="G582" s="498"/>
      <c r="H582" s="502"/>
      <c r="I582" s="502"/>
      <c r="J582" s="514"/>
    </row>
    <row r="583" spans="1:10" ht="20.100000000000001" customHeight="1">
      <c r="A583" s="498"/>
      <c r="B583" s="502"/>
      <c r="C583" s="503"/>
      <c r="D583" s="499" t="s">
        <v>2063</v>
      </c>
      <c r="E583" s="498"/>
      <c r="F583" s="498"/>
      <c r="G583" s="498"/>
      <c r="H583" s="502"/>
      <c r="I583" s="502"/>
      <c r="J583" s="514"/>
    </row>
    <row r="584" spans="1:10" ht="20.100000000000001" customHeight="1">
      <c r="A584" s="498"/>
      <c r="B584" s="502"/>
      <c r="C584" s="503"/>
      <c r="D584" s="499" t="s">
        <v>10</v>
      </c>
      <c r="E584" s="498"/>
      <c r="F584" s="498"/>
      <c r="G584" s="498"/>
      <c r="H584" s="498"/>
      <c r="I584" s="502"/>
      <c r="J584" s="514"/>
    </row>
    <row r="585" spans="1:10" ht="20.100000000000001" customHeight="1">
      <c r="A585" s="498"/>
      <c r="B585" s="562">
        <f>+PI()*0.25^2*0.25*0.6</f>
        <v>2.945243112740431E-2</v>
      </c>
      <c r="C585" s="503" t="s">
        <v>31</v>
      </c>
      <c r="D585" s="499" t="s">
        <v>2064</v>
      </c>
      <c r="E585" s="498"/>
      <c r="F585" s="498"/>
      <c r="G585" s="498"/>
      <c r="H585" s="499">
        <f>'Pipe data'!E15/240</f>
        <v>108.87583333333333</v>
      </c>
      <c r="I585" s="502" t="s">
        <v>31</v>
      </c>
      <c r="J585" s="514">
        <f>ROUND(B585*H585,2)</f>
        <v>3.21</v>
      </c>
    </row>
    <row r="586" spans="1:10" ht="20.100000000000001" customHeight="1">
      <c r="A586" s="498"/>
      <c r="B586" s="488"/>
      <c r="C586" s="503"/>
      <c r="D586" s="499" t="s">
        <v>2065</v>
      </c>
      <c r="E586" s="498"/>
      <c r="F586" s="498"/>
      <c r="G586" s="498"/>
      <c r="H586" s="498"/>
      <c r="I586" s="502"/>
      <c r="J586" s="514"/>
    </row>
    <row r="587" spans="1:10" ht="20.100000000000001" customHeight="1">
      <c r="A587" s="498"/>
      <c r="B587" s="502"/>
      <c r="C587" s="503"/>
      <c r="D587" s="499" t="s">
        <v>10</v>
      </c>
      <c r="E587" s="498"/>
      <c r="F587" s="498"/>
      <c r="G587" s="498"/>
      <c r="H587" s="498"/>
      <c r="I587" s="502"/>
      <c r="J587" s="514"/>
    </row>
    <row r="588" spans="1:10" ht="20.100000000000001" customHeight="1">
      <c r="A588" s="498"/>
      <c r="B588" s="562">
        <f>+PI()*0.25^2*0.25*0.6</f>
        <v>2.945243112740431E-2</v>
      </c>
      <c r="C588" s="503" t="s">
        <v>31</v>
      </c>
      <c r="D588" s="499" t="s">
        <v>2066</v>
      </c>
      <c r="E588" s="498"/>
      <c r="F588" s="498"/>
      <c r="G588" s="498"/>
      <c r="H588" s="498">
        <f>+H118/15</f>
        <v>6364.4826666666668</v>
      </c>
      <c r="I588" s="502" t="s">
        <v>31</v>
      </c>
      <c r="J588" s="514">
        <f>ROUND(B588*H588,2)</f>
        <v>187.45</v>
      </c>
    </row>
    <row r="589" spans="1:10" ht="20.100000000000001" customHeight="1">
      <c r="A589" s="498"/>
      <c r="B589" s="502"/>
      <c r="C589" s="503"/>
      <c r="D589" s="499" t="s">
        <v>2067</v>
      </c>
      <c r="E589" s="498"/>
      <c r="F589" s="498"/>
      <c r="G589" s="498"/>
      <c r="H589" s="498"/>
      <c r="I589" s="502"/>
      <c r="J589" s="514"/>
    </row>
    <row r="590" spans="1:10" ht="20.100000000000001" customHeight="1">
      <c r="A590" s="498"/>
      <c r="B590" s="502"/>
      <c r="C590" s="503"/>
      <c r="D590" s="499" t="s">
        <v>2068</v>
      </c>
      <c r="E590" s="498"/>
      <c r="F590" s="498"/>
      <c r="G590" s="498"/>
      <c r="H590" s="498"/>
      <c r="I590" s="502"/>
      <c r="J590" s="514"/>
    </row>
    <row r="591" spans="1:10" ht="20.100000000000001" customHeight="1">
      <c r="A591" s="498"/>
      <c r="B591" s="562">
        <f>+PI()*0.25^2*1%*0.6*7.85</f>
        <v>9.2480633740049528E-3</v>
      </c>
      <c r="C591" s="503" t="s">
        <v>66</v>
      </c>
      <c r="D591" s="499" t="s">
        <v>2069</v>
      </c>
      <c r="E591" s="498"/>
      <c r="F591" s="498"/>
      <c r="G591" s="498"/>
      <c r="H591" s="499">
        <f>+lead!J37</f>
        <v>49000</v>
      </c>
      <c r="I591" s="502" t="s">
        <v>66</v>
      </c>
      <c r="J591" s="514">
        <f>ROUND(B591*H591,2)</f>
        <v>453.16</v>
      </c>
    </row>
    <row r="592" spans="1:10" ht="20.100000000000001" customHeight="1">
      <c r="A592" s="498"/>
      <c r="B592" s="502"/>
      <c r="C592" s="503"/>
      <c r="D592" s="499" t="s">
        <v>2070</v>
      </c>
      <c r="E592" s="498"/>
      <c r="F592" s="498"/>
      <c r="G592" s="498"/>
      <c r="H592" s="498"/>
      <c r="I592" s="502"/>
      <c r="J592" s="514"/>
    </row>
    <row r="593" spans="1:10" ht="20.100000000000001" customHeight="1">
      <c r="A593" s="498"/>
      <c r="B593" s="502"/>
      <c r="C593" s="503"/>
      <c r="D593" s="499" t="s">
        <v>1206</v>
      </c>
      <c r="E593" s="498"/>
      <c r="F593" s="498"/>
      <c r="G593" s="498"/>
      <c r="H593" s="498"/>
      <c r="I593" s="502"/>
      <c r="J593" s="514"/>
    </row>
    <row r="594" spans="1:10" ht="20.100000000000001" customHeight="1">
      <c r="A594" s="498"/>
      <c r="B594" s="502">
        <f>+PI()*0.25*0.6</f>
        <v>0.47123889803846897</v>
      </c>
      <c r="C594" s="503" t="s">
        <v>963</v>
      </c>
      <c r="D594" s="499" t="s">
        <v>2071</v>
      </c>
      <c r="E594" s="498"/>
      <c r="F594" s="498"/>
      <c r="G594" s="498"/>
      <c r="H594" s="499">
        <f>+'Road Furniture-Data'!H210</f>
        <v>136.02500000000001</v>
      </c>
      <c r="I594" s="502"/>
      <c r="J594" s="514">
        <f>ROUND(B594*H594,2)</f>
        <v>64.099999999999994</v>
      </c>
    </row>
    <row r="595" spans="1:10" ht="20.100000000000001" customHeight="1">
      <c r="A595" s="498"/>
      <c r="B595" s="502"/>
      <c r="C595" s="498"/>
      <c r="D595" s="499" t="s">
        <v>60</v>
      </c>
      <c r="E595" s="498"/>
      <c r="F595" s="498"/>
      <c r="G595" s="498"/>
      <c r="H595" s="502"/>
      <c r="I595" s="502"/>
      <c r="J595" s="514">
        <f>SUM(J585:J594)</f>
        <v>707.92000000000007</v>
      </c>
    </row>
    <row r="596" spans="1:10" ht="20.100000000000001" customHeight="1">
      <c r="A596" s="494"/>
      <c r="B596" s="494" t="s">
        <v>45</v>
      </c>
      <c r="C596" s="508" t="s">
        <v>1332</v>
      </c>
      <c r="D596" s="498"/>
      <c r="E596" s="498"/>
      <c r="F596" s="503"/>
      <c r="G596" s="503"/>
      <c r="H596" s="503"/>
      <c r="I596" s="503"/>
      <c r="J596" s="515"/>
    </row>
    <row r="597" spans="1:10" ht="20.100000000000001" customHeight="1">
      <c r="A597" s="494"/>
      <c r="B597" s="509">
        <f>'Input Data'!$D$24</f>
        <v>0.13614999999999999</v>
      </c>
      <c r="C597" s="3817" t="s">
        <v>1332</v>
      </c>
      <c r="D597" s="3817"/>
      <c r="E597" s="3817"/>
      <c r="F597" s="3817"/>
      <c r="G597" s="3817"/>
      <c r="H597" s="502"/>
      <c r="I597" s="503"/>
      <c r="J597" s="514">
        <f>ROUND((J588+J594+J585+J591)*B597,2)</f>
        <v>96.38</v>
      </c>
    </row>
    <row r="598" spans="1:10" ht="20.100000000000001" customHeight="1">
      <c r="A598" s="494"/>
      <c r="B598" s="510">
        <f>'Input Data'!$E$24</f>
        <v>0</v>
      </c>
      <c r="C598" s="511" t="s">
        <v>1314</v>
      </c>
      <c r="D598" s="506"/>
      <c r="E598" s="506"/>
      <c r="F598" s="506"/>
      <c r="G598" s="506"/>
      <c r="H598" s="502">
        <f>J595+J597</f>
        <v>804.30000000000007</v>
      </c>
      <c r="I598" s="503"/>
      <c r="J598" s="514">
        <f>H598*B598</f>
        <v>0</v>
      </c>
    </row>
    <row r="599" spans="1:10" ht="20.100000000000001" customHeight="1">
      <c r="A599" s="494"/>
      <c r="B599" s="494" t="s">
        <v>47</v>
      </c>
      <c r="C599" s="508" t="s">
        <v>89</v>
      </c>
      <c r="D599" s="498"/>
      <c r="E599" s="498"/>
      <c r="F599" s="503"/>
      <c r="G599" s="503"/>
      <c r="H599" s="503"/>
      <c r="I599" s="503"/>
      <c r="J599" s="515">
        <f>+J597+J595+J598</f>
        <v>804.30000000000007</v>
      </c>
    </row>
    <row r="600" spans="1:10" ht="20.100000000000001" customHeight="1">
      <c r="A600" s="498"/>
      <c r="B600" s="502"/>
      <c r="C600" s="503"/>
      <c r="D600" s="501" t="s">
        <v>2072</v>
      </c>
      <c r="E600" s="498"/>
      <c r="F600" s="498"/>
      <c r="G600" s="498"/>
      <c r="H600" s="502"/>
      <c r="I600" s="502"/>
      <c r="J600" s="515">
        <f>SUM(J599:J599)</f>
        <v>804.30000000000007</v>
      </c>
    </row>
    <row r="601" spans="1:10" ht="20.100000000000001" customHeight="1">
      <c r="A601" s="498"/>
      <c r="B601" s="488"/>
      <c r="C601" s="498"/>
      <c r="D601" s="499" t="s">
        <v>52</v>
      </c>
      <c r="E601" s="498"/>
      <c r="F601" s="498"/>
      <c r="G601" s="498"/>
      <c r="H601" s="502"/>
      <c r="I601" s="502"/>
      <c r="J601" s="516">
        <f>ROUND(J600,2)</f>
        <v>804.3</v>
      </c>
    </row>
    <row r="602" spans="1:10" ht="20.100000000000001" customHeight="1">
      <c r="A602" s="498"/>
      <c r="B602" s="488"/>
      <c r="C602" s="498"/>
      <c r="D602" s="499"/>
      <c r="E602" s="498"/>
      <c r="F602" s="498"/>
      <c r="G602" s="498"/>
      <c r="H602" s="502"/>
      <c r="I602" s="502"/>
      <c r="J602" s="516" t="s">
        <v>2073</v>
      </c>
    </row>
    <row r="603" spans="1:10" ht="20.25" customHeight="1">
      <c r="A603" s="498"/>
      <c r="B603" s="488"/>
      <c r="C603" s="498"/>
      <c r="D603" s="499"/>
      <c r="E603" s="498"/>
      <c r="F603" s="498"/>
      <c r="G603" s="498"/>
      <c r="H603" s="502"/>
      <c r="I603" s="502"/>
      <c r="J603" s="551"/>
    </row>
    <row r="604" spans="1:10" ht="20.25" customHeight="1">
      <c r="A604" s="488"/>
      <c r="B604" s="488"/>
      <c r="C604" s="498"/>
      <c r="D604" s="498"/>
      <c r="E604" s="498"/>
      <c r="F604" s="498"/>
      <c r="G604" s="498"/>
      <c r="H604" s="498"/>
      <c r="I604" s="498"/>
      <c r="J604" s="568"/>
    </row>
    <row r="605" spans="1:10" ht="63.6" customHeight="1">
      <c r="A605" s="488"/>
      <c r="B605" s="3818" t="s">
        <v>1148</v>
      </c>
      <c r="C605" s="3818"/>
      <c r="D605" s="3818"/>
      <c r="E605" s="3818"/>
      <c r="F605" s="3818"/>
      <c r="G605" s="3818"/>
      <c r="H605" s="3818"/>
      <c r="I605" s="3818"/>
      <c r="J605" s="3818"/>
    </row>
    <row r="606" spans="1:10" ht="20.100000000000001" customHeight="1">
      <c r="A606" s="488"/>
      <c r="B606" s="521"/>
      <c r="C606" s="521"/>
      <c r="D606" s="3819" t="s">
        <v>83</v>
      </c>
      <c r="E606" s="3819"/>
      <c r="F606" s="3819"/>
      <c r="G606" s="3819"/>
      <c r="H606" s="521"/>
      <c r="I606" s="521"/>
      <c r="J606" s="534"/>
    </row>
    <row r="607" spans="1:10" ht="20.100000000000001" customHeight="1">
      <c r="A607" s="488"/>
      <c r="B607" s="521"/>
      <c r="C607" s="521"/>
      <c r="D607" s="3820" t="s">
        <v>2074</v>
      </c>
      <c r="E607" s="3820"/>
      <c r="F607" s="3820"/>
      <c r="G607" s="3820"/>
      <c r="H607" s="521"/>
      <c r="I607" s="521"/>
      <c r="J607" s="534"/>
    </row>
    <row r="608" spans="1:10" ht="20.100000000000001" customHeight="1">
      <c r="A608" s="488"/>
      <c r="B608" s="521"/>
      <c r="C608" s="523"/>
      <c r="D608" s="3821" t="s">
        <v>12</v>
      </c>
      <c r="E608" s="3821"/>
      <c r="F608" s="3821"/>
      <c r="G608" s="3821"/>
      <c r="H608" s="521"/>
      <c r="I608" s="521"/>
      <c r="J608" s="534"/>
    </row>
    <row r="609" spans="1:10" ht="20.100000000000001" customHeight="1">
      <c r="A609" s="488"/>
      <c r="B609" s="522"/>
      <c r="C609" s="525"/>
      <c r="D609" s="3822" t="s">
        <v>156</v>
      </c>
      <c r="E609" s="3822"/>
      <c r="F609" s="3822"/>
      <c r="G609" s="3822"/>
      <c r="H609" s="502">
        <f>'SSR-rates'!L$58</f>
        <v>575</v>
      </c>
      <c r="I609" s="522">
        <v>0.28000000000000003</v>
      </c>
      <c r="J609" s="535">
        <f>ROUND(I609*H609,2)</f>
        <v>161</v>
      </c>
    </row>
    <row r="610" spans="1:10" ht="20.100000000000001" customHeight="1">
      <c r="A610" s="488"/>
      <c r="B610" s="522"/>
      <c r="C610" s="525"/>
      <c r="D610" s="3822" t="s">
        <v>59</v>
      </c>
      <c r="E610" s="3822"/>
      <c r="F610" s="3822"/>
      <c r="G610" s="3822"/>
      <c r="H610" s="502">
        <f>'SSR-rates'!L$60</f>
        <v>575</v>
      </c>
      <c r="I610" s="522">
        <v>7</v>
      </c>
      <c r="J610" s="535">
        <f>ROUND(I610*H610,2)</f>
        <v>4025</v>
      </c>
    </row>
    <row r="611" spans="1:10" ht="20.100000000000001" customHeight="1">
      <c r="A611" s="488"/>
      <c r="B611" s="504"/>
      <c r="C611" s="505"/>
      <c r="D611" s="498" t="s">
        <v>17</v>
      </c>
      <c r="E611" s="498"/>
      <c r="F611" s="503"/>
      <c r="G611" s="503"/>
      <c r="H611" s="502">
        <f>SUM(J609:J610)</f>
        <v>4186</v>
      </c>
      <c r="I611" s="504">
        <f>'Input Data'!D23</f>
        <v>0</v>
      </c>
      <c r="J611" s="535">
        <f>ROUND(I611*H611,2)</f>
        <v>0</v>
      </c>
    </row>
    <row r="612" spans="1:10" ht="20.100000000000001" customHeight="1">
      <c r="A612" s="488"/>
      <c r="B612" s="522"/>
      <c r="C612" s="527"/>
      <c r="D612" s="3823" t="s">
        <v>18</v>
      </c>
      <c r="E612" s="3823"/>
      <c r="F612" s="3823"/>
      <c r="G612" s="3823"/>
      <c r="H612" s="522"/>
      <c r="I612" s="536" t="s">
        <v>19</v>
      </c>
      <c r="J612" s="537">
        <f>SUM(J609:J611)</f>
        <v>4186</v>
      </c>
    </row>
    <row r="613" spans="1:10" ht="20.100000000000001" customHeight="1">
      <c r="A613" s="488"/>
      <c r="B613" s="522"/>
      <c r="C613" s="529"/>
      <c r="D613" s="3821" t="s">
        <v>189</v>
      </c>
      <c r="E613" s="3821"/>
      <c r="F613" s="3821"/>
      <c r="G613" s="3821"/>
      <c r="H613" s="522"/>
      <c r="I613" s="522"/>
      <c r="J613" s="535"/>
    </row>
    <row r="614" spans="1:10" ht="20.100000000000001" customHeight="1">
      <c r="A614" s="488"/>
      <c r="B614" s="559"/>
      <c r="C614" s="547"/>
      <c r="D614" s="3828" t="s">
        <v>2075</v>
      </c>
      <c r="E614" s="3828"/>
      <c r="F614" s="3828"/>
      <c r="G614" s="3828"/>
      <c r="H614" s="538">
        <f>lead!J35</f>
        <v>143.07604629670379</v>
      </c>
      <c r="I614" s="526">
        <v>12</v>
      </c>
      <c r="J614" s="541">
        <f>ROUND(I614*H614,2)</f>
        <v>1716.91</v>
      </c>
    </row>
    <row r="615" spans="1:10" ht="20.100000000000001" customHeight="1">
      <c r="A615" s="488"/>
      <c r="B615" s="526"/>
      <c r="C615" s="547"/>
      <c r="D615" s="3831" t="s">
        <v>2076</v>
      </c>
      <c r="E615" s="3831"/>
      <c r="F615" s="3831"/>
      <c r="G615" s="3831"/>
      <c r="H615" s="538"/>
      <c r="I615" s="526"/>
      <c r="J615" s="541"/>
    </row>
    <row r="616" spans="1:10" ht="20.100000000000001" customHeight="1">
      <c r="A616" s="488"/>
      <c r="B616" s="526"/>
      <c r="C616" s="547"/>
      <c r="D616" s="3832" t="s">
        <v>2077</v>
      </c>
      <c r="E616" s="3832"/>
      <c r="F616" s="3832"/>
      <c r="G616" s="3832"/>
      <c r="H616" s="502">
        <f>+'SSR-rates'!L91</f>
        <v>59</v>
      </c>
      <c r="I616" s="526">
        <v>2.5</v>
      </c>
      <c r="J616" s="541">
        <f>H616*I616</f>
        <v>147.5</v>
      </c>
    </row>
    <row r="617" spans="1:10" ht="20.100000000000001" customHeight="1">
      <c r="A617" s="488"/>
      <c r="B617" s="526"/>
      <c r="C617" s="547"/>
      <c r="D617" s="3830" t="s">
        <v>2078</v>
      </c>
      <c r="E617" s="3830"/>
      <c r="F617" s="3830"/>
      <c r="G617" s="3830"/>
      <c r="H617" s="502">
        <f>'SSR-rates'!$L$69</f>
        <v>769</v>
      </c>
      <c r="I617" s="526">
        <v>0.05</v>
      </c>
      <c r="J617" s="541">
        <f>I617*H617</f>
        <v>38.450000000000003</v>
      </c>
    </row>
    <row r="618" spans="1:10" ht="20.100000000000001" customHeight="1">
      <c r="A618" s="488"/>
      <c r="B618" s="522"/>
      <c r="C618" s="527"/>
      <c r="D618" s="3823" t="s">
        <v>18</v>
      </c>
      <c r="E618" s="3823"/>
      <c r="F618" s="3823"/>
      <c r="G618" s="3823"/>
      <c r="H618" s="522"/>
      <c r="I618" s="536" t="s">
        <v>25</v>
      </c>
      <c r="J618" s="537">
        <f>SUM(J614:J617)</f>
        <v>1902.8600000000001</v>
      </c>
    </row>
    <row r="619" spans="1:10" ht="20.100000000000001" customHeight="1">
      <c r="A619" s="488"/>
      <c r="B619" s="526"/>
      <c r="C619" s="530"/>
      <c r="D619" s="3821" t="s">
        <v>26</v>
      </c>
      <c r="E619" s="3821"/>
      <c r="F619" s="3821"/>
      <c r="G619" s="3821"/>
      <c r="H619" s="526"/>
      <c r="I619" s="538"/>
      <c r="J619" s="539">
        <f>J612+J618</f>
        <v>6088.8600000000006</v>
      </c>
    </row>
    <row r="620" spans="1:10" ht="20.100000000000001" customHeight="1">
      <c r="A620" s="488"/>
      <c r="B620" s="494" t="s">
        <v>45</v>
      </c>
      <c r="C620" s="508" t="s">
        <v>1332</v>
      </c>
      <c r="D620" s="498"/>
      <c r="E620" s="498"/>
      <c r="F620" s="503"/>
      <c r="G620" s="503"/>
      <c r="H620" s="526"/>
      <c r="I620" s="540"/>
      <c r="J620" s="541"/>
    </row>
    <row r="621" spans="1:10" ht="20.100000000000001" customHeight="1">
      <c r="A621" s="488"/>
      <c r="B621" s="509">
        <f>'Input Data'!$D$24</f>
        <v>0.13614999999999999</v>
      </c>
      <c r="C621" s="3817" t="s">
        <v>1332</v>
      </c>
      <c r="D621" s="3817"/>
      <c r="E621" s="3817"/>
      <c r="F621" s="3817"/>
      <c r="G621" s="3817"/>
      <c r="H621" s="526">
        <f>J619</f>
        <v>6088.8600000000006</v>
      </c>
      <c r="I621" s="540"/>
      <c r="J621" s="499">
        <f>H621*B621</f>
        <v>828.998289</v>
      </c>
    </row>
    <row r="622" spans="1:10" ht="20.100000000000001" customHeight="1">
      <c r="A622" s="488"/>
      <c r="B622" s="510">
        <f>'Input Data'!$E$24</f>
        <v>0</v>
      </c>
      <c r="C622" s="511" t="s">
        <v>1314</v>
      </c>
      <c r="D622" s="506"/>
      <c r="E622" s="506"/>
      <c r="F622" s="506"/>
      <c r="G622" s="506"/>
      <c r="H622" s="526">
        <f>H621+J621</f>
        <v>6917.8582890000007</v>
      </c>
      <c r="I622" s="540"/>
      <c r="J622" s="499">
        <f>H622*B622</f>
        <v>0</v>
      </c>
    </row>
    <row r="623" spans="1:10" ht="20.100000000000001" customHeight="1">
      <c r="A623" s="488"/>
      <c r="B623" s="494" t="s">
        <v>47</v>
      </c>
      <c r="C623" s="508" t="s">
        <v>89</v>
      </c>
      <c r="D623" s="498"/>
      <c r="E623" s="498"/>
      <c r="F623" s="503"/>
      <c r="G623" s="503"/>
      <c r="H623" s="526"/>
      <c r="I623" s="526"/>
      <c r="J623" s="541">
        <f>J621+H621+J622</f>
        <v>6917.8582890000007</v>
      </c>
    </row>
    <row r="624" spans="1:10" ht="20.100000000000001" customHeight="1">
      <c r="A624" s="488"/>
      <c r="B624" s="502"/>
      <c r="C624" s="503"/>
      <c r="D624" s="501" t="s">
        <v>2072</v>
      </c>
      <c r="E624" s="498"/>
      <c r="F624" s="498"/>
      <c r="G624" s="498"/>
      <c r="H624" s="526"/>
      <c r="I624" s="526"/>
      <c r="J624" s="535">
        <f>J623/10</f>
        <v>691.78582890000007</v>
      </c>
    </row>
    <row r="625" spans="1:10" ht="20.100000000000001" customHeight="1">
      <c r="A625" s="488"/>
      <c r="B625" s="488"/>
      <c r="C625" s="498"/>
      <c r="D625" s="499" t="s">
        <v>52</v>
      </c>
      <c r="E625" s="498"/>
      <c r="F625" s="498"/>
      <c r="G625" s="498"/>
      <c r="H625" s="526"/>
      <c r="I625" s="526"/>
      <c r="J625" s="537">
        <f>ROUND(J624,2)</f>
        <v>691.79</v>
      </c>
    </row>
    <row r="626" spans="1:10">
      <c r="A626" s="488"/>
      <c r="B626" s="488"/>
      <c r="C626" s="498"/>
      <c r="D626" s="498"/>
      <c r="E626" s="498"/>
      <c r="F626" s="498"/>
      <c r="G626" s="498"/>
      <c r="H626" s="498"/>
      <c r="I626" s="498"/>
      <c r="J626" s="568"/>
    </row>
    <row r="627" spans="1:10" ht="82.5" customHeight="1">
      <c r="A627" s="488"/>
      <c r="B627" s="3815" t="s">
        <v>1150</v>
      </c>
      <c r="C627" s="3815"/>
      <c r="D627" s="3815"/>
      <c r="E627" s="3815"/>
      <c r="F627" s="3815"/>
      <c r="G627" s="3815"/>
      <c r="H627" s="3815"/>
      <c r="I627" s="3815"/>
      <c r="J627" s="3815"/>
    </row>
    <row r="628" spans="1:10" ht="20.100000000000001" customHeight="1">
      <c r="A628" s="488"/>
      <c r="B628" s="488"/>
      <c r="C628" s="564" t="s">
        <v>2079</v>
      </c>
      <c r="D628" s="498"/>
      <c r="E628" s="498"/>
      <c r="F628" s="498"/>
      <c r="G628" s="498"/>
      <c r="H628" s="563"/>
      <c r="I628" s="569"/>
      <c r="J628" s="570"/>
    </row>
    <row r="629" spans="1:10" ht="20.100000000000001" customHeight="1">
      <c r="A629" s="488"/>
      <c r="B629" s="488"/>
      <c r="C629" s="564" t="s">
        <v>2080</v>
      </c>
      <c r="D629" s="498"/>
      <c r="E629" s="498"/>
      <c r="F629" s="498"/>
      <c r="G629" s="498"/>
      <c r="H629" s="565"/>
      <c r="I629" s="571"/>
      <c r="J629" s="570"/>
    </row>
    <row r="630" spans="1:10" ht="20.100000000000001" customHeight="1">
      <c r="A630" s="488"/>
      <c r="B630" s="488"/>
      <c r="C630" s="566" t="s">
        <v>2081</v>
      </c>
      <c r="D630" s="498"/>
      <c r="E630" s="498"/>
      <c r="F630" s="498"/>
      <c r="G630" s="498"/>
      <c r="H630" s="565">
        <v>48</v>
      </c>
      <c r="I630" s="571" t="s">
        <v>2082</v>
      </c>
      <c r="J630" s="570"/>
    </row>
    <row r="631" spans="1:10" ht="20.100000000000001" customHeight="1">
      <c r="A631" s="488"/>
      <c r="B631" s="488"/>
      <c r="C631" s="564" t="s">
        <v>2083</v>
      </c>
      <c r="D631" s="498"/>
      <c r="E631" s="498"/>
      <c r="F631" s="498"/>
      <c r="G631" s="498"/>
      <c r="H631" s="563"/>
      <c r="I631" s="569"/>
      <c r="J631" s="570"/>
    </row>
    <row r="632" spans="1:10" ht="20.100000000000001" customHeight="1">
      <c r="A632" s="488"/>
      <c r="B632" s="488"/>
      <c r="C632" s="564" t="s">
        <v>2084</v>
      </c>
      <c r="D632" s="498"/>
      <c r="E632" s="498"/>
      <c r="F632" s="498"/>
      <c r="G632" s="498"/>
      <c r="H632" s="563"/>
      <c r="I632" s="569"/>
      <c r="J632" s="570"/>
    </row>
    <row r="633" spans="1:10" ht="20.100000000000001" customHeight="1">
      <c r="A633" s="488"/>
      <c r="B633" s="488"/>
      <c r="C633" s="564" t="s">
        <v>2733</v>
      </c>
      <c r="D633" s="498"/>
      <c r="E633" s="498"/>
      <c r="F633" s="498" t="s">
        <v>2734</v>
      </c>
      <c r="G633" s="498"/>
      <c r="H633" s="573">
        <f>0.069</f>
        <v>6.9000000000000006E-2</v>
      </c>
      <c r="I633" s="2930" t="s">
        <v>353</v>
      </c>
      <c r="J633" s="570"/>
    </row>
    <row r="634" spans="1:10" ht="20.100000000000001" customHeight="1">
      <c r="A634" s="488"/>
      <c r="B634" s="488"/>
      <c r="C634" s="564" t="s">
        <v>2735</v>
      </c>
      <c r="D634" s="498"/>
      <c r="E634" s="498"/>
      <c r="F634" s="498" t="s">
        <v>2736</v>
      </c>
      <c r="G634" s="498"/>
      <c r="H634" s="2931">
        <v>1.9319999999999999</v>
      </c>
      <c r="I634" s="2930" t="s">
        <v>31</v>
      </c>
      <c r="J634" s="570"/>
    </row>
    <row r="635" spans="1:10" ht="20.100000000000001" customHeight="1">
      <c r="A635" s="488"/>
      <c r="B635" s="488"/>
      <c r="C635" s="564" t="s">
        <v>2737</v>
      </c>
      <c r="D635" s="498"/>
      <c r="E635" s="498"/>
      <c r="F635" s="498" t="s">
        <v>2738</v>
      </c>
      <c r="G635" s="498"/>
      <c r="H635" s="573">
        <v>72</v>
      </c>
      <c r="I635" s="2930" t="s">
        <v>2739</v>
      </c>
      <c r="J635" s="570"/>
    </row>
    <row r="636" spans="1:10" ht="20.100000000000001" customHeight="1">
      <c r="A636" s="488"/>
      <c r="B636" s="488"/>
      <c r="C636" s="564" t="s">
        <v>2740</v>
      </c>
      <c r="D636" s="498"/>
      <c r="E636" s="498"/>
      <c r="F636" s="498" t="s">
        <v>2741</v>
      </c>
      <c r="G636" s="498"/>
      <c r="H636" s="573">
        <v>0.03</v>
      </c>
      <c r="I636" s="2930" t="s">
        <v>353</v>
      </c>
      <c r="J636" s="570"/>
    </row>
    <row r="637" spans="1:10" ht="20.100000000000001" customHeight="1">
      <c r="A637" s="488"/>
      <c r="B637" s="488"/>
      <c r="C637" s="564" t="s">
        <v>2742</v>
      </c>
      <c r="D637" s="498"/>
      <c r="E637" s="498"/>
      <c r="F637" s="498"/>
      <c r="G637" s="498"/>
      <c r="H637" s="2932">
        <v>2.16</v>
      </c>
      <c r="I637" s="2930" t="s">
        <v>31</v>
      </c>
      <c r="J637" s="570"/>
    </row>
    <row r="638" spans="1:10" ht="20.100000000000001" customHeight="1">
      <c r="A638" s="488"/>
      <c r="B638" s="488"/>
      <c r="C638" s="2934" t="s">
        <v>2085</v>
      </c>
      <c r="D638" s="2935"/>
      <c r="E638" s="2935"/>
      <c r="F638" s="2935" t="s">
        <v>2743</v>
      </c>
      <c r="G638" s="2935"/>
      <c r="H638" s="2932">
        <v>4.0919999999999996</v>
      </c>
      <c r="I638" s="2933" t="s">
        <v>31</v>
      </c>
      <c r="J638" s="570"/>
    </row>
    <row r="639" spans="1:10" ht="20.100000000000001" customHeight="1">
      <c r="A639" s="488"/>
      <c r="B639" s="488"/>
      <c r="C639" s="564" t="s">
        <v>2086</v>
      </c>
      <c r="D639" s="498"/>
      <c r="E639" s="498"/>
      <c r="F639" s="498"/>
      <c r="G639" s="498"/>
      <c r="H639" s="563"/>
      <c r="I639" s="569"/>
      <c r="J639" s="570"/>
    </row>
    <row r="640" spans="1:10" ht="20.100000000000001" customHeight="1">
      <c r="A640" s="488"/>
      <c r="B640" s="488"/>
      <c r="C640" s="564" t="s">
        <v>2087</v>
      </c>
      <c r="D640" s="498"/>
      <c r="E640" s="498"/>
      <c r="F640" s="498"/>
      <c r="G640" s="498"/>
      <c r="H640" s="563"/>
      <c r="I640" s="569"/>
      <c r="J640" s="570"/>
    </row>
    <row r="641" spans="1:10" ht="20.100000000000001" customHeight="1">
      <c r="A641" s="488"/>
      <c r="B641" s="488"/>
      <c r="C641" s="564" t="s">
        <v>2088</v>
      </c>
      <c r="D641" s="498"/>
      <c r="E641" s="498"/>
      <c r="F641" s="498"/>
      <c r="G641" s="498"/>
      <c r="H641" s="563"/>
      <c r="I641" s="569"/>
      <c r="J641" s="570"/>
    </row>
    <row r="642" spans="1:10" ht="20.100000000000001" customHeight="1">
      <c r="A642" s="488"/>
      <c r="B642" s="488"/>
      <c r="C642" s="564" t="s">
        <v>2089</v>
      </c>
      <c r="D642" s="498"/>
      <c r="E642" s="498"/>
      <c r="F642" s="498"/>
      <c r="G642" s="498"/>
      <c r="H642" s="563"/>
      <c r="I642" s="569"/>
      <c r="J642" s="570"/>
    </row>
    <row r="643" spans="1:10" ht="20.100000000000001" customHeight="1">
      <c r="A643" s="488"/>
      <c r="B643" s="572">
        <v>5.99</v>
      </c>
      <c r="C643" s="564" t="s">
        <v>1968</v>
      </c>
      <c r="D643" s="498"/>
      <c r="E643" s="498"/>
      <c r="F643" s="498"/>
      <c r="G643" s="498"/>
      <c r="H643" s="502">
        <f>lead!$J$36</f>
        <v>5000</v>
      </c>
      <c r="I643" s="569" t="s">
        <v>66</v>
      </c>
      <c r="J643" s="514">
        <f>ROUND(B643*H643,2)</f>
        <v>29950</v>
      </c>
    </row>
    <row r="644" spans="1:10" ht="45" customHeight="1">
      <c r="A644" s="488"/>
      <c r="B644" s="572">
        <v>3.375</v>
      </c>
      <c r="C644" s="3813" t="s">
        <v>1852</v>
      </c>
      <c r="D644" s="3813"/>
      <c r="E644" s="3813"/>
      <c r="F644" s="3813"/>
      <c r="G644" s="506"/>
      <c r="H644" s="506">
        <f>lead!$J$31</f>
        <v>1812.3700655723276</v>
      </c>
      <c r="I644" s="569"/>
      <c r="J644" s="514">
        <f t="shared" ref="J644:J647" si="9">ROUND(B644*H644,2)</f>
        <v>6116.75</v>
      </c>
    </row>
    <row r="645" spans="1:10" ht="35.1" customHeight="1">
      <c r="A645" s="488"/>
      <c r="B645" s="572">
        <v>3.375</v>
      </c>
      <c r="C645" s="3813" t="s">
        <v>1853</v>
      </c>
      <c r="D645" s="3813"/>
      <c r="E645" s="3813"/>
      <c r="F645" s="3813"/>
      <c r="G645" s="506"/>
      <c r="H645" s="506">
        <f>lead!$J$33</f>
        <v>1447.5179333714741</v>
      </c>
      <c r="I645" s="569"/>
      <c r="J645" s="514">
        <f t="shared" si="9"/>
        <v>4885.37</v>
      </c>
    </row>
    <row r="646" spans="1:10" ht="20.100000000000001" customHeight="1">
      <c r="A646" s="488"/>
      <c r="B646" s="572">
        <v>8.1</v>
      </c>
      <c r="C646" s="564" t="s">
        <v>2090</v>
      </c>
      <c r="D646" s="498"/>
      <c r="E646" s="498"/>
      <c r="F646" s="498"/>
      <c r="G646" s="498"/>
      <c r="H646" s="506">
        <f>lead!J17</f>
        <v>1854.5179333714741</v>
      </c>
      <c r="I646" s="569"/>
      <c r="J646" s="514">
        <f t="shared" si="9"/>
        <v>15021.6</v>
      </c>
    </row>
    <row r="647" spans="1:10" ht="20.100000000000001" customHeight="1">
      <c r="A647" s="488"/>
      <c r="B647" s="572">
        <v>5.4</v>
      </c>
      <c r="C647" s="564" t="s">
        <v>2091</v>
      </c>
      <c r="D647" s="498"/>
      <c r="E647" s="498"/>
      <c r="F647" s="498"/>
      <c r="G647" s="498"/>
      <c r="H647" s="502">
        <f>+lead!$J$18</f>
        <v>1754.5179333714741</v>
      </c>
      <c r="I647" s="569"/>
      <c r="J647" s="514">
        <f t="shared" si="9"/>
        <v>9474.4</v>
      </c>
    </row>
    <row r="648" spans="1:10" ht="20.100000000000001" customHeight="1">
      <c r="A648" s="488"/>
      <c r="B648" s="572"/>
      <c r="C648" s="564"/>
      <c r="D648" s="498"/>
      <c r="E648" s="498"/>
      <c r="F648" s="498"/>
      <c r="G648" s="498"/>
      <c r="H648" s="506"/>
      <c r="I648" s="569"/>
      <c r="J648" s="579">
        <f>SUM(J643:J647)</f>
        <v>65448.12</v>
      </c>
    </row>
    <row r="649" spans="1:10" ht="20.100000000000001" customHeight="1">
      <c r="A649" s="488"/>
      <c r="B649" s="572"/>
      <c r="C649" s="564" t="s">
        <v>2092</v>
      </c>
      <c r="D649" s="498"/>
      <c r="E649" s="498"/>
      <c r="F649" s="498"/>
      <c r="G649" s="498"/>
      <c r="H649" s="563"/>
      <c r="I649" s="569"/>
      <c r="J649" s="579"/>
    </row>
    <row r="650" spans="1:10" ht="20.100000000000001" customHeight="1">
      <c r="A650" s="488"/>
      <c r="B650" s="573">
        <v>0.86</v>
      </c>
      <c r="C650" s="564" t="s">
        <v>14</v>
      </c>
      <c r="D650" s="498"/>
      <c r="E650" s="498"/>
      <c r="F650" s="498"/>
      <c r="G650" s="498"/>
      <c r="H650" s="502">
        <f>'SSR-rates'!L$58</f>
        <v>575</v>
      </c>
      <c r="I650" s="569"/>
      <c r="J650" s="514">
        <f t="shared" ref="J650:J653" si="10">ROUND(B650*H650,2)</f>
        <v>494.5</v>
      </c>
    </row>
    <row r="651" spans="1:10" ht="20.100000000000001" customHeight="1">
      <c r="A651" s="488"/>
      <c r="B651" s="573">
        <v>1.5</v>
      </c>
      <c r="C651" s="564" t="s">
        <v>58</v>
      </c>
      <c r="D651" s="498"/>
      <c r="E651" s="498"/>
      <c r="F651" s="498"/>
      <c r="G651" s="498"/>
      <c r="H651" s="502">
        <f>+'SSR-rates'!$L$96</f>
        <v>645</v>
      </c>
      <c r="I651" s="569"/>
      <c r="J651" s="514">
        <f t="shared" si="10"/>
        <v>967.5</v>
      </c>
    </row>
    <row r="652" spans="1:10" ht="20.100000000000001" customHeight="1">
      <c r="A652" s="488"/>
      <c r="B652" s="573">
        <v>20</v>
      </c>
      <c r="C652" s="564" t="s">
        <v>59</v>
      </c>
      <c r="D652" s="498"/>
      <c r="E652" s="498"/>
      <c r="F652" s="498"/>
      <c r="G652" s="498"/>
      <c r="H652" s="502">
        <f>'SSR-rates'!L$60</f>
        <v>575</v>
      </c>
      <c r="I652" s="569"/>
      <c r="J652" s="514">
        <f t="shared" si="10"/>
        <v>11500</v>
      </c>
    </row>
    <row r="653" spans="1:10" ht="20.100000000000001" customHeight="1">
      <c r="A653" s="488"/>
      <c r="B653" s="574">
        <f>'Input Data'!D23</f>
        <v>0</v>
      </c>
      <c r="C653" s="564">
        <v>0</v>
      </c>
      <c r="D653" s="498"/>
      <c r="E653" s="498"/>
      <c r="F653" s="498"/>
      <c r="G653" s="498"/>
      <c r="H653" s="575">
        <f>SUM(J650:J652)</f>
        <v>12962</v>
      </c>
      <c r="I653" s="580"/>
      <c r="J653" s="514">
        <f t="shared" si="10"/>
        <v>0</v>
      </c>
    </row>
    <row r="654" spans="1:10" ht="20.100000000000001" customHeight="1">
      <c r="A654" s="488"/>
      <c r="B654" s="573"/>
      <c r="C654" s="564"/>
      <c r="D654" s="498"/>
      <c r="E654" s="498"/>
      <c r="F654" s="498"/>
      <c r="G654" s="498"/>
      <c r="H654" s="563"/>
      <c r="I654" s="569"/>
      <c r="J654" s="579">
        <f>SUM(J650:J653)</f>
        <v>12962</v>
      </c>
    </row>
    <row r="655" spans="1:10" ht="20.100000000000001" customHeight="1">
      <c r="A655" s="488"/>
      <c r="B655" s="572"/>
      <c r="C655" s="564" t="s">
        <v>2093</v>
      </c>
      <c r="D655" s="498"/>
      <c r="E655" s="498"/>
      <c r="F655" s="498"/>
      <c r="G655" s="498"/>
      <c r="H655" s="563"/>
      <c r="I655" s="569"/>
      <c r="J655" s="579"/>
    </row>
    <row r="656" spans="1:10" ht="20.100000000000001" customHeight="1">
      <c r="A656" s="488"/>
      <c r="B656" s="573">
        <v>6</v>
      </c>
      <c r="C656" s="564" t="s">
        <v>2094</v>
      </c>
      <c r="D656" s="498"/>
      <c r="E656" s="498"/>
      <c r="F656" s="498"/>
      <c r="G656" s="498"/>
      <c r="H656" s="502">
        <f>'SSR-rates'!$L$88</f>
        <v>697.9</v>
      </c>
      <c r="I656" s="569" t="s">
        <v>23</v>
      </c>
      <c r="J656" s="514">
        <f t="shared" ref="J656:J657" si="11">ROUND(B656*H656,2)</f>
        <v>4187.3999999999996</v>
      </c>
    </row>
    <row r="657" spans="1:10" ht="20.100000000000001" customHeight="1">
      <c r="A657" s="488"/>
      <c r="B657" s="573">
        <v>6</v>
      </c>
      <c r="C657" s="564" t="s">
        <v>2095</v>
      </c>
      <c r="D657" s="498"/>
      <c r="E657" s="498"/>
      <c r="F657" s="498"/>
      <c r="G657" s="498"/>
      <c r="H657" s="502">
        <f>'SSR-rates'!$L$87</f>
        <v>1323.5</v>
      </c>
      <c r="I657" s="569" t="s">
        <v>23</v>
      </c>
      <c r="J657" s="514">
        <f t="shared" si="11"/>
        <v>7941</v>
      </c>
    </row>
    <row r="658" spans="1:10" ht="20.100000000000001" customHeight="1">
      <c r="A658" s="488"/>
      <c r="B658" s="573"/>
      <c r="C658" s="564"/>
      <c r="D658" s="498"/>
      <c r="E658" s="498"/>
      <c r="F658" s="498"/>
      <c r="G658" s="498"/>
      <c r="H658" s="563"/>
      <c r="I658" s="581"/>
      <c r="J658" s="579">
        <f>SUM(J656:J657)</f>
        <v>12128.4</v>
      </c>
    </row>
    <row r="659" spans="1:10" ht="20.100000000000001" customHeight="1">
      <c r="A659" s="488"/>
      <c r="B659" s="573"/>
      <c r="C659" s="564" t="s">
        <v>2096</v>
      </c>
      <c r="D659" s="498"/>
      <c r="E659" s="498"/>
      <c r="F659" s="498"/>
      <c r="G659" s="498"/>
      <c r="H659" s="563"/>
      <c r="I659" s="569" t="s">
        <v>60</v>
      </c>
      <c r="J659" s="579">
        <f>J648+J654+J658</f>
        <v>90538.51999999999</v>
      </c>
    </row>
    <row r="660" spans="1:10" ht="20.100000000000001" customHeight="1">
      <c r="A660" s="488"/>
      <c r="B660" s="572"/>
      <c r="C660" s="564" t="s">
        <v>2097</v>
      </c>
      <c r="D660" s="498"/>
      <c r="E660" s="498"/>
      <c r="F660" s="498"/>
      <c r="G660" s="498"/>
      <c r="H660" s="563"/>
      <c r="I660" s="569"/>
      <c r="J660" s="570">
        <f>J659/15</f>
        <v>6035.9013333333323</v>
      </c>
    </row>
    <row r="661" spans="1:10" ht="20.100000000000001" customHeight="1">
      <c r="A661" s="488"/>
      <c r="B661" s="576"/>
      <c r="C661" s="566" t="s">
        <v>2098</v>
      </c>
      <c r="D661" s="498"/>
      <c r="E661" s="498"/>
      <c r="F661" s="498"/>
      <c r="G661" s="498"/>
      <c r="H661" s="576"/>
      <c r="I661" s="581"/>
      <c r="J661" s="581"/>
    </row>
    <row r="662" spans="1:10" ht="20.100000000000001" customHeight="1">
      <c r="A662" s="488"/>
      <c r="B662" s="567">
        <f>H638</f>
        <v>4.0919999999999996</v>
      </c>
      <c r="C662" s="564" t="s">
        <v>2099</v>
      </c>
      <c r="D662" s="498"/>
      <c r="E662" s="498"/>
      <c r="F662" s="498"/>
      <c r="G662" s="498"/>
      <c r="H662" s="563">
        <f>+J660</f>
        <v>6035.9013333333323</v>
      </c>
      <c r="I662" s="581"/>
      <c r="J662" s="514">
        <f t="shared" ref="J662" si="12">ROUND(B662*H662,2)</f>
        <v>24698.91</v>
      </c>
    </row>
    <row r="663" spans="1:10" ht="20.100000000000001" customHeight="1">
      <c r="A663" s="488"/>
      <c r="B663" s="573">
        <v>5</v>
      </c>
      <c r="C663" s="564" t="s">
        <v>2100</v>
      </c>
      <c r="D663" s="498"/>
      <c r="E663" s="498"/>
      <c r="F663" s="498"/>
      <c r="G663" s="498"/>
      <c r="H663" s="563">
        <f>+J662</f>
        <v>24698.91</v>
      </c>
      <c r="I663" s="569"/>
      <c r="J663" s="570">
        <f>H663*B663/100</f>
        <v>1234.9455</v>
      </c>
    </row>
    <row r="664" spans="1:10" ht="20.100000000000001" customHeight="1">
      <c r="A664" s="488"/>
      <c r="B664" s="563"/>
      <c r="C664" s="564"/>
      <c r="D664" s="498"/>
      <c r="E664" s="498"/>
      <c r="F664" s="498"/>
      <c r="G664" s="498"/>
      <c r="H664" s="563"/>
      <c r="I664" s="569"/>
      <c r="J664" s="570">
        <f>SUM(J662:J663)</f>
        <v>25933.855500000001</v>
      </c>
    </row>
    <row r="665" spans="1:10" ht="20.100000000000001" customHeight="1">
      <c r="A665" s="488"/>
      <c r="B665" s="572">
        <v>0</v>
      </c>
      <c r="C665" s="2936" t="s">
        <v>2744</v>
      </c>
      <c r="D665" s="498"/>
      <c r="E665" s="498"/>
      <c r="F665" s="498"/>
      <c r="G665" s="498"/>
      <c r="H665" s="563">
        <f>J445</f>
        <v>58887</v>
      </c>
      <c r="I665" s="569"/>
      <c r="J665" s="570">
        <f>H665*B665</f>
        <v>0</v>
      </c>
    </row>
    <row r="666" spans="1:10" ht="20.100000000000001" customHeight="1">
      <c r="A666" s="488"/>
      <c r="B666" s="572"/>
      <c r="C666" s="564"/>
      <c r="D666" s="498"/>
      <c r="E666" s="498"/>
      <c r="F666" s="498"/>
      <c r="G666" s="498"/>
      <c r="H666" s="563"/>
      <c r="I666" s="569"/>
      <c r="J666" s="570">
        <f>SUM(J664:J665)</f>
        <v>25933.855500000001</v>
      </c>
    </row>
    <row r="667" spans="1:10" ht="20.100000000000001" customHeight="1">
      <c r="A667" s="488"/>
      <c r="B667" s="577">
        <f>'Input Data'!D24</f>
        <v>0.13614999999999999</v>
      </c>
      <c r="C667" s="564" t="s">
        <v>2101</v>
      </c>
      <c r="D667" s="498"/>
      <c r="E667" s="498"/>
      <c r="F667" s="498"/>
      <c r="G667" s="498"/>
      <c r="H667" s="563">
        <f>+J666</f>
        <v>25933.855500000001</v>
      </c>
      <c r="I667" s="569"/>
      <c r="J667" s="570">
        <f>H667*B667</f>
        <v>3530.894426325</v>
      </c>
    </row>
    <row r="668" spans="1:10" ht="20.100000000000001" customHeight="1">
      <c r="A668" s="488"/>
      <c r="B668" s="572"/>
      <c r="C668" s="564"/>
      <c r="D668" s="498"/>
      <c r="E668" s="498"/>
      <c r="F668" s="498"/>
      <c r="G668" s="498"/>
      <c r="H668" s="563"/>
      <c r="I668" s="569"/>
      <c r="J668" s="570">
        <f>SUM(J666:J667)</f>
        <v>29464.749926325003</v>
      </c>
    </row>
    <row r="669" spans="1:10" ht="20.100000000000001" customHeight="1">
      <c r="A669" s="488"/>
      <c r="B669" s="577">
        <f>'Input Data'!D25</f>
        <v>0</v>
      </c>
      <c r="C669" s="564" t="s">
        <v>2102</v>
      </c>
      <c r="D669" s="498"/>
      <c r="E669" s="498"/>
      <c r="F669" s="498"/>
      <c r="G669" s="498"/>
      <c r="H669" s="563">
        <f>+J668</f>
        <v>29464.749926325003</v>
      </c>
      <c r="I669" s="569"/>
      <c r="J669" s="570">
        <f>H669*B669/100</f>
        <v>0</v>
      </c>
    </row>
    <row r="670" spans="1:10" ht="20.100000000000001" customHeight="1">
      <c r="A670" s="488"/>
      <c r="B670" s="488"/>
      <c r="C670" s="564"/>
      <c r="D670" s="498"/>
      <c r="E670" s="498"/>
      <c r="F670" s="498"/>
      <c r="G670" s="498"/>
      <c r="H670" s="563"/>
      <c r="I670" s="569"/>
      <c r="J670" s="570">
        <f>SUM(J668:J669)</f>
        <v>29464.749926325003</v>
      </c>
    </row>
    <row r="671" spans="1:10" ht="20.100000000000001" customHeight="1">
      <c r="A671" s="488"/>
      <c r="B671" s="488"/>
      <c r="C671" s="564" t="s">
        <v>2103</v>
      </c>
      <c r="D671" s="498"/>
      <c r="E671" s="498"/>
      <c r="F671" s="498"/>
      <c r="G671" s="498"/>
      <c r="H671" s="563"/>
      <c r="I671" s="569"/>
      <c r="J671" s="570">
        <f>SUM(J670:J670)</f>
        <v>29464.749926325003</v>
      </c>
    </row>
    <row r="672" spans="1:10" ht="20.100000000000001" customHeight="1">
      <c r="A672" s="488"/>
      <c r="B672" s="488"/>
      <c r="C672" s="564" t="s">
        <v>2104</v>
      </c>
      <c r="D672" s="498"/>
      <c r="E672" s="498"/>
      <c r="F672" s="498"/>
      <c r="G672" s="498"/>
      <c r="H672" s="563"/>
      <c r="I672" s="569"/>
      <c r="J672" s="570">
        <f>J671/H630</f>
        <v>613.8489567984376</v>
      </c>
    </row>
    <row r="673" spans="1:10" ht="20.100000000000001" customHeight="1">
      <c r="A673" s="488"/>
      <c r="B673" s="488"/>
      <c r="C673" s="564" t="s">
        <v>2105</v>
      </c>
      <c r="D673" s="498"/>
      <c r="E673" s="498"/>
      <c r="F673" s="498"/>
      <c r="G673" s="498"/>
      <c r="H673" s="570"/>
      <c r="I673" s="569" t="s">
        <v>2106</v>
      </c>
      <c r="J673" s="579">
        <f>J672</f>
        <v>613.8489567984376</v>
      </c>
    </row>
    <row r="677" spans="1:10" ht="18" customHeight="1">
      <c r="C677" s="484" t="str">
        <f>'Pipe data'!D252</f>
        <v>Assistant Engineer,</v>
      </c>
      <c r="G677" s="484" t="str">
        <f>'Pipe data'!E252</f>
        <v>Dy. Exe. Engineer</v>
      </c>
    </row>
    <row r="678" spans="1:10" ht="18" customHeight="1">
      <c r="C678" s="484" t="str">
        <f>'Pipe data'!D274</f>
        <v>PRSD, Wanaparthy</v>
      </c>
      <c r="G678" s="484" t="str">
        <f>'Pipe data'!E274</f>
        <v>PRSD, Wanaparthy</v>
      </c>
    </row>
    <row r="681" spans="1:10" ht="18" customHeight="1">
      <c r="C681" s="484" t="str">
        <f>'Pipe data'!D399</f>
        <v>District Panchayat Raj Engineer,</v>
      </c>
      <c r="G681" s="484" t="str">
        <f>'Pipe data'!E399</f>
        <v>Superintending Engineer</v>
      </c>
    </row>
    <row r="682" spans="1:10" ht="18" customHeight="1">
      <c r="C682" s="484" t="str">
        <f>'Pipe data'!D400</f>
        <v>PIU, Wanaparthy</v>
      </c>
      <c r="G682" s="578" t="str">
        <f>'Pipe data'!E400</f>
        <v>PR, Circle, Warangal</v>
      </c>
    </row>
  </sheetData>
  <mergeCells count="155">
    <mergeCell ref="C644:F644"/>
    <mergeCell ref="C645:F645"/>
    <mergeCell ref="D613:G613"/>
    <mergeCell ref="D614:G614"/>
    <mergeCell ref="D615:G615"/>
    <mergeCell ref="D616:G616"/>
    <mergeCell ref="D617:G617"/>
    <mergeCell ref="D618:G618"/>
    <mergeCell ref="D619:G619"/>
    <mergeCell ref="C621:G621"/>
    <mergeCell ref="B627:J627"/>
    <mergeCell ref="B580:J580"/>
    <mergeCell ref="C597:G597"/>
    <mergeCell ref="B605:J605"/>
    <mergeCell ref="D606:G606"/>
    <mergeCell ref="D607:G607"/>
    <mergeCell ref="D608:G608"/>
    <mergeCell ref="D609:G609"/>
    <mergeCell ref="D610:G610"/>
    <mergeCell ref="D612:G612"/>
    <mergeCell ref="D488:G488"/>
    <mergeCell ref="D489:G489"/>
    <mergeCell ref="C499:G499"/>
    <mergeCell ref="B506:J506"/>
    <mergeCell ref="D519:G519"/>
    <mergeCell ref="D520:G520"/>
    <mergeCell ref="B538:J538"/>
    <mergeCell ref="B561:J561"/>
    <mergeCell ref="C575:G575"/>
    <mergeCell ref="D467:G467"/>
    <mergeCell ref="D468:G468"/>
    <mergeCell ref="D469:G469"/>
    <mergeCell ref="D470:G470"/>
    <mergeCell ref="D471:G471"/>
    <mergeCell ref="D473:G473"/>
    <mergeCell ref="D474:G474"/>
    <mergeCell ref="D475:G475"/>
    <mergeCell ref="B476:J476"/>
    <mergeCell ref="D457:G457"/>
    <mergeCell ref="D458:G458"/>
    <mergeCell ref="D459:G459"/>
    <mergeCell ref="D460:G460"/>
    <mergeCell ref="D462:G462"/>
    <mergeCell ref="D463:G463"/>
    <mergeCell ref="D464:G464"/>
    <mergeCell ref="D465:G465"/>
    <mergeCell ref="D466:G466"/>
    <mergeCell ref="D447:G447"/>
    <mergeCell ref="D448:G448"/>
    <mergeCell ref="D449:G449"/>
    <mergeCell ref="D450:G450"/>
    <mergeCell ref="D451:G451"/>
    <mergeCell ref="B453:J453"/>
    <mergeCell ref="D454:G454"/>
    <mergeCell ref="D455:G455"/>
    <mergeCell ref="D456:G456"/>
    <mergeCell ref="D437:G437"/>
    <mergeCell ref="D438:G438"/>
    <mergeCell ref="D440:G440"/>
    <mergeCell ref="D441:G441"/>
    <mergeCell ref="D442:G442"/>
    <mergeCell ref="D443:G443"/>
    <mergeCell ref="D444:G444"/>
    <mergeCell ref="D445:G445"/>
    <mergeCell ref="D446:G446"/>
    <mergeCell ref="D412:G412"/>
    <mergeCell ref="D413:G413"/>
    <mergeCell ref="C423:G423"/>
    <mergeCell ref="B431:J431"/>
    <mergeCell ref="D432:G432"/>
    <mergeCell ref="D433:G433"/>
    <mergeCell ref="D434:G434"/>
    <mergeCell ref="D435:G435"/>
    <mergeCell ref="D436:G436"/>
    <mergeCell ref="D312:F312"/>
    <mergeCell ref="B313:J313"/>
    <mergeCell ref="B338:J338"/>
    <mergeCell ref="D350:G350"/>
    <mergeCell ref="D351:G351"/>
    <mergeCell ref="B369:J369"/>
    <mergeCell ref="D381:G381"/>
    <mergeCell ref="D382:G382"/>
    <mergeCell ref="B400:J400"/>
    <mergeCell ref="D283:G283"/>
    <mergeCell ref="D284:G284"/>
    <mergeCell ref="D286:G286"/>
    <mergeCell ref="D287:G287"/>
    <mergeCell ref="D288:G288"/>
    <mergeCell ref="D289:G289"/>
    <mergeCell ref="D290:G290"/>
    <mergeCell ref="B291:J291"/>
    <mergeCell ref="C307:G307"/>
    <mergeCell ref="D273:G273"/>
    <mergeCell ref="D274:G274"/>
    <mergeCell ref="D275:G275"/>
    <mergeCell ref="D276:G276"/>
    <mergeCell ref="D278:G278"/>
    <mergeCell ref="D279:G279"/>
    <mergeCell ref="D280:G280"/>
    <mergeCell ref="D281:G281"/>
    <mergeCell ref="D282:G282"/>
    <mergeCell ref="D221:G221"/>
    <mergeCell ref="D222:G222"/>
    <mergeCell ref="B239:J239"/>
    <mergeCell ref="D251:G251"/>
    <mergeCell ref="D252:G252"/>
    <mergeCell ref="B269:J269"/>
    <mergeCell ref="D270:G270"/>
    <mergeCell ref="D271:G271"/>
    <mergeCell ref="D272:G272"/>
    <mergeCell ref="D171:G171"/>
    <mergeCell ref="D172:G172"/>
    <mergeCell ref="D173:G173"/>
    <mergeCell ref="D174:G174"/>
    <mergeCell ref="D175:G175"/>
    <mergeCell ref="B177:J177"/>
    <mergeCell ref="D190:G190"/>
    <mergeCell ref="D191:G191"/>
    <mergeCell ref="B208:J208"/>
    <mergeCell ref="D161:G161"/>
    <mergeCell ref="D162:G162"/>
    <mergeCell ref="D164:G164"/>
    <mergeCell ref="D165:G165"/>
    <mergeCell ref="D166:G166"/>
    <mergeCell ref="D167:G167"/>
    <mergeCell ref="D168:G168"/>
    <mergeCell ref="D169:G169"/>
    <mergeCell ref="D170:G170"/>
    <mergeCell ref="D137:G137"/>
    <mergeCell ref="D138:G138"/>
    <mergeCell ref="C148:G148"/>
    <mergeCell ref="B155:J155"/>
    <mergeCell ref="D156:G156"/>
    <mergeCell ref="D157:G157"/>
    <mergeCell ref="D158:G158"/>
    <mergeCell ref="D159:G159"/>
    <mergeCell ref="D160:G160"/>
    <mergeCell ref="D47:G47"/>
    <mergeCell ref="B64:J64"/>
    <mergeCell ref="D77:G77"/>
    <mergeCell ref="D78:G78"/>
    <mergeCell ref="B95:J95"/>
    <mergeCell ref="D107:G107"/>
    <mergeCell ref="D108:G108"/>
    <mergeCell ref="C118:G118"/>
    <mergeCell ref="B125:J125"/>
    <mergeCell ref="B1:J1"/>
    <mergeCell ref="D2:J2"/>
    <mergeCell ref="B3:C3"/>
    <mergeCell ref="D3:G3"/>
    <mergeCell ref="B5:J5"/>
    <mergeCell ref="D16:G16"/>
    <mergeCell ref="D17:G17"/>
    <mergeCell ref="B33:J33"/>
    <mergeCell ref="D46:G46"/>
  </mergeCells>
  <conditionalFormatting sqref="A291">
    <cfRule type="cellIs" dxfId="17" priority="8" stopIfTrue="1" operator="equal">
      <formula>#REF!</formula>
    </cfRule>
  </conditionalFormatting>
  <conditionalFormatting sqref="A312">
    <cfRule type="cellIs" dxfId="16" priority="7" stopIfTrue="1" operator="equal">
      <formula>A291</formula>
    </cfRule>
  </conditionalFormatting>
  <printOptions horizontalCentered="1" gridLines="1"/>
  <pageMargins left="0.59055118110236204" right="0.196850393700787" top="0.59055118110236204" bottom="0.39370078740157499" header="7.8740157480315001E-2" footer="0.196850393700787"/>
  <pageSetup paperSize="9" scale="95" orientation="portrait" r:id="rId1"/>
  <headerFooter alignWithMargins="0">
    <oddHeader>&amp;CPage &amp;P of &amp;N</oddHeader>
  </headerFooter>
</worksheet>
</file>

<file path=xl/worksheets/sheet42.xml><?xml version="1.0" encoding="utf-8"?>
<worksheet xmlns="http://schemas.openxmlformats.org/spreadsheetml/2006/main" xmlns:r="http://schemas.openxmlformats.org/officeDocument/2006/relationships">
  <sheetPr codeName="Sheet19">
    <tabColor theme="7" tint="-0.249977111117893"/>
  </sheetPr>
  <dimension ref="A1:J400"/>
  <sheetViews>
    <sheetView view="pageBreakPreview" topLeftCell="A377" workbookViewId="0">
      <selection activeCell="E399" sqref="E399:G399"/>
    </sheetView>
  </sheetViews>
  <sheetFormatPr defaultColWidth="9.140625" defaultRowHeight="15"/>
  <cols>
    <col min="1" max="1" width="6.85546875" style="585" customWidth="1"/>
    <col min="2" max="2" width="11.28515625" style="586" customWidth="1"/>
    <col min="3" max="3" width="7.85546875" style="584" customWidth="1"/>
    <col min="4" max="4" width="41.85546875" style="584" customWidth="1"/>
    <col min="5" max="5" width="10.42578125" style="584" customWidth="1"/>
    <col min="6" max="6" width="6.140625" style="584" customWidth="1"/>
    <col min="7" max="7" width="12.42578125" style="587" customWidth="1"/>
    <col min="8" max="8" width="14" style="584" customWidth="1"/>
    <col min="9" max="16384" width="9.140625" style="584"/>
  </cols>
  <sheetData>
    <row r="1" spans="1:7" ht="28.15" customHeight="1">
      <c r="A1" s="3833" t="s">
        <v>1974</v>
      </c>
      <c r="B1" s="3833"/>
      <c r="C1" s="3833"/>
      <c r="D1" s="3833"/>
      <c r="E1" s="3833"/>
      <c r="F1" s="3833"/>
      <c r="G1" s="3833"/>
    </row>
    <row r="2" spans="1:7" s="582" customFormat="1" ht="30" customHeight="1">
      <c r="A2" s="3834" t="s">
        <v>1</v>
      </c>
      <c r="B2" s="3834"/>
      <c r="C2" s="3834"/>
      <c r="D2" s="3835" t="str">
        <f>'Input Data'!E1</f>
        <v>R/F A to B in Wanaparthy Mandal of Wanaparthy District</v>
      </c>
      <c r="E2" s="3836"/>
      <c r="F2" s="3836"/>
      <c r="G2" s="3836"/>
    </row>
    <row r="3" spans="1:7" ht="30">
      <c r="A3" s="588" t="s">
        <v>2</v>
      </c>
      <c r="B3" s="3837" t="s">
        <v>3</v>
      </c>
      <c r="C3" s="3837"/>
      <c r="D3" s="588" t="s">
        <v>4</v>
      </c>
      <c r="E3" s="589" t="s">
        <v>5</v>
      </c>
      <c r="F3" s="589" t="s">
        <v>6</v>
      </c>
      <c r="G3" s="590" t="s">
        <v>7</v>
      </c>
    </row>
    <row r="4" spans="1:7" s="583" customFormat="1" ht="93.95" customHeight="1">
      <c r="A4" s="591">
        <v>1</v>
      </c>
      <c r="B4" s="3838" t="s">
        <v>1975</v>
      </c>
      <c r="C4" s="3838"/>
      <c r="D4" s="3838"/>
      <c r="E4" s="3838"/>
      <c r="F4" s="3838"/>
      <c r="G4" s="3838"/>
    </row>
    <row r="5" spans="1:7" s="583" customFormat="1" ht="18" customHeight="1">
      <c r="A5" s="592"/>
      <c r="B5" s="3839" t="s">
        <v>33</v>
      </c>
      <c r="C5" s="3839"/>
      <c r="D5" s="594" t="s">
        <v>34</v>
      </c>
      <c r="E5" s="595"/>
      <c r="F5" s="595"/>
      <c r="G5" s="596"/>
    </row>
    <row r="6" spans="1:7" s="583" customFormat="1" ht="18" customHeight="1">
      <c r="A6" s="592"/>
      <c r="B6" s="593" t="s">
        <v>761</v>
      </c>
      <c r="C6" s="593"/>
      <c r="D6" s="597" t="s">
        <v>1976</v>
      </c>
      <c r="E6" s="595"/>
      <c r="F6" s="595"/>
      <c r="G6" s="596"/>
    </row>
    <row r="7" spans="1:7" s="583" customFormat="1" ht="18" customHeight="1">
      <c r="A7" s="592"/>
      <c r="B7" s="3839" t="s">
        <v>35</v>
      </c>
      <c r="C7" s="3839"/>
      <c r="D7" s="3839"/>
      <c r="E7" s="595"/>
      <c r="F7" s="595"/>
      <c r="G7" s="596"/>
    </row>
    <row r="8" spans="1:7" s="583" customFormat="1" ht="18" customHeight="1">
      <c r="A8" s="592"/>
      <c r="B8" s="598" t="s">
        <v>36</v>
      </c>
      <c r="C8" s="594" t="s">
        <v>37</v>
      </c>
      <c r="D8" s="599"/>
      <c r="E8" s="595"/>
      <c r="F8" s="595"/>
      <c r="G8" s="596"/>
    </row>
    <row r="9" spans="1:7" s="583" customFormat="1" ht="18" customHeight="1">
      <c r="A9" s="592"/>
      <c r="B9" s="600">
        <v>0.32</v>
      </c>
      <c r="C9" s="600" t="s">
        <v>38</v>
      </c>
      <c r="D9" s="601" t="s">
        <v>14</v>
      </c>
      <c r="E9" s="600">
        <f>'SSR-rates'!L58</f>
        <v>575</v>
      </c>
      <c r="F9" s="588" t="s">
        <v>38</v>
      </c>
      <c r="G9" s="602">
        <f>ROUND(B9*E9,2)</f>
        <v>184</v>
      </c>
    </row>
    <row r="10" spans="1:7" s="583" customFormat="1" ht="18" customHeight="1">
      <c r="A10" s="592"/>
      <c r="B10" s="600">
        <v>8</v>
      </c>
      <c r="C10" s="600" t="s">
        <v>38</v>
      </c>
      <c r="D10" s="601" t="s">
        <v>16</v>
      </c>
      <c r="E10" s="600">
        <f>'SSR-rates'!L60</f>
        <v>575</v>
      </c>
      <c r="F10" s="588" t="s">
        <v>38</v>
      </c>
      <c r="G10" s="602">
        <f>ROUND(B10*E10,2)</f>
        <v>4600</v>
      </c>
    </row>
    <row r="11" spans="1:7" ht="18" customHeight="1">
      <c r="A11" s="598"/>
      <c r="B11" s="603">
        <f>'Input Data'!$D$23</f>
        <v>0</v>
      </c>
      <c r="C11" s="600"/>
      <c r="D11" s="599" t="s">
        <v>17</v>
      </c>
      <c r="E11" s="600">
        <f>SUM(G9:G10)</f>
        <v>4784</v>
      </c>
      <c r="F11" s="588"/>
      <c r="G11" s="602">
        <f>B11*E11</f>
        <v>0</v>
      </c>
    </row>
    <row r="12" spans="1:7" s="583" customFormat="1" ht="18" customHeight="1">
      <c r="A12" s="592"/>
      <c r="B12" s="598" t="s">
        <v>39</v>
      </c>
      <c r="C12" s="594" t="s">
        <v>40</v>
      </c>
      <c r="D12" s="601"/>
      <c r="E12" s="600"/>
      <c r="F12" s="588"/>
      <c r="G12" s="604">
        <f>SUM(G9:G11)</f>
        <v>4784</v>
      </c>
    </row>
    <row r="13" spans="1:7" s="583" customFormat="1" ht="30">
      <c r="A13" s="592"/>
      <c r="B13" s="605">
        <v>6</v>
      </c>
      <c r="C13" s="600" t="s">
        <v>41</v>
      </c>
      <c r="D13" s="606" t="s">
        <v>42</v>
      </c>
      <c r="E13" s="605">
        <f>'SSR-rates'!$L$64</f>
        <v>3557.7</v>
      </c>
      <c r="F13" s="605" t="s">
        <v>41</v>
      </c>
      <c r="G13" s="607">
        <f>ROUND(B13*E13,2)</f>
        <v>21346.2</v>
      </c>
    </row>
    <row r="14" spans="1:7" s="583" customFormat="1" ht="18" customHeight="1">
      <c r="A14" s="592"/>
      <c r="B14" s="600" t="s">
        <v>27</v>
      </c>
      <c r="C14" s="3840" t="s">
        <v>1977</v>
      </c>
      <c r="D14" s="3840"/>
      <c r="E14" s="600"/>
      <c r="F14" s="600"/>
      <c r="G14" s="609"/>
    </row>
    <row r="15" spans="1:7" s="583" customFormat="1" ht="18" customHeight="1">
      <c r="A15" s="610"/>
      <c r="B15" s="611">
        <f>'Input Data'!$D$24</f>
        <v>0.13614999999999999</v>
      </c>
      <c r="C15" s="594" t="str">
        <f>"Over head charges &amp; CP "&amp;'Input Data'!$D$24*100&amp;"%  on (A) + (B)"</f>
        <v>Over head charges &amp; CP 13.615%  on (A) + (B)</v>
      </c>
      <c r="D15" s="599"/>
      <c r="E15" s="612">
        <f>G13+G12</f>
        <v>26130.2</v>
      </c>
      <c r="F15" s="599"/>
      <c r="G15" s="602">
        <f>E15*B15</f>
        <v>3557.62673</v>
      </c>
    </row>
    <row r="16" spans="1:7" s="583" customFormat="1" ht="18" customHeight="1">
      <c r="A16" s="610"/>
      <c r="B16" s="613">
        <f>'Input Data'!$E$24</f>
        <v>0</v>
      </c>
      <c r="C16" s="614" t="s">
        <v>1314</v>
      </c>
      <c r="D16" s="599"/>
      <c r="E16" s="612">
        <f>E15+G15</f>
        <v>29687.826730000001</v>
      </c>
      <c r="F16" s="599"/>
      <c r="G16" s="602">
        <f>E16*B16</f>
        <v>0</v>
      </c>
    </row>
    <row r="17" spans="1:7" s="583" customFormat="1" ht="18" customHeight="1">
      <c r="A17" s="610"/>
      <c r="B17" s="598" t="s">
        <v>45</v>
      </c>
      <c r="C17" s="594" t="s">
        <v>46</v>
      </c>
      <c r="D17" s="599"/>
      <c r="E17" s="599"/>
      <c r="F17" s="599"/>
      <c r="G17" s="604">
        <f>G12+G13+G15+G16</f>
        <v>29687.826730000001</v>
      </c>
    </row>
    <row r="18" spans="1:7" s="583" customFormat="1" ht="18" customHeight="1">
      <c r="A18" s="592"/>
      <c r="B18" s="588"/>
      <c r="C18" s="601"/>
      <c r="D18" s="594" t="s">
        <v>1978</v>
      </c>
      <c r="E18" s="601"/>
      <c r="F18" s="601"/>
      <c r="G18" s="604">
        <f>SUM(G17:G17)</f>
        <v>29687.826730000001</v>
      </c>
    </row>
    <row r="19" spans="1:7" s="583" customFormat="1" ht="18" customHeight="1">
      <c r="A19" s="610"/>
      <c r="B19" s="588"/>
      <c r="C19" s="599"/>
      <c r="D19" s="599" t="s">
        <v>50</v>
      </c>
      <c r="E19" s="588"/>
      <c r="F19" s="588"/>
      <c r="G19" s="602">
        <f>G18/240</f>
        <v>123.69927804166667</v>
      </c>
    </row>
    <row r="20" spans="1:7" s="583" customFormat="1" ht="18" customHeight="1">
      <c r="A20" s="610"/>
      <c r="B20" s="588"/>
      <c r="C20" s="599"/>
      <c r="D20" s="599" t="s">
        <v>52</v>
      </c>
      <c r="E20" s="599"/>
      <c r="F20" s="599"/>
      <c r="G20" s="615">
        <f>G19</f>
        <v>123.69927804166667</v>
      </c>
    </row>
    <row r="21" spans="1:7" s="583" customFormat="1">
      <c r="A21" s="610"/>
      <c r="B21" s="588"/>
      <c r="C21" s="599"/>
      <c r="D21" s="599"/>
      <c r="E21" s="599"/>
      <c r="F21" s="599"/>
      <c r="G21" s="616" t="s">
        <v>53</v>
      </c>
    </row>
    <row r="22" spans="1:7" s="583" customFormat="1">
      <c r="A22" s="592"/>
      <c r="B22" s="593" t="s">
        <v>763</v>
      </c>
      <c r="C22" s="593"/>
      <c r="D22" s="597" t="s">
        <v>1979</v>
      </c>
      <c r="E22" s="595"/>
      <c r="F22" s="595"/>
      <c r="G22" s="596"/>
    </row>
    <row r="23" spans="1:7" s="583" customFormat="1">
      <c r="A23" s="592"/>
      <c r="B23" s="3839" t="s">
        <v>1980</v>
      </c>
      <c r="C23" s="3839"/>
      <c r="D23" s="3839"/>
      <c r="E23" s="595"/>
      <c r="F23" s="595"/>
      <c r="G23" s="596"/>
    </row>
    <row r="24" spans="1:7" s="583" customFormat="1">
      <c r="A24" s="592"/>
      <c r="B24" s="598" t="s">
        <v>36</v>
      </c>
      <c r="C24" s="594" t="s">
        <v>37</v>
      </c>
      <c r="D24" s="599"/>
      <c r="E24" s="595"/>
      <c r="F24" s="595"/>
      <c r="G24" s="596"/>
    </row>
    <row r="25" spans="1:7" s="583" customFormat="1">
      <c r="A25" s="592"/>
      <c r="B25" s="600">
        <v>0.32</v>
      </c>
      <c r="C25" s="600" t="s">
        <v>38</v>
      </c>
      <c r="D25" s="601" t="s">
        <v>14</v>
      </c>
      <c r="E25" s="600">
        <f>+E9</f>
        <v>575</v>
      </c>
      <c r="F25" s="588" t="s">
        <v>38</v>
      </c>
      <c r="G25" s="602">
        <f>ROUND(B25*E25,2)</f>
        <v>184</v>
      </c>
    </row>
    <row r="26" spans="1:7" s="583" customFormat="1">
      <c r="A26" s="592"/>
      <c r="B26" s="600">
        <v>8</v>
      </c>
      <c r="C26" s="600" t="s">
        <v>38</v>
      </c>
      <c r="D26" s="601" t="s">
        <v>16</v>
      </c>
      <c r="E26" s="600">
        <f>+E10</f>
        <v>575</v>
      </c>
      <c r="F26" s="588" t="s">
        <v>38</v>
      </c>
      <c r="G26" s="602">
        <f>ROUND(B26*E26,2)</f>
        <v>4600</v>
      </c>
    </row>
    <row r="27" spans="1:7">
      <c r="A27" s="598"/>
      <c r="B27" s="603">
        <f>'Input Data'!$D$23</f>
        <v>0</v>
      </c>
      <c r="C27" s="600"/>
      <c r="D27" s="599" t="s">
        <v>17</v>
      </c>
      <c r="E27" s="600">
        <f>SUM(G25:G26)</f>
        <v>4784</v>
      </c>
      <c r="F27" s="588"/>
      <c r="G27" s="602">
        <f>B27*E27</f>
        <v>0</v>
      </c>
    </row>
    <row r="28" spans="1:7" s="583" customFormat="1">
      <c r="A28" s="592"/>
      <c r="B28" s="600"/>
      <c r="C28" s="617"/>
      <c r="D28" s="601"/>
      <c r="E28" s="600"/>
      <c r="F28" s="588"/>
      <c r="G28" s="604">
        <f>SUM(G25:G27)</f>
        <v>4784</v>
      </c>
    </row>
    <row r="29" spans="1:7" s="583" customFormat="1">
      <c r="A29" s="592"/>
      <c r="B29" s="598" t="s">
        <v>39</v>
      </c>
      <c r="C29" s="594" t="s">
        <v>40</v>
      </c>
      <c r="D29" s="599"/>
      <c r="E29" s="601"/>
      <c r="F29" s="601"/>
      <c r="G29" s="609"/>
    </row>
    <row r="30" spans="1:7" s="583" customFormat="1" ht="30">
      <c r="A30" s="592"/>
      <c r="B30" s="605">
        <v>6</v>
      </c>
      <c r="C30" s="600" t="s">
        <v>41</v>
      </c>
      <c r="D30" s="606" t="s">
        <v>42</v>
      </c>
      <c r="E30" s="605">
        <f>'SSR-rates'!$L$64</f>
        <v>3557.7</v>
      </c>
      <c r="F30" s="605" t="s">
        <v>41</v>
      </c>
      <c r="G30" s="607">
        <f>ROUND(B30*E30,2)</f>
        <v>21346.2</v>
      </c>
    </row>
    <row r="31" spans="1:7" s="583" customFormat="1">
      <c r="A31" s="592"/>
      <c r="B31" s="600" t="s">
        <v>27</v>
      </c>
      <c r="C31" s="3840" t="s">
        <v>1977</v>
      </c>
      <c r="D31" s="3840"/>
      <c r="E31" s="600"/>
      <c r="F31" s="600"/>
      <c r="G31" s="609"/>
    </row>
    <row r="32" spans="1:7" s="583" customFormat="1">
      <c r="A32" s="610"/>
      <c r="B32" s="611">
        <f>'Input Data'!$D$24</f>
        <v>0.13614999999999999</v>
      </c>
      <c r="C32" s="594" t="str">
        <f>"Over head charges &amp; CP "&amp;'Input Data'!$D$24*100&amp;"%  on (A) + (B)"</f>
        <v>Over head charges &amp; CP 13.615%  on (A) + (B)</v>
      </c>
      <c r="D32" s="599"/>
      <c r="E32" s="612">
        <f>G30+G28</f>
        <v>26130.2</v>
      </c>
      <c r="F32" s="599"/>
      <c r="G32" s="602">
        <f>E32*B32</f>
        <v>3557.62673</v>
      </c>
    </row>
    <row r="33" spans="1:7" s="583" customFormat="1">
      <c r="A33" s="610"/>
      <c r="B33" s="598" t="s">
        <v>45</v>
      </c>
      <c r="C33" s="594" t="s">
        <v>46</v>
      </c>
      <c r="D33" s="599"/>
      <c r="E33" s="599"/>
      <c r="F33" s="599"/>
      <c r="G33" s="604">
        <f>G28+G30+G32</f>
        <v>29687.826730000001</v>
      </c>
    </row>
    <row r="34" spans="1:7" s="583" customFormat="1">
      <c r="A34" s="592"/>
      <c r="B34" s="588"/>
      <c r="C34" s="601"/>
      <c r="D34" s="594" t="s">
        <v>1981</v>
      </c>
      <c r="E34" s="601"/>
      <c r="F34" s="601"/>
      <c r="G34" s="604">
        <f>SUM(G33:G33)</f>
        <v>29687.826730000001</v>
      </c>
    </row>
    <row r="35" spans="1:7" s="583" customFormat="1">
      <c r="A35" s="610"/>
      <c r="B35" s="588"/>
      <c r="C35" s="599"/>
      <c r="D35" s="599" t="s">
        <v>50</v>
      </c>
      <c r="E35" s="588"/>
      <c r="F35" s="588"/>
      <c r="G35" s="602">
        <f>G34/210</f>
        <v>141.37060347619047</v>
      </c>
    </row>
    <row r="36" spans="1:7" s="583" customFormat="1">
      <c r="A36" s="610"/>
      <c r="B36" s="588"/>
      <c r="C36" s="599"/>
      <c r="D36" s="599" t="s">
        <v>52</v>
      </c>
      <c r="E36" s="599"/>
      <c r="F36" s="599"/>
      <c r="G36" s="615">
        <f>G35</f>
        <v>141.37060347619047</v>
      </c>
    </row>
    <row r="37" spans="1:7" s="583" customFormat="1">
      <c r="A37" s="610"/>
      <c r="B37" s="588"/>
      <c r="C37" s="599"/>
      <c r="D37" s="599"/>
      <c r="E37" s="599"/>
      <c r="F37" s="599"/>
      <c r="G37" s="616" t="s">
        <v>53</v>
      </c>
    </row>
    <row r="38" spans="1:7" s="583" customFormat="1">
      <c r="A38" s="592"/>
      <c r="B38" s="593" t="s">
        <v>765</v>
      </c>
      <c r="C38" s="593"/>
      <c r="D38" s="597" t="s">
        <v>1982</v>
      </c>
      <c r="E38" s="595"/>
      <c r="F38" s="595"/>
      <c r="G38" s="596"/>
    </row>
    <row r="39" spans="1:7" s="583" customFormat="1">
      <c r="A39" s="592"/>
      <c r="B39" s="3839" t="s">
        <v>1669</v>
      </c>
      <c r="C39" s="3839"/>
      <c r="D39" s="3839"/>
      <c r="E39" s="595"/>
      <c r="F39" s="595"/>
      <c r="G39" s="596"/>
    </row>
    <row r="40" spans="1:7" s="583" customFormat="1">
      <c r="A40" s="592"/>
      <c r="B40" s="598" t="s">
        <v>36</v>
      </c>
      <c r="C40" s="594" t="s">
        <v>37</v>
      </c>
      <c r="D40" s="599"/>
      <c r="E40" s="595"/>
      <c r="F40" s="595"/>
      <c r="G40" s="596"/>
    </row>
    <row r="41" spans="1:7" s="583" customFormat="1">
      <c r="A41" s="592"/>
      <c r="B41" s="618">
        <v>0.4</v>
      </c>
      <c r="C41" s="600" t="s">
        <v>38</v>
      </c>
      <c r="D41" s="601" t="s">
        <v>14</v>
      </c>
      <c r="E41" s="600">
        <f>+E25</f>
        <v>575</v>
      </c>
      <c r="F41" s="588" t="s">
        <v>38</v>
      </c>
      <c r="G41" s="602">
        <f>ROUND(B41*E41,2)</f>
        <v>230</v>
      </c>
    </row>
    <row r="42" spans="1:7" s="583" customFormat="1">
      <c r="A42" s="592"/>
      <c r="B42" s="618">
        <v>10</v>
      </c>
      <c r="C42" s="600" t="s">
        <v>38</v>
      </c>
      <c r="D42" s="601" t="s">
        <v>16</v>
      </c>
      <c r="E42" s="600">
        <f>+E26</f>
        <v>575</v>
      </c>
      <c r="F42" s="588" t="s">
        <v>38</v>
      </c>
      <c r="G42" s="602">
        <f>ROUND(B42*E42,2)</f>
        <v>5750</v>
      </c>
    </row>
    <row r="43" spans="1:7">
      <c r="A43" s="598"/>
      <c r="B43" s="603">
        <f>'Input Data'!$D$23</f>
        <v>0</v>
      </c>
      <c r="C43" s="617"/>
      <c r="D43" s="599" t="s">
        <v>17</v>
      </c>
      <c r="E43" s="600">
        <f>SUM(G41:G42)</f>
        <v>5980</v>
      </c>
      <c r="F43" s="588"/>
      <c r="G43" s="602">
        <f>B43*E43</f>
        <v>0</v>
      </c>
    </row>
    <row r="44" spans="1:7" s="583" customFormat="1">
      <c r="A44" s="592"/>
      <c r="B44" s="600"/>
      <c r="C44" s="617"/>
      <c r="D44" s="601"/>
      <c r="E44" s="600"/>
      <c r="F44" s="588"/>
      <c r="G44" s="604">
        <f>SUM(G41:G43)</f>
        <v>5980</v>
      </c>
    </row>
    <row r="45" spans="1:7" s="583" customFormat="1">
      <c r="A45" s="592"/>
      <c r="B45" s="598" t="s">
        <v>39</v>
      </c>
      <c r="C45" s="594" t="s">
        <v>40</v>
      </c>
      <c r="D45" s="599"/>
      <c r="E45" s="601"/>
      <c r="F45" s="601"/>
      <c r="G45" s="609"/>
    </row>
    <row r="46" spans="1:7" s="583" customFormat="1" ht="30">
      <c r="A46" s="592"/>
      <c r="B46" s="605">
        <v>6</v>
      </c>
      <c r="C46" s="600" t="s">
        <v>41</v>
      </c>
      <c r="D46" s="606" t="s">
        <v>42</v>
      </c>
      <c r="E46" s="605">
        <f>'SSR-rates'!$L$64</f>
        <v>3557.7</v>
      </c>
      <c r="F46" s="605" t="s">
        <v>41</v>
      </c>
      <c r="G46" s="607">
        <f>ROUND(B46*E46,2)</f>
        <v>21346.2</v>
      </c>
    </row>
    <row r="47" spans="1:7" s="583" customFormat="1">
      <c r="A47" s="592"/>
      <c r="B47" s="600" t="s">
        <v>27</v>
      </c>
      <c r="C47" s="3840" t="s">
        <v>1977</v>
      </c>
      <c r="D47" s="3840"/>
      <c r="E47" s="600"/>
      <c r="F47" s="600"/>
      <c r="G47" s="609"/>
    </row>
    <row r="48" spans="1:7" s="583" customFormat="1">
      <c r="A48" s="610"/>
      <c r="B48" s="611">
        <f>'Input Data'!$D$24</f>
        <v>0.13614999999999999</v>
      </c>
      <c r="C48" s="594" t="str">
        <f>"Over head charges &amp; CP "&amp;'Input Data'!$D$24*100&amp;"%  on (A) + (B)"</f>
        <v>Over head charges &amp; CP 13.615%  on (A) + (B)</v>
      </c>
      <c r="D48" s="599"/>
      <c r="E48" s="612">
        <f>G46+G44</f>
        <v>27326.2</v>
      </c>
      <c r="F48" s="599"/>
      <c r="G48" s="602">
        <f>E48*B48</f>
        <v>3720.4621299999999</v>
      </c>
    </row>
    <row r="49" spans="1:7" s="583" customFormat="1">
      <c r="A49" s="610"/>
      <c r="B49" s="598" t="s">
        <v>45</v>
      </c>
      <c r="C49" s="594" t="s">
        <v>46</v>
      </c>
      <c r="D49" s="599"/>
      <c r="E49" s="599"/>
      <c r="F49" s="599"/>
      <c r="G49" s="604">
        <f>G44+G46+G48</f>
        <v>31046.662130000001</v>
      </c>
    </row>
    <row r="50" spans="1:7" s="583" customFormat="1">
      <c r="A50" s="592"/>
      <c r="B50" s="588"/>
      <c r="C50" s="601"/>
      <c r="D50" s="594" t="s">
        <v>1981</v>
      </c>
      <c r="E50" s="601"/>
      <c r="F50" s="601"/>
      <c r="G50" s="604">
        <f>SUM(G49:G49)</f>
        <v>31046.662130000001</v>
      </c>
    </row>
    <row r="51" spans="1:7" s="583" customFormat="1">
      <c r="A51" s="610"/>
      <c r="B51" s="588"/>
      <c r="C51" s="599"/>
      <c r="D51" s="599" t="s">
        <v>50</v>
      </c>
      <c r="E51" s="588"/>
      <c r="F51" s="588"/>
      <c r="G51" s="602">
        <f>G50/180</f>
        <v>172.4814562777778</v>
      </c>
    </row>
    <row r="52" spans="1:7" s="583" customFormat="1">
      <c r="A52" s="592"/>
      <c r="B52" s="598"/>
      <c r="C52" s="592"/>
      <c r="D52" s="592"/>
      <c r="E52" s="592"/>
      <c r="F52" s="592"/>
      <c r="G52" s="619">
        <f>SUM(G51:G51)</f>
        <v>172.4814562777778</v>
      </c>
    </row>
    <row r="53" spans="1:7" s="583" customFormat="1">
      <c r="A53" s="610"/>
      <c r="B53" s="588"/>
      <c r="C53" s="599"/>
      <c r="D53" s="599" t="s">
        <v>52</v>
      </c>
      <c r="E53" s="599"/>
      <c r="F53" s="599"/>
      <c r="G53" s="615">
        <f>ROUND(G52,2)</f>
        <v>172.48</v>
      </c>
    </row>
    <row r="54" spans="1:7" s="583" customFormat="1">
      <c r="A54" s="610"/>
      <c r="B54" s="588"/>
      <c r="C54" s="599"/>
      <c r="D54" s="599"/>
      <c r="E54" s="599"/>
      <c r="F54" s="599"/>
      <c r="G54" s="616" t="s">
        <v>53</v>
      </c>
    </row>
    <row r="55" spans="1:7" s="583" customFormat="1" ht="33.75" customHeight="1">
      <c r="A55" s="591">
        <f>A4+1</f>
        <v>2</v>
      </c>
      <c r="B55" s="3838" t="s">
        <v>2746</v>
      </c>
      <c r="C55" s="3838"/>
      <c r="D55" s="3838"/>
      <c r="E55" s="3838"/>
      <c r="F55" s="3838"/>
      <c r="G55" s="3838"/>
    </row>
    <row r="56" spans="1:7" s="583" customFormat="1">
      <c r="A56" s="592"/>
      <c r="B56" s="3839" t="s">
        <v>33</v>
      </c>
      <c r="C56" s="3839"/>
      <c r="D56" s="594"/>
      <c r="E56" s="595"/>
      <c r="F56" s="595"/>
      <c r="G56" s="596"/>
    </row>
    <row r="57" spans="1:7" s="583" customFormat="1">
      <c r="A57" s="592"/>
      <c r="B57" s="3839" t="s">
        <v>1983</v>
      </c>
      <c r="C57" s="3839"/>
      <c r="D57" s="3839"/>
      <c r="E57" s="595"/>
      <c r="F57" s="595"/>
      <c r="G57" s="596"/>
    </row>
    <row r="58" spans="1:7" s="583" customFormat="1">
      <c r="A58" s="592"/>
      <c r="B58" s="598" t="s">
        <v>36</v>
      </c>
      <c r="C58" s="594" t="s">
        <v>37</v>
      </c>
      <c r="D58" s="599"/>
      <c r="E58" s="595"/>
      <c r="F58" s="595"/>
      <c r="G58" s="596"/>
    </row>
    <row r="59" spans="1:7" s="583" customFormat="1">
      <c r="A59" s="592"/>
      <c r="B59" s="600">
        <v>0.01</v>
      </c>
      <c r="C59" s="600" t="s">
        <v>38</v>
      </c>
      <c r="D59" s="601" t="s">
        <v>14</v>
      </c>
      <c r="E59" s="600">
        <f>+E78</f>
        <v>575</v>
      </c>
      <c r="F59" s="588" t="s">
        <v>38</v>
      </c>
      <c r="G59" s="602">
        <f>ROUND(B59*E59,2)</f>
        <v>5.75</v>
      </c>
    </row>
    <row r="60" spans="1:7" s="583" customFormat="1">
      <c r="A60" s="592"/>
      <c r="B60" s="600">
        <v>0.3</v>
      </c>
      <c r="C60" s="600" t="s">
        <v>38</v>
      </c>
      <c r="D60" s="601" t="s">
        <v>59</v>
      </c>
      <c r="E60" s="600">
        <f>+E10</f>
        <v>575</v>
      </c>
      <c r="F60" s="588" t="s">
        <v>38</v>
      </c>
      <c r="G60" s="602">
        <f>ROUND(B60*E60,2)</f>
        <v>172.5</v>
      </c>
    </row>
    <row r="61" spans="1:7">
      <c r="A61" s="598"/>
      <c r="B61" s="603">
        <f>'Input Data'!$D$23</f>
        <v>0</v>
      </c>
      <c r="C61" s="600"/>
      <c r="D61" s="599" t="s">
        <v>17</v>
      </c>
      <c r="E61" s="600">
        <f>SUM(G59:G60)</f>
        <v>178.25</v>
      </c>
      <c r="F61" s="588"/>
      <c r="G61" s="602">
        <f>B61*E61</f>
        <v>0</v>
      </c>
    </row>
    <row r="62" spans="1:7" s="583" customFormat="1">
      <c r="A62" s="592"/>
      <c r="B62" s="600"/>
      <c r="C62" s="617"/>
      <c r="D62" s="601"/>
      <c r="E62" s="600"/>
      <c r="F62" s="588"/>
      <c r="G62" s="604">
        <f>SUM(G59:G61)</f>
        <v>178.25</v>
      </c>
    </row>
    <row r="63" spans="1:7">
      <c r="A63" s="620"/>
      <c r="B63" s="598" t="s">
        <v>39</v>
      </c>
      <c r="C63" s="621" t="s">
        <v>61</v>
      </c>
      <c r="D63" s="599"/>
      <c r="E63" s="600"/>
      <c r="F63" s="600"/>
      <c r="G63" s="612"/>
    </row>
    <row r="64" spans="1:7">
      <c r="A64" s="620"/>
      <c r="B64" s="588">
        <v>1.2</v>
      </c>
      <c r="C64" s="588" t="s">
        <v>31</v>
      </c>
      <c r="D64" s="622" t="s">
        <v>2745</v>
      </c>
      <c r="E64" s="600">
        <f>+lead!$J$32</f>
        <v>759.07604629670379</v>
      </c>
      <c r="F64" s="600" t="s">
        <v>31</v>
      </c>
      <c r="G64" s="612">
        <f>ROUND(B64*E64,2)</f>
        <v>910.89</v>
      </c>
    </row>
    <row r="65" spans="1:8">
      <c r="A65" s="620"/>
      <c r="B65" s="600"/>
      <c r="C65" s="617"/>
      <c r="D65" s="612" t="s">
        <v>60</v>
      </c>
      <c r="E65" s="600"/>
      <c r="F65" s="600"/>
      <c r="G65" s="621">
        <f>SUM(G64:G64)</f>
        <v>910.89</v>
      </c>
    </row>
    <row r="66" spans="1:8" s="583" customFormat="1">
      <c r="A66" s="592"/>
      <c r="B66" s="600" t="s">
        <v>27</v>
      </c>
      <c r="C66" s="3840" t="s">
        <v>1977</v>
      </c>
      <c r="D66" s="3840"/>
      <c r="E66" s="600"/>
      <c r="F66" s="600"/>
      <c r="G66" s="609"/>
    </row>
    <row r="67" spans="1:8" s="583" customFormat="1">
      <c r="A67" s="610"/>
      <c r="B67" s="611">
        <f>'Input Data'!$D$24</f>
        <v>0.13614999999999999</v>
      </c>
      <c r="C67" s="594" t="str">
        <f>"Over head charges &amp; CP "&amp;'Input Data'!$D$24*100&amp;"%  on (A) + (B)"</f>
        <v>Over head charges &amp; CP 13.615%  on (A) + (B)</v>
      </c>
      <c r="D67" s="599"/>
      <c r="E67" s="612">
        <f>+G65+G62</f>
        <v>1089.1399999999999</v>
      </c>
      <c r="F67" s="599"/>
      <c r="G67" s="602">
        <f>E67*B67</f>
        <v>148.28641099999999</v>
      </c>
    </row>
    <row r="68" spans="1:8" s="583" customFormat="1">
      <c r="A68" s="610"/>
      <c r="B68" s="598" t="s">
        <v>45</v>
      </c>
      <c r="C68" s="594" t="s">
        <v>46</v>
      </c>
      <c r="D68" s="599"/>
      <c r="E68" s="599"/>
      <c r="F68" s="599"/>
      <c r="G68" s="604">
        <f>+E67+G67</f>
        <v>1237.4264109999999</v>
      </c>
    </row>
    <row r="69" spans="1:8" s="583" customFormat="1">
      <c r="A69" s="592"/>
      <c r="B69" s="588"/>
      <c r="C69" s="601"/>
      <c r="D69" s="594" t="s">
        <v>1984</v>
      </c>
      <c r="E69" s="601"/>
      <c r="F69" s="601"/>
      <c r="G69" s="604">
        <f>SUM(G68:G68)</f>
        <v>1237.4264109999999</v>
      </c>
    </row>
    <row r="70" spans="1:8" s="583" customFormat="1">
      <c r="A70" s="610"/>
      <c r="B70" s="588"/>
      <c r="C70" s="599"/>
      <c r="D70" s="599" t="s">
        <v>50</v>
      </c>
      <c r="E70" s="588"/>
      <c r="F70" s="588"/>
      <c r="G70" s="602">
        <f>G69</f>
        <v>1237.4264109999999</v>
      </c>
    </row>
    <row r="71" spans="1:8" s="583" customFormat="1">
      <c r="A71" s="592"/>
      <c r="B71" s="598"/>
      <c r="C71" s="592"/>
      <c r="D71" s="592"/>
      <c r="E71" s="592"/>
      <c r="F71" s="592"/>
      <c r="G71" s="619">
        <f>SUM(G70:G70)</f>
        <v>1237.4264109999999</v>
      </c>
    </row>
    <row r="72" spans="1:8" s="583" customFormat="1">
      <c r="A72" s="610"/>
      <c r="B72" s="588"/>
      <c r="C72" s="599"/>
      <c r="D72" s="599" t="s">
        <v>52</v>
      </c>
      <c r="E72" s="599"/>
      <c r="F72" s="599"/>
      <c r="G72" s="615">
        <f>ROUND(G71,2)</f>
        <v>1237.43</v>
      </c>
    </row>
    <row r="73" spans="1:8" s="583" customFormat="1">
      <c r="A73" s="610"/>
      <c r="B73" s="588"/>
      <c r="C73" s="599"/>
      <c r="D73" s="599"/>
      <c r="E73" s="599"/>
      <c r="F73" s="599"/>
      <c r="G73" s="616" t="s">
        <v>53</v>
      </c>
    </row>
    <row r="74" spans="1:8" ht="78.95" customHeight="1">
      <c r="A74" s="591">
        <v>3</v>
      </c>
      <c r="B74" s="3838" t="s">
        <v>1985</v>
      </c>
      <c r="C74" s="3838"/>
      <c r="D74" s="3838"/>
      <c r="E74" s="3838"/>
      <c r="F74" s="3838"/>
      <c r="G74" s="3838"/>
    </row>
    <row r="75" spans="1:8">
      <c r="A75" s="620"/>
      <c r="B75" s="600" t="s">
        <v>10</v>
      </c>
      <c r="C75" s="599"/>
      <c r="D75" s="594" t="s">
        <v>55</v>
      </c>
      <c r="E75" s="599"/>
      <c r="F75" s="599"/>
      <c r="G75" s="599"/>
    </row>
    <row r="76" spans="1:8">
      <c r="A76" s="620"/>
      <c r="B76" s="588"/>
      <c r="C76" s="599"/>
      <c r="D76" s="612" t="s">
        <v>56</v>
      </c>
      <c r="E76" s="599"/>
      <c r="F76" s="599"/>
      <c r="G76" s="599"/>
    </row>
    <row r="77" spans="1:8">
      <c r="A77" s="620"/>
      <c r="B77" s="598" t="s">
        <v>36</v>
      </c>
      <c r="C77" s="621" t="s">
        <v>37</v>
      </c>
      <c r="D77" s="599"/>
      <c r="E77" s="599"/>
      <c r="F77" s="599"/>
      <c r="G77" s="599"/>
    </row>
    <row r="78" spans="1:8">
      <c r="A78" s="620"/>
      <c r="B78" s="600">
        <v>0.86</v>
      </c>
      <c r="C78" s="588" t="s">
        <v>57</v>
      </c>
      <c r="D78" s="612" t="s">
        <v>14</v>
      </c>
      <c r="E78" s="600">
        <f>'SSR-rates'!$L$58</f>
        <v>575</v>
      </c>
      <c r="F78" s="588" t="s">
        <v>38</v>
      </c>
      <c r="G78" s="612">
        <f>ROUND(B78*E78,2)</f>
        <v>494.5</v>
      </c>
      <c r="H78" s="623"/>
    </row>
    <row r="79" spans="1:8">
      <c r="A79" s="620"/>
      <c r="B79" s="600">
        <v>1.5</v>
      </c>
      <c r="C79" s="588" t="s">
        <v>57</v>
      </c>
      <c r="D79" s="612" t="s">
        <v>58</v>
      </c>
      <c r="E79" s="600">
        <f>'SSR-rates'!$L$54</f>
        <v>615</v>
      </c>
      <c r="F79" s="588" t="s">
        <v>38</v>
      </c>
      <c r="G79" s="612">
        <f>ROUND(B79*E79,2)</f>
        <v>922.5</v>
      </c>
    </row>
    <row r="80" spans="1:8">
      <c r="A80" s="620"/>
      <c r="B80" s="600">
        <v>20</v>
      </c>
      <c r="C80" s="588" t="s">
        <v>57</v>
      </c>
      <c r="D80" s="612" t="s">
        <v>59</v>
      </c>
      <c r="E80" s="600">
        <f>'SSR-rates'!$L$60</f>
        <v>575</v>
      </c>
      <c r="F80" s="588" t="s">
        <v>38</v>
      </c>
      <c r="G80" s="612">
        <f>ROUND(B80*E80,2)</f>
        <v>11500</v>
      </c>
    </row>
    <row r="81" spans="1:7">
      <c r="A81" s="598"/>
      <c r="B81" s="603">
        <f>'Input Data'!$D$23</f>
        <v>0</v>
      </c>
      <c r="C81" s="617"/>
      <c r="D81" s="599" t="s">
        <v>17</v>
      </c>
      <c r="E81" s="600">
        <f>SUM(G78:G80)</f>
        <v>12917</v>
      </c>
      <c r="F81" s="588"/>
      <c r="G81" s="612">
        <f>B81*E81</f>
        <v>0</v>
      </c>
    </row>
    <row r="82" spans="1:7">
      <c r="A82" s="620"/>
      <c r="B82" s="600"/>
      <c r="C82" s="599"/>
      <c r="D82" s="612" t="s">
        <v>60</v>
      </c>
      <c r="E82" s="600"/>
      <c r="F82" s="600"/>
      <c r="G82" s="612">
        <f>SUM(G78:G81)</f>
        <v>12917</v>
      </c>
    </row>
    <row r="83" spans="1:7">
      <c r="A83" s="620"/>
      <c r="B83" s="598" t="s">
        <v>39</v>
      </c>
      <c r="C83" s="621" t="s">
        <v>61</v>
      </c>
      <c r="D83" s="599"/>
      <c r="E83" s="600"/>
      <c r="F83" s="600"/>
      <c r="G83" s="612"/>
    </row>
    <row r="84" spans="1:7">
      <c r="A84" s="620"/>
      <c r="B84" s="600">
        <v>8.1</v>
      </c>
      <c r="C84" s="588" t="s">
        <v>31</v>
      </c>
      <c r="D84" s="612" t="s">
        <v>62</v>
      </c>
      <c r="E84" s="600">
        <f>lead!$J$14</f>
        <v>1706.5179333714741</v>
      </c>
      <c r="F84" s="600" t="s">
        <v>31</v>
      </c>
      <c r="G84" s="612">
        <f t="shared" ref="G84:G89" si="0">ROUND(B84*E84,2)</f>
        <v>13822.8</v>
      </c>
    </row>
    <row r="85" spans="1:7">
      <c r="A85" s="620"/>
      <c r="B85" s="600">
        <v>4.05</v>
      </c>
      <c r="C85" s="588" t="s">
        <v>31</v>
      </c>
      <c r="D85" s="599" t="s">
        <v>63</v>
      </c>
      <c r="E85" s="600">
        <f>lead!$J$16</f>
        <v>2005.5179333714741</v>
      </c>
      <c r="F85" s="600" t="s">
        <v>31</v>
      </c>
      <c r="G85" s="612">
        <f t="shared" si="0"/>
        <v>8122.35</v>
      </c>
    </row>
    <row r="86" spans="1:7">
      <c r="A86" s="620"/>
      <c r="B86" s="600">
        <v>1.35</v>
      </c>
      <c r="C86" s="588" t="s">
        <v>31</v>
      </c>
      <c r="D86" s="599" t="s">
        <v>64</v>
      </c>
      <c r="E86" s="600">
        <f>lead!$J$18</f>
        <v>1754.5179333714741</v>
      </c>
      <c r="F86" s="600" t="s">
        <v>31</v>
      </c>
      <c r="G86" s="612">
        <f t="shared" si="0"/>
        <v>2368.6</v>
      </c>
    </row>
    <row r="87" spans="1:7" ht="30">
      <c r="A87" s="620"/>
      <c r="B87" s="600">
        <f>6.75/2</f>
        <v>3.375</v>
      </c>
      <c r="C87" s="588" t="s">
        <v>31</v>
      </c>
      <c r="D87" s="622" t="s">
        <v>1852</v>
      </c>
      <c r="E87" s="605">
        <f>lead!$J$31</f>
        <v>1812.3700655723276</v>
      </c>
      <c r="F87" s="600" t="s">
        <v>31</v>
      </c>
      <c r="G87" s="602">
        <f t="shared" si="0"/>
        <v>6116.75</v>
      </c>
    </row>
    <row r="88" spans="1:7">
      <c r="A88" s="620"/>
      <c r="B88" s="600">
        <f>6.75/2</f>
        <v>3.375</v>
      </c>
      <c r="C88" s="588" t="s">
        <v>31</v>
      </c>
      <c r="D88" s="622" t="s">
        <v>1853</v>
      </c>
      <c r="E88" s="605">
        <f>lead!$J$33</f>
        <v>1447.5179333714741</v>
      </c>
      <c r="F88" s="600" t="s">
        <v>31</v>
      </c>
      <c r="G88" s="602">
        <f t="shared" si="0"/>
        <v>4885.37</v>
      </c>
    </row>
    <row r="89" spans="1:7">
      <c r="A89" s="620"/>
      <c r="B89" s="600">
        <v>4.13</v>
      </c>
      <c r="C89" s="588" t="s">
        <v>66</v>
      </c>
      <c r="D89" s="612" t="s">
        <v>67</v>
      </c>
      <c r="E89" s="600">
        <f>+lead!$J$36</f>
        <v>5000</v>
      </c>
      <c r="F89" s="600" t="s">
        <v>66</v>
      </c>
      <c r="G89" s="612">
        <f t="shared" si="0"/>
        <v>20650</v>
      </c>
    </row>
    <row r="90" spans="1:7">
      <c r="A90" s="620"/>
      <c r="B90" s="600"/>
      <c r="C90" s="617"/>
      <c r="D90" s="612" t="s">
        <v>60</v>
      </c>
      <c r="E90" s="600"/>
      <c r="F90" s="600"/>
      <c r="G90" s="612">
        <f>SUM(G84:G89)</f>
        <v>55965.87</v>
      </c>
    </row>
    <row r="91" spans="1:7">
      <c r="A91" s="620"/>
      <c r="B91" s="598" t="s">
        <v>94</v>
      </c>
      <c r="C91" s="621" t="s">
        <v>40</v>
      </c>
      <c r="D91" s="599"/>
      <c r="E91" s="600"/>
      <c r="F91" s="600"/>
      <c r="G91" s="612"/>
    </row>
    <row r="92" spans="1:7">
      <c r="A92" s="620"/>
      <c r="B92" s="600">
        <v>6</v>
      </c>
      <c r="C92" s="588" t="s">
        <v>41</v>
      </c>
      <c r="D92" s="612" t="s">
        <v>68</v>
      </c>
      <c r="E92" s="600">
        <f>'SSR-rates'!$L$88</f>
        <v>697.9</v>
      </c>
      <c r="F92" s="600" t="s">
        <v>41</v>
      </c>
      <c r="G92" s="612">
        <f>ROUND(B92*E92,2)</f>
        <v>4187.3999999999996</v>
      </c>
    </row>
    <row r="93" spans="1:7">
      <c r="A93" s="620"/>
      <c r="B93" s="600">
        <v>6</v>
      </c>
      <c r="C93" s="588" t="s">
        <v>41</v>
      </c>
      <c r="D93" s="612" t="s">
        <v>69</v>
      </c>
      <c r="E93" s="600">
        <f>'SSR-rates'!$L$87</f>
        <v>1323.5</v>
      </c>
      <c r="F93" s="600" t="s">
        <v>41</v>
      </c>
      <c r="G93" s="612">
        <f>ROUND(B93*E93,2)</f>
        <v>7941</v>
      </c>
    </row>
    <row r="94" spans="1:7">
      <c r="A94" s="620"/>
      <c r="B94" s="600"/>
      <c r="C94" s="600"/>
      <c r="D94" s="612" t="s">
        <v>60</v>
      </c>
      <c r="E94" s="600"/>
      <c r="F94" s="600"/>
      <c r="G94" s="612">
        <f>SUM(G92:G93)</f>
        <v>12128.4</v>
      </c>
    </row>
    <row r="95" spans="1:7">
      <c r="A95" s="598"/>
      <c r="B95" s="598" t="s">
        <v>45</v>
      </c>
      <c r="C95" s="594" t="s">
        <v>95</v>
      </c>
      <c r="D95" s="599"/>
      <c r="E95" s="601"/>
      <c r="F95" s="601"/>
      <c r="G95" s="621"/>
    </row>
    <row r="96" spans="1:7">
      <c r="A96" s="598"/>
      <c r="B96" s="624">
        <v>0.04</v>
      </c>
      <c r="C96" s="600"/>
      <c r="D96" s="612" t="s">
        <v>146</v>
      </c>
      <c r="E96" s="601"/>
      <c r="F96" s="601"/>
      <c r="G96" s="612">
        <f>ROUND((G82+G90+G94)*B96,2)</f>
        <v>3240.45</v>
      </c>
    </row>
    <row r="97" spans="1:8">
      <c r="A97" s="598"/>
      <c r="B97" s="598" t="s">
        <v>47</v>
      </c>
      <c r="C97" s="594" t="s">
        <v>1332</v>
      </c>
      <c r="D97" s="599"/>
      <c r="E97" s="601"/>
      <c r="F97" s="601"/>
      <c r="G97" s="621"/>
    </row>
    <row r="98" spans="1:8">
      <c r="A98" s="598"/>
      <c r="B98" s="611">
        <f>'Input Data'!$D$24</f>
        <v>0.13614999999999999</v>
      </c>
      <c r="C98" s="3839" t="str">
        <f>"Over head charges &amp; CP "&amp;'Input Data'!$D$24*100&amp;"%  on (A) + (B) +(C) +(D)"</f>
        <v>Over head charges &amp; CP 13.615%  on (A) + (B) +(C) +(D)</v>
      </c>
      <c r="D98" s="3839"/>
      <c r="E98" s="617">
        <f>G96+G94+G90+G82</f>
        <v>84251.72</v>
      </c>
      <c r="F98" s="601"/>
      <c r="G98" s="612">
        <f>E98*B98</f>
        <v>11470.871678</v>
      </c>
    </row>
    <row r="99" spans="1:8">
      <c r="A99" s="598"/>
      <c r="B99" s="613">
        <f>'Input Data'!$E$24</f>
        <v>0</v>
      </c>
      <c r="C99" s="614" t="s">
        <v>1314</v>
      </c>
      <c r="D99" s="593"/>
      <c r="E99" s="617">
        <f>E98+G98</f>
        <v>95722.591677999997</v>
      </c>
      <c r="F99" s="601"/>
      <c r="G99" s="612">
        <f>E99*B99</f>
        <v>0</v>
      </c>
    </row>
    <row r="100" spans="1:8">
      <c r="A100" s="598"/>
      <c r="B100" s="598" t="s">
        <v>76</v>
      </c>
      <c r="C100" s="594" t="s">
        <v>89</v>
      </c>
      <c r="D100" s="599"/>
      <c r="E100" s="601"/>
      <c r="F100" s="601"/>
      <c r="G100" s="621">
        <f>G82+G90+G94+G98+G96+G99</f>
        <v>95722.591677999982</v>
      </c>
    </row>
    <row r="101" spans="1:8">
      <c r="A101" s="620"/>
      <c r="B101" s="600"/>
      <c r="C101" s="601"/>
      <c r="D101" s="621" t="s">
        <v>1951</v>
      </c>
      <c r="E101" s="600"/>
      <c r="F101" s="600"/>
      <c r="G101" s="621">
        <f>SUM(G100:G100)</f>
        <v>95722.591677999982</v>
      </c>
    </row>
    <row r="102" spans="1:8">
      <c r="A102" s="620"/>
      <c r="B102" s="600"/>
      <c r="C102" s="601"/>
      <c r="D102" s="612" t="s">
        <v>81</v>
      </c>
      <c r="E102" s="600"/>
      <c r="F102" s="600"/>
      <c r="G102" s="612">
        <f>ROUND(G101/15,2)</f>
        <v>6381.51</v>
      </c>
    </row>
    <row r="103" spans="1:8">
      <c r="A103" s="620"/>
      <c r="B103" s="588"/>
      <c r="C103" s="599"/>
      <c r="D103" s="612" t="s">
        <v>52</v>
      </c>
      <c r="E103" s="600"/>
      <c r="F103" s="600"/>
      <c r="G103" s="625">
        <f>ROUND(G102,2)</f>
        <v>6381.51</v>
      </c>
    </row>
    <row r="104" spans="1:8">
      <c r="A104" s="620"/>
      <c r="B104" s="588"/>
      <c r="C104" s="599"/>
      <c r="D104" s="612"/>
      <c r="E104" s="600"/>
      <c r="F104" s="600"/>
      <c r="G104" s="604" t="s">
        <v>53</v>
      </c>
    </row>
    <row r="105" spans="1:8" ht="77.099999999999994" customHeight="1">
      <c r="A105" s="591">
        <f>A74+1</f>
        <v>4</v>
      </c>
      <c r="B105" s="3838" t="s">
        <v>1986</v>
      </c>
      <c r="C105" s="3838"/>
      <c r="D105" s="3838"/>
      <c r="E105" s="3838"/>
      <c r="F105" s="3838"/>
      <c r="G105" s="3838"/>
    </row>
    <row r="106" spans="1:8">
      <c r="A106" s="620"/>
      <c r="B106" s="600" t="s">
        <v>102</v>
      </c>
      <c r="C106" s="599"/>
      <c r="D106" s="594" t="s">
        <v>103</v>
      </c>
      <c r="E106" s="599"/>
      <c r="F106" s="599"/>
      <c r="G106" s="599"/>
    </row>
    <row r="107" spans="1:8">
      <c r="A107" s="620"/>
      <c r="B107" s="588"/>
      <c r="C107" s="599"/>
      <c r="D107" s="612" t="s">
        <v>104</v>
      </c>
      <c r="E107" s="599"/>
      <c r="F107" s="599"/>
      <c r="G107" s="599"/>
    </row>
    <row r="108" spans="1:8">
      <c r="A108" s="620"/>
      <c r="B108" s="588"/>
      <c r="C108" s="599"/>
      <c r="D108" s="625" t="s">
        <v>105</v>
      </c>
      <c r="E108" s="599"/>
      <c r="F108" s="599"/>
      <c r="G108" s="599"/>
    </row>
    <row r="109" spans="1:8">
      <c r="A109" s="620"/>
      <c r="B109" s="598" t="s">
        <v>36</v>
      </c>
      <c r="C109" s="621" t="s">
        <v>37</v>
      </c>
      <c r="D109" s="599"/>
      <c r="E109" s="599"/>
      <c r="F109" s="599"/>
      <c r="G109" s="599"/>
    </row>
    <row r="110" spans="1:8">
      <c r="A110" s="620"/>
      <c r="B110" s="600">
        <v>0.18</v>
      </c>
      <c r="C110" s="588" t="s">
        <v>106</v>
      </c>
      <c r="D110" s="612" t="s">
        <v>14</v>
      </c>
      <c r="E110" s="600">
        <f>'SSR-rates'!$L$58</f>
        <v>575</v>
      </c>
      <c r="F110" s="588" t="s">
        <v>38</v>
      </c>
      <c r="G110" s="602">
        <f>ROUND(B110*E110,2)</f>
        <v>103.5</v>
      </c>
      <c r="H110" s="623"/>
    </row>
    <row r="111" spans="1:8">
      <c r="A111" s="620"/>
      <c r="B111" s="600">
        <v>0.5</v>
      </c>
      <c r="C111" s="588" t="s">
        <v>106</v>
      </c>
      <c r="D111" s="612" t="s">
        <v>58</v>
      </c>
      <c r="E111" s="600">
        <f>'SSR-rates'!$L$54</f>
        <v>615</v>
      </c>
      <c r="F111" s="588" t="s">
        <v>38</v>
      </c>
      <c r="G111" s="602">
        <f t="shared" ref="G111:G112" si="1">ROUND(B111*E111,2)</f>
        <v>307.5</v>
      </c>
    </row>
    <row r="112" spans="1:8">
      <c r="A112" s="620"/>
      <c r="B112" s="600">
        <v>4</v>
      </c>
      <c r="C112" s="588" t="s">
        <v>106</v>
      </c>
      <c r="D112" s="612" t="s">
        <v>59</v>
      </c>
      <c r="E112" s="600">
        <f>'SSR-rates'!$L$60</f>
        <v>575</v>
      </c>
      <c r="F112" s="588" t="s">
        <v>38</v>
      </c>
      <c r="G112" s="602">
        <f t="shared" si="1"/>
        <v>2300</v>
      </c>
    </row>
    <row r="113" spans="1:7">
      <c r="A113" s="598"/>
      <c r="B113" s="603">
        <f>'Input Data'!$D$23</f>
        <v>0</v>
      </c>
      <c r="C113" s="617"/>
      <c r="D113" s="599" t="s">
        <v>17</v>
      </c>
      <c r="E113" s="600">
        <f>SUM(G110:G112)</f>
        <v>2711</v>
      </c>
      <c r="F113" s="588"/>
      <c r="G113" s="602">
        <f>B113*E113</f>
        <v>0</v>
      </c>
    </row>
    <row r="114" spans="1:7">
      <c r="A114" s="620"/>
      <c r="B114" s="600"/>
      <c r="C114" s="599"/>
      <c r="D114" s="612" t="s">
        <v>60</v>
      </c>
      <c r="E114" s="600"/>
      <c r="F114" s="600"/>
      <c r="G114" s="604">
        <f>SUM(G110:G113)</f>
        <v>2711</v>
      </c>
    </row>
    <row r="115" spans="1:7">
      <c r="A115" s="620"/>
      <c r="B115" s="598" t="s">
        <v>39</v>
      </c>
      <c r="C115" s="621" t="s">
        <v>61</v>
      </c>
      <c r="D115" s="599"/>
      <c r="E115" s="600"/>
      <c r="F115" s="600"/>
      <c r="G115" s="602"/>
    </row>
    <row r="116" spans="1:7" ht="30">
      <c r="A116" s="599"/>
      <c r="B116" s="588">
        <f>0.07/2</f>
        <v>3.5000000000000003E-2</v>
      </c>
      <c r="C116" s="600" t="s">
        <v>31</v>
      </c>
      <c r="D116" s="622" t="s">
        <v>1852</v>
      </c>
      <c r="E116" s="605">
        <f>lead!$J$31</f>
        <v>1812.3700655723276</v>
      </c>
      <c r="F116" s="600" t="s">
        <v>31</v>
      </c>
      <c r="G116" s="602">
        <f>ROUND(B116*E116,2)</f>
        <v>63.43</v>
      </c>
    </row>
    <row r="117" spans="1:7">
      <c r="A117" s="599"/>
      <c r="B117" s="588">
        <f>0.07/2</f>
        <v>3.5000000000000003E-2</v>
      </c>
      <c r="C117" s="600" t="s">
        <v>31</v>
      </c>
      <c r="D117" s="622" t="s">
        <v>1853</v>
      </c>
      <c r="E117" s="605">
        <f>lead!$J$33</f>
        <v>1447.5179333714741</v>
      </c>
      <c r="F117" s="600" t="s">
        <v>31</v>
      </c>
      <c r="G117" s="602">
        <f>ROUND(B117*E117,2)</f>
        <v>50.66</v>
      </c>
    </row>
    <row r="118" spans="1:7">
      <c r="A118" s="599"/>
      <c r="B118" s="588">
        <v>0.05</v>
      </c>
      <c r="C118" s="600" t="s">
        <v>66</v>
      </c>
      <c r="D118" s="599" t="s">
        <v>67</v>
      </c>
      <c r="E118" s="600">
        <f>+lead!$J$36</f>
        <v>5000</v>
      </c>
      <c r="F118" s="612" t="s">
        <v>66</v>
      </c>
      <c r="G118" s="602">
        <f t="shared" ref="G118:G120" si="2">ROUND(B118*E118,2)</f>
        <v>250</v>
      </c>
    </row>
    <row r="119" spans="1:7">
      <c r="A119" s="620"/>
      <c r="B119" s="600">
        <v>12.5</v>
      </c>
      <c r="C119" s="588" t="s">
        <v>107</v>
      </c>
      <c r="D119" s="612" t="s">
        <v>108</v>
      </c>
      <c r="E119" s="600">
        <f>+lead!J44</f>
        <v>11543.485247106455</v>
      </c>
      <c r="F119" s="600" t="s">
        <v>107</v>
      </c>
      <c r="G119" s="602">
        <f t="shared" si="2"/>
        <v>144293.57</v>
      </c>
    </row>
    <row r="120" spans="1:7">
      <c r="A120" s="620"/>
      <c r="B120" s="600">
        <v>4</v>
      </c>
      <c r="C120" s="588" t="s">
        <v>106</v>
      </c>
      <c r="D120" s="612" t="s">
        <v>108</v>
      </c>
      <c r="E120" s="600">
        <f>+lead!J52</f>
        <v>1252.68</v>
      </c>
      <c r="F120" s="600" t="s">
        <v>241</v>
      </c>
      <c r="G120" s="602">
        <f t="shared" si="2"/>
        <v>5010.72</v>
      </c>
    </row>
    <row r="121" spans="1:7">
      <c r="A121" s="620"/>
      <c r="B121" s="600"/>
      <c r="C121" s="617"/>
      <c r="D121" s="612" t="s">
        <v>60</v>
      </c>
      <c r="E121" s="600"/>
      <c r="F121" s="600"/>
      <c r="G121" s="604">
        <f>SUM(G116:G120)</f>
        <v>149668.38</v>
      </c>
    </row>
    <row r="122" spans="1:7">
      <c r="A122" s="598"/>
      <c r="B122" s="598" t="s">
        <v>27</v>
      </c>
      <c r="C122" s="594" t="s">
        <v>1332</v>
      </c>
      <c r="D122" s="599"/>
      <c r="E122" s="601"/>
      <c r="F122" s="601"/>
      <c r="G122" s="626"/>
    </row>
    <row r="123" spans="1:7">
      <c r="A123" s="598"/>
      <c r="B123" s="611">
        <f>'Input Data'!$D$24</f>
        <v>0.13614999999999999</v>
      </c>
      <c r="C123" s="617"/>
      <c r="D123" s="612" t="str">
        <f>"Over head charges "&amp;'Input Data'!$D$24*100&amp;"%  on (A) + (B)"</f>
        <v>Over head charges 13.615%  on (A) + (B)</v>
      </c>
      <c r="E123" s="617">
        <f>G121+G114</f>
        <v>152379.38</v>
      </c>
      <c r="F123" s="601"/>
      <c r="G123" s="602">
        <f>E123*B123</f>
        <v>20746.452587</v>
      </c>
    </row>
    <row r="124" spans="1:7">
      <c r="A124" s="598"/>
      <c r="B124" s="613">
        <f>'Input Data'!$E$24</f>
        <v>0</v>
      </c>
      <c r="C124" s="614" t="s">
        <v>1314</v>
      </c>
      <c r="D124" s="612"/>
      <c r="E124" s="617">
        <f>E123+G123</f>
        <v>173125.83258700001</v>
      </c>
      <c r="F124" s="601"/>
      <c r="G124" s="602">
        <f>E124*B124</f>
        <v>0</v>
      </c>
    </row>
    <row r="125" spans="1:7">
      <c r="A125" s="598"/>
      <c r="B125" s="598" t="s">
        <v>45</v>
      </c>
      <c r="C125" s="594" t="s">
        <v>46</v>
      </c>
      <c r="D125" s="599"/>
      <c r="E125" s="601"/>
      <c r="F125" s="601"/>
      <c r="G125" s="604">
        <f>G114+G121+G123+G124</f>
        <v>173125.83258700001</v>
      </c>
    </row>
    <row r="126" spans="1:7">
      <c r="A126" s="620"/>
      <c r="B126" s="600"/>
      <c r="C126" s="601"/>
      <c r="D126" s="621" t="s">
        <v>1987</v>
      </c>
      <c r="E126" s="600"/>
      <c r="F126" s="600"/>
      <c r="G126" s="604">
        <f>SUM(G125:G125)</f>
        <v>173125.83258700001</v>
      </c>
    </row>
    <row r="127" spans="1:7">
      <c r="A127" s="620"/>
      <c r="B127" s="600"/>
      <c r="C127" s="601"/>
      <c r="D127" s="612" t="s">
        <v>111</v>
      </c>
      <c r="E127" s="600"/>
      <c r="F127" s="600"/>
      <c r="G127" s="602">
        <f>ROUND(G126/12.5,2)</f>
        <v>13850.07</v>
      </c>
    </row>
    <row r="128" spans="1:7">
      <c r="A128" s="620"/>
      <c r="B128" s="588"/>
      <c r="C128" s="599"/>
      <c r="D128" s="612" t="s">
        <v>52</v>
      </c>
      <c r="E128" s="600"/>
      <c r="F128" s="600"/>
      <c r="G128" s="615">
        <f>ROUND(G127,2)</f>
        <v>13850.07</v>
      </c>
    </row>
    <row r="129" spans="1:8">
      <c r="A129" s="620"/>
      <c r="B129" s="588"/>
      <c r="C129" s="599"/>
      <c r="D129" s="612"/>
      <c r="E129" s="600"/>
      <c r="F129" s="600"/>
      <c r="G129" s="604" t="s">
        <v>112</v>
      </c>
    </row>
    <row r="130" spans="1:8">
      <c r="A130" s="620"/>
      <c r="B130" s="588"/>
      <c r="C130" s="599"/>
      <c r="D130" s="612"/>
      <c r="E130" s="600"/>
      <c r="F130" s="600"/>
      <c r="G130" s="604"/>
    </row>
    <row r="131" spans="1:8" ht="90.95" customHeight="1">
      <c r="A131" s="627">
        <f>A105+1</f>
        <v>5</v>
      </c>
      <c r="B131" s="3838" t="s">
        <v>1988</v>
      </c>
      <c r="C131" s="3838"/>
      <c r="D131" s="3838"/>
      <c r="E131" s="3838"/>
      <c r="F131" s="3838"/>
      <c r="G131" s="3838"/>
    </row>
    <row r="132" spans="1:8">
      <c r="A132" s="620"/>
      <c r="B132" s="600" t="s">
        <v>102</v>
      </c>
      <c r="C132" s="599"/>
      <c r="D132" s="594" t="s">
        <v>1989</v>
      </c>
      <c r="E132" s="599"/>
      <c r="F132" s="599"/>
      <c r="G132" s="599"/>
    </row>
    <row r="133" spans="1:8">
      <c r="A133" s="620"/>
      <c r="B133" s="588"/>
      <c r="C133" s="599"/>
      <c r="D133" s="612" t="s">
        <v>104</v>
      </c>
      <c r="E133" s="599"/>
      <c r="F133" s="599"/>
      <c r="G133" s="599"/>
    </row>
    <row r="134" spans="1:8">
      <c r="A134" s="620"/>
      <c r="B134" s="588"/>
      <c r="C134" s="599"/>
      <c r="D134" s="625" t="s">
        <v>1990</v>
      </c>
      <c r="E134" s="599"/>
      <c r="F134" s="599"/>
      <c r="G134" s="599"/>
    </row>
    <row r="135" spans="1:8">
      <c r="A135" s="620"/>
      <c r="B135" s="598" t="s">
        <v>36</v>
      </c>
      <c r="C135" s="621" t="s">
        <v>37</v>
      </c>
      <c r="D135" s="599"/>
      <c r="E135" s="599"/>
      <c r="F135" s="599"/>
      <c r="G135" s="599"/>
    </row>
    <row r="136" spans="1:8">
      <c r="A136" s="620"/>
      <c r="B136" s="600">
        <v>0.08</v>
      </c>
      <c r="C136" s="588" t="s">
        <v>106</v>
      </c>
      <c r="D136" s="612" t="s">
        <v>14</v>
      </c>
      <c r="E136" s="600">
        <f>'SSR-rates'!$L$58</f>
        <v>575</v>
      </c>
      <c r="F136" s="588" t="s">
        <v>38</v>
      </c>
      <c r="G136" s="602">
        <f>ROUND(B136*E136,2)</f>
        <v>46</v>
      </c>
      <c r="H136" s="623"/>
    </row>
    <row r="137" spans="1:8">
      <c r="A137" s="620"/>
      <c r="B137" s="600">
        <v>0.25</v>
      </c>
      <c r="C137" s="588" t="s">
        <v>106</v>
      </c>
      <c r="D137" s="612" t="s">
        <v>58</v>
      </c>
      <c r="E137" s="600">
        <f>'SSR-rates'!$L$54</f>
        <v>615</v>
      </c>
      <c r="F137" s="588" t="s">
        <v>38</v>
      </c>
      <c r="G137" s="602">
        <f>ROUND(B137*E137,2)</f>
        <v>153.75</v>
      </c>
    </row>
    <row r="138" spans="1:8">
      <c r="A138" s="620"/>
      <c r="B138" s="600">
        <v>2</v>
      </c>
      <c r="C138" s="588" t="s">
        <v>106</v>
      </c>
      <c r="D138" s="612" t="s">
        <v>59</v>
      </c>
      <c r="E138" s="600">
        <f>'SSR-rates'!$L$60</f>
        <v>575</v>
      </c>
      <c r="F138" s="588" t="s">
        <v>38</v>
      </c>
      <c r="G138" s="602">
        <f>ROUND(B138*E138,2)</f>
        <v>1150</v>
      </c>
    </row>
    <row r="139" spans="1:8">
      <c r="A139" s="598"/>
      <c r="B139" s="603">
        <f>'Input Data'!$D$23</f>
        <v>0</v>
      </c>
      <c r="C139" s="617"/>
      <c r="D139" s="599" t="s">
        <v>17</v>
      </c>
      <c r="E139" s="600">
        <f>SUM(G136:G138)</f>
        <v>1349.75</v>
      </c>
      <c r="F139" s="588"/>
      <c r="G139" s="602">
        <f>B139*E139</f>
        <v>0</v>
      </c>
    </row>
    <row r="140" spans="1:8">
      <c r="A140" s="620"/>
      <c r="B140" s="600"/>
      <c r="C140" s="599"/>
      <c r="D140" s="612" t="s">
        <v>60</v>
      </c>
      <c r="E140" s="600"/>
      <c r="F140" s="600"/>
      <c r="G140" s="604">
        <f>SUM(G136:G139)</f>
        <v>1349.75</v>
      </c>
    </row>
    <row r="141" spans="1:8">
      <c r="A141" s="620"/>
      <c r="B141" s="598" t="s">
        <v>39</v>
      </c>
      <c r="C141" s="621" t="s">
        <v>61</v>
      </c>
      <c r="D141" s="599"/>
      <c r="E141" s="600"/>
      <c r="F141" s="600"/>
      <c r="G141" s="602"/>
    </row>
    <row r="142" spans="1:8" ht="30">
      <c r="A142" s="620"/>
      <c r="B142" s="588">
        <f>0.03/2</f>
        <v>1.4999999999999999E-2</v>
      </c>
      <c r="C142" s="600" t="s">
        <v>31</v>
      </c>
      <c r="D142" s="622" t="s">
        <v>1852</v>
      </c>
      <c r="E142" s="605">
        <f>lead!$J$31</f>
        <v>1812.3700655723276</v>
      </c>
      <c r="F142" s="600" t="s">
        <v>31</v>
      </c>
      <c r="G142" s="602">
        <f>ROUND(B142*E142,2)</f>
        <v>27.19</v>
      </c>
    </row>
    <row r="143" spans="1:8">
      <c r="A143" s="620"/>
      <c r="B143" s="588">
        <f>0.03/2</f>
        <v>1.4999999999999999E-2</v>
      </c>
      <c r="C143" s="600" t="s">
        <v>31</v>
      </c>
      <c r="D143" s="622" t="s">
        <v>1853</v>
      </c>
      <c r="E143" s="605">
        <f>lead!$J$33</f>
        <v>1447.5179333714741</v>
      </c>
      <c r="F143" s="600" t="s">
        <v>31</v>
      </c>
      <c r="G143" s="602">
        <f>ROUND(B143*E143,2)</f>
        <v>21.71</v>
      </c>
    </row>
    <row r="144" spans="1:8">
      <c r="A144" s="620"/>
      <c r="B144" s="588">
        <v>0.04</v>
      </c>
      <c r="C144" s="600" t="s">
        <v>66</v>
      </c>
      <c r="D144" s="599" t="s">
        <v>67</v>
      </c>
      <c r="E144" s="600">
        <f>+lead!$J$36</f>
        <v>5000</v>
      </c>
      <c r="F144" s="588" t="s">
        <v>38</v>
      </c>
      <c r="G144" s="602">
        <f t="shared" ref="G144:G146" si="3">ROUND(B144*E144,2)</f>
        <v>200</v>
      </c>
    </row>
    <row r="145" spans="1:7">
      <c r="A145" s="620"/>
      <c r="B145" s="600">
        <v>12.5</v>
      </c>
      <c r="C145" s="588" t="s">
        <v>107</v>
      </c>
      <c r="D145" s="612" t="s">
        <v>1991</v>
      </c>
      <c r="E145" s="600">
        <f>+lead!J45</f>
        <v>8792.2749905382207</v>
      </c>
      <c r="F145" s="600" t="s">
        <v>107</v>
      </c>
      <c r="G145" s="602">
        <f t="shared" si="3"/>
        <v>109903.44</v>
      </c>
    </row>
    <row r="146" spans="1:7">
      <c r="A146" s="620"/>
      <c r="B146" s="600">
        <v>4</v>
      </c>
      <c r="C146" s="588" t="s">
        <v>106</v>
      </c>
      <c r="D146" s="612" t="s">
        <v>1991</v>
      </c>
      <c r="E146" s="600">
        <f>+lead!J53</f>
        <v>996.44</v>
      </c>
      <c r="F146" s="600" t="s">
        <v>241</v>
      </c>
      <c r="G146" s="602">
        <f t="shared" si="3"/>
        <v>3985.76</v>
      </c>
    </row>
    <row r="147" spans="1:7">
      <c r="A147" s="620"/>
      <c r="B147" s="600"/>
      <c r="C147" s="617"/>
      <c r="D147" s="612" t="s">
        <v>60</v>
      </c>
      <c r="E147" s="600"/>
      <c r="F147" s="600"/>
      <c r="G147" s="604">
        <f>SUM(G142:G146)</f>
        <v>114138.09999999999</v>
      </c>
    </row>
    <row r="148" spans="1:7">
      <c r="A148" s="598"/>
      <c r="B148" s="598" t="s">
        <v>27</v>
      </c>
      <c r="C148" s="594" t="s">
        <v>1332</v>
      </c>
      <c r="D148" s="599"/>
      <c r="E148" s="601"/>
      <c r="F148" s="601"/>
      <c r="G148" s="604"/>
    </row>
    <row r="149" spans="1:7">
      <c r="A149" s="598"/>
      <c r="B149" s="611">
        <f>'Input Data'!$D$24</f>
        <v>0.13614999999999999</v>
      </c>
      <c r="C149" s="617"/>
      <c r="D149" s="612" t="str">
        <f>"Over head charges "&amp;'Input Data'!$D$24*100&amp;"%  on (A) + (B)"</f>
        <v>Over head charges 13.615%  on (A) + (B)</v>
      </c>
      <c r="E149" s="617">
        <f>G147+G140</f>
        <v>115487.84999999999</v>
      </c>
      <c r="F149" s="601"/>
      <c r="G149" s="602">
        <f>E149*B149</f>
        <v>15723.670777499998</v>
      </c>
    </row>
    <row r="150" spans="1:7">
      <c r="A150" s="598"/>
      <c r="B150" s="598" t="s">
        <v>45</v>
      </c>
      <c r="C150" s="594" t="s">
        <v>46</v>
      </c>
      <c r="D150" s="599"/>
      <c r="E150" s="601"/>
      <c r="F150" s="601"/>
      <c r="G150" s="604">
        <f>G140+G147+G149</f>
        <v>131211.5207775</v>
      </c>
    </row>
    <row r="151" spans="1:7">
      <c r="A151" s="620"/>
      <c r="B151" s="600"/>
      <c r="C151" s="601"/>
      <c r="D151" s="621" t="s">
        <v>1987</v>
      </c>
      <c r="E151" s="600"/>
      <c r="F151" s="600"/>
      <c r="G151" s="604">
        <f>SUM(G150:G150)</f>
        <v>131211.5207775</v>
      </c>
    </row>
    <row r="152" spans="1:7">
      <c r="A152" s="620"/>
      <c r="B152" s="600"/>
      <c r="C152" s="601"/>
      <c r="D152" s="612" t="s">
        <v>111</v>
      </c>
      <c r="E152" s="600"/>
      <c r="F152" s="600"/>
      <c r="G152" s="602">
        <f>ROUND(G151/12.5,2)</f>
        <v>10496.92</v>
      </c>
    </row>
    <row r="153" spans="1:7">
      <c r="A153" s="620"/>
      <c r="B153" s="588"/>
      <c r="C153" s="599"/>
      <c r="D153" s="612" t="s">
        <v>52</v>
      </c>
      <c r="E153" s="600"/>
      <c r="F153" s="600"/>
      <c r="G153" s="615">
        <f>ROUND(G152,2)</f>
        <v>10496.92</v>
      </c>
    </row>
    <row r="154" spans="1:7">
      <c r="A154" s="620"/>
      <c r="B154" s="588"/>
      <c r="C154" s="599"/>
      <c r="D154" s="612"/>
      <c r="E154" s="600"/>
      <c r="F154" s="600"/>
      <c r="G154" s="604" t="s">
        <v>112</v>
      </c>
    </row>
    <row r="155" spans="1:7">
      <c r="A155" s="620"/>
      <c r="B155" s="600"/>
      <c r="C155" s="601"/>
      <c r="D155" s="628"/>
      <c r="E155" s="600"/>
      <c r="F155" s="600"/>
      <c r="G155" s="626"/>
    </row>
    <row r="156" spans="1:7" ht="77.099999999999994" customHeight="1">
      <c r="A156" s="627">
        <f>A131+1</f>
        <v>6</v>
      </c>
      <c r="B156" s="3838" t="s">
        <v>1992</v>
      </c>
      <c r="C156" s="3838"/>
      <c r="D156" s="3838"/>
      <c r="E156" s="3838"/>
      <c r="F156" s="3838"/>
      <c r="G156" s="3838"/>
    </row>
    <row r="157" spans="1:7">
      <c r="A157" s="620"/>
      <c r="B157" s="600" t="s">
        <v>10</v>
      </c>
      <c r="C157" s="599"/>
      <c r="D157" s="594" t="s">
        <v>83</v>
      </c>
      <c r="E157" s="599"/>
      <c r="F157" s="599"/>
      <c r="G157" s="609"/>
    </row>
    <row r="158" spans="1:7">
      <c r="A158" s="620"/>
      <c r="B158" s="588"/>
      <c r="C158" s="599"/>
      <c r="D158" s="612" t="s">
        <v>84</v>
      </c>
      <c r="E158" s="599"/>
      <c r="F158" s="599"/>
      <c r="G158" s="609"/>
    </row>
    <row r="159" spans="1:7">
      <c r="A159" s="620"/>
      <c r="B159" s="598" t="s">
        <v>36</v>
      </c>
      <c r="C159" s="621" t="s">
        <v>37</v>
      </c>
      <c r="D159" s="599"/>
      <c r="E159" s="599"/>
      <c r="F159" s="599"/>
      <c r="G159" s="609"/>
    </row>
    <row r="160" spans="1:7">
      <c r="A160" s="620"/>
      <c r="B160" s="600">
        <v>0.28000000000000003</v>
      </c>
      <c r="C160" s="588" t="s">
        <v>954</v>
      </c>
      <c r="D160" s="612" t="s">
        <v>14</v>
      </c>
      <c r="E160" s="600">
        <f>'SSR-rates'!L$58</f>
        <v>575</v>
      </c>
      <c r="F160" s="588" t="s">
        <v>38</v>
      </c>
      <c r="G160" s="602">
        <f>ROUND(B160*E160,2)</f>
        <v>161</v>
      </c>
    </row>
    <row r="161" spans="1:7">
      <c r="A161" s="620"/>
      <c r="B161" s="600">
        <v>7</v>
      </c>
      <c r="C161" s="588" t="s">
        <v>954</v>
      </c>
      <c r="D161" s="612" t="s">
        <v>59</v>
      </c>
      <c r="E161" s="600">
        <f>'SSR-rates'!L$60</f>
        <v>575</v>
      </c>
      <c r="F161" s="588" t="s">
        <v>38</v>
      </c>
      <c r="G161" s="602">
        <f>ROUND(B161*E161,2)</f>
        <v>4025</v>
      </c>
    </row>
    <row r="162" spans="1:7">
      <c r="A162" s="598"/>
      <c r="B162" s="603">
        <f>'Input Data'!$D$23</f>
        <v>0</v>
      </c>
      <c r="C162" s="617"/>
      <c r="D162" s="599" t="s">
        <v>17</v>
      </c>
      <c r="E162" s="600">
        <f>SUM(G160:G161)</f>
        <v>4186</v>
      </c>
      <c r="F162" s="588"/>
      <c r="G162" s="602">
        <f>B162*E162</f>
        <v>0</v>
      </c>
    </row>
    <row r="163" spans="1:7">
      <c r="A163" s="620"/>
      <c r="B163" s="600" t="s">
        <v>85</v>
      </c>
      <c r="C163" s="599"/>
      <c r="D163" s="612" t="s">
        <v>60</v>
      </c>
      <c r="E163" s="600"/>
      <c r="F163" s="588"/>
      <c r="G163" s="602">
        <f>SUM(G160:G162)</f>
        <v>4186</v>
      </c>
    </row>
    <row r="164" spans="1:7">
      <c r="A164" s="620"/>
      <c r="B164" s="600"/>
      <c r="C164" s="599"/>
      <c r="D164" s="612"/>
      <c r="E164" s="600"/>
      <c r="F164" s="600"/>
      <c r="G164" s="602"/>
    </row>
    <row r="165" spans="1:7">
      <c r="A165" s="620"/>
      <c r="B165" s="598" t="s">
        <v>39</v>
      </c>
      <c r="C165" s="621" t="s">
        <v>61</v>
      </c>
      <c r="D165" s="599"/>
      <c r="E165" s="600"/>
      <c r="F165" s="600"/>
      <c r="G165" s="602"/>
    </row>
    <row r="166" spans="1:7">
      <c r="A166" s="620"/>
      <c r="B166" s="600">
        <v>12</v>
      </c>
      <c r="C166" s="588" t="s">
        <v>31</v>
      </c>
      <c r="D166" s="612" t="s">
        <v>1993</v>
      </c>
      <c r="E166" s="600">
        <f>lead!J35</f>
        <v>143.07604629670379</v>
      </c>
      <c r="F166" s="600" t="s">
        <v>31</v>
      </c>
      <c r="G166" s="602">
        <f>ROUND(B166*E166,2)</f>
        <v>1716.91</v>
      </c>
    </row>
    <row r="167" spans="1:7">
      <c r="A167" s="620"/>
      <c r="B167" s="600"/>
      <c r="C167" s="599"/>
      <c r="D167" s="612" t="s">
        <v>60</v>
      </c>
      <c r="E167" s="600"/>
      <c r="F167" s="600"/>
      <c r="G167" s="602">
        <f>SUM(G166:G166)</f>
        <v>1716.91</v>
      </c>
    </row>
    <row r="168" spans="1:7">
      <c r="A168" s="620"/>
      <c r="B168" s="598" t="s">
        <v>87</v>
      </c>
      <c r="C168" s="621" t="s">
        <v>40</v>
      </c>
      <c r="D168" s="599"/>
      <c r="E168" s="600"/>
      <c r="F168" s="600"/>
      <c r="G168" s="602"/>
    </row>
    <row r="169" spans="1:7">
      <c r="A169" s="620"/>
      <c r="B169" s="600">
        <v>2.5</v>
      </c>
      <c r="C169" s="588" t="s">
        <v>41</v>
      </c>
      <c r="D169" s="612" t="s">
        <v>88</v>
      </c>
      <c r="E169" s="600">
        <f>'SSR-rates'!L91</f>
        <v>59</v>
      </c>
      <c r="F169" s="600" t="s">
        <v>41</v>
      </c>
      <c r="G169" s="602">
        <f>ROUND(B169*E169,2)</f>
        <v>147.5</v>
      </c>
    </row>
    <row r="170" spans="1:7">
      <c r="A170" s="620"/>
      <c r="B170" s="600">
        <v>0.05</v>
      </c>
      <c r="C170" s="588" t="s">
        <v>41</v>
      </c>
      <c r="D170" s="612" t="s">
        <v>70</v>
      </c>
      <c r="E170" s="600">
        <f>'SSR-rates'!L69</f>
        <v>769</v>
      </c>
      <c r="F170" s="600" t="s">
        <v>41</v>
      </c>
      <c r="G170" s="602">
        <f>ROUND(B170*E170,2)</f>
        <v>38.450000000000003</v>
      </c>
    </row>
    <row r="171" spans="1:7">
      <c r="A171" s="620"/>
      <c r="B171" s="600"/>
      <c r="C171" s="601"/>
      <c r="D171" s="612" t="s">
        <v>60</v>
      </c>
      <c r="E171" s="600"/>
      <c r="F171" s="600"/>
      <c r="G171" s="602">
        <f>SUM(G169:G170)</f>
        <v>185.95</v>
      </c>
    </row>
    <row r="172" spans="1:7">
      <c r="A172" s="598"/>
      <c r="B172" s="598" t="s">
        <v>45</v>
      </c>
      <c r="C172" s="594" t="s">
        <v>1994</v>
      </c>
      <c r="D172" s="599"/>
      <c r="E172" s="601"/>
      <c r="F172" s="601"/>
      <c r="G172" s="604"/>
    </row>
    <row r="173" spans="1:7" ht="15" customHeight="1">
      <c r="A173" s="598"/>
      <c r="B173" s="611">
        <f>'Input Data'!$D$24</f>
        <v>0.13614999999999999</v>
      </c>
      <c r="C173" s="3839" t="str">
        <f>"Over head charges &amp; CP "&amp;'Input Data'!$D$24*100&amp;"%  on (A) + (B)+(C)"</f>
        <v>Over head charges &amp; CP 13.615%  on (A) + (B)+(C)</v>
      </c>
      <c r="D173" s="3839"/>
      <c r="E173" s="600">
        <f>G171+G167+G163</f>
        <v>6088.8600000000006</v>
      </c>
      <c r="F173" s="601"/>
      <c r="G173" s="602">
        <f>E173*B173</f>
        <v>828.998289</v>
      </c>
    </row>
    <row r="174" spans="1:7">
      <c r="A174" s="598"/>
      <c r="B174" s="598" t="s">
        <v>47</v>
      </c>
      <c r="C174" s="594" t="s">
        <v>89</v>
      </c>
      <c r="D174" s="599"/>
      <c r="E174" s="601"/>
      <c r="F174" s="601"/>
      <c r="G174" s="604">
        <f>G163+G167+G171+G173</f>
        <v>6917.8582889999998</v>
      </c>
    </row>
    <row r="175" spans="1:7">
      <c r="A175" s="620"/>
      <c r="B175" s="600"/>
      <c r="C175" s="601"/>
      <c r="D175" s="621" t="s">
        <v>1995</v>
      </c>
      <c r="E175" s="600"/>
      <c r="F175" s="600"/>
      <c r="G175" s="604">
        <f>SUM(G174:G174)</f>
        <v>6917.8582889999998</v>
      </c>
    </row>
    <row r="176" spans="1:7">
      <c r="A176" s="620"/>
      <c r="B176" s="600"/>
      <c r="C176" s="601"/>
      <c r="D176" s="612" t="s">
        <v>50</v>
      </c>
      <c r="E176" s="600"/>
      <c r="F176" s="600"/>
      <c r="G176" s="602">
        <f>G175/10</f>
        <v>691.78582889999996</v>
      </c>
    </row>
    <row r="177" spans="1:7">
      <c r="A177" s="620"/>
      <c r="B177" s="588"/>
      <c r="C177" s="599"/>
      <c r="D177" s="612" t="s">
        <v>52</v>
      </c>
      <c r="E177" s="600"/>
      <c r="F177" s="600"/>
      <c r="G177" s="615">
        <f>ROUND(G176,2)</f>
        <v>691.79</v>
      </c>
    </row>
    <row r="178" spans="1:7">
      <c r="A178" s="620"/>
      <c r="B178" s="588"/>
      <c r="C178" s="599"/>
      <c r="D178" s="612"/>
      <c r="E178" s="600"/>
      <c r="F178" s="600"/>
      <c r="G178" s="604" t="s">
        <v>53</v>
      </c>
    </row>
    <row r="179" spans="1:7">
      <c r="A179" s="620"/>
      <c r="B179" s="588"/>
      <c r="C179" s="599"/>
      <c r="D179" s="612"/>
      <c r="E179" s="600"/>
      <c r="F179" s="600"/>
      <c r="G179" s="604"/>
    </row>
    <row r="180" spans="1:7" ht="84.95" customHeight="1">
      <c r="A180" s="629">
        <f>A156+1</f>
        <v>7</v>
      </c>
      <c r="B180" s="3838" t="s">
        <v>116</v>
      </c>
      <c r="C180" s="3838"/>
      <c r="D180" s="3838"/>
      <c r="E180" s="3838"/>
      <c r="F180" s="3838"/>
      <c r="G180" s="3838"/>
    </row>
    <row r="181" spans="1:7">
      <c r="A181" s="620"/>
      <c r="B181" s="600" t="s">
        <v>10</v>
      </c>
      <c r="C181" s="599"/>
      <c r="D181" s="594" t="s">
        <v>117</v>
      </c>
      <c r="E181" s="599"/>
      <c r="F181" s="599"/>
      <c r="G181" s="599"/>
    </row>
    <row r="182" spans="1:7">
      <c r="A182" s="620"/>
      <c r="B182" s="588"/>
      <c r="C182" s="599"/>
      <c r="D182" s="612" t="s">
        <v>115</v>
      </c>
      <c r="E182" s="599"/>
      <c r="F182" s="599"/>
      <c r="G182" s="599"/>
    </row>
    <row r="183" spans="1:7">
      <c r="A183" s="620"/>
      <c r="B183" s="598" t="s">
        <v>36</v>
      </c>
      <c r="C183" s="621" t="s">
        <v>37</v>
      </c>
      <c r="D183" s="599"/>
      <c r="E183" s="599"/>
      <c r="F183" s="599"/>
      <c r="G183" s="599"/>
    </row>
    <row r="184" spans="1:7">
      <c r="A184" s="620"/>
      <c r="B184" s="600">
        <v>0.04</v>
      </c>
      <c r="C184" s="588" t="s">
        <v>57</v>
      </c>
      <c r="D184" s="612" t="s">
        <v>14</v>
      </c>
      <c r="E184" s="600">
        <f>'SSR-rates'!$L$58</f>
        <v>575</v>
      </c>
      <c r="F184" s="588" t="s">
        <v>38</v>
      </c>
      <c r="G184" s="602">
        <f>ROUND(B184*E184,2)</f>
        <v>23</v>
      </c>
    </row>
    <row r="185" spans="1:7">
      <c r="A185" s="620"/>
      <c r="B185" s="600">
        <v>0.35</v>
      </c>
      <c r="C185" s="588" t="s">
        <v>57</v>
      </c>
      <c r="D185" s="612" t="s">
        <v>58</v>
      </c>
      <c r="E185" s="600">
        <f>'SSR-rates'!$L$54</f>
        <v>615</v>
      </c>
      <c r="F185" s="588" t="s">
        <v>38</v>
      </c>
      <c r="G185" s="602">
        <f>ROUND(B185*E185,2)</f>
        <v>215.25</v>
      </c>
    </row>
    <row r="186" spans="1:7">
      <c r="A186" s="620"/>
      <c r="B186" s="600">
        <v>0.75</v>
      </c>
      <c r="C186" s="588" t="s">
        <v>57</v>
      </c>
      <c r="D186" s="612" t="s">
        <v>59</v>
      </c>
      <c r="E186" s="600">
        <f>'SSR-rates'!$L$60</f>
        <v>575</v>
      </c>
      <c r="F186" s="588" t="s">
        <v>38</v>
      </c>
      <c r="G186" s="602">
        <f>ROUND(B186*E186,2)</f>
        <v>431.25</v>
      </c>
    </row>
    <row r="187" spans="1:7">
      <c r="A187" s="598"/>
      <c r="B187" s="603">
        <f>'Input Data'!$D$23</f>
        <v>0</v>
      </c>
      <c r="C187" s="617"/>
      <c r="D187" s="599" t="s">
        <v>17</v>
      </c>
      <c r="E187" s="600">
        <f>SUM(G184:G186)</f>
        <v>669.5</v>
      </c>
      <c r="F187" s="588"/>
      <c r="G187" s="602">
        <f>B187*E187</f>
        <v>0</v>
      </c>
    </row>
    <row r="188" spans="1:7">
      <c r="A188" s="620"/>
      <c r="B188" s="600" t="s">
        <v>85</v>
      </c>
      <c r="C188" s="599"/>
      <c r="D188" s="612" t="s">
        <v>60</v>
      </c>
      <c r="E188" s="600"/>
      <c r="F188" s="588"/>
      <c r="G188" s="602">
        <f>SUM(G184:G187)</f>
        <v>669.5</v>
      </c>
    </row>
    <row r="189" spans="1:7">
      <c r="A189" s="620"/>
      <c r="B189" s="600"/>
      <c r="C189" s="599"/>
      <c r="D189" s="612"/>
      <c r="E189" s="600"/>
      <c r="F189" s="600"/>
      <c r="G189" s="602"/>
    </row>
    <row r="190" spans="1:7">
      <c r="A190" s="620"/>
      <c r="B190" s="598" t="s">
        <v>39</v>
      </c>
      <c r="C190" s="621" t="s">
        <v>61</v>
      </c>
      <c r="D190" s="599"/>
      <c r="E190" s="600"/>
      <c r="F190" s="600"/>
      <c r="G190" s="602"/>
    </row>
    <row r="191" spans="1:7">
      <c r="A191" s="620"/>
      <c r="B191" s="600">
        <v>1</v>
      </c>
      <c r="C191" s="588" t="s">
        <v>31</v>
      </c>
      <c r="D191" s="612" t="s">
        <v>118</v>
      </c>
      <c r="E191" s="600">
        <f>lead!J$23</f>
        <v>1070.5179333714741</v>
      </c>
      <c r="F191" s="600" t="s">
        <v>31</v>
      </c>
      <c r="G191" s="602">
        <f>ROUND(B191*E191,2)</f>
        <v>1070.52</v>
      </c>
    </row>
    <row r="192" spans="1:7">
      <c r="A192" s="620"/>
      <c r="B192" s="600">
        <v>0.2</v>
      </c>
      <c r="C192" s="588" t="s">
        <v>31</v>
      </c>
      <c r="D192" s="612" t="s">
        <v>119</v>
      </c>
      <c r="E192" s="600">
        <f>lead!J$25</f>
        <v>841.5179333714741</v>
      </c>
      <c r="F192" s="600" t="s">
        <v>31</v>
      </c>
      <c r="G192" s="602">
        <f>ROUND(B192*E192,2)</f>
        <v>168.3</v>
      </c>
    </row>
    <row r="193" spans="1:10">
      <c r="A193" s="620"/>
      <c r="B193" s="600"/>
      <c r="C193" s="599"/>
      <c r="D193" s="612" t="s">
        <v>60</v>
      </c>
      <c r="E193" s="600"/>
      <c r="F193" s="600"/>
      <c r="G193" s="602">
        <f>SUM(G191:G192)</f>
        <v>1238.82</v>
      </c>
    </row>
    <row r="194" spans="1:10">
      <c r="A194" s="598"/>
      <c r="B194" s="598" t="s">
        <v>27</v>
      </c>
      <c r="C194" s="594" t="s">
        <v>1332</v>
      </c>
      <c r="D194" s="599"/>
      <c r="E194" s="601"/>
      <c r="F194" s="601"/>
      <c r="G194" s="604"/>
    </row>
    <row r="195" spans="1:10">
      <c r="A195" s="598"/>
      <c r="B195" s="611">
        <f>'Input Data'!$D$24</f>
        <v>0.13614999999999999</v>
      </c>
      <c r="C195" s="617"/>
      <c r="D195" s="612" t="str">
        <f>"Over head charges "&amp;'Input Data'!$D$24*100&amp;"%  on (A) + (B)"</f>
        <v>Over head charges 13.615%  on (A) + (B)</v>
      </c>
      <c r="E195" s="617">
        <f>G193+G188</f>
        <v>1908.32</v>
      </c>
      <c r="F195" s="601"/>
      <c r="G195" s="602">
        <f>E195*B195</f>
        <v>259.817768</v>
      </c>
    </row>
    <row r="196" spans="1:10">
      <c r="A196" s="598"/>
      <c r="B196" s="598" t="s">
        <v>45</v>
      </c>
      <c r="C196" s="594" t="s">
        <v>46</v>
      </c>
      <c r="D196" s="599"/>
      <c r="E196" s="601"/>
      <c r="F196" s="601"/>
      <c r="G196" s="604">
        <f>G188+G193+G195</f>
        <v>2168.1377680000001</v>
      </c>
    </row>
    <row r="197" spans="1:10">
      <c r="A197" s="620"/>
      <c r="B197" s="600"/>
      <c r="C197" s="601"/>
      <c r="D197" s="621" t="s">
        <v>1984</v>
      </c>
      <c r="E197" s="600"/>
      <c r="F197" s="600"/>
      <c r="G197" s="604">
        <f>SUM(G196:G196)</f>
        <v>2168.1377680000001</v>
      </c>
    </row>
    <row r="198" spans="1:10">
      <c r="A198" s="620"/>
      <c r="B198" s="588"/>
      <c r="C198" s="599"/>
      <c r="D198" s="612" t="s">
        <v>52</v>
      </c>
      <c r="E198" s="600"/>
      <c r="F198" s="600"/>
      <c r="G198" s="615">
        <f>ROUND(G197,2)</f>
        <v>2168.14</v>
      </c>
    </row>
    <row r="199" spans="1:10">
      <c r="A199" s="598"/>
      <c r="B199" s="600"/>
      <c r="C199" s="617"/>
      <c r="D199" s="630"/>
      <c r="E199" s="602"/>
      <c r="F199" s="612"/>
      <c r="G199" s="604" t="s">
        <v>53</v>
      </c>
    </row>
    <row r="200" spans="1:10">
      <c r="A200" s="598"/>
      <c r="B200" s="600"/>
      <c r="C200" s="617"/>
      <c r="D200" s="630"/>
      <c r="E200" s="602"/>
      <c r="F200" s="612"/>
      <c r="G200" s="604"/>
    </row>
    <row r="201" spans="1:10" ht="89.1" customHeight="1">
      <c r="A201" s="591">
        <v>5</v>
      </c>
      <c r="B201" s="3841" t="s">
        <v>1144</v>
      </c>
      <c r="C201" s="3841"/>
      <c r="D201" s="3841"/>
      <c r="E201" s="3841"/>
      <c r="F201" s="3841"/>
      <c r="G201" s="3841"/>
      <c r="H201" s="631"/>
      <c r="I201" s="631"/>
      <c r="J201" s="631"/>
    </row>
    <row r="202" spans="1:10">
      <c r="A202" s="599"/>
      <c r="B202" s="599"/>
      <c r="C202" s="599"/>
      <c r="D202" s="612" t="s">
        <v>10</v>
      </c>
      <c r="E202" s="632" t="s">
        <v>1996</v>
      </c>
      <c r="F202" s="599"/>
      <c r="G202" s="599"/>
    </row>
    <row r="203" spans="1:10">
      <c r="A203" s="599"/>
      <c r="B203" s="599"/>
      <c r="C203" s="599"/>
      <c r="D203" s="612" t="s">
        <v>56</v>
      </c>
      <c r="E203" s="599"/>
      <c r="F203" s="599"/>
      <c r="G203" s="599"/>
    </row>
    <row r="204" spans="1:10">
      <c r="A204" s="599"/>
      <c r="B204" s="633" t="s">
        <v>36</v>
      </c>
      <c r="C204" s="621" t="s">
        <v>37</v>
      </c>
      <c r="D204" s="599"/>
      <c r="E204" s="599"/>
      <c r="F204" s="599"/>
      <c r="G204" s="599"/>
    </row>
    <row r="205" spans="1:10">
      <c r="A205" s="599"/>
      <c r="B205" s="602">
        <v>0.86</v>
      </c>
      <c r="C205" s="601" t="s">
        <v>57</v>
      </c>
      <c r="D205" s="612" t="s">
        <v>14</v>
      </c>
      <c r="E205" s="600">
        <f>+'SSR-rates'!$L$58</f>
        <v>575</v>
      </c>
      <c r="F205" s="600" t="s">
        <v>38</v>
      </c>
      <c r="G205" s="602">
        <f t="shared" ref="G205:G207" si="4">ROUND(B205*E205,2)</f>
        <v>494.5</v>
      </c>
    </row>
    <row r="206" spans="1:10">
      <c r="A206" s="599"/>
      <c r="B206" s="602">
        <v>1.5</v>
      </c>
      <c r="C206" s="601" t="s">
        <v>57</v>
      </c>
      <c r="D206" s="612" t="s">
        <v>58</v>
      </c>
      <c r="E206" s="600">
        <f>+'SSR-rates'!$L$54</f>
        <v>615</v>
      </c>
      <c r="F206" s="600" t="s">
        <v>38</v>
      </c>
      <c r="G206" s="602">
        <f t="shared" si="4"/>
        <v>922.5</v>
      </c>
    </row>
    <row r="207" spans="1:10">
      <c r="A207" s="599"/>
      <c r="B207" s="602">
        <v>20</v>
      </c>
      <c r="C207" s="601" t="s">
        <v>57</v>
      </c>
      <c r="D207" s="612" t="s">
        <v>59</v>
      </c>
      <c r="E207" s="600">
        <f>+'SSR-rates'!$L$60</f>
        <v>575</v>
      </c>
      <c r="F207" s="600" t="s">
        <v>38</v>
      </c>
      <c r="G207" s="602">
        <f t="shared" si="4"/>
        <v>11500</v>
      </c>
    </row>
    <row r="208" spans="1:10">
      <c r="A208" s="598"/>
      <c r="B208" s="634">
        <f>+'Input Data'!D48</f>
        <v>0</v>
      </c>
      <c r="C208" s="617"/>
      <c r="D208" s="599" t="s">
        <v>17</v>
      </c>
      <c r="E208" s="600">
        <f>SUM(G205:G207)</f>
        <v>12917</v>
      </c>
      <c r="F208" s="588"/>
      <c r="G208" s="602">
        <f>B208*E208</f>
        <v>0</v>
      </c>
    </row>
    <row r="209" spans="1:7">
      <c r="A209" s="599"/>
      <c r="B209" s="602"/>
      <c r="C209" s="599"/>
      <c r="D209" s="612" t="s">
        <v>60</v>
      </c>
      <c r="E209" s="600"/>
      <c r="F209" s="600"/>
      <c r="G209" s="604">
        <f>SUM(G205:G208)</f>
        <v>12917</v>
      </c>
    </row>
    <row r="210" spans="1:7">
      <c r="A210" s="599"/>
      <c r="B210" s="633" t="s">
        <v>39</v>
      </c>
      <c r="C210" s="621" t="s">
        <v>61</v>
      </c>
      <c r="D210" s="599"/>
      <c r="E210" s="599"/>
      <c r="F210" s="600"/>
      <c r="G210" s="602"/>
    </row>
    <row r="211" spans="1:7">
      <c r="A211" s="599"/>
      <c r="B211" s="600">
        <v>8.1</v>
      </c>
      <c r="C211" s="601" t="s">
        <v>31</v>
      </c>
      <c r="D211" s="612" t="s">
        <v>1997</v>
      </c>
      <c r="E211" s="600">
        <f>+lead!$J$14</f>
        <v>1706.5179333714741</v>
      </c>
      <c r="F211" s="600" t="s">
        <v>31</v>
      </c>
      <c r="G211" s="602">
        <f t="shared" ref="G211:G216" si="5">ROUND(B211*E211,2)</f>
        <v>13822.8</v>
      </c>
    </row>
    <row r="212" spans="1:7">
      <c r="A212" s="601"/>
      <c r="B212" s="600">
        <v>4.05</v>
      </c>
      <c r="C212" s="601" t="s">
        <v>31</v>
      </c>
      <c r="D212" s="599" t="s">
        <v>63</v>
      </c>
      <c r="E212" s="600">
        <f>+lead!$J$16</f>
        <v>2005.5179333714741</v>
      </c>
      <c r="F212" s="600" t="s">
        <v>31</v>
      </c>
      <c r="G212" s="612">
        <f t="shared" si="5"/>
        <v>8122.35</v>
      </c>
    </row>
    <row r="213" spans="1:7">
      <c r="A213" s="601"/>
      <c r="B213" s="600">
        <v>1.35</v>
      </c>
      <c r="C213" s="601" t="s">
        <v>31</v>
      </c>
      <c r="D213" s="599" t="s">
        <v>64</v>
      </c>
      <c r="E213" s="600">
        <f>+lead!$J$18</f>
        <v>1754.5179333714741</v>
      </c>
      <c r="F213" s="600" t="s">
        <v>31</v>
      </c>
      <c r="G213" s="612">
        <f t="shared" si="5"/>
        <v>2368.6</v>
      </c>
    </row>
    <row r="214" spans="1:7" ht="30">
      <c r="A214" s="599"/>
      <c r="B214" s="600">
        <f>6.75/2</f>
        <v>3.375</v>
      </c>
      <c r="C214" s="601" t="s">
        <v>31</v>
      </c>
      <c r="D214" s="635" t="s">
        <v>1852</v>
      </c>
      <c r="E214" s="605">
        <f>lead!$J$31</f>
        <v>1812.3700655723276</v>
      </c>
      <c r="F214" s="600" t="s">
        <v>31</v>
      </c>
      <c r="G214" s="602">
        <f t="shared" si="5"/>
        <v>6116.75</v>
      </c>
    </row>
    <row r="215" spans="1:7">
      <c r="A215" s="599"/>
      <c r="B215" s="600">
        <f>6.75/2</f>
        <v>3.375</v>
      </c>
      <c r="C215" s="601" t="s">
        <v>31</v>
      </c>
      <c r="D215" s="635" t="s">
        <v>1853</v>
      </c>
      <c r="E215" s="605">
        <f>lead!$J$33</f>
        <v>1447.5179333714741</v>
      </c>
      <c r="F215" s="600" t="s">
        <v>31</v>
      </c>
      <c r="G215" s="602">
        <f t="shared" si="5"/>
        <v>4885.37</v>
      </c>
    </row>
    <row r="216" spans="1:7">
      <c r="A216" s="599"/>
      <c r="B216" s="600">
        <v>4.13</v>
      </c>
      <c r="C216" s="601" t="s">
        <v>66</v>
      </c>
      <c r="D216" s="612" t="s">
        <v>67</v>
      </c>
      <c r="E216" s="600">
        <f>+lead!$J$36</f>
        <v>5000</v>
      </c>
      <c r="F216" s="600" t="s">
        <v>66</v>
      </c>
      <c r="G216" s="602">
        <f t="shared" si="5"/>
        <v>20650</v>
      </c>
    </row>
    <row r="217" spans="1:7">
      <c r="A217" s="599"/>
      <c r="B217" s="636"/>
      <c r="C217" s="617"/>
      <c r="D217" s="612" t="s">
        <v>60</v>
      </c>
      <c r="E217" s="600"/>
      <c r="F217" s="600"/>
      <c r="G217" s="604">
        <f>SUM(G211:G216)</f>
        <v>55965.87</v>
      </c>
    </row>
    <row r="218" spans="1:7">
      <c r="A218" s="599"/>
      <c r="B218" s="633" t="s">
        <v>1998</v>
      </c>
      <c r="C218" s="621" t="s">
        <v>40</v>
      </c>
      <c r="D218" s="599"/>
      <c r="E218" s="600"/>
      <c r="F218" s="600"/>
      <c r="G218" s="602"/>
    </row>
    <row r="219" spans="1:7">
      <c r="A219" s="599"/>
      <c r="B219" s="600">
        <v>6</v>
      </c>
      <c r="C219" s="601" t="s">
        <v>41</v>
      </c>
      <c r="D219" s="612" t="s">
        <v>68</v>
      </c>
      <c r="E219" s="600">
        <f>+'SSR-rates'!$L$88</f>
        <v>697.9</v>
      </c>
      <c r="F219" s="600" t="s">
        <v>41</v>
      </c>
      <c r="G219" s="602">
        <f>ROUND(B219*E219,2)</f>
        <v>4187.3999999999996</v>
      </c>
    </row>
    <row r="220" spans="1:7">
      <c r="A220" s="598"/>
      <c r="B220" s="600">
        <v>6</v>
      </c>
      <c r="C220" s="601" t="s">
        <v>41</v>
      </c>
      <c r="D220" s="612" t="s">
        <v>1999</v>
      </c>
      <c r="E220" s="600">
        <f>+'SSR-rates'!$L$87</f>
        <v>1323.5</v>
      </c>
      <c r="F220" s="600" t="s">
        <v>41</v>
      </c>
      <c r="G220" s="637">
        <f>ROUND(B220*E220,2)</f>
        <v>7941</v>
      </c>
    </row>
    <row r="221" spans="1:7">
      <c r="A221" s="598"/>
      <c r="B221" s="602"/>
      <c r="C221" s="617"/>
      <c r="D221" s="612" t="s">
        <v>60</v>
      </c>
      <c r="E221" s="600"/>
      <c r="F221" s="600"/>
      <c r="G221" s="604">
        <f>SUM(G219:G220)</f>
        <v>12128.4</v>
      </c>
    </row>
    <row r="222" spans="1:7">
      <c r="A222" s="601"/>
      <c r="B222" s="633" t="s">
        <v>45</v>
      </c>
      <c r="C222" s="621" t="s">
        <v>71</v>
      </c>
      <c r="D222" s="599"/>
      <c r="E222" s="600"/>
      <c r="F222" s="600"/>
      <c r="G222" s="612"/>
    </row>
    <row r="223" spans="1:7">
      <c r="A223" s="601"/>
      <c r="B223" s="612">
        <v>10</v>
      </c>
      <c r="C223" s="601" t="s">
        <v>29</v>
      </c>
      <c r="D223" s="599" t="s">
        <v>2000</v>
      </c>
      <c r="E223" s="600">
        <f>+G221+G217+G209</f>
        <v>81011.27</v>
      </c>
      <c r="F223" s="588" t="s">
        <v>73</v>
      </c>
      <c r="G223" s="612">
        <f>ROUND(B223*E223/100,2)</f>
        <v>8101.13</v>
      </c>
    </row>
    <row r="224" spans="1:7">
      <c r="A224" s="598"/>
      <c r="B224" s="633" t="s">
        <v>45</v>
      </c>
      <c r="C224" s="594" t="s">
        <v>1332</v>
      </c>
      <c r="D224" s="599"/>
      <c r="E224" s="601"/>
      <c r="F224" s="601"/>
      <c r="G224" s="604"/>
    </row>
    <row r="225" spans="1:7">
      <c r="A225" s="599"/>
      <c r="B225" s="638">
        <f>'Input Data'!$D$24</f>
        <v>0.13614999999999999</v>
      </c>
      <c r="C225" s="594" t="s">
        <v>1332</v>
      </c>
      <c r="D225" s="599"/>
      <c r="E225" s="601"/>
      <c r="F225" s="601"/>
      <c r="G225" s="602">
        <f>ROUND((G209+G217+G221+G223)*B225,2)</f>
        <v>12132.65</v>
      </c>
    </row>
    <row r="226" spans="1:7">
      <c r="A226" s="599"/>
      <c r="B226" s="613">
        <f>'Input Data'!$E$24</f>
        <v>0</v>
      </c>
      <c r="C226" s="614" t="s">
        <v>1314</v>
      </c>
      <c r="D226" s="599"/>
      <c r="E226" s="617">
        <f>G225+G223+G221+G217+G209</f>
        <v>101245.05</v>
      </c>
      <c r="F226" s="601"/>
      <c r="G226" s="602">
        <f>E226*B226</f>
        <v>0</v>
      </c>
    </row>
    <row r="227" spans="1:7">
      <c r="A227" s="599"/>
      <c r="B227" s="633" t="s">
        <v>47</v>
      </c>
      <c r="C227" s="594" t="s">
        <v>89</v>
      </c>
      <c r="D227" s="599"/>
      <c r="E227" s="601"/>
      <c r="F227" s="601"/>
      <c r="G227" s="604">
        <f>G209+G217+G221+G223+G225+G226</f>
        <v>101245.04999999999</v>
      </c>
    </row>
    <row r="228" spans="1:7">
      <c r="A228" s="599"/>
      <c r="B228" s="636"/>
      <c r="C228" s="601"/>
      <c r="D228" s="621" t="s">
        <v>1951</v>
      </c>
      <c r="E228" s="600"/>
      <c r="F228" s="600"/>
      <c r="G228" s="604">
        <f>SUM(G227:G227)</f>
        <v>101245.04999999999</v>
      </c>
    </row>
    <row r="229" spans="1:7">
      <c r="A229" s="599"/>
      <c r="B229" s="602"/>
      <c r="C229" s="601"/>
      <c r="D229" s="612" t="s">
        <v>81</v>
      </c>
      <c r="E229" s="600"/>
      <c r="F229" s="600"/>
      <c r="G229" s="602">
        <f>ROUND(G228/15,2)</f>
        <v>6749.67</v>
      </c>
    </row>
    <row r="230" spans="1:7">
      <c r="A230" s="639"/>
      <c r="B230" s="599"/>
      <c r="C230" s="599"/>
      <c r="D230" s="612" t="s">
        <v>52</v>
      </c>
      <c r="E230" s="600"/>
      <c r="F230" s="600"/>
      <c r="G230" s="615">
        <f>ROUND(G229,2)</f>
        <v>6749.67</v>
      </c>
    </row>
    <row r="231" spans="1:7">
      <c r="A231" s="599"/>
      <c r="B231" s="599"/>
      <c r="C231" s="599"/>
      <c r="D231" s="612"/>
      <c r="E231" s="600"/>
      <c r="F231" s="600"/>
      <c r="G231" s="604" t="s">
        <v>53</v>
      </c>
    </row>
    <row r="232" spans="1:7" s="583" customFormat="1" ht="71.099999999999994" customHeight="1">
      <c r="A232" s="640">
        <f>A180+1</f>
        <v>8</v>
      </c>
      <c r="B232" s="3842" t="s">
        <v>2001</v>
      </c>
      <c r="C232" s="3842"/>
      <c r="D232" s="3842"/>
      <c r="E232" s="3842"/>
      <c r="F232" s="3842"/>
      <c r="G232" s="3842"/>
    </row>
    <row r="233" spans="1:7" s="583" customFormat="1" ht="15" customHeight="1">
      <c r="A233" s="641"/>
      <c r="B233" s="642"/>
      <c r="C233" s="643"/>
      <c r="D233" s="608" t="s">
        <v>9</v>
      </c>
      <c r="E233" s="643"/>
      <c r="F233" s="643"/>
      <c r="G233" s="644"/>
    </row>
    <row r="234" spans="1:7" s="583" customFormat="1" ht="15" customHeight="1">
      <c r="A234" s="641"/>
      <c r="B234" s="642"/>
      <c r="C234" s="643"/>
      <c r="D234" s="645" t="s">
        <v>10</v>
      </c>
      <c r="E234" s="643"/>
      <c r="F234" s="643"/>
      <c r="G234" s="644"/>
    </row>
    <row r="235" spans="1:7" s="583" customFormat="1" ht="15" customHeight="1">
      <c r="A235" s="641"/>
      <c r="B235" s="642"/>
      <c r="C235" s="646"/>
      <c r="D235" s="645" t="s">
        <v>11</v>
      </c>
      <c r="E235" s="643"/>
      <c r="F235" s="643"/>
      <c r="G235" s="644"/>
    </row>
    <row r="236" spans="1:7" s="583" customFormat="1" ht="15" customHeight="1">
      <c r="A236" s="641"/>
      <c r="B236" s="642"/>
      <c r="C236" s="647"/>
      <c r="D236" s="608" t="s">
        <v>12</v>
      </c>
      <c r="E236" s="643"/>
      <c r="F236" s="643"/>
      <c r="G236" s="644"/>
    </row>
    <row r="237" spans="1:7" s="583" customFormat="1" ht="15" customHeight="1">
      <c r="A237" s="641"/>
      <c r="B237" s="648">
        <v>0.15</v>
      </c>
      <c r="C237" s="643" t="s">
        <v>13</v>
      </c>
      <c r="D237" s="649" t="s">
        <v>14</v>
      </c>
      <c r="E237" s="600">
        <f>'SSR-rates'!$L$58</f>
        <v>575</v>
      </c>
      <c r="F237" s="650">
        <v>1</v>
      </c>
      <c r="G237" s="651">
        <f>ROUND(B237*E237,2)</f>
        <v>86.25</v>
      </c>
    </row>
    <row r="238" spans="1:7" s="583" customFormat="1" ht="15" customHeight="1">
      <c r="A238" s="641"/>
      <c r="B238" s="648">
        <v>0.25</v>
      </c>
      <c r="C238" s="643" t="s">
        <v>13</v>
      </c>
      <c r="D238" s="649" t="s">
        <v>15</v>
      </c>
      <c r="E238" s="600">
        <f>'SSR-rates'!$L$59</f>
        <v>575</v>
      </c>
      <c r="F238" s="650">
        <v>1</v>
      </c>
      <c r="G238" s="651">
        <f>ROUND(B238*E238,2)</f>
        <v>143.75</v>
      </c>
    </row>
    <row r="239" spans="1:7" s="583" customFormat="1" ht="15" customHeight="1">
      <c r="A239" s="641"/>
      <c r="B239" s="648">
        <v>3.5</v>
      </c>
      <c r="C239" s="643" t="s">
        <v>13</v>
      </c>
      <c r="D239" s="649" t="s">
        <v>16</v>
      </c>
      <c r="E239" s="600">
        <f>'SSR-rates'!$L$60</f>
        <v>575</v>
      </c>
      <c r="F239" s="650">
        <v>1</v>
      </c>
      <c r="G239" s="651">
        <f>ROUND(B239*E239,2)</f>
        <v>2012.5</v>
      </c>
    </row>
    <row r="240" spans="1:7" s="583" customFormat="1" ht="15" customHeight="1">
      <c r="A240" s="641"/>
      <c r="B240" s="603">
        <f>'Input Data'!$D$23</f>
        <v>0</v>
      </c>
      <c r="C240" s="617"/>
      <c r="D240" s="599" t="s">
        <v>17</v>
      </c>
      <c r="E240" s="600">
        <f>SUM(G237:G239)</f>
        <v>2242.5</v>
      </c>
      <c r="F240" s="588"/>
      <c r="G240" s="602">
        <f>B240*E240</f>
        <v>0</v>
      </c>
    </row>
    <row r="241" spans="1:7" s="583" customFormat="1" ht="15" customHeight="1">
      <c r="A241" s="641"/>
      <c r="B241" s="652"/>
      <c r="C241" s="646"/>
      <c r="D241" s="653" t="s">
        <v>18</v>
      </c>
      <c r="E241" s="646"/>
      <c r="F241" s="654" t="s">
        <v>19</v>
      </c>
      <c r="G241" s="655">
        <f>SUM(G237:G240)</f>
        <v>2242.5</v>
      </c>
    </row>
    <row r="242" spans="1:7" s="583" customFormat="1" ht="15" customHeight="1">
      <c r="A242" s="641"/>
      <c r="B242" s="652"/>
      <c r="C242" s="647"/>
      <c r="D242" s="608" t="s">
        <v>20</v>
      </c>
      <c r="E242" s="646"/>
      <c r="F242" s="646"/>
      <c r="G242" s="651"/>
    </row>
    <row r="243" spans="1:7" s="583" customFormat="1" ht="15" customHeight="1">
      <c r="A243" s="641"/>
      <c r="B243" s="648">
        <v>0.27</v>
      </c>
      <c r="C243" s="643" t="s">
        <v>23</v>
      </c>
      <c r="D243" s="649" t="s">
        <v>24</v>
      </c>
      <c r="E243" s="646">
        <f>'SSR-rates'!$L$70</f>
        <v>512</v>
      </c>
      <c r="F243" s="646">
        <v>1</v>
      </c>
      <c r="G243" s="651">
        <f>ROUND(B243*E243,2)</f>
        <v>138.24</v>
      </c>
    </row>
    <row r="244" spans="1:7" s="583" customFormat="1" ht="15" customHeight="1">
      <c r="A244" s="641"/>
      <c r="B244" s="652"/>
      <c r="C244" s="646"/>
      <c r="D244" s="653" t="s">
        <v>18</v>
      </c>
      <c r="E244" s="646"/>
      <c r="F244" s="654" t="s">
        <v>25</v>
      </c>
      <c r="G244" s="655">
        <f>SUM(G243:G243)</f>
        <v>138.24</v>
      </c>
    </row>
    <row r="245" spans="1:7" s="583" customFormat="1" ht="15" customHeight="1">
      <c r="A245" s="641"/>
      <c r="B245" s="652"/>
      <c r="C245" s="643"/>
      <c r="D245" s="608" t="s">
        <v>26</v>
      </c>
      <c r="E245" s="646"/>
      <c r="F245" s="646"/>
      <c r="G245" s="655">
        <f>G241+G244</f>
        <v>2380.7399999999998</v>
      </c>
    </row>
    <row r="246" spans="1:7" s="583" customFormat="1" ht="15" customHeight="1">
      <c r="A246" s="641"/>
      <c r="B246" s="652"/>
      <c r="C246" s="602" t="s">
        <v>27</v>
      </c>
      <c r="D246" s="608" t="s">
        <v>2002</v>
      </c>
      <c r="E246" s="646"/>
      <c r="F246" s="646"/>
      <c r="G246" s="651"/>
    </row>
    <row r="247" spans="1:7" s="583" customFormat="1" ht="15" customHeight="1">
      <c r="A247" s="641"/>
      <c r="B247" s="611">
        <f>'Input Data'!$D$24</f>
        <v>0.13614999999999999</v>
      </c>
      <c r="C247" s="650"/>
      <c r="D247" s="608" t="str">
        <f>"Over head charges "&amp;'Input Data'!$D$24*100&amp;"%  on (A) + (B)"</f>
        <v>Over head charges 13.615%  on (A) + (B)</v>
      </c>
      <c r="E247" s="650">
        <f>G245</f>
        <v>2380.7399999999998</v>
      </c>
      <c r="F247" s="656"/>
      <c r="G247" s="657">
        <f>E247*B247</f>
        <v>324.13775099999998</v>
      </c>
    </row>
    <row r="248" spans="1:7" s="583" customFormat="1" ht="15" customHeight="1">
      <c r="A248" s="641"/>
      <c r="B248" s="652"/>
      <c r="C248" s="650"/>
      <c r="D248" s="608"/>
      <c r="E248" s="650"/>
      <c r="F248" s="656"/>
      <c r="G248" s="657"/>
    </row>
    <row r="249" spans="1:7" s="583" customFormat="1" ht="15" customHeight="1">
      <c r="A249" s="641"/>
      <c r="B249" s="652">
        <v>1.25</v>
      </c>
      <c r="C249" s="650" t="s">
        <v>31</v>
      </c>
      <c r="D249" s="653" t="str">
        <f>CONCATENATE("TOTAL Cost for ",B249,"  ",C249,"  =  (A+B+C)",)</f>
        <v>TOTAL Cost for 1.25  cum  =  (A+B+C)</v>
      </c>
      <c r="E249" s="650"/>
      <c r="F249" s="650"/>
      <c r="G249" s="657">
        <f>SUM(G245:G248)</f>
        <v>2704.877751</v>
      </c>
    </row>
    <row r="250" spans="1:7" s="583" customFormat="1" ht="15" customHeight="1">
      <c r="A250" s="641"/>
      <c r="B250" s="652"/>
      <c r="C250" s="650"/>
      <c r="D250" s="653" t="str">
        <f>CONCATENATE("Rate per  1  ",C249)</f>
        <v>Rate per  1  cum</v>
      </c>
      <c r="E250" s="650"/>
      <c r="F250" s="650"/>
      <c r="G250" s="651">
        <f>G249/B249</f>
        <v>2163.9022008000002</v>
      </c>
    </row>
    <row r="251" spans="1:7" s="583" customFormat="1" ht="15" customHeight="1">
      <c r="A251" s="641"/>
      <c r="B251" s="652"/>
      <c r="C251" s="646"/>
      <c r="D251" s="608" t="str">
        <f>D250</f>
        <v>Rate per  1  cum</v>
      </c>
      <c r="E251" s="650"/>
      <c r="F251" s="650"/>
      <c r="G251" s="655">
        <f>ROUND(G250,2)</f>
        <v>2163.9</v>
      </c>
    </row>
    <row r="252" spans="1:7" ht="15.95" customHeight="1">
      <c r="A252" s="598"/>
      <c r="B252" s="588"/>
      <c r="C252" s="599"/>
      <c r="D252" s="588" t="str">
        <f>'Road data'!D985</f>
        <v>Assistant Engineer,</v>
      </c>
      <c r="E252" s="3576" t="str">
        <f>'Drain '!I36</f>
        <v>Dy. Exe. Engineer</v>
      </c>
      <c r="F252" s="3576"/>
      <c r="G252" s="3576"/>
    </row>
    <row r="253" spans="1:7" ht="81.95" customHeight="1">
      <c r="A253" s="658">
        <f>A232+1</f>
        <v>9</v>
      </c>
      <c r="B253" s="3844" t="s">
        <v>2003</v>
      </c>
      <c r="C253" s="3844"/>
      <c r="D253" s="3844"/>
      <c r="E253" s="3844"/>
      <c r="F253" s="3844"/>
      <c r="G253" s="3844"/>
    </row>
    <row r="254" spans="1:7" ht="15" customHeight="1">
      <c r="A254" s="659"/>
      <c r="B254" s="642"/>
      <c r="C254" s="642"/>
      <c r="D254" s="608" t="s">
        <v>9</v>
      </c>
      <c r="E254" s="642"/>
      <c r="F254" s="642"/>
      <c r="G254" s="660"/>
    </row>
    <row r="255" spans="1:7" ht="15" customHeight="1">
      <c r="A255" s="659"/>
      <c r="B255" s="642"/>
      <c r="C255" s="642"/>
      <c r="D255" s="645" t="s">
        <v>10</v>
      </c>
      <c r="E255" s="642"/>
      <c r="F255" s="642"/>
      <c r="G255" s="660"/>
    </row>
    <row r="256" spans="1:7" ht="15" customHeight="1">
      <c r="A256" s="659"/>
      <c r="B256" s="642"/>
      <c r="C256" s="652"/>
      <c r="D256" s="645" t="s">
        <v>11</v>
      </c>
      <c r="E256" s="642"/>
      <c r="F256" s="642"/>
      <c r="G256" s="660"/>
    </row>
    <row r="257" spans="1:7" ht="15" customHeight="1">
      <c r="A257" s="659"/>
      <c r="B257" s="642"/>
      <c r="C257" s="659"/>
      <c r="D257" s="608" t="s">
        <v>12</v>
      </c>
      <c r="E257" s="642"/>
      <c r="F257" s="642"/>
      <c r="G257" s="660"/>
    </row>
    <row r="258" spans="1:7" ht="15" customHeight="1">
      <c r="A258" s="659"/>
      <c r="B258" s="648">
        <v>0.02</v>
      </c>
      <c r="C258" s="642" t="s">
        <v>13</v>
      </c>
      <c r="D258" s="649" t="s">
        <v>14</v>
      </c>
      <c r="E258" s="600">
        <f>'SSR-rates'!$L$58</f>
        <v>575</v>
      </c>
      <c r="F258" s="652">
        <v>1</v>
      </c>
      <c r="G258" s="661">
        <f>ROUND(B258*E258,2)</f>
        <v>11.5</v>
      </c>
    </row>
    <row r="259" spans="1:7" ht="15" customHeight="1">
      <c r="A259" s="659"/>
      <c r="B259" s="648">
        <v>0.25</v>
      </c>
      <c r="C259" s="642" t="s">
        <v>13</v>
      </c>
      <c r="D259" s="649" t="s">
        <v>15</v>
      </c>
      <c r="E259" s="600">
        <f>'SSR-rates'!$L$59</f>
        <v>575</v>
      </c>
      <c r="F259" s="652">
        <v>1</v>
      </c>
      <c r="G259" s="661">
        <f>ROUND(B259*E259,2)</f>
        <v>143.75</v>
      </c>
    </row>
    <row r="260" spans="1:7" ht="15" customHeight="1">
      <c r="A260" s="659"/>
      <c r="B260" s="648">
        <v>0.25</v>
      </c>
      <c r="C260" s="642" t="s">
        <v>13</v>
      </c>
      <c r="D260" s="649" t="s">
        <v>16</v>
      </c>
      <c r="E260" s="600">
        <f>'SSR-rates'!$L$60</f>
        <v>575</v>
      </c>
      <c r="F260" s="652">
        <v>1</v>
      </c>
      <c r="G260" s="661">
        <f>ROUND(B260*E260,2)</f>
        <v>143.75</v>
      </c>
    </row>
    <row r="261" spans="1:7" ht="15" customHeight="1">
      <c r="A261" s="659"/>
      <c r="B261" s="603">
        <f>'Input Data'!$D$23</f>
        <v>0</v>
      </c>
      <c r="C261" s="617"/>
      <c r="D261" s="599" t="s">
        <v>17</v>
      </c>
      <c r="E261" s="600">
        <f>SUM(G258:G260)</f>
        <v>299</v>
      </c>
      <c r="F261" s="588"/>
      <c r="G261" s="602">
        <f>B261*E261</f>
        <v>0</v>
      </c>
    </row>
    <row r="262" spans="1:7" ht="15" customHeight="1">
      <c r="A262" s="659"/>
      <c r="B262" s="652"/>
      <c r="C262" s="652"/>
      <c r="D262" s="653" t="s">
        <v>18</v>
      </c>
      <c r="E262" s="652"/>
      <c r="F262" s="662" t="s">
        <v>19</v>
      </c>
      <c r="G262" s="663">
        <f>SUM(G258:G261)</f>
        <v>299</v>
      </c>
    </row>
    <row r="263" spans="1:7" ht="15" customHeight="1">
      <c r="A263" s="659"/>
      <c r="B263" s="652"/>
      <c r="C263" s="659"/>
      <c r="D263" s="608" t="s">
        <v>20</v>
      </c>
      <c r="E263" s="652"/>
      <c r="F263" s="652"/>
      <c r="G263" s="661"/>
    </row>
    <row r="264" spans="1:7" ht="30" customHeight="1">
      <c r="A264" s="642"/>
      <c r="B264" s="652">
        <v>0.67</v>
      </c>
      <c r="C264" s="642" t="s">
        <v>23</v>
      </c>
      <c r="D264" s="664" t="s">
        <v>2004</v>
      </c>
      <c r="E264" s="652">
        <f>+'SSR-rates'!L73</f>
        <v>727.6</v>
      </c>
      <c r="F264" s="652">
        <v>1</v>
      </c>
      <c r="G264" s="661">
        <f>ROUND(B264*E264,2)</f>
        <v>487.49</v>
      </c>
    </row>
    <row r="265" spans="1:7" ht="15" customHeight="1">
      <c r="A265" s="659"/>
      <c r="B265" s="648">
        <v>0.27</v>
      </c>
      <c r="C265" s="642" t="s">
        <v>23</v>
      </c>
      <c r="D265" s="649" t="s">
        <v>24</v>
      </c>
      <c r="E265" s="652">
        <f>'SSR-rates'!$L$70</f>
        <v>512</v>
      </c>
      <c r="F265" s="652">
        <v>1</v>
      </c>
      <c r="G265" s="661">
        <f>ROUND(B265*E265,2)</f>
        <v>138.24</v>
      </c>
    </row>
    <row r="266" spans="1:7" ht="15" customHeight="1">
      <c r="A266" s="659"/>
      <c r="B266" s="652"/>
      <c r="C266" s="652"/>
      <c r="D266" s="653" t="s">
        <v>18</v>
      </c>
      <c r="E266" s="652"/>
      <c r="F266" s="662" t="s">
        <v>25</v>
      </c>
      <c r="G266" s="663">
        <f>SUM(G264:G265)</f>
        <v>625.73</v>
      </c>
    </row>
    <row r="267" spans="1:7" ht="15" customHeight="1">
      <c r="A267" s="659"/>
      <c r="B267" s="652"/>
      <c r="C267" s="642"/>
      <c r="D267" s="608" t="s">
        <v>26</v>
      </c>
      <c r="E267" s="652"/>
      <c r="F267" s="652"/>
      <c r="G267" s="663">
        <f>G262+G266</f>
        <v>924.73</v>
      </c>
    </row>
    <row r="268" spans="1:7" ht="15" customHeight="1">
      <c r="A268" s="659"/>
      <c r="B268" s="652"/>
      <c r="C268" s="602" t="s">
        <v>27</v>
      </c>
      <c r="D268" s="608" t="s">
        <v>2002</v>
      </c>
      <c r="E268" s="652"/>
      <c r="F268" s="652"/>
      <c r="G268" s="661"/>
    </row>
    <row r="269" spans="1:7" ht="15" customHeight="1">
      <c r="A269" s="659"/>
      <c r="B269" s="611">
        <f>'Input Data'!$D$24</f>
        <v>0.13614999999999999</v>
      </c>
      <c r="C269" s="652"/>
      <c r="D269" s="608" t="str">
        <f>"Over head charges "&amp;'Input Data'!$D$24*100&amp;"%  on (A) + (B)"</f>
        <v>Over head charges 13.615%  on (A) + (B)</v>
      </c>
      <c r="E269" s="652">
        <f>G267</f>
        <v>924.73</v>
      </c>
      <c r="F269" s="642"/>
      <c r="G269" s="661">
        <f>E269*B269</f>
        <v>125.9019895</v>
      </c>
    </row>
    <row r="270" spans="1:7" ht="15" customHeight="1">
      <c r="A270" s="659"/>
      <c r="B270" s="652"/>
      <c r="C270" s="652"/>
      <c r="D270" s="608"/>
      <c r="E270" s="652"/>
      <c r="F270" s="642"/>
      <c r="G270" s="661"/>
    </row>
    <row r="271" spans="1:7" ht="15" customHeight="1">
      <c r="A271" s="659"/>
      <c r="B271" s="652">
        <v>1.25</v>
      </c>
      <c r="C271" s="652" t="s">
        <v>31</v>
      </c>
      <c r="D271" s="653" t="str">
        <f>CONCATENATE("TOTAL Cost for ",B271,"  ",C271,"  =  (A+B+C)",)</f>
        <v>TOTAL Cost for 1.25  cum  =  (A+B+C)</v>
      </c>
      <c r="E271" s="652"/>
      <c r="F271" s="652"/>
      <c r="G271" s="661">
        <f>SUM(G267:G270)</f>
        <v>1050.6319894999999</v>
      </c>
    </row>
    <row r="272" spans="1:7" ht="15" customHeight="1">
      <c r="A272" s="659"/>
      <c r="B272" s="652"/>
      <c r="C272" s="652"/>
      <c r="D272" s="653" t="str">
        <f>CONCATENATE("Rate per  1  ",C271)</f>
        <v>Rate per  1  cum</v>
      </c>
      <c r="E272" s="652"/>
      <c r="F272" s="652"/>
      <c r="G272" s="661">
        <f>G271/B271</f>
        <v>840.50559159999989</v>
      </c>
    </row>
    <row r="273" spans="1:7" ht="15" customHeight="1">
      <c r="A273" s="659"/>
      <c r="B273" s="652"/>
      <c r="C273" s="652"/>
      <c r="D273" s="608" t="str">
        <f>D272</f>
        <v>Rate per  1  cum</v>
      </c>
      <c r="E273" s="652"/>
      <c r="F273" s="652"/>
      <c r="G273" s="663">
        <f>ROUND(G272,2)</f>
        <v>840.51</v>
      </c>
    </row>
    <row r="274" spans="1:7" ht="15.95" customHeight="1">
      <c r="A274" s="598"/>
      <c r="B274" s="588"/>
      <c r="C274" s="599"/>
      <c r="D274" s="588" t="str">
        <f>'Drain '!F37</f>
        <v>PRSD, Wanaparthy</v>
      </c>
      <c r="E274" s="3576" t="str">
        <f>'Drain '!I37</f>
        <v>PRSD, Wanaparthy</v>
      </c>
      <c r="F274" s="3576"/>
      <c r="G274" s="3576"/>
    </row>
    <row r="275" spans="1:7">
      <c r="A275" s="598"/>
      <c r="B275" s="588"/>
      <c r="C275" s="599"/>
      <c r="D275" s="599"/>
      <c r="E275" s="599"/>
      <c r="F275" s="599"/>
      <c r="G275" s="665"/>
    </row>
    <row r="276" spans="1:7" ht="66.95" customHeight="1">
      <c r="A276" s="658">
        <f>A253+1</f>
        <v>10</v>
      </c>
      <c r="B276" s="3844" t="s">
        <v>2005</v>
      </c>
      <c r="C276" s="3844"/>
      <c r="D276" s="3844"/>
      <c r="E276" s="3844"/>
      <c r="F276" s="3844"/>
      <c r="G276" s="3844"/>
    </row>
    <row r="277" spans="1:7" ht="15" customHeight="1">
      <c r="A277" s="659"/>
      <c r="B277" s="642"/>
      <c r="C277" s="642"/>
      <c r="D277" s="608" t="s">
        <v>9</v>
      </c>
      <c r="E277" s="642"/>
      <c r="F277" s="642"/>
      <c r="G277" s="660"/>
    </row>
    <row r="278" spans="1:7" ht="15" customHeight="1">
      <c r="A278" s="659"/>
      <c r="B278" s="642"/>
      <c r="C278" s="642"/>
      <c r="D278" s="645" t="s">
        <v>10</v>
      </c>
      <c r="E278" s="642"/>
      <c r="F278" s="642"/>
      <c r="G278" s="660"/>
    </row>
    <row r="279" spans="1:7" ht="15" customHeight="1">
      <c r="A279" s="659"/>
      <c r="B279" s="642"/>
      <c r="C279" s="652"/>
      <c r="D279" s="645" t="s">
        <v>11</v>
      </c>
      <c r="E279" s="642"/>
      <c r="F279" s="642"/>
      <c r="G279" s="660"/>
    </row>
    <row r="280" spans="1:7" ht="15" customHeight="1">
      <c r="A280" s="659"/>
      <c r="B280" s="642"/>
      <c r="C280" s="659"/>
      <c r="D280" s="608" t="s">
        <v>12</v>
      </c>
      <c r="E280" s="642"/>
      <c r="F280" s="642"/>
      <c r="G280" s="660"/>
    </row>
    <row r="281" spans="1:7" ht="15" customHeight="1">
      <c r="A281" s="659"/>
      <c r="B281" s="648">
        <v>0.03</v>
      </c>
      <c r="C281" s="642" t="s">
        <v>13</v>
      </c>
      <c r="D281" s="649" t="s">
        <v>14</v>
      </c>
      <c r="E281" s="600">
        <f>'SSR-rates'!$L$58</f>
        <v>575</v>
      </c>
      <c r="F281" s="652">
        <v>1</v>
      </c>
      <c r="G281" s="661">
        <f>ROUND(B281*E281,2)</f>
        <v>17.25</v>
      </c>
    </row>
    <row r="282" spans="1:7" ht="15" customHeight="1">
      <c r="A282" s="659"/>
      <c r="B282" s="648">
        <v>0</v>
      </c>
      <c r="C282" s="642" t="s">
        <v>13</v>
      </c>
      <c r="D282" s="649" t="s">
        <v>15</v>
      </c>
      <c r="E282" s="600">
        <f>'SSR-rates'!$L$59</f>
        <v>575</v>
      </c>
      <c r="F282" s="652">
        <v>1</v>
      </c>
      <c r="G282" s="661">
        <f>ROUND(B282*E282,2)</f>
        <v>0</v>
      </c>
    </row>
    <row r="283" spans="1:7" ht="15" customHeight="1">
      <c r="A283" s="659"/>
      <c r="B283" s="648">
        <v>0.75</v>
      </c>
      <c r="C283" s="642" t="s">
        <v>13</v>
      </c>
      <c r="D283" s="649" t="s">
        <v>16</v>
      </c>
      <c r="E283" s="600">
        <f>'SSR-rates'!$L$60</f>
        <v>575</v>
      </c>
      <c r="F283" s="652">
        <v>1</v>
      </c>
      <c r="G283" s="661">
        <f>ROUND(B283*E283,2)</f>
        <v>431.25</v>
      </c>
    </row>
    <row r="284" spans="1:7" ht="15" customHeight="1">
      <c r="A284" s="659"/>
      <c r="B284" s="603">
        <f>'Input Data'!$D$23</f>
        <v>0</v>
      </c>
      <c r="C284" s="617"/>
      <c r="D284" s="599" t="s">
        <v>17</v>
      </c>
      <c r="E284" s="600">
        <f>SUM(G281:G283)</f>
        <v>448.5</v>
      </c>
      <c r="F284" s="588"/>
      <c r="G284" s="602">
        <f>B284*E284</f>
        <v>0</v>
      </c>
    </row>
    <row r="285" spans="1:7" ht="15" customHeight="1">
      <c r="A285" s="659"/>
      <c r="B285" s="652"/>
      <c r="C285" s="652"/>
      <c r="D285" s="653" t="s">
        <v>18</v>
      </c>
      <c r="E285" s="652"/>
      <c r="F285" s="662" t="s">
        <v>19</v>
      </c>
      <c r="G285" s="663">
        <f>SUM(G281:G284)</f>
        <v>448.5</v>
      </c>
    </row>
    <row r="286" spans="1:7" ht="15" customHeight="1">
      <c r="A286" s="659"/>
      <c r="B286" s="652"/>
      <c r="C286" s="659"/>
      <c r="D286" s="608" t="s">
        <v>20</v>
      </c>
      <c r="E286" s="652"/>
      <c r="F286" s="652"/>
      <c r="G286" s="661"/>
    </row>
    <row r="287" spans="1:7" ht="15" customHeight="1">
      <c r="A287" s="659"/>
      <c r="B287" s="648">
        <v>0.27</v>
      </c>
      <c r="C287" s="642" t="s">
        <v>23</v>
      </c>
      <c r="D287" s="649" t="s">
        <v>24</v>
      </c>
      <c r="E287" s="652">
        <f>'SSR-rates'!$L$70</f>
        <v>512</v>
      </c>
      <c r="F287" s="652">
        <v>1</v>
      </c>
      <c r="G287" s="661">
        <f>ROUND(B287*E287,2)</f>
        <v>138.24</v>
      </c>
    </row>
    <row r="288" spans="1:7" ht="15" customHeight="1">
      <c r="A288" s="659"/>
      <c r="B288" s="652"/>
      <c r="C288" s="652"/>
      <c r="D288" s="653" t="s">
        <v>18</v>
      </c>
      <c r="E288" s="652"/>
      <c r="F288" s="662" t="s">
        <v>25</v>
      </c>
      <c r="G288" s="663">
        <f>SUM(G287:G287)</f>
        <v>138.24</v>
      </c>
    </row>
    <row r="289" spans="1:7" ht="15" customHeight="1">
      <c r="A289" s="659"/>
      <c r="B289" s="652"/>
      <c r="C289" s="642"/>
      <c r="D289" s="608" t="s">
        <v>26</v>
      </c>
      <c r="E289" s="652"/>
      <c r="F289" s="652"/>
      <c r="G289" s="663">
        <f>G285+G288</f>
        <v>586.74</v>
      </c>
    </row>
    <row r="290" spans="1:7" ht="15" customHeight="1">
      <c r="A290" s="659"/>
      <c r="B290" s="652"/>
      <c r="C290" s="602" t="s">
        <v>27</v>
      </c>
      <c r="D290" s="608" t="s">
        <v>2002</v>
      </c>
      <c r="E290" s="652"/>
      <c r="F290" s="652"/>
      <c r="G290" s="661"/>
    </row>
    <row r="291" spans="1:7" ht="15" customHeight="1">
      <c r="A291" s="659"/>
      <c r="B291" s="611">
        <f>'Input Data'!$D$24</f>
        <v>0.13614999999999999</v>
      </c>
      <c r="C291" s="652"/>
      <c r="D291" s="608" t="str">
        <f>"Over head charges "&amp;'Input Data'!$D$24*100&amp;"%  on (A) + (B)"</f>
        <v>Over head charges 13.615%  on (A) + (B)</v>
      </c>
      <c r="E291" s="652">
        <f>$G$289</f>
        <v>586.74</v>
      </c>
      <c r="F291" s="642"/>
      <c r="G291" s="661">
        <f>E291*B291</f>
        <v>79.884650999999991</v>
      </c>
    </row>
    <row r="292" spans="1:7" ht="15" customHeight="1">
      <c r="A292" s="659"/>
      <c r="B292" s="652"/>
      <c r="C292" s="652"/>
      <c r="D292" s="608"/>
      <c r="E292" s="652"/>
      <c r="F292" s="642"/>
      <c r="G292" s="661"/>
    </row>
    <row r="293" spans="1:7" ht="15" customHeight="1">
      <c r="A293" s="659"/>
      <c r="B293" s="652">
        <v>1.25</v>
      </c>
      <c r="C293" s="652" t="s">
        <v>31</v>
      </c>
      <c r="D293" s="653" t="str">
        <f>CONCATENATE("TOTAL Cost for ",B293,"  ",C293,"  =  (A+B+C)",)</f>
        <v>TOTAL Cost for 1.25  cum  =  (A+B+C)</v>
      </c>
      <c r="E293" s="652"/>
      <c r="F293" s="652"/>
      <c r="G293" s="661">
        <f>SUM(G289:G292)</f>
        <v>666.62465099999997</v>
      </c>
    </row>
    <row r="294" spans="1:7" ht="15" customHeight="1">
      <c r="A294" s="659"/>
      <c r="B294" s="652"/>
      <c r="C294" s="652"/>
      <c r="D294" s="653" t="str">
        <f>CONCATENATE("Rate per  1  ",C293)</f>
        <v>Rate per  1  cum</v>
      </c>
      <c r="E294" s="652"/>
      <c r="F294" s="652"/>
      <c r="G294" s="661">
        <f>G293/B293</f>
        <v>533.29972079999993</v>
      </c>
    </row>
    <row r="295" spans="1:7" ht="15" customHeight="1">
      <c r="A295" s="659"/>
      <c r="B295" s="652"/>
      <c r="C295" s="652"/>
      <c r="D295" s="608" t="str">
        <f>D294</f>
        <v>Rate per  1  cum</v>
      </c>
      <c r="E295" s="652"/>
      <c r="F295" s="652"/>
      <c r="G295" s="663">
        <f>ROUND(G294,2)</f>
        <v>533.29999999999995</v>
      </c>
    </row>
    <row r="296" spans="1:7">
      <c r="A296" s="598"/>
      <c r="B296" s="588"/>
      <c r="C296" s="599"/>
      <c r="D296" s="599"/>
      <c r="E296" s="599"/>
      <c r="F296" s="599"/>
      <c r="G296" s="665"/>
    </row>
    <row r="297" spans="1:7">
      <c r="A297" s="598"/>
      <c r="B297" s="588"/>
      <c r="C297" s="599"/>
      <c r="D297" s="599"/>
      <c r="E297" s="599"/>
      <c r="F297" s="599"/>
      <c r="G297" s="665"/>
    </row>
    <row r="298" spans="1:7" ht="57" customHeight="1">
      <c r="A298" s="666">
        <v>12</v>
      </c>
      <c r="B298" s="3844" t="s">
        <v>2006</v>
      </c>
      <c r="C298" s="3844"/>
      <c r="D298" s="3844"/>
      <c r="E298" s="3844"/>
      <c r="F298" s="3844"/>
      <c r="G298" s="3844"/>
    </row>
    <row r="299" spans="1:7" ht="15" customHeight="1">
      <c r="A299" s="659"/>
      <c r="B299" s="642"/>
      <c r="C299" s="642"/>
      <c r="D299" s="645" t="s">
        <v>10</v>
      </c>
      <c r="E299" s="642"/>
      <c r="F299" s="642"/>
      <c r="G299" s="660"/>
    </row>
    <row r="300" spans="1:7" ht="15" customHeight="1">
      <c r="A300" s="659"/>
      <c r="B300" s="642"/>
      <c r="C300" s="652"/>
      <c r="D300" s="645" t="s">
        <v>2007</v>
      </c>
      <c r="E300" s="642"/>
      <c r="F300" s="642"/>
      <c r="G300" s="660"/>
    </row>
    <row r="301" spans="1:7" ht="15" customHeight="1">
      <c r="A301" s="659"/>
      <c r="B301" s="642"/>
      <c r="C301" s="652"/>
      <c r="D301" s="645" t="s">
        <v>2008</v>
      </c>
      <c r="E301" s="642"/>
      <c r="F301" s="642"/>
      <c r="G301" s="660"/>
    </row>
    <row r="302" spans="1:7" ht="15" customHeight="1">
      <c r="A302" s="659"/>
      <c r="B302" s="642"/>
      <c r="C302" s="659"/>
      <c r="D302" s="608" t="s">
        <v>12</v>
      </c>
      <c r="E302" s="642"/>
      <c r="F302" s="642"/>
      <c r="G302" s="660"/>
    </row>
    <row r="303" spans="1:7" ht="15" customHeight="1">
      <c r="A303" s="659"/>
      <c r="B303" s="648">
        <v>0.02</v>
      </c>
      <c r="C303" s="642" t="s">
        <v>13</v>
      </c>
      <c r="D303" s="649" t="s">
        <v>14</v>
      </c>
      <c r="E303" s="600">
        <f>'SSR-rates'!$L$58</f>
        <v>575</v>
      </c>
      <c r="F303" s="652">
        <v>1</v>
      </c>
      <c r="G303" s="661">
        <f>ROUND(B303*E303,2)</f>
        <v>11.5</v>
      </c>
    </row>
    <row r="304" spans="1:7" ht="15" customHeight="1">
      <c r="A304" s="659"/>
      <c r="B304" s="648">
        <v>0</v>
      </c>
      <c r="C304" s="642" t="s">
        <v>13</v>
      </c>
      <c r="D304" s="649" t="s">
        <v>15</v>
      </c>
      <c r="E304" s="600">
        <f>'SSR-rates'!$L$59</f>
        <v>575</v>
      </c>
      <c r="F304" s="652">
        <v>1</v>
      </c>
      <c r="G304" s="661">
        <f>ROUND(B304*E304,2)</f>
        <v>0</v>
      </c>
    </row>
    <row r="305" spans="1:7" ht="15" customHeight="1">
      <c r="A305" s="659"/>
      <c r="B305" s="648">
        <v>0.52</v>
      </c>
      <c r="C305" s="642" t="s">
        <v>13</v>
      </c>
      <c r="D305" s="649" t="s">
        <v>16</v>
      </c>
      <c r="E305" s="600">
        <f>'SSR-rates'!$L$60</f>
        <v>575</v>
      </c>
      <c r="F305" s="652">
        <v>1</v>
      </c>
      <c r="G305" s="661">
        <f>ROUND(B305*E305,2)</f>
        <v>299</v>
      </c>
    </row>
    <row r="306" spans="1:7" ht="15" customHeight="1">
      <c r="A306" s="659"/>
      <c r="B306" s="603">
        <f>'Input Data'!$D$23</f>
        <v>0</v>
      </c>
      <c r="C306" s="617"/>
      <c r="D306" s="599" t="s">
        <v>17</v>
      </c>
      <c r="E306" s="600">
        <f>SUM(G303:G305)</f>
        <v>310.5</v>
      </c>
      <c r="F306" s="588"/>
      <c r="G306" s="602">
        <f>B306*E306</f>
        <v>0</v>
      </c>
    </row>
    <row r="307" spans="1:7" ht="15" customHeight="1">
      <c r="A307" s="659"/>
      <c r="B307" s="652"/>
      <c r="C307" s="652"/>
      <c r="D307" s="653" t="s">
        <v>18</v>
      </c>
      <c r="E307" s="652"/>
      <c r="F307" s="662" t="s">
        <v>19</v>
      </c>
      <c r="G307" s="663">
        <f>SUM(G303:G306)</f>
        <v>310.5</v>
      </c>
    </row>
    <row r="308" spans="1:7" ht="15" customHeight="1">
      <c r="A308" s="659"/>
      <c r="B308" s="652"/>
      <c r="C308" s="602" t="s">
        <v>27</v>
      </c>
      <c r="D308" s="608" t="s">
        <v>1977</v>
      </c>
      <c r="E308" s="652"/>
      <c r="F308" s="652"/>
      <c r="G308" s="661"/>
    </row>
    <row r="309" spans="1:7" ht="15" customHeight="1">
      <c r="A309" s="659"/>
      <c r="B309" s="611">
        <f>'Input Data'!$D$24</f>
        <v>0.13614999999999999</v>
      </c>
      <c r="C309" s="652"/>
      <c r="D309" s="3845" t="str">
        <f>"Over head charges &amp; CP "&amp;'Input Data'!$D$24*100&amp;"%  on (A) + (B)"</f>
        <v>Over head charges &amp; CP 13.615%  on (A) + (B)</v>
      </c>
      <c r="E309" s="652">
        <f>G307</f>
        <v>310.5</v>
      </c>
      <c r="F309" s="642"/>
      <c r="G309" s="661">
        <f>E309*B309</f>
        <v>42.274574999999999</v>
      </c>
    </row>
    <row r="310" spans="1:7" ht="15" customHeight="1">
      <c r="A310" s="659"/>
      <c r="B310" s="652"/>
      <c r="C310" s="652"/>
      <c r="D310" s="3845"/>
      <c r="E310" s="652"/>
      <c r="F310" s="642"/>
      <c r="G310" s="661"/>
    </row>
    <row r="311" spans="1:7" ht="15" customHeight="1">
      <c r="A311" s="659"/>
      <c r="B311" s="652">
        <v>1</v>
      </c>
      <c r="C311" s="652" t="s">
        <v>31</v>
      </c>
      <c r="D311" s="653" t="str">
        <f>CONCATENATE("TOTAL Cost for ",B311,"  ",C311,"  =  (A+B+C)",)</f>
        <v>TOTAL Cost for 1  cum  =  (A+B+C)</v>
      </c>
      <c r="E311" s="652"/>
      <c r="F311" s="652"/>
      <c r="G311" s="661">
        <f>SUM(G307:G310)</f>
        <v>352.77457500000003</v>
      </c>
    </row>
    <row r="312" spans="1:7" ht="15" customHeight="1">
      <c r="A312" s="659"/>
      <c r="B312" s="652"/>
      <c r="C312" s="652"/>
      <c r="D312" s="653" t="str">
        <f>CONCATENATE("Rate per  1  ",C311)</f>
        <v>Rate per  1  cum</v>
      </c>
      <c r="E312" s="652"/>
      <c r="F312" s="652"/>
      <c r="G312" s="661">
        <f>G311/B311</f>
        <v>352.77457500000003</v>
      </c>
    </row>
    <row r="313" spans="1:7" ht="15" customHeight="1">
      <c r="A313" s="659"/>
      <c r="B313" s="652"/>
      <c r="C313" s="652"/>
      <c r="D313" s="608" t="str">
        <f>D312</f>
        <v>Rate per  1  cum</v>
      </c>
      <c r="E313" s="652"/>
      <c r="F313" s="652"/>
      <c r="G313" s="663">
        <f>ROUND(G312,2)</f>
        <v>352.77</v>
      </c>
    </row>
    <row r="314" spans="1:7">
      <c r="A314" s="598"/>
      <c r="B314" s="642"/>
      <c r="C314" s="652"/>
      <c r="D314" s="645" t="s">
        <v>2009</v>
      </c>
      <c r="E314" s="642"/>
      <c r="F314" s="642"/>
      <c r="G314" s="660"/>
    </row>
    <row r="315" spans="1:7">
      <c r="A315" s="598"/>
      <c r="B315" s="642"/>
      <c r="C315" s="659"/>
      <c r="D315" s="608" t="s">
        <v>12</v>
      </c>
      <c r="E315" s="642"/>
      <c r="F315" s="642"/>
      <c r="G315" s="660"/>
    </row>
    <row r="316" spans="1:7">
      <c r="A316" s="598"/>
      <c r="B316" s="648">
        <v>0.03</v>
      </c>
      <c r="C316" s="642" t="s">
        <v>13</v>
      </c>
      <c r="D316" s="649" t="s">
        <v>14</v>
      </c>
      <c r="E316" s="600">
        <f>'SSR-rates'!$L$58</f>
        <v>575</v>
      </c>
      <c r="F316" s="652">
        <v>1</v>
      </c>
      <c r="G316" s="661">
        <f>ROUND(B316*E316,2)</f>
        <v>17.25</v>
      </c>
    </row>
    <row r="317" spans="1:7">
      <c r="A317" s="598"/>
      <c r="B317" s="648">
        <v>0</v>
      </c>
      <c r="C317" s="642" t="s">
        <v>13</v>
      </c>
      <c r="D317" s="649" t="s">
        <v>15</v>
      </c>
      <c r="E317" s="600">
        <f>'SSR-rates'!$L$59</f>
        <v>575</v>
      </c>
      <c r="F317" s="652">
        <v>1</v>
      </c>
      <c r="G317" s="661">
        <f>ROUND(B317*E317,2)</f>
        <v>0</v>
      </c>
    </row>
    <row r="318" spans="1:7" ht="15" customHeight="1">
      <c r="A318" s="598"/>
      <c r="B318" s="648">
        <v>0.7</v>
      </c>
      <c r="C318" s="642" t="s">
        <v>13</v>
      </c>
      <c r="D318" s="649" t="s">
        <v>16</v>
      </c>
      <c r="E318" s="600">
        <f>'SSR-rates'!$L$60</f>
        <v>575</v>
      </c>
      <c r="F318" s="652">
        <v>1</v>
      </c>
      <c r="G318" s="661">
        <f>ROUND(B318*E318,2)</f>
        <v>402.5</v>
      </c>
    </row>
    <row r="319" spans="1:7" ht="15" customHeight="1">
      <c r="A319" s="598"/>
      <c r="B319" s="603">
        <f>'Input Data'!$D$23</f>
        <v>0</v>
      </c>
      <c r="C319" s="617"/>
      <c r="D319" s="599" t="s">
        <v>17</v>
      </c>
      <c r="E319" s="600">
        <f>SUM(G316:G318)</f>
        <v>419.75</v>
      </c>
      <c r="F319" s="588"/>
      <c r="G319" s="602">
        <f>B319*E319</f>
        <v>0</v>
      </c>
    </row>
    <row r="320" spans="1:7">
      <c r="A320" s="598"/>
      <c r="B320" s="652"/>
      <c r="C320" s="652"/>
      <c r="D320" s="653" t="s">
        <v>18</v>
      </c>
      <c r="E320" s="652"/>
      <c r="F320" s="662" t="s">
        <v>19</v>
      </c>
      <c r="G320" s="663">
        <f>SUM(G316:G319)</f>
        <v>419.75</v>
      </c>
    </row>
    <row r="321" spans="1:7">
      <c r="A321" s="598"/>
      <c r="B321" s="652"/>
      <c r="C321" s="602" t="s">
        <v>27</v>
      </c>
      <c r="D321" s="608" t="s">
        <v>1977</v>
      </c>
      <c r="E321" s="652"/>
      <c r="F321" s="652"/>
      <c r="G321" s="661"/>
    </row>
    <row r="322" spans="1:7">
      <c r="A322" s="598"/>
      <c r="B322" s="611">
        <f>'Input Data'!$D$24</f>
        <v>0.13614999999999999</v>
      </c>
      <c r="C322" s="652"/>
      <c r="D322" s="608" t="str">
        <f>"Over head charges &amp; CP "&amp;'Input Data'!$D$24*100&amp;"%  on (A) + (B)"</f>
        <v>Over head charges &amp; CP 13.615%  on (A) + (B)</v>
      </c>
      <c r="E322" s="652">
        <f>G320</f>
        <v>419.75</v>
      </c>
      <c r="F322" s="642"/>
      <c r="G322" s="661">
        <f>E322*B322</f>
        <v>57.148962499999996</v>
      </c>
    </row>
    <row r="323" spans="1:7">
      <c r="A323" s="598"/>
      <c r="B323" s="652"/>
      <c r="C323" s="652"/>
      <c r="D323" s="608"/>
      <c r="E323" s="652"/>
      <c r="F323" s="642"/>
      <c r="G323" s="661"/>
    </row>
    <row r="324" spans="1:7">
      <c r="A324" s="598"/>
      <c r="B324" s="652">
        <v>1</v>
      </c>
      <c r="C324" s="652" t="s">
        <v>31</v>
      </c>
      <c r="D324" s="653" t="str">
        <f>CONCATENATE("TOTAL Cost for ",B324,"  ",C324,"  =  (A+B+C+D)",)</f>
        <v>TOTAL Cost for 1  cum  =  (A+B+C+D)</v>
      </c>
      <c r="E324" s="652"/>
      <c r="F324" s="652"/>
      <c r="G324" s="661">
        <f>SUM(G320:G323)</f>
        <v>476.89896249999998</v>
      </c>
    </row>
    <row r="325" spans="1:7">
      <c r="A325" s="598"/>
      <c r="B325" s="652"/>
      <c r="C325" s="652"/>
      <c r="D325" s="653" t="str">
        <f>CONCATENATE("Rate per  1  ",C324)</f>
        <v>Rate per  1  cum</v>
      </c>
      <c r="E325" s="652"/>
      <c r="F325" s="652"/>
      <c r="G325" s="661">
        <f>G324/B324</f>
        <v>476.89896249999998</v>
      </c>
    </row>
    <row r="326" spans="1:7">
      <c r="A326" s="598"/>
      <c r="B326" s="652"/>
      <c r="C326" s="652"/>
      <c r="D326" s="608" t="str">
        <f>D325</f>
        <v>Rate per  1  cum</v>
      </c>
      <c r="E326" s="652"/>
      <c r="F326" s="652"/>
      <c r="G326" s="663">
        <f>ROUND(G325,2)</f>
        <v>476.9</v>
      </c>
    </row>
    <row r="327" spans="1:7">
      <c r="A327" s="598"/>
      <c r="B327" s="588"/>
      <c r="C327" s="599"/>
      <c r="D327" s="599"/>
      <c r="E327" s="599"/>
      <c r="F327" s="599"/>
      <c r="G327" s="667"/>
    </row>
    <row r="328" spans="1:7">
      <c r="A328" s="598"/>
      <c r="B328" s="642"/>
      <c r="C328" s="652"/>
      <c r="D328" s="645" t="s">
        <v>2010</v>
      </c>
      <c r="E328" s="642"/>
      <c r="F328" s="642"/>
      <c r="G328" s="660"/>
    </row>
    <row r="329" spans="1:7">
      <c r="A329" s="598"/>
      <c r="B329" s="642"/>
      <c r="C329" s="659"/>
      <c r="D329" s="608" t="s">
        <v>12</v>
      </c>
      <c r="E329" s="642"/>
      <c r="F329" s="642"/>
      <c r="G329" s="660"/>
    </row>
    <row r="330" spans="1:7">
      <c r="A330" s="598"/>
      <c r="B330" s="648">
        <v>0.05</v>
      </c>
      <c r="C330" s="642" t="s">
        <v>13</v>
      </c>
      <c r="D330" s="649" t="s">
        <v>14</v>
      </c>
      <c r="E330" s="600">
        <f>'SSR-rates'!$L$58</f>
        <v>575</v>
      </c>
      <c r="F330" s="652">
        <v>1</v>
      </c>
      <c r="G330" s="661">
        <f>ROUND(B330*E330,2)</f>
        <v>28.75</v>
      </c>
    </row>
    <row r="331" spans="1:7">
      <c r="A331" s="598"/>
      <c r="B331" s="648">
        <v>0</v>
      </c>
      <c r="C331" s="642" t="s">
        <v>13</v>
      </c>
      <c r="D331" s="649" t="s">
        <v>15</v>
      </c>
      <c r="E331" s="600">
        <f>'SSR-rates'!$L$59</f>
        <v>575</v>
      </c>
      <c r="F331" s="652">
        <v>1</v>
      </c>
      <c r="G331" s="661">
        <f>ROUND(B331*E331,2)</f>
        <v>0</v>
      </c>
    </row>
    <row r="332" spans="1:7">
      <c r="A332" s="598"/>
      <c r="B332" s="648">
        <v>1.2</v>
      </c>
      <c r="C332" s="642" t="s">
        <v>13</v>
      </c>
      <c r="D332" s="649" t="s">
        <v>16</v>
      </c>
      <c r="E332" s="600">
        <f>'SSR-rates'!$L$60</f>
        <v>575</v>
      </c>
      <c r="F332" s="652">
        <v>1</v>
      </c>
      <c r="G332" s="661">
        <f>ROUND(B332*E332,2)</f>
        <v>690</v>
      </c>
    </row>
    <row r="333" spans="1:7">
      <c r="A333" s="598"/>
      <c r="B333" s="603">
        <f>'Input Data'!$D$23</f>
        <v>0</v>
      </c>
      <c r="C333" s="617"/>
      <c r="D333" s="599" t="s">
        <v>17</v>
      </c>
      <c r="E333" s="600">
        <f>SUM(G330:G332)</f>
        <v>718.75</v>
      </c>
      <c r="F333" s="588"/>
      <c r="G333" s="602">
        <f>B333*E333</f>
        <v>0</v>
      </c>
    </row>
    <row r="334" spans="1:7">
      <c r="A334" s="598"/>
      <c r="B334" s="652"/>
      <c r="C334" s="652"/>
      <c r="D334" s="653" t="s">
        <v>18</v>
      </c>
      <c r="E334" s="652"/>
      <c r="F334" s="662" t="s">
        <v>19</v>
      </c>
      <c r="G334" s="663">
        <f>SUM(G330:G333)</f>
        <v>718.75</v>
      </c>
    </row>
    <row r="335" spans="1:7">
      <c r="A335" s="598"/>
      <c r="B335" s="652"/>
      <c r="C335" s="602" t="s">
        <v>27</v>
      </c>
      <c r="D335" s="608" t="s">
        <v>1977</v>
      </c>
      <c r="E335" s="652"/>
      <c r="F335" s="652"/>
      <c r="G335" s="661"/>
    </row>
    <row r="336" spans="1:7">
      <c r="A336" s="598"/>
      <c r="B336" s="611">
        <f>'Input Data'!$D$24</f>
        <v>0.13614999999999999</v>
      </c>
      <c r="C336" s="652"/>
      <c r="D336" s="608" t="str">
        <f>"Over head charges &amp; CP "&amp;'Input Data'!$D$24*100&amp;"%  on (A) + (B)"</f>
        <v>Over head charges &amp; CP 13.615%  on (A) + (B)</v>
      </c>
      <c r="E336" s="652">
        <f>G334</f>
        <v>718.75</v>
      </c>
      <c r="F336" s="642"/>
      <c r="G336" s="661">
        <f>E336*B336</f>
        <v>97.857812499999994</v>
      </c>
    </row>
    <row r="337" spans="1:7">
      <c r="A337" s="598"/>
      <c r="B337" s="652"/>
      <c r="C337" s="652"/>
      <c r="D337" s="608"/>
      <c r="E337" s="652"/>
      <c r="F337" s="642"/>
      <c r="G337" s="661"/>
    </row>
    <row r="338" spans="1:7">
      <c r="A338" s="598"/>
      <c r="B338" s="652">
        <v>1</v>
      </c>
      <c r="C338" s="652" t="s">
        <v>31</v>
      </c>
      <c r="D338" s="653" t="str">
        <f>CONCATENATE("TOTAL Cost for ",B338,"  ",C338,"  =  (A+B+C)",)</f>
        <v>TOTAL Cost for 1  cum  =  (A+B+C)</v>
      </c>
      <c r="E338" s="652"/>
      <c r="F338" s="652"/>
      <c r="G338" s="661">
        <f>SUM(G334:G337)</f>
        <v>816.60781250000002</v>
      </c>
    </row>
    <row r="339" spans="1:7">
      <c r="A339" s="598"/>
      <c r="B339" s="652"/>
      <c r="C339" s="652"/>
      <c r="D339" s="653" t="str">
        <f>CONCATENATE("Rate per  1  ",C338)</f>
        <v>Rate per  1  cum</v>
      </c>
      <c r="E339" s="652"/>
      <c r="F339" s="652"/>
      <c r="G339" s="661">
        <f>G338/B338</f>
        <v>816.60781250000002</v>
      </c>
    </row>
    <row r="340" spans="1:7">
      <c r="A340" s="598"/>
      <c r="B340" s="652"/>
      <c r="C340" s="652"/>
      <c r="D340" s="608" t="str">
        <f>D339</f>
        <v>Rate per  1  cum</v>
      </c>
      <c r="E340" s="652"/>
      <c r="F340" s="652"/>
      <c r="G340" s="663">
        <f>ROUND(G339,2)</f>
        <v>816.61</v>
      </c>
    </row>
    <row r="341" spans="1:7">
      <c r="A341" s="598"/>
      <c r="B341" s="588"/>
      <c r="C341" s="599"/>
      <c r="D341" s="599"/>
      <c r="E341" s="599"/>
      <c r="F341" s="599"/>
      <c r="G341" s="665"/>
    </row>
    <row r="342" spans="1:7">
      <c r="A342" s="598"/>
      <c r="B342" s="588"/>
      <c r="C342" s="599"/>
      <c r="D342" s="599"/>
      <c r="E342" s="599"/>
      <c r="F342" s="599"/>
      <c r="G342" s="665"/>
    </row>
    <row r="343" spans="1:7" ht="50.1" customHeight="1">
      <c r="A343" s="666">
        <v>13</v>
      </c>
      <c r="B343" s="3844" t="s">
        <v>2011</v>
      </c>
      <c r="C343" s="3844"/>
      <c r="D343" s="3844"/>
      <c r="E343" s="3844"/>
      <c r="F343" s="3844"/>
      <c r="G343" s="3844"/>
    </row>
    <row r="344" spans="1:7" ht="15" customHeight="1">
      <c r="A344" s="659"/>
      <c r="B344" s="659" t="s">
        <v>2012</v>
      </c>
      <c r="C344" s="642"/>
      <c r="D344" s="668"/>
      <c r="E344" s="642"/>
      <c r="F344" s="642"/>
      <c r="G344" s="660"/>
    </row>
    <row r="345" spans="1:7" ht="15" customHeight="1">
      <c r="A345" s="659"/>
      <c r="B345" s="642"/>
      <c r="C345" s="642"/>
      <c r="D345" s="645" t="s">
        <v>10</v>
      </c>
      <c r="E345" s="642"/>
      <c r="F345" s="642"/>
      <c r="G345" s="660"/>
    </row>
    <row r="346" spans="1:7" ht="15" customHeight="1">
      <c r="A346" s="659"/>
      <c r="B346" s="642"/>
      <c r="C346" s="652"/>
      <c r="D346" s="645" t="s">
        <v>115</v>
      </c>
      <c r="E346" s="642"/>
      <c r="F346" s="642"/>
      <c r="G346" s="660"/>
    </row>
    <row r="347" spans="1:7" ht="15" customHeight="1">
      <c r="A347" s="659"/>
      <c r="B347" s="642"/>
      <c r="C347" s="659"/>
      <c r="D347" s="608" t="s">
        <v>12</v>
      </c>
      <c r="E347" s="642"/>
      <c r="F347" s="642"/>
      <c r="G347" s="660"/>
    </row>
    <row r="348" spans="1:7" ht="15" customHeight="1">
      <c r="A348" s="659"/>
      <c r="B348" s="648">
        <v>0.01</v>
      </c>
      <c r="C348" s="642" t="s">
        <v>13</v>
      </c>
      <c r="D348" s="649" t="s">
        <v>14</v>
      </c>
      <c r="E348" s="600">
        <f>'SSR-rates'!$L$58</f>
        <v>575</v>
      </c>
      <c r="F348" s="652">
        <v>1</v>
      </c>
      <c r="G348" s="661">
        <f>ROUND(B348*E348,2)</f>
        <v>5.75</v>
      </c>
    </row>
    <row r="349" spans="1:7" ht="15" customHeight="1">
      <c r="A349" s="659"/>
      <c r="B349" s="648">
        <v>0</v>
      </c>
      <c r="C349" s="642" t="s">
        <v>13</v>
      </c>
      <c r="D349" s="649" t="s">
        <v>15</v>
      </c>
      <c r="E349" s="600">
        <f>'SSR-rates'!$L$59</f>
        <v>575</v>
      </c>
      <c r="F349" s="652">
        <v>1</v>
      </c>
      <c r="G349" s="661">
        <f>ROUND(B349*E349,2)</f>
        <v>0</v>
      </c>
    </row>
    <row r="350" spans="1:7" ht="15" customHeight="1">
      <c r="A350" s="659"/>
      <c r="B350" s="648">
        <v>0.3</v>
      </c>
      <c r="C350" s="642" t="s">
        <v>13</v>
      </c>
      <c r="D350" s="649" t="s">
        <v>16</v>
      </c>
      <c r="E350" s="600">
        <f>'SSR-rates'!$L$60</f>
        <v>575</v>
      </c>
      <c r="F350" s="652">
        <v>1</v>
      </c>
      <c r="G350" s="661">
        <f>ROUND(B350*E350,2)</f>
        <v>172.5</v>
      </c>
    </row>
    <row r="351" spans="1:7" ht="15" customHeight="1">
      <c r="A351" s="659"/>
      <c r="B351" s="603">
        <f>'Input Data'!$D$23</f>
        <v>0</v>
      </c>
      <c r="C351" s="617"/>
      <c r="D351" s="599" t="s">
        <v>17</v>
      </c>
      <c r="E351" s="600">
        <f>SUM(G348:G350)</f>
        <v>178.25</v>
      </c>
      <c r="F351" s="588"/>
      <c r="G351" s="600">
        <f>B351*E351</f>
        <v>0</v>
      </c>
    </row>
    <row r="352" spans="1:7" ht="15" customHeight="1">
      <c r="A352" s="659"/>
      <c r="B352" s="652"/>
      <c r="C352" s="652"/>
      <c r="D352" s="653" t="s">
        <v>18</v>
      </c>
      <c r="E352" s="652"/>
      <c r="F352" s="662" t="s">
        <v>19</v>
      </c>
      <c r="G352" s="663">
        <f>SUM(G348:G351)</f>
        <v>178.25</v>
      </c>
    </row>
    <row r="353" spans="1:7" ht="15" customHeight="1">
      <c r="A353" s="659"/>
      <c r="B353" s="652"/>
      <c r="C353" s="659"/>
      <c r="D353" s="608" t="s">
        <v>20</v>
      </c>
      <c r="E353" s="652"/>
      <c r="F353" s="652"/>
      <c r="G353" s="661"/>
    </row>
    <row r="354" spans="1:7" ht="15" customHeight="1">
      <c r="A354" s="659"/>
      <c r="B354" s="648">
        <v>0.38</v>
      </c>
      <c r="C354" s="642" t="s">
        <v>23</v>
      </c>
      <c r="D354" s="649" t="s">
        <v>24</v>
      </c>
      <c r="E354" s="652">
        <f>'SSR-rates'!$L$70</f>
        <v>512</v>
      </c>
      <c r="F354" s="652">
        <v>1</v>
      </c>
      <c r="G354" s="661">
        <f>ROUND(B354*E354,2)</f>
        <v>194.56</v>
      </c>
    </row>
    <row r="355" spans="1:7" ht="15" customHeight="1">
      <c r="A355" s="659"/>
      <c r="B355" s="648">
        <v>1.7000000000000001E-2</v>
      </c>
      <c r="C355" s="642"/>
      <c r="D355" s="649" t="s">
        <v>1657</v>
      </c>
      <c r="E355" s="652">
        <f>'SSR-rates'!$L$72</f>
        <v>625</v>
      </c>
      <c r="F355" s="652">
        <v>1</v>
      </c>
      <c r="G355" s="661">
        <f>ROUND(B355*E355,2)</f>
        <v>10.63</v>
      </c>
    </row>
    <row r="356" spans="1:7" ht="15" customHeight="1">
      <c r="A356" s="659"/>
      <c r="B356" s="652"/>
      <c r="C356" s="652"/>
      <c r="D356" s="653" t="s">
        <v>18</v>
      </c>
      <c r="E356" s="652"/>
      <c r="F356" s="662" t="s">
        <v>25</v>
      </c>
      <c r="G356" s="663">
        <f>SUM(G354:G355)</f>
        <v>205.19</v>
      </c>
    </row>
    <row r="357" spans="1:7" ht="15" customHeight="1">
      <c r="A357" s="659"/>
      <c r="B357" s="652"/>
      <c r="C357" s="642"/>
      <c r="D357" s="608" t="s">
        <v>26</v>
      </c>
      <c r="E357" s="652"/>
      <c r="F357" s="652"/>
      <c r="G357" s="663">
        <f>G352+G356</f>
        <v>383.44</v>
      </c>
    </row>
    <row r="358" spans="1:7" ht="15" customHeight="1">
      <c r="A358" s="659"/>
      <c r="B358" s="652"/>
      <c r="C358" s="602" t="s">
        <v>27</v>
      </c>
      <c r="D358" s="608" t="s">
        <v>2013</v>
      </c>
      <c r="E358" s="652"/>
      <c r="F358" s="652"/>
      <c r="G358" s="661"/>
    </row>
    <row r="359" spans="1:7" ht="15" customHeight="1">
      <c r="A359" s="659"/>
      <c r="B359" s="611">
        <f>'Input Data'!$D$24</f>
        <v>0.13614999999999999</v>
      </c>
      <c r="C359" s="652"/>
      <c r="D359" s="608" t="str">
        <f>"Over head charges &amp; CP  "&amp;'Input Data'!$D$24*100&amp;"%  on (A) + (B)"</f>
        <v>Over head charges &amp; CP  13.615%  on (A) + (B)</v>
      </c>
      <c r="E359" s="652">
        <f>G357</f>
        <v>383.44</v>
      </c>
      <c r="F359" s="642"/>
      <c r="G359" s="661">
        <f>E359*B359</f>
        <v>52.205355999999995</v>
      </c>
    </row>
    <row r="360" spans="1:7" ht="15" customHeight="1">
      <c r="A360" s="659"/>
      <c r="B360" s="652"/>
      <c r="C360" s="652"/>
      <c r="D360" s="608"/>
      <c r="E360" s="652"/>
      <c r="F360" s="642"/>
      <c r="G360" s="661"/>
    </row>
    <row r="361" spans="1:7" ht="15" customHeight="1">
      <c r="A361" s="659"/>
      <c r="B361" s="652">
        <v>1</v>
      </c>
      <c r="C361" s="652" t="s">
        <v>31</v>
      </c>
      <c r="D361" s="653" t="str">
        <f>CONCATENATE("TOTAL Cost for ",B361,"  ",C361,"  =  (A+B+C)",)</f>
        <v>TOTAL Cost for 1  cum  =  (A+B+C)</v>
      </c>
      <c r="E361" s="652"/>
      <c r="F361" s="652"/>
      <c r="G361" s="661">
        <f>SUM(G357:G360)</f>
        <v>435.64535599999999</v>
      </c>
    </row>
    <row r="362" spans="1:7" ht="15" customHeight="1">
      <c r="A362" s="659"/>
      <c r="B362" s="652"/>
      <c r="C362" s="652"/>
      <c r="D362" s="653" t="str">
        <f>CONCATENATE("Rate per  1  ",C361)</f>
        <v>Rate per  1  cum</v>
      </c>
      <c r="E362" s="652"/>
      <c r="F362" s="652"/>
      <c r="G362" s="661">
        <f>G361/B361</f>
        <v>435.64535599999999</v>
      </c>
    </row>
    <row r="363" spans="1:7" ht="15" customHeight="1">
      <c r="A363" s="659"/>
      <c r="B363" s="652"/>
      <c r="C363" s="652"/>
      <c r="D363" s="608" t="str">
        <f>D362</f>
        <v>Rate per  1  cum</v>
      </c>
      <c r="E363" s="652"/>
      <c r="F363" s="652"/>
      <c r="G363" s="663">
        <f>ROUND(G362,0)</f>
        <v>436</v>
      </c>
    </row>
    <row r="364" spans="1:7">
      <c r="A364" s="598"/>
      <c r="B364" s="588"/>
      <c r="C364" s="599"/>
      <c r="D364" s="599"/>
      <c r="E364" s="599"/>
      <c r="F364" s="599"/>
      <c r="G364" s="665"/>
    </row>
    <row r="365" spans="1:7" ht="87.95" customHeight="1">
      <c r="A365" s="598">
        <v>14</v>
      </c>
      <c r="B365" s="3846" t="s">
        <v>1952</v>
      </c>
      <c r="C365" s="3846"/>
      <c r="D365" s="3846"/>
      <c r="E365" s="3846"/>
      <c r="F365" s="3846"/>
      <c r="G365" s="3846"/>
    </row>
    <row r="366" spans="1:7">
      <c r="A366" s="620"/>
      <c r="B366" s="588"/>
      <c r="C366" s="599"/>
      <c r="D366" s="612" t="s">
        <v>10</v>
      </c>
      <c r="E366" s="599"/>
      <c r="F366" s="599"/>
      <c r="G366" s="599"/>
    </row>
    <row r="367" spans="1:7">
      <c r="A367" s="620"/>
      <c r="B367" s="588"/>
      <c r="C367" s="599"/>
      <c r="D367" s="612" t="s">
        <v>56</v>
      </c>
      <c r="E367" s="599"/>
      <c r="F367" s="599"/>
      <c r="G367" s="599"/>
    </row>
    <row r="368" spans="1:7">
      <c r="A368" s="620"/>
      <c r="B368" s="598" t="s">
        <v>36</v>
      </c>
      <c r="C368" s="621" t="s">
        <v>37</v>
      </c>
      <c r="D368" s="599"/>
      <c r="E368" s="599"/>
      <c r="F368" s="599"/>
      <c r="G368" s="599"/>
    </row>
    <row r="369" spans="1:8">
      <c r="A369" s="620"/>
      <c r="B369" s="600">
        <v>0.86</v>
      </c>
      <c r="C369" s="601" t="s">
        <v>57</v>
      </c>
      <c r="D369" s="612" t="s">
        <v>14</v>
      </c>
      <c r="E369" s="600">
        <v>405</v>
      </c>
      <c r="F369" s="588" t="s">
        <v>38</v>
      </c>
      <c r="G369" s="602">
        <f>ROUND(B369*E369,2)</f>
        <v>348.3</v>
      </c>
      <c r="H369" s="623"/>
    </row>
    <row r="370" spans="1:8">
      <c r="A370" s="620"/>
      <c r="B370" s="600">
        <v>1.5</v>
      </c>
      <c r="C370" s="601" t="s">
        <v>57</v>
      </c>
      <c r="D370" s="612" t="s">
        <v>58</v>
      </c>
      <c r="E370" s="600">
        <v>417</v>
      </c>
      <c r="F370" s="588" t="s">
        <v>38</v>
      </c>
      <c r="G370" s="602">
        <f>ROUND(B370*E370,2)</f>
        <v>625.5</v>
      </c>
    </row>
    <row r="371" spans="1:8">
      <c r="A371" s="620"/>
      <c r="B371" s="600">
        <v>20</v>
      </c>
      <c r="C371" s="601" t="s">
        <v>57</v>
      </c>
      <c r="D371" s="612" t="s">
        <v>59</v>
      </c>
      <c r="E371" s="600">
        <v>350</v>
      </c>
      <c r="F371" s="588" t="s">
        <v>38</v>
      </c>
      <c r="G371" s="602">
        <f>ROUND(B371*E371,2)</f>
        <v>7000</v>
      </c>
    </row>
    <row r="372" spans="1:8">
      <c r="A372" s="598"/>
      <c r="B372" s="603">
        <f>'Input Data'!D23</f>
        <v>0</v>
      </c>
      <c r="C372" s="617"/>
      <c r="D372" s="599" t="s">
        <v>17</v>
      </c>
      <c r="E372" s="600">
        <f>SUM(G369:G371)</f>
        <v>7973.8</v>
      </c>
      <c r="F372" s="588"/>
      <c r="G372" s="602">
        <f>ROUND(B372*E372,2)</f>
        <v>0</v>
      </c>
    </row>
    <row r="373" spans="1:8" ht="15" customHeight="1">
      <c r="A373" s="620"/>
      <c r="B373" s="600"/>
      <c r="C373" s="599"/>
      <c r="D373" s="612" t="s">
        <v>60</v>
      </c>
      <c r="E373" s="600"/>
      <c r="F373" s="600"/>
      <c r="G373" s="602">
        <f>SUM(G369:G372)</f>
        <v>7973.8</v>
      </c>
    </row>
    <row r="374" spans="1:8">
      <c r="A374" s="620"/>
      <c r="B374" s="598" t="s">
        <v>39</v>
      </c>
      <c r="C374" s="621" t="s">
        <v>61</v>
      </c>
      <c r="D374" s="599"/>
      <c r="E374" s="600"/>
      <c r="F374" s="600"/>
      <c r="G374" s="600"/>
    </row>
    <row r="375" spans="1:8" ht="15" customHeight="1">
      <c r="A375" s="620"/>
      <c r="B375" s="600">
        <v>8.1</v>
      </c>
      <c r="C375" s="601" t="s">
        <v>31</v>
      </c>
      <c r="D375" s="599" t="s">
        <v>63</v>
      </c>
      <c r="E375" s="600">
        <v>1630.8781850988</v>
      </c>
      <c r="F375" s="600" t="s">
        <v>31</v>
      </c>
      <c r="G375" s="600">
        <f>ROUND(B375*E375,2)</f>
        <v>13210.11</v>
      </c>
    </row>
    <row r="376" spans="1:8" ht="15" customHeight="1">
      <c r="A376" s="620"/>
      <c r="B376" s="600">
        <v>5.4</v>
      </c>
      <c r="C376" s="601" t="s">
        <v>31</v>
      </c>
      <c r="D376" s="599" t="s">
        <v>64</v>
      </c>
      <c r="E376" s="600">
        <v>1350.8781850988</v>
      </c>
      <c r="F376" s="600" t="s">
        <v>31</v>
      </c>
      <c r="G376" s="600">
        <f>ROUND(B376*E376,2)</f>
        <v>7294.74</v>
      </c>
    </row>
    <row r="377" spans="1:8" ht="15" customHeight="1">
      <c r="A377" s="620"/>
      <c r="B377" s="600">
        <v>6.75</v>
      </c>
      <c r="C377" s="601" t="s">
        <v>31</v>
      </c>
      <c r="D377" s="612" t="s">
        <v>65</v>
      </c>
      <c r="E377" s="600">
        <v>0</v>
      </c>
      <c r="F377" s="600" t="s">
        <v>31</v>
      </c>
      <c r="G377" s="600">
        <f>ROUND(B377*E377,2)</f>
        <v>0</v>
      </c>
    </row>
    <row r="378" spans="1:8" ht="15" customHeight="1">
      <c r="A378" s="620"/>
      <c r="B378" s="600">
        <v>5.21</v>
      </c>
      <c r="C378" s="601" t="s">
        <v>66</v>
      </c>
      <c r="D378" s="612" t="s">
        <v>67</v>
      </c>
      <c r="E378" s="600">
        <v>5400</v>
      </c>
      <c r="F378" s="600" t="s">
        <v>66</v>
      </c>
      <c r="G378" s="600">
        <f>ROUND(B378*E378,2)</f>
        <v>28134</v>
      </c>
    </row>
    <row r="379" spans="1:8">
      <c r="A379" s="620"/>
      <c r="B379" s="600"/>
      <c r="C379" s="617"/>
      <c r="D379" s="612" t="s">
        <v>60</v>
      </c>
      <c r="E379" s="600"/>
      <c r="F379" s="600"/>
      <c r="G379" s="600">
        <f>SUM(G375:G378)</f>
        <v>48638.85</v>
      </c>
    </row>
    <row r="380" spans="1:8">
      <c r="A380" s="620"/>
      <c r="B380" s="598" t="s">
        <v>94</v>
      </c>
      <c r="C380" s="621" t="s">
        <v>40</v>
      </c>
      <c r="D380" s="599"/>
      <c r="E380" s="600"/>
      <c r="F380" s="600"/>
      <c r="G380" s="600"/>
    </row>
    <row r="381" spans="1:8">
      <c r="A381" s="620"/>
      <c r="B381" s="600">
        <v>6</v>
      </c>
      <c r="C381" s="601" t="s">
        <v>41</v>
      </c>
      <c r="D381" s="612" t="s">
        <v>68</v>
      </c>
      <c r="E381" s="600">
        <v>472.6</v>
      </c>
      <c r="F381" s="600" t="s">
        <v>41</v>
      </c>
      <c r="G381" s="600">
        <f>ROUND(B381*E381,2)</f>
        <v>2835.6</v>
      </c>
    </row>
    <row r="382" spans="1:8">
      <c r="A382" s="620"/>
      <c r="B382" s="600">
        <v>6</v>
      </c>
      <c r="C382" s="601" t="s">
        <v>41</v>
      </c>
      <c r="D382" s="612" t="s">
        <v>69</v>
      </c>
      <c r="E382" s="600">
        <v>842.2</v>
      </c>
      <c r="F382" s="600" t="s">
        <v>41</v>
      </c>
      <c r="G382" s="600">
        <f>ROUND(B382*E382,2)</f>
        <v>5053.2</v>
      </c>
    </row>
    <row r="383" spans="1:8">
      <c r="A383" s="620"/>
      <c r="B383" s="600"/>
      <c r="C383" s="617"/>
      <c r="D383" s="612" t="s">
        <v>60</v>
      </c>
      <c r="E383" s="600"/>
      <c r="F383" s="600"/>
      <c r="G383" s="600">
        <f>SUM(G381:G382)</f>
        <v>7888.7999999999993</v>
      </c>
    </row>
    <row r="384" spans="1:8">
      <c r="A384" s="598"/>
      <c r="B384" s="598" t="s">
        <v>45</v>
      </c>
      <c r="C384" s="594" t="s">
        <v>149</v>
      </c>
      <c r="D384" s="599"/>
      <c r="E384" s="601"/>
      <c r="F384" s="601"/>
      <c r="G384" s="626"/>
    </row>
    <row r="385" spans="1:7" ht="15" customHeight="1">
      <c r="A385" s="598"/>
      <c r="B385" s="600">
        <v>10</v>
      </c>
      <c r="C385" s="617" t="s">
        <v>29</v>
      </c>
      <c r="D385" s="612" t="s">
        <v>2014</v>
      </c>
      <c r="E385" s="601"/>
      <c r="F385" s="601"/>
      <c r="G385" s="600">
        <f>ROUND((G373+G379+G383)*B385/100,2)</f>
        <v>6450.15</v>
      </c>
    </row>
    <row r="386" spans="1:7">
      <c r="A386" s="598"/>
      <c r="B386" s="598" t="s">
        <v>47</v>
      </c>
      <c r="C386" s="594" t="s">
        <v>1283</v>
      </c>
      <c r="D386" s="599"/>
      <c r="E386" s="601"/>
      <c r="F386" s="601"/>
      <c r="G386" s="626"/>
    </row>
    <row r="387" spans="1:7" ht="15" customHeight="1">
      <c r="A387" s="598"/>
      <c r="B387" s="611">
        <f>'Input Data'!$D$24</f>
        <v>0.13614999999999999</v>
      </c>
      <c r="C387" s="3840" t="str">
        <f>"Over head charges &amp; CP "&amp;'Input Data'!$D$24*100&amp;"%  on (A) + (B)+(C)+(D)"</f>
        <v>Over head charges &amp; CP 13.615%  on (A) + (B)+(C)+(D)</v>
      </c>
      <c r="D387" s="3840"/>
      <c r="E387" s="617">
        <f>G385+G383+G379+G373</f>
        <v>70951.599999999991</v>
      </c>
      <c r="F387" s="601"/>
      <c r="G387" s="600">
        <f>E387*B387</f>
        <v>9660.0603399999982</v>
      </c>
    </row>
    <row r="388" spans="1:7">
      <c r="A388" s="598"/>
      <c r="B388" s="598" t="s">
        <v>76</v>
      </c>
      <c r="C388" s="594" t="s">
        <v>89</v>
      </c>
      <c r="D388" s="599"/>
      <c r="E388" s="601"/>
      <c r="F388" s="601"/>
      <c r="G388" s="626">
        <f>G373+G379+G383+G387+G385</f>
        <v>80611.660339999988</v>
      </c>
    </row>
    <row r="389" spans="1:7">
      <c r="A389" s="620"/>
      <c r="B389" s="600"/>
      <c r="C389" s="601"/>
      <c r="D389" s="621" t="s">
        <v>1951</v>
      </c>
      <c r="E389" s="600"/>
      <c r="F389" s="600"/>
      <c r="G389" s="626">
        <f>SUM(G388:G388)</f>
        <v>80611.660339999988</v>
      </c>
    </row>
    <row r="390" spans="1:7">
      <c r="A390" s="620"/>
      <c r="B390" s="600"/>
      <c r="C390" s="601"/>
      <c r="D390" s="612" t="s">
        <v>81</v>
      </c>
      <c r="E390" s="600"/>
      <c r="F390" s="600"/>
      <c r="G390" s="600">
        <f>ROUND(G389/15,2)</f>
        <v>5374.11</v>
      </c>
    </row>
    <row r="391" spans="1:7">
      <c r="A391" s="620"/>
      <c r="B391" s="588"/>
      <c r="C391" s="599"/>
      <c r="D391" s="612" t="s">
        <v>52</v>
      </c>
      <c r="E391" s="600"/>
      <c r="F391" s="600"/>
      <c r="G391" s="669">
        <f>ROUND(G390,0)</f>
        <v>5374</v>
      </c>
    </row>
    <row r="392" spans="1:7">
      <c r="A392" s="620"/>
      <c r="B392" s="588"/>
      <c r="C392" s="599"/>
      <c r="D392" s="612"/>
      <c r="E392" s="600"/>
      <c r="F392" s="600"/>
      <c r="G392" s="626" t="s">
        <v>53</v>
      </c>
    </row>
    <row r="393" spans="1:7">
      <c r="A393" s="670"/>
      <c r="D393" s="623"/>
      <c r="E393" s="671"/>
      <c r="F393" s="671"/>
      <c r="G393" s="672"/>
    </row>
    <row r="394" spans="1:7">
      <c r="A394" s="670"/>
      <c r="D394" s="623"/>
      <c r="E394" s="671"/>
      <c r="F394" s="671"/>
      <c r="G394" s="672"/>
    </row>
    <row r="395" spans="1:7">
      <c r="A395" s="670"/>
      <c r="D395" s="623" t="str">
        <f>'Road data'!D985</f>
        <v>Assistant Engineer,</v>
      </c>
      <c r="E395" s="673" t="str">
        <f>'Road data'!E985</f>
        <v>Dy. Exe. Engineer</v>
      </c>
      <c r="F395" s="671"/>
      <c r="G395" s="672"/>
    </row>
    <row r="396" spans="1:7">
      <c r="A396" s="670"/>
      <c r="D396" s="623" t="str">
        <f>'Road data'!D986</f>
        <v>PRSD, Wanaparthy</v>
      </c>
      <c r="E396" s="673" t="str">
        <f>'Road data'!E986</f>
        <v>PRSD, Wanaparthy</v>
      </c>
      <c r="F396" s="671"/>
      <c r="G396" s="672"/>
    </row>
    <row r="397" spans="1:7">
      <c r="A397" s="670"/>
      <c r="D397" s="623"/>
      <c r="E397" s="671"/>
      <c r="F397" s="671"/>
      <c r="G397" s="672"/>
    </row>
    <row r="399" spans="1:7" ht="15.95" customHeight="1">
      <c r="D399" s="674" t="str">
        <f>'Drain '!F40</f>
        <v>District Panchayat Raj Engineer,</v>
      </c>
      <c r="E399" s="3847" t="str">
        <f>'Drain '!I40</f>
        <v>Superintending Engineer</v>
      </c>
      <c r="F399" s="3847"/>
      <c r="G399" s="3847"/>
    </row>
    <row r="400" spans="1:7" ht="15.95" customHeight="1">
      <c r="D400" s="674" t="str">
        <f>'Drain '!F41</f>
        <v>PIU, Wanaparthy</v>
      </c>
      <c r="E400" s="3843" t="str">
        <f>GA!C38</f>
        <v>PR, Circle, Warangal</v>
      </c>
      <c r="F400" s="3843"/>
      <c r="G400" s="3843"/>
    </row>
  </sheetData>
  <mergeCells count="36">
    <mergeCell ref="E400:G400"/>
    <mergeCell ref="E252:G252"/>
    <mergeCell ref="B253:G253"/>
    <mergeCell ref="E274:G274"/>
    <mergeCell ref="B276:G276"/>
    <mergeCell ref="B298:G298"/>
    <mergeCell ref="D309:D310"/>
    <mergeCell ref="B343:G343"/>
    <mergeCell ref="B365:G365"/>
    <mergeCell ref="C387:D387"/>
    <mergeCell ref="E399:G399"/>
    <mergeCell ref="B156:G156"/>
    <mergeCell ref="C173:D173"/>
    <mergeCell ref="B180:G180"/>
    <mergeCell ref="B201:G201"/>
    <mergeCell ref="B232:G232"/>
    <mergeCell ref="C66:D66"/>
    <mergeCell ref="B74:G74"/>
    <mergeCell ref="C98:D98"/>
    <mergeCell ref="B105:G105"/>
    <mergeCell ref="B131:G131"/>
    <mergeCell ref="B39:D39"/>
    <mergeCell ref="C47:D47"/>
    <mergeCell ref="B55:G55"/>
    <mergeCell ref="B56:C56"/>
    <mergeCell ref="B57:D57"/>
    <mergeCell ref="B5:C5"/>
    <mergeCell ref="B7:D7"/>
    <mergeCell ref="C14:D14"/>
    <mergeCell ref="B23:D23"/>
    <mergeCell ref="C31:D31"/>
    <mergeCell ref="A1:G1"/>
    <mergeCell ref="A2:C2"/>
    <mergeCell ref="D2:G2"/>
    <mergeCell ref="B3:C3"/>
    <mergeCell ref="B4:G4"/>
  </mergeCells>
  <conditionalFormatting sqref="A232">
    <cfRule type="cellIs" dxfId="15" priority="28" stopIfTrue="1" operator="equal">
      <formula>A1878</formula>
    </cfRule>
  </conditionalFormatting>
  <conditionalFormatting sqref="A233:A239">
    <cfRule type="cellIs" dxfId="14" priority="29" stopIfTrue="1" operator="equal">
      <formula>A232</formula>
    </cfRule>
  </conditionalFormatting>
  <conditionalFormatting sqref="A241:A242 A244:A248 A250:A251 A288:A292 A294:A295 A300:A301 A303:A305 A309:A310 A312:A313 A357:A360 A362:A363">
    <cfRule type="cellIs" dxfId="13" priority="32" stopIfTrue="1" operator="equal">
      <formula>A240</formula>
    </cfRule>
  </conditionalFormatting>
  <conditionalFormatting sqref="A253">
    <cfRule type="cellIs" dxfId="12" priority="2" stopIfTrue="1" operator="equal">
      <formula>A1899</formula>
    </cfRule>
  </conditionalFormatting>
  <conditionalFormatting sqref="A254:A260">
    <cfRule type="cellIs" dxfId="11" priority="3" stopIfTrue="1" operator="equal">
      <formula>A253</formula>
    </cfRule>
  </conditionalFormatting>
  <conditionalFormatting sqref="A262:A264 A266:A270 A272:A273">
    <cfRule type="cellIs" dxfId="10" priority="5" stopIfTrue="1" operator="equal">
      <formula>A261</formula>
    </cfRule>
  </conditionalFormatting>
  <conditionalFormatting sqref="A276">
    <cfRule type="cellIs" dxfId="9" priority="23" stopIfTrue="1" operator="equal">
      <formula>A1902</formula>
    </cfRule>
  </conditionalFormatting>
  <conditionalFormatting sqref="A277:A283">
    <cfRule type="cellIs" dxfId="8" priority="24" stopIfTrue="1" operator="equal">
      <formula>A276</formula>
    </cfRule>
  </conditionalFormatting>
  <conditionalFormatting sqref="A285:A286">
    <cfRule type="cellIs" dxfId="7" priority="26" stopIfTrue="1" operator="equal">
      <formula>A284</formula>
    </cfRule>
  </conditionalFormatting>
  <conditionalFormatting sqref="A298">
    <cfRule type="cellIs" dxfId="6" priority="18" stopIfTrue="1" operator="equal">
      <formula>A1926</formula>
    </cfRule>
  </conditionalFormatting>
  <conditionalFormatting sqref="A302 A356">
    <cfRule type="cellIs" dxfId="5" priority="39" stopIfTrue="1" operator="equal">
      <formula>A300</formula>
    </cfRule>
  </conditionalFormatting>
  <conditionalFormatting sqref="A307">
    <cfRule type="cellIs" dxfId="4" priority="21" stopIfTrue="1" operator="equal">
      <formula>A306</formula>
    </cfRule>
  </conditionalFormatting>
  <conditionalFormatting sqref="A343">
    <cfRule type="cellIs" dxfId="3" priority="12" stopIfTrue="1" operator="equal">
      <formula>A1979</formula>
    </cfRule>
  </conditionalFormatting>
  <conditionalFormatting sqref="A345:A355">
    <cfRule type="cellIs" dxfId="2" priority="8" stopIfTrue="1" operator="equal">
      <formula>A344</formula>
    </cfRule>
  </conditionalFormatting>
  <conditionalFormatting sqref="A351 A240 A261 A284 A299 A306">
    <cfRule type="cellIs" dxfId="1" priority="34" stopIfTrue="1" operator="equal">
      <formula>#REF!</formula>
    </cfRule>
  </conditionalFormatting>
  <conditionalFormatting sqref="A354:A355 A243 A249 A265 A271 A287 A293 A308 A311 A344 A361">
    <cfRule type="cellIs" dxfId="0" priority="37" stopIfTrue="1" operator="equal">
      <formula>#REF!</formula>
    </cfRule>
  </conditionalFormatting>
  <printOptions horizontalCentered="1"/>
  <pageMargins left="0.59055118110236204" right="0.196850393700787" top="0.59055118110236204" bottom="0.39370078740157499" header="0.511811023622047" footer="0.35433070866141703"/>
  <pageSetup paperSize="9" scale="95" orientation="portrait" r:id="rId1"/>
  <headerFooter alignWithMargins="0">
    <oddFooter>&amp;CPage &amp;P of &amp;N</oddFooter>
  </headerFooter>
</worksheet>
</file>

<file path=xl/worksheets/sheet43.xml><?xml version="1.0" encoding="utf-8"?>
<worksheet xmlns="http://schemas.openxmlformats.org/spreadsheetml/2006/main" xmlns:r="http://schemas.openxmlformats.org/officeDocument/2006/relationships">
  <sheetPr codeName="Sheet20"/>
  <dimension ref="A1:G1370"/>
  <sheetViews>
    <sheetView view="pageBreakPreview" topLeftCell="A22" workbookViewId="0">
      <selection activeCell="E10" sqref="E10"/>
    </sheetView>
  </sheetViews>
  <sheetFormatPr defaultColWidth="9.140625" defaultRowHeight="15"/>
  <cols>
    <col min="1" max="1" width="11" style="467" customWidth="1"/>
    <col min="2" max="2" width="9.140625" style="467"/>
    <col min="3" max="3" width="29.85546875" style="467" customWidth="1"/>
    <col min="4" max="4" width="11.5703125" style="467" customWidth="1"/>
    <col min="5" max="5" width="11.42578125" style="467" customWidth="1"/>
    <col min="6" max="6" width="14.5703125" style="467" customWidth="1"/>
    <col min="7" max="7" width="15.28515625" style="467" customWidth="1"/>
    <col min="8" max="9" width="9.140625" style="467"/>
    <col min="10" max="10" width="66.7109375" style="467" customWidth="1"/>
    <col min="11" max="16384" width="9.140625" style="467"/>
  </cols>
  <sheetData>
    <row r="1" spans="1:7" ht="17.25" customHeight="1">
      <c r="A1" s="3848" t="s">
        <v>2107</v>
      </c>
      <c r="B1" s="3849"/>
      <c r="C1" s="3849"/>
      <c r="D1" s="3849"/>
      <c r="E1" s="3849"/>
      <c r="F1" s="3849"/>
    </row>
    <row r="2" spans="1:7" ht="51" customHeight="1">
      <c r="A2" s="3850" t="s">
        <v>2108</v>
      </c>
      <c r="B2" s="3850"/>
      <c r="C2" s="3851" t="s">
        <v>2109</v>
      </c>
      <c r="D2" s="3852"/>
      <c r="E2" s="3852"/>
      <c r="F2" s="3852"/>
      <c r="G2" s="3852"/>
    </row>
    <row r="3" spans="1:7" ht="12.75" customHeight="1"/>
    <row r="4" spans="1:7" ht="29.25" customHeight="1">
      <c r="A4" s="469" t="s">
        <v>2</v>
      </c>
      <c r="B4" s="3853" t="s">
        <v>2110</v>
      </c>
      <c r="C4" s="3853"/>
      <c r="D4" s="470" t="s">
        <v>3</v>
      </c>
      <c r="E4" s="469" t="s">
        <v>5</v>
      </c>
      <c r="F4" s="469" t="s">
        <v>580</v>
      </c>
      <c r="G4" s="471" t="s">
        <v>7</v>
      </c>
    </row>
    <row r="5" spans="1:7" ht="123.75" customHeight="1">
      <c r="A5" s="472">
        <v>1</v>
      </c>
      <c r="B5" s="3854" t="s">
        <v>2111</v>
      </c>
      <c r="C5" s="3854"/>
      <c r="D5" s="3854"/>
      <c r="E5" s="3854"/>
      <c r="F5" s="3854"/>
      <c r="G5" s="473"/>
    </row>
    <row r="6" spans="1:7">
      <c r="A6" s="468"/>
      <c r="B6" s="3855"/>
      <c r="C6" s="3855"/>
      <c r="D6" s="468">
        <v>952</v>
      </c>
      <c r="E6" s="475">
        <v>702</v>
      </c>
      <c r="F6" s="468">
        <v>1</v>
      </c>
      <c r="G6" s="475">
        <f>ROUND(D6*E6,0)</f>
        <v>668304</v>
      </c>
    </row>
    <row r="7" spans="1:7">
      <c r="A7" s="468"/>
      <c r="B7" s="3855"/>
      <c r="C7" s="3855"/>
      <c r="D7" s="468" t="s">
        <v>963</v>
      </c>
      <c r="E7" s="468"/>
      <c r="F7" s="468" t="s">
        <v>963</v>
      </c>
      <c r="G7" s="468"/>
    </row>
    <row r="8" spans="1:7">
      <c r="A8" s="468"/>
    </row>
    <row r="9" spans="1:7" ht="273.75" customHeight="1">
      <c r="A9" s="472">
        <v>2</v>
      </c>
      <c r="B9" s="3854" t="s">
        <v>2112</v>
      </c>
      <c r="C9" s="3854"/>
      <c r="D9" s="3854"/>
      <c r="E9" s="3854"/>
      <c r="F9" s="3854"/>
    </row>
    <row r="10" spans="1:7">
      <c r="A10" s="468"/>
      <c r="B10" s="468"/>
      <c r="C10" s="468"/>
      <c r="D10" s="468">
        <v>20</v>
      </c>
      <c r="E10" s="475"/>
      <c r="F10" s="468">
        <v>1</v>
      </c>
      <c r="G10" s="475">
        <f>ROUND(D10*E10,0)</f>
        <v>0</v>
      </c>
    </row>
    <row r="11" spans="1:7">
      <c r="A11" s="468"/>
      <c r="B11" s="468"/>
      <c r="C11" s="468"/>
      <c r="D11" s="468" t="s">
        <v>733</v>
      </c>
      <c r="E11" s="468"/>
      <c r="F11" s="468" t="s">
        <v>733</v>
      </c>
      <c r="G11" s="468"/>
    </row>
    <row r="12" spans="1:7">
      <c r="D12" s="468"/>
      <c r="E12" s="468"/>
      <c r="F12" s="468"/>
      <c r="G12" s="468"/>
    </row>
    <row r="13" spans="1:7" ht="248.25" customHeight="1">
      <c r="A13" s="476">
        <v>3</v>
      </c>
      <c r="B13" s="3854" t="s">
        <v>2113</v>
      </c>
      <c r="C13" s="3854"/>
      <c r="D13" s="3854"/>
      <c r="E13" s="3854"/>
      <c r="F13" s="3854"/>
    </row>
    <row r="14" spans="1:7">
      <c r="D14" s="468">
        <v>1118</v>
      </c>
      <c r="E14" s="475"/>
      <c r="F14" s="468">
        <v>1</v>
      </c>
      <c r="G14" s="475">
        <f>ROUND(D14*E14,0)</f>
        <v>0</v>
      </c>
    </row>
    <row r="15" spans="1:7">
      <c r="D15" s="468" t="s">
        <v>733</v>
      </c>
      <c r="E15" s="468"/>
      <c r="F15" s="468" t="s">
        <v>733</v>
      </c>
      <c r="G15" s="468"/>
    </row>
    <row r="16" spans="1:7" ht="122.25" customHeight="1">
      <c r="A16" s="476">
        <v>4</v>
      </c>
      <c r="B16" s="3854" t="s">
        <v>2114</v>
      </c>
      <c r="C16" s="3854"/>
      <c r="D16" s="3854"/>
      <c r="E16" s="3854"/>
      <c r="F16" s="3854"/>
    </row>
    <row r="17" spans="1:7">
      <c r="D17" s="468">
        <v>1000</v>
      </c>
      <c r="E17" s="475">
        <v>2615</v>
      </c>
      <c r="F17" s="468">
        <v>1</v>
      </c>
      <c r="G17" s="475">
        <f>ROUND(D17*E17,0)</f>
        <v>2615000</v>
      </c>
    </row>
    <row r="18" spans="1:7">
      <c r="D18" s="468" t="s">
        <v>1133</v>
      </c>
      <c r="E18" s="468"/>
      <c r="F18" s="468" t="str">
        <f>D18</f>
        <v>Each</v>
      </c>
      <c r="G18" s="468"/>
    </row>
    <row r="19" spans="1:7" ht="24.75" customHeight="1">
      <c r="A19" s="476">
        <v>5</v>
      </c>
      <c r="B19" s="3854" t="s">
        <v>2115</v>
      </c>
      <c r="C19" s="3854"/>
      <c r="D19" s="3854"/>
      <c r="E19" s="3854"/>
      <c r="F19" s="3854"/>
    </row>
    <row r="20" spans="1:7">
      <c r="D20" s="468">
        <v>2000</v>
      </c>
      <c r="E20" s="475">
        <v>102</v>
      </c>
      <c r="F20" s="468">
        <v>1</v>
      </c>
      <c r="G20" s="475">
        <f>ROUND(D20*E20,0)</f>
        <v>204000</v>
      </c>
    </row>
    <row r="21" spans="1:7">
      <c r="D21" s="468" t="s">
        <v>733</v>
      </c>
      <c r="E21" s="468"/>
      <c r="F21" s="468" t="s">
        <v>733</v>
      </c>
      <c r="G21" s="468"/>
    </row>
    <row r="22" spans="1:7">
      <c r="A22" s="468"/>
    </row>
    <row r="23" spans="1:7" s="466" customFormat="1" ht="14.25" customHeight="1">
      <c r="A23" s="477"/>
      <c r="B23" s="477"/>
      <c r="C23" s="477"/>
      <c r="D23" s="3856" t="s">
        <v>1394</v>
      </c>
      <c r="E23" s="3856"/>
      <c r="F23" s="477"/>
      <c r="G23" s="479">
        <f>SUM(G5:G22)</f>
        <v>3487304</v>
      </c>
    </row>
    <row r="24" spans="1:7" s="466" customFormat="1" ht="14.25" customHeight="1">
      <c r="A24" s="477"/>
      <c r="B24" s="477"/>
      <c r="C24" s="477"/>
      <c r="D24" s="478"/>
      <c r="E24" s="478"/>
      <c r="F24" s="477"/>
      <c r="G24" s="480"/>
    </row>
    <row r="25" spans="1:7" s="466" customFormat="1" ht="14.25" customHeight="1">
      <c r="A25" s="477"/>
      <c r="B25" s="477"/>
      <c r="C25" s="477"/>
      <c r="D25" s="478"/>
      <c r="E25" s="478"/>
      <c r="F25" s="477"/>
      <c r="G25" s="480"/>
    </row>
    <row r="26" spans="1:7" ht="16.5" customHeight="1">
      <c r="A26" s="3848"/>
      <c r="B26" s="3848"/>
      <c r="C26" s="468"/>
      <c r="D26" s="3848"/>
      <c r="E26" s="3848"/>
    </row>
    <row r="27" spans="1:7" ht="25.5" customHeight="1">
      <c r="A27" s="3857" t="s">
        <v>2116</v>
      </c>
      <c r="B27" s="3857"/>
      <c r="C27" s="3857"/>
      <c r="D27" s="3857"/>
      <c r="E27" s="3857"/>
      <c r="F27" s="3857"/>
      <c r="G27" s="3857"/>
    </row>
    <row r="28" spans="1:7">
      <c r="B28" s="468"/>
      <c r="C28" s="468"/>
      <c r="D28" s="3848"/>
      <c r="E28" s="3848"/>
      <c r="F28" s="468"/>
    </row>
    <row r="29" spans="1:7">
      <c r="A29" s="481"/>
    </row>
    <row r="30" spans="1:7">
      <c r="A30" s="481"/>
      <c r="D30" s="474"/>
    </row>
    <row r="31" spans="1:7">
      <c r="A31" s="481"/>
    </row>
    <row r="32" spans="1:7">
      <c r="A32" s="481"/>
    </row>
    <row r="33" spans="1:1">
      <c r="A33" s="468"/>
    </row>
    <row r="34" spans="1:1">
      <c r="A34" s="468"/>
    </row>
    <row r="35" spans="1:1">
      <c r="A35" s="468"/>
    </row>
    <row r="36" spans="1:1">
      <c r="A36" s="468"/>
    </row>
    <row r="37" spans="1:1">
      <c r="A37" s="468"/>
    </row>
    <row r="38" spans="1:1">
      <c r="A38" s="468"/>
    </row>
    <row r="39" spans="1:1">
      <c r="A39" s="468"/>
    </row>
    <row r="40" spans="1:1">
      <c r="A40" s="468"/>
    </row>
    <row r="41" spans="1:1">
      <c r="A41" s="468"/>
    </row>
    <row r="42" spans="1:1">
      <c r="A42" s="468"/>
    </row>
    <row r="43" spans="1:1">
      <c r="A43" s="468"/>
    </row>
    <row r="44" spans="1:1">
      <c r="A44" s="468"/>
    </row>
    <row r="45" spans="1:1">
      <c r="A45" s="468"/>
    </row>
    <row r="46" spans="1:1">
      <c r="A46" s="468"/>
    </row>
    <row r="47" spans="1:1">
      <c r="A47" s="468"/>
    </row>
    <row r="48" spans="1:1">
      <c r="A48" s="468"/>
    </row>
    <row r="49" spans="1:1">
      <c r="A49" s="468"/>
    </row>
    <row r="50" spans="1:1">
      <c r="A50" s="468"/>
    </row>
    <row r="51" spans="1:1">
      <c r="A51" s="468"/>
    </row>
    <row r="52" spans="1:1">
      <c r="A52" s="468"/>
    </row>
    <row r="53" spans="1:1">
      <c r="A53" s="468"/>
    </row>
    <row r="54" spans="1:1">
      <c r="A54" s="468"/>
    </row>
    <row r="55" spans="1:1">
      <c r="A55" s="468"/>
    </row>
    <row r="56" spans="1:1">
      <c r="A56" s="468"/>
    </row>
    <row r="57" spans="1:1">
      <c r="A57" s="468"/>
    </row>
    <row r="58" spans="1:1">
      <c r="A58" s="468"/>
    </row>
    <row r="59" spans="1:1">
      <c r="A59" s="468"/>
    </row>
    <row r="60" spans="1:1">
      <c r="A60" s="468"/>
    </row>
    <row r="61" spans="1:1">
      <c r="A61" s="468"/>
    </row>
    <row r="62" spans="1:1">
      <c r="A62" s="468"/>
    </row>
    <row r="63" spans="1:1">
      <c r="A63" s="468"/>
    </row>
    <row r="64" spans="1:1">
      <c r="A64" s="468"/>
    </row>
    <row r="65" spans="1:1">
      <c r="A65" s="468"/>
    </row>
    <row r="66" spans="1:1">
      <c r="A66" s="468"/>
    </row>
    <row r="67" spans="1:1">
      <c r="A67" s="468"/>
    </row>
    <row r="68" spans="1:1">
      <c r="A68" s="468"/>
    </row>
    <row r="69" spans="1:1">
      <c r="A69" s="468"/>
    </row>
    <row r="70" spans="1:1">
      <c r="A70" s="468"/>
    </row>
    <row r="71" spans="1:1">
      <c r="A71" s="468"/>
    </row>
    <row r="72" spans="1:1">
      <c r="A72" s="468"/>
    </row>
    <row r="73" spans="1:1">
      <c r="A73" s="468"/>
    </row>
    <row r="74" spans="1:1">
      <c r="A74" s="468"/>
    </row>
    <row r="75" spans="1:1">
      <c r="A75" s="468"/>
    </row>
    <row r="76" spans="1:1">
      <c r="A76" s="468"/>
    </row>
    <row r="77" spans="1:1">
      <c r="A77" s="468"/>
    </row>
    <row r="78" spans="1:1">
      <c r="A78" s="468"/>
    </row>
    <row r="79" spans="1:1">
      <c r="A79" s="468"/>
    </row>
    <row r="80" spans="1:1">
      <c r="A80" s="468"/>
    </row>
    <row r="81" spans="1:1">
      <c r="A81" s="468"/>
    </row>
    <row r="82" spans="1:1">
      <c r="A82" s="468"/>
    </row>
    <row r="83" spans="1:1">
      <c r="A83" s="468"/>
    </row>
    <row r="84" spans="1:1">
      <c r="A84" s="468"/>
    </row>
    <row r="85" spans="1:1">
      <c r="A85" s="468"/>
    </row>
    <row r="86" spans="1:1">
      <c r="A86" s="468"/>
    </row>
    <row r="87" spans="1:1">
      <c r="A87" s="468"/>
    </row>
    <row r="88" spans="1:1">
      <c r="A88" s="468"/>
    </row>
    <row r="89" spans="1:1">
      <c r="A89" s="468"/>
    </row>
    <row r="90" spans="1:1">
      <c r="A90" s="468"/>
    </row>
    <row r="91" spans="1:1">
      <c r="A91" s="468"/>
    </row>
    <row r="92" spans="1:1">
      <c r="A92" s="468"/>
    </row>
    <row r="93" spans="1:1">
      <c r="A93" s="468"/>
    </row>
    <row r="94" spans="1:1">
      <c r="A94" s="468"/>
    </row>
    <row r="95" spans="1:1">
      <c r="A95" s="468"/>
    </row>
    <row r="96" spans="1:1">
      <c r="A96" s="468"/>
    </row>
    <row r="97" spans="1:1">
      <c r="A97" s="468"/>
    </row>
    <row r="98" spans="1:1">
      <c r="A98" s="468"/>
    </row>
    <row r="99" spans="1:1">
      <c r="A99" s="468"/>
    </row>
    <row r="100" spans="1:1">
      <c r="A100" s="468"/>
    </row>
    <row r="101" spans="1:1">
      <c r="A101" s="468"/>
    </row>
    <row r="102" spans="1:1">
      <c r="A102" s="468"/>
    </row>
    <row r="103" spans="1:1">
      <c r="A103" s="468"/>
    </row>
    <row r="104" spans="1:1">
      <c r="A104" s="468"/>
    </row>
    <row r="105" spans="1:1">
      <c r="A105" s="468"/>
    </row>
    <row r="106" spans="1:1">
      <c r="A106" s="468"/>
    </row>
    <row r="107" spans="1:1">
      <c r="A107" s="468"/>
    </row>
    <row r="108" spans="1:1">
      <c r="A108" s="468"/>
    </row>
    <row r="109" spans="1:1">
      <c r="A109" s="468"/>
    </row>
    <row r="110" spans="1:1">
      <c r="A110" s="468"/>
    </row>
    <row r="111" spans="1:1">
      <c r="A111" s="468"/>
    </row>
    <row r="112" spans="1:1">
      <c r="A112" s="468"/>
    </row>
    <row r="113" spans="1:1">
      <c r="A113" s="468"/>
    </row>
    <row r="114" spans="1:1">
      <c r="A114" s="468"/>
    </row>
    <row r="115" spans="1:1">
      <c r="A115" s="468"/>
    </row>
    <row r="116" spans="1:1">
      <c r="A116" s="468"/>
    </row>
    <row r="117" spans="1:1">
      <c r="A117" s="468"/>
    </row>
    <row r="118" spans="1:1">
      <c r="A118" s="468"/>
    </row>
    <row r="119" spans="1:1">
      <c r="A119" s="468"/>
    </row>
    <row r="120" spans="1:1">
      <c r="A120" s="468"/>
    </row>
    <row r="121" spans="1:1">
      <c r="A121" s="468"/>
    </row>
    <row r="122" spans="1:1">
      <c r="A122" s="468"/>
    </row>
    <row r="123" spans="1:1">
      <c r="A123" s="468"/>
    </row>
    <row r="124" spans="1:1">
      <c r="A124" s="468"/>
    </row>
    <row r="125" spans="1:1">
      <c r="A125" s="468"/>
    </row>
    <row r="126" spans="1:1">
      <c r="A126" s="468"/>
    </row>
    <row r="127" spans="1:1">
      <c r="A127" s="468"/>
    </row>
    <row r="128" spans="1:1">
      <c r="A128" s="468"/>
    </row>
    <row r="129" spans="1:1">
      <c r="A129" s="468"/>
    </row>
    <row r="130" spans="1:1">
      <c r="A130" s="468"/>
    </row>
    <row r="131" spans="1:1">
      <c r="A131" s="468"/>
    </row>
    <row r="132" spans="1:1">
      <c r="A132" s="468"/>
    </row>
    <row r="133" spans="1:1">
      <c r="A133" s="468"/>
    </row>
    <row r="134" spans="1:1">
      <c r="A134" s="468"/>
    </row>
    <row r="135" spans="1:1">
      <c r="A135" s="468"/>
    </row>
    <row r="136" spans="1:1">
      <c r="A136" s="468"/>
    </row>
    <row r="137" spans="1:1">
      <c r="A137" s="468"/>
    </row>
    <row r="138" spans="1:1">
      <c r="A138" s="468"/>
    </row>
    <row r="139" spans="1:1">
      <c r="A139" s="468"/>
    </row>
    <row r="140" spans="1:1">
      <c r="A140" s="468"/>
    </row>
    <row r="141" spans="1:1">
      <c r="A141" s="468"/>
    </row>
    <row r="142" spans="1:1">
      <c r="A142" s="468"/>
    </row>
    <row r="143" spans="1:1">
      <c r="A143" s="468"/>
    </row>
    <row r="144" spans="1:1">
      <c r="A144" s="468"/>
    </row>
    <row r="145" spans="1:1">
      <c r="A145" s="468"/>
    </row>
    <row r="146" spans="1:1">
      <c r="A146" s="468"/>
    </row>
    <row r="147" spans="1:1">
      <c r="A147" s="468"/>
    </row>
    <row r="148" spans="1:1">
      <c r="A148" s="468"/>
    </row>
    <row r="149" spans="1:1">
      <c r="A149" s="468"/>
    </row>
    <row r="150" spans="1:1">
      <c r="A150" s="468"/>
    </row>
    <row r="151" spans="1:1">
      <c r="A151" s="468"/>
    </row>
    <row r="152" spans="1:1">
      <c r="A152" s="468"/>
    </row>
    <row r="153" spans="1:1">
      <c r="A153" s="468"/>
    </row>
    <row r="154" spans="1:1">
      <c r="A154" s="468"/>
    </row>
    <row r="155" spans="1:1">
      <c r="A155" s="468"/>
    </row>
    <row r="156" spans="1:1">
      <c r="A156" s="468"/>
    </row>
    <row r="157" spans="1:1">
      <c r="A157" s="468"/>
    </row>
    <row r="158" spans="1:1">
      <c r="A158" s="468"/>
    </row>
    <row r="159" spans="1:1">
      <c r="A159" s="468"/>
    </row>
    <row r="160" spans="1:1">
      <c r="A160" s="468"/>
    </row>
    <row r="161" spans="1:1">
      <c r="A161" s="468"/>
    </row>
    <row r="162" spans="1:1">
      <c r="A162" s="468"/>
    </row>
    <row r="163" spans="1:1">
      <c r="A163" s="468"/>
    </row>
    <row r="164" spans="1:1">
      <c r="A164" s="468"/>
    </row>
    <row r="165" spans="1:1">
      <c r="A165" s="468"/>
    </row>
    <row r="166" spans="1:1">
      <c r="A166" s="468"/>
    </row>
    <row r="167" spans="1:1">
      <c r="A167" s="468"/>
    </row>
    <row r="168" spans="1:1">
      <c r="A168" s="468"/>
    </row>
    <row r="169" spans="1:1">
      <c r="A169" s="468"/>
    </row>
    <row r="170" spans="1:1">
      <c r="A170" s="468"/>
    </row>
    <row r="171" spans="1:1">
      <c r="A171" s="468"/>
    </row>
    <row r="172" spans="1:1">
      <c r="A172" s="468"/>
    </row>
    <row r="173" spans="1:1">
      <c r="A173" s="468"/>
    </row>
    <row r="174" spans="1:1">
      <c r="A174" s="468"/>
    </row>
    <row r="175" spans="1:1">
      <c r="A175" s="468"/>
    </row>
    <row r="176" spans="1:1">
      <c r="A176" s="468"/>
    </row>
    <row r="177" spans="1:1">
      <c r="A177" s="468"/>
    </row>
    <row r="178" spans="1:1">
      <c r="A178" s="468"/>
    </row>
    <row r="179" spans="1:1">
      <c r="A179" s="468"/>
    </row>
    <row r="180" spans="1:1">
      <c r="A180" s="468"/>
    </row>
    <row r="181" spans="1:1">
      <c r="A181" s="468"/>
    </row>
    <row r="182" spans="1:1">
      <c r="A182" s="468"/>
    </row>
    <row r="183" spans="1:1">
      <c r="A183" s="468"/>
    </row>
    <row r="184" spans="1:1">
      <c r="A184" s="468"/>
    </row>
    <row r="185" spans="1:1">
      <c r="A185" s="468"/>
    </row>
    <row r="186" spans="1:1">
      <c r="A186" s="468"/>
    </row>
    <row r="187" spans="1:1">
      <c r="A187" s="468"/>
    </row>
    <row r="188" spans="1:1">
      <c r="A188" s="468"/>
    </row>
    <row r="189" spans="1:1">
      <c r="A189" s="468"/>
    </row>
    <row r="190" spans="1:1">
      <c r="A190" s="468"/>
    </row>
    <row r="191" spans="1:1">
      <c r="A191" s="468"/>
    </row>
    <row r="192" spans="1:1">
      <c r="A192" s="468"/>
    </row>
    <row r="193" spans="1:1">
      <c r="A193" s="468"/>
    </row>
    <row r="194" spans="1:1">
      <c r="A194" s="468"/>
    </row>
    <row r="195" spans="1:1">
      <c r="A195" s="468"/>
    </row>
    <row r="196" spans="1:1">
      <c r="A196" s="468"/>
    </row>
    <row r="197" spans="1:1">
      <c r="A197" s="468"/>
    </row>
    <row r="198" spans="1:1">
      <c r="A198" s="468"/>
    </row>
    <row r="199" spans="1:1">
      <c r="A199" s="468"/>
    </row>
    <row r="200" spans="1:1">
      <c r="A200" s="468"/>
    </row>
    <row r="201" spans="1:1">
      <c r="A201" s="468"/>
    </row>
    <row r="202" spans="1:1">
      <c r="A202" s="468"/>
    </row>
    <row r="203" spans="1:1">
      <c r="A203" s="468"/>
    </row>
    <row r="204" spans="1:1">
      <c r="A204" s="468"/>
    </row>
    <row r="205" spans="1:1">
      <c r="A205" s="468"/>
    </row>
    <row r="206" spans="1:1">
      <c r="A206" s="468"/>
    </row>
    <row r="207" spans="1:1">
      <c r="A207" s="468"/>
    </row>
    <row r="208" spans="1:1">
      <c r="A208" s="468"/>
    </row>
    <row r="209" spans="1:1">
      <c r="A209" s="468"/>
    </row>
    <row r="210" spans="1:1">
      <c r="A210" s="468"/>
    </row>
    <row r="211" spans="1:1">
      <c r="A211" s="468"/>
    </row>
    <row r="212" spans="1:1">
      <c r="A212" s="468"/>
    </row>
    <row r="213" spans="1:1">
      <c r="A213" s="468"/>
    </row>
    <row r="214" spans="1:1">
      <c r="A214" s="468"/>
    </row>
    <row r="215" spans="1:1">
      <c r="A215" s="468"/>
    </row>
    <row r="216" spans="1:1">
      <c r="A216" s="468"/>
    </row>
    <row r="217" spans="1:1">
      <c r="A217" s="468"/>
    </row>
    <row r="218" spans="1:1">
      <c r="A218" s="468"/>
    </row>
    <row r="219" spans="1:1">
      <c r="A219" s="468"/>
    </row>
    <row r="220" spans="1:1">
      <c r="A220" s="468"/>
    </row>
    <row r="221" spans="1:1">
      <c r="A221" s="468"/>
    </row>
    <row r="222" spans="1:1">
      <c r="A222" s="468"/>
    </row>
    <row r="223" spans="1:1">
      <c r="A223" s="468"/>
    </row>
    <row r="224" spans="1:1">
      <c r="A224" s="468"/>
    </row>
    <row r="225" spans="1:1">
      <c r="A225" s="468"/>
    </row>
    <row r="226" spans="1:1">
      <c r="A226" s="468"/>
    </row>
    <row r="227" spans="1:1">
      <c r="A227" s="468"/>
    </row>
    <row r="228" spans="1:1">
      <c r="A228" s="468"/>
    </row>
    <row r="229" spans="1:1">
      <c r="A229" s="468"/>
    </row>
    <row r="230" spans="1:1">
      <c r="A230" s="468"/>
    </row>
    <row r="231" spans="1:1">
      <c r="A231" s="468"/>
    </row>
    <row r="232" spans="1:1">
      <c r="A232" s="468"/>
    </row>
    <row r="233" spans="1:1">
      <c r="A233" s="468"/>
    </row>
    <row r="234" spans="1:1">
      <c r="A234" s="468"/>
    </row>
    <row r="235" spans="1:1">
      <c r="A235" s="468"/>
    </row>
    <row r="236" spans="1:1">
      <c r="A236" s="468"/>
    </row>
    <row r="237" spans="1:1">
      <c r="A237" s="468"/>
    </row>
    <row r="238" spans="1:1">
      <c r="A238" s="468"/>
    </row>
    <row r="239" spans="1:1">
      <c r="A239" s="468"/>
    </row>
    <row r="240" spans="1:1">
      <c r="A240" s="468"/>
    </row>
    <row r="241" spans="1:1">
      <c r="A241" s="468"/>
    </row>
    <row r="242" spans="1:1">
      <c r="A242" s="468"/>
    </row>
    <row r="243" spans="1:1">
      <c r="A243" s="468"/>
    </row>
    <row r="244" spans="1:1">
      <c r="A244" s="468"/>
    </row>
    <row r="245" spans="1:1">
      <c r="A245" s="468"/>
    </row>
    <row r="246" spans="1:1">
      <c r="A246" s="468"/>
    </row>
    <row r="247" spans="1:1">
      <c r="A247" s="468"/>
    </row>
    <row r="248" spans="1:1">
      <c r="A248" s="468"/>
    </row>
    <row r="249" spans="1:1">
      <c r="A249" s="468"/>
    </row>
    <row r="250" spans="1:1">
      <c r="A250" s="468"/>
    </row>
    <row r="251" spans="1:1">
      <c r="A251" s="468"/>
    </row>
    <row r="252" spans="1:1">
      <c r="A252" s="468"/>
    </row>
    <row r="253" spans="1:1">
      <c r="A253" s="468"/>
    </row>
    <row r="254" spans="1:1">
      <c r="A254" s="468"/>
    </row>
    <row r="255" spans="1:1">
      <c r="A255" s="468"/>
    </row>
    <row r="256" spans="1:1">
      <c r="A256" s="468"/>
    </row>
    <row r="257" spans="1:1">
      <c r="A257" s="468"/>
    </row>
    <row r="258" spans="1:1">
      <c r="A258" s="468"/>
    </row>
    <row r="259" spans="1:1">
      <c r="A259" s="468"/>
    </row>
    <row r="260" spans="1:1">
      <c r="A260" s="468"/>
    </row>
    <row r="261" spans="1:1">
      <c r="A261" s="468"/>
    </row>
    <row r="262" spans="1:1">
      <c r="A262" s="468"/>
    </row>
    <row r="263" spans="1:1">
      <c r="A263" s="468"/>
    </row>
    <row r="264" spans="1:1">
      <c r="A264" s="468"/>
    </row>
    <row r="265" spans="1:1">
      <c r="A265" s="468"/>
    </row>
    <row r="266" spans="1:1">
      <c r="A266" s="468"/>
    </row>
    <row r="267" spans="1:1">
      <c r="A267" s="468"/>
    </row>
    <row r="268" spans="1:1">
      <c r="A268" s="468"/>
    </row>
    <row r="269" spans="1:1">
      <c r="A269" s="468"/>
    </row>
    <row r="270" spans="1:1">
      <c r="A270" s="468"/>
    </row>
    <row r="271" spans="1:1">
      <c r="A271" s="468"/>
    </row>
    <row r="272" spans="1:1">
      <c r="A272" s="468"/>
    </row>
    <row r="273" spans="1:1">
      <c r="A273" s="468"/>
    </row>
    <row r="274" spans="1:1">
      <c r="A274" s="468"/>
    </row>
    <row r="275" spans="1:1">
      <c r="A275" s="468"/>
    </row>
    <row r="276" spans="1:1">
      <c r="A276" s="468"/>
    </row>
    <row r="277" spans="1:1">
      <c r="A277" s="468"/>
    </row>
    <row r="278" spans="1:1">
      <c r="A278" s="468"/>
    </row>
    <row r="279" spans="1:1">
      <c r="A279" s="468"/>
    </row>
    <row r="280" spans="1:1">
      <c r="A280" s="468"/>
    </row>
    <row r="281" spans="1:1">
      <c r="A281" s="468"/>
    </row>
    <row r="282" spans="1:1">
      <c r="A282" s="468"/>
    </row>
    <row r="283" spans="1:1">
      <c r="A283" s="468"/>
    </row>
    <row r="284" spans="1:1">
      <c r="A284" s="468"/>
    </row>
    <row r="285" spans="1:1">
      <c r="A285" s="468"/>
    </row>
    <row r="286" spans="1:1">
      <c r="A286" s="468"/>
    </row>
    <row r="287" spans="1:1">
      <c r="A287" s="468"/>
    </row>
    <row r="288" spans="1:1">
      <c r="A288" s="468"/>
    </row>
    <row r="289" spans="1:1">
      <c r="A289" s="468"/>
    </row>
    <row r="290" spans="1:1">
      <c r="A290" s="468"/>
    </row>
    <row r="291" spans="1:1">
      <c r="A291" s="468"/>
    </row>
    <row r="292" spans="1:1">
      <c r="A292" s="468"/>
    </row>
    <row r="293" spans="1:1">
      <c r="A293" s="468"/>
    </row>
    <row r="294" spans="1:1">
      <c r="A294" s="468"/>
    </row>
    <row r="295" spans="1:1">
      <c r="A295" s="468"/>
    </row>
    <row r="296" spans="1:1">
      <c r="A296" s="468"/>
    </row>
    <row r="297" spans="1:1">
      <c r="A297" s="468"/>
    </row>
    <row r="298" spans="1:1">
      <c r="A298" s="468"/>
    </row>
    <row r="299" spans="1:1">
      <c r="A299" s="468"/>
    </row>
    <row r="300" spans="1:1">
      <c r="A300" s="468"/>
    </row>
    <row r="301" spans="1:1">
      <c r="A301" s="468"/>
    </row>
    <row r="302" spans="1:1">
      <c r="A302" s="468"/>
    </row>
    <row r="303" spans="1:1">
      <c r="A303" s="468"/>
    </row>
    <row r="304" spans="1:1">
      <c r="A304" s="468"/>
    </row>
    <row r="305" spans="1:1">
      <c r="A305" s="468"/>
    </row>
    <row r="306" spans="1:1">
      <c r="A306" s="468"/>
    </row>
    <row r="307" spans="1:1">
      <c r="A307" s="468"/>
    </row>
    <row r="308" spans="1:1">
      <c r="A308" s="468"/>
    </row>
    <row r="309" spans="1:1">
      <c r="A309" s="468"/>
    </row>
    <row r="310" spans="1:1">
      <c r="A310" s="468"/>
    </row>
    <row r="311" spans="1:1">
      <c r="A311" s="468"/>
    </row>
    <row r="312" spans="1:1">
      <c r="A312" s="468"/>
    </row>
    <row r="313" spans="1:1">
      <c r="A313" s="468"/>
    </row>
    <row r="314" spans="1:1">
      <c r="A314" s="468"/>
    </row>
    <row r="315" spans="1:1">
      <c r="A315" s="468"/>
    </row>
    <row r="316" spans="1:1">
      <c r="A316" s="468"/>
    </row>
    <row r="317" spans="1:1">
      <c r="A317" s="468"/>
    </row>
    <row r="318" spans="1:1">
      <c r="A318" s="468"/>
    </row>
    <row r="319" spans="1:1">
      <c r="A319" s="468"/>
    </row>
    <row r="320" spans="1:1">
      <c r="A320" s="468"/>
    </row>
    <row r="321" spans="1:1">
      <c r="A321" s="468"/>
    </row>
    <row r="322" spans="1:1">
      <c r="A322" s="468"/>
    </row>
    <row r="323" spans="1:1">
      <c r="A323" s="468"/>
    </row>
    <row r="324" spans="1:1">
      <c r="A324" s="468"/>
    </row>
    <row r="325" spans="1:1">
      <c r="A325" s="468"/>
    </row>
    <row r="326" spans="1:1">
      <c r="A326" s="468"/>
    </row>
    <row r="327" spans="1:1">
      <c r="A327" s="468"/>
    </row>
    <row r="328" spans="1:1">
      <c r="A328" s="468"/>
    </row>
    <row r="329" spans="1:1">
      <c r="A329" s="468"/>
    </row>
    <row r="330" spans="1:1">
      <c r="A330" s="468"/>
    </row>
    <row r="331" spans="1:1">
      <c r="A331" s="468"/>
    </row>
    <row r="332" spans="1:1">
      <c r="A332" s="468"/>
    </row>
    <row r="333" spans="1:1">
      <c r="A333" s="468"/>
    </row>
    <row r="334" spans="1:1">
      <c r="A334" s="468"/>
    </row>
    <row r="335" spans="1:1">
      <c r="A335" s="468"/>
    </row>
    <row r="336" spans="1:1">
      <c r="A336" s="468"/>
    </row>
    <row r="337" spans="1:1">
      <c r="A337" s="468"/>
    </row>
    <row r="338" spans="1:1">
      <c r="A338" s="468"/>
    </row>
    <row r="339" spans="1:1">
      <c r="A339" s="468"/>
    </row>
    <row r="340" spans="1:1">
      <c r="A340" s="468"/>
    </row>
    <row r="341" spans="1:1">
      <c r="A341" s="468"/>
    </row>
    <row r="342" spans="1:1">
      <c r="A342" s="468"/>
    </row>
    <row r="343" spans="1:1">
      <c r="A343" s="468"/>
    </row>
    <row r="344" spans="1:1">
      <c r="A344" s="468"/>
    </row>
    <row r="345" spans="1:1">
      <c r="A345" s="468"/>
    </row>
    <row r="346" spans="1:1">
      <c r="A346" s="468"/>
    </row>
    <row r="347" spans="1:1">
      <c r="A347" s="468"/>
    </row>
    <row r="348" spans="1:1">
      <c r="A348" s="468"/>
    </row>
    <row r="349" spans="1:1">
      <c r="A349" s="468"/>
    </row>
    <row r="350" spans="1:1">
      <c r="A350" s="468"/>
    </row>
    <row r="351" spans="1:1">
      <c r="A351" s="468"/>
    </row>
    <row r="352" spans="1:1">
      <c r="A352" s="468"/>
    </row>
    <row r="353" spans="1:1">
      <c r="A353" s="468"/>
    </row>
    <row r="354" spans="1:1">
      <c r="A354" s="468"/>
    </row>
    <row r="355" spans="1:1">
      <c r="A355" s="468"/>
    </row>
    <row r="356" spans="1:1">
      <c r="A356" s="468"/>
    </row>
    <row r="357" spans="1:1">
      <c r="A357" s="468"/>
    </row>
    <row r="358" spans="1:1">
      <c r="A358" s="468"/>
    </row>
    <row r="359" spans="1:1">
      <c r="A359" s="468"/>
    </row>
    <row r="360" spans="1:1">
      <c r="A360" s="468"/>
    </row>
    <row r="361" spans="1:1">
      <c r="A361" s="468"/>
    </row>
    <row r="362" spans="1:1">
      <c r="A362" s="468"/>
    </row>
    <row r="363" spans="1:1">
      <c r="A363" s="468"/>
    </row>
    <row r="364" spans="1:1">
      <c r="A364" s="468"/>
    </row>
    <row r="365" spans="1:1">
      <c r="A365" s="468"/>
    </row>
    <row r="366" spans="1:1">
      <c r="A366" s="468"/>
    </row>
    <row r="367" spans="1:1">
      <c r="A367" s="468"/>
    </row>
    <row r="368" spans="1:1">
      <c r="A368" s="468"/>
    </row>
    <row r="369" spans="1:1">
      <c r="A369" s="468"/>
    </row>
    <row r="370" spans="1:1">
      <c r="A370" s="468"/>
    </row>
    <row r="371" spans="1:1">
      <c r="A371" s="468"/>
    </row>
    <row r="372" spans="1:1">
      <c r="A372" s="468"/>
    </row>
    <row r="373" spans="1:1">
      <c r="A373" s="468"/>
    </row>
    <row r="374" spans="1:1">
      <c r="A374" s="468"/>
    </row>
    <row r="375" spans="1:1">
      <c r="A375" s="468"/>
    </row>
    <row r="376" spans="1:1">
      <c r="A376" s="468"/>
    </row>
    <row r="377" spans="1:1">
      <c r="A377" s="468"/>
    </row>
    <row r="378" spans="1:1">
      <c r="A378" s="468"/>
    </row>
    <row r="379" spans="1:1">
      <c r="A379" s="468"/>
    </row>
    <row r="380" spans="1:1">
      <c r="A380" s="468"/>
    </row>
    <row r="381" spans="1:1">
      <c r="A381" s="468"/>
    </row>
    <row r="382" spans="1:1">
      <c r="A382" s="468"/>
    </row>
    <row r="383" spans="1:1">
      <c r="A383" s="468"/>
    </row>
    <row r="384" spans="1:1">
      <c r="A384" s="468"/>
    </row>
    <row r="385" spans="1:1">
      <c r="A385" s="468"/>
    </row>
    <row r="386" spans="1:1">
      <c r="A386" s="468"/>
    </row>
    <row r="387" spans="1:1">
      <c r="A387" s="468"/>
    </row>
    <row r="388" spans="1:1">
      <c r="A388" s="468"/>
    </row>
    <row r="389" spans="1:1">
      <c r="A389" s="468"/>
    </row>
    <row r="390" spans="1:1">
      <c r="A390" s="468"/>
    </row>
    <row r="391" spans="1:1">
      <c r="A391" s="468"/>
    </row>
    <row r="392" spans="1:1">
      <c r="A392" s="468"/>
    </row>
    <row r="393" spans="1:1">
      <c r="A393" s="468"/>
    </row>
    <row r="394" spans="1:1">
      <c r="A394" s="468"/>
    </row>
    <row r="395" spans="1:1">
      <c r="A395" s="468"/>
    </row>
    <row r="396" spans="1:1">
      <c r="A396" s="468"/>
    </row>
    <row r="397" spans="1:1">
      <c r="A397" s="468"/>
    </row>
    <row r="398" spans="1:1">
      <c r="A398" s="468"/>
    </row>
    <row r="399" spans="1:1">
      <c r="A399" s="468"/>
    </row>
    <row r="400" spans="1:1">
      <c r="A400" s="468"/>
    </row>
    <row r="401" spans="1:1">
      <c r="A401" s="468"/>
    </row>
    <row r="402" spans="1:1">
      <c r="A402" s="468"/>
    </row>
    <row r="403" spans="1:1">
      <c r="A403" s="468"/>
    </row>
    <row r="404" spans="1:1">
      <c r="A404" s="468"/>
    </row>
    <row r="405" spans="1:1">
      <c r="A405" s="468"/>
    </row>
    <row r="406" spans="1:1">
      <c r="A406" s="468"/>
    </row>
    <row r="407" spans="1:1">
      <c r="A407" s="468"/>
    </row>
    <row r="408" spans="1:1">
      <c r="A408" s="468"/>
    </row>
    <row r="409" spans="1:1">
      <c r="A409" s="468"/>
    </row>
    <row r="410" spans="1:1">
      <c r="A410" s="468"/>
    </row>
    <row r="411" spans="1:1">
      <c r="A411" s="468"/>
    </row>
    <row r="412" spans="1:1">
      <c r="A412" s="468"/>
    </row>
    <row r="413" spans="1:1">
      <c r="A413" s="468"/>
    </row>
    <row r="414" spans="1:1">
      <c r="A414" s="468"/>
    </row>
    <row r="415" spans="1:1">
      <c r="A415" s="468"/>
    </row>
    <row r="416" spans="1:1">
      <c r="A416" s="468"/>
    </row>
    <row r="417" spans="1:1">
      <c r="A417" s="468"/>
    </row>
    <row r="418" spans="1:1">
      <c r="A418" s="468"/>
    </row>
    <row r="419" spans="1:1">
      <c r="A419" s="468"/>
    </row>
    <row r="420" spans="1:1">
      <c r="A420" s="468"/>
    </row>
    <row r="421" spans="1:1">
      <c r="A421" s="468"/>
    </row>
    <row r="422" spans="1:1">
      <c r="A422" s="468"/>
    </row>
    <row r="423" spans="1:1">
      <c r="A423" s="468"/>
    </row>
    <row r="424" spans="1:1">
      <c r="A424" s="468"/>
    </row>
    <row r="425" spans="1:1">
      <c r="A425" s="468"/>
    </row>
    <row r="426" spans="1:1">
      <c r="A426" s="468"/>
    </row>
    <row r="427" spans="1:1">
      <c r="A427" s="468"/>
    </row>
    <row r="428" spans="1:1">
      <c r="A428" s="468"/>
    </row>
    <row r="429" spans="1:1">
      <c r="A429" s="468"/>
    </row>
    <row r="430" spans="1:1">
      <c r="A430" s="468"/>
    </row>
    <row r="431" spans="1:1">
      <c r="A431" s="468"/>
    </row>
    <row r="432" spans="1:1">
      <c r="A432" s="468"/>
    </row>
    <row r="433" spans="1:1">
      <c r="A433" s="468"/>
    </row>
    <row r="434" spans="1:1">
      <c r="A434" s="468"/>
    </row>
    <row r="435" spans="1:1">
      <c r="A435" s="468"/>
    </row>
    <row r="436" spans="1:1">
      <c r="A436" s="468"/>
    </row>
    <row r="437" spans="1:1">
      <c r="A437" s="468"/>
    </row>
    <row r="438" spans="1:1">
      <c r="A438" s="468"/>
    </row>
    <row r="439" spans="1:1">
      <c r="A439" s="468"/>
    </row>
    <row r="440" spans="1:1">
      <c r="A440" s="468"/>
    </row>
    <row r="441" spans="1:1">
      <c r="A441" s="468"/>
    </row>
    <row r="442" spans="1:1">
      <c r="A442" s="468"/>
    </row>
    <row r="443" spans="1:1">
      <c r="A443" s="468"/>
    </row>
    <row r="444" spans="1:1">
      <c r="A444" s="468"/>
    </row>
    <row r="445" spans="1:1">
      <c r="A445" s="468"/>
    </row>
    <row r="446" spans="1:1">
      <c r="A446" s="468"/>
    </row>
    <row r="447" spans="1:1">
      <c r="A447" s="468"/>
    </row>
    <row r="448" spans="1:1">
      <c r="A448" s="468"/>
    </row>
    <row r="449" spans="1:1">
      <c r="A449" s="468"/>
    </row>
    <row r="450" spans="1:1">
      <c r="A450" s="468"/>
    </row>
    <row r="451" spans="1:1">
      <c r="A451" s="468"/>
    </row>
    <row r="452" spans="1:1">
      <c r="A452" s="468"/>
    </row>
    <row r="453" spans="1:1">
      <c r="A453" s="468"/>
    </row>
    <row r="454" spans="1:1">
      <c r="A454" s="468"/>
    </row>
    <row r="455" spans="1:1">
      <c r="A455" s="468"/>
    </row>
    <row r="456" spans="1:1">
      <c r="A456" s="468"/>
    </row>
    <row r="457" spans="1:1">
      <c r="A457" s="468"/>
    </row>
    <row r="458" spans="1:1">
      <c r="A458" s="468"/>
    </row>
    <row r="459" spans="1:1">
      <c r="A459" s="468"/>
    </row>
    <row r="460" spans="1:1">
      <c r="A460" s="468"/>
    </row>
    <row r="461" spans="1:1">
      <c r="A461" s="468"/>
    </row>
    <row r="462" spans="1:1">
      <c r="A462" s="468"/>
    </row>
    <row r="463" spans="1:1">
      <c r="A463" s="468"/>
    </row>
    <row r="464" spans="1:1">
      <c r="A464" s="468"/>
    </row>
    <row r="465" spans="1:1">
      <c r="A465" s="468"/>
    </row>
    <row r="466" spans="1:1">
      <c r="A466" s="468"/>
    </row>
    <row r="467" spans="1:1">
      <c r="A467" s="468"/>
    </row>
    <row r="468" spans="1:1">
      <c r="A468" s="468"/>
    </row>
    <row r="469" spans="1:1">
      <c r="A469" s="468"/>
    </row>
    <row r="470" spans="1:1">
      <c r="A470" s="468"/>
    </row>
    <row r="471" spans="1:1">
      <c r="A471" s="468"/>
    </row>
    <row r="472" spans="1:1">
      <c r="A472" s="468"/>
    </row>
    <row r="473" spans="1:1">
      <c r="A473" s="468"/>
    </row>
    <row r="474" spans="1:1">
      <c r="A474" s="468"/>
    </row>
    <row r="475" spans="1:1">
      <c r="A475" s="468"/>
    </row>
    <row r="476" spans="1:1">
      <c r="A476" s="468"/>
    </row>
    <row r="477" spans="1:1">
      <c r="A477" s="468"/>
    </row>
    <row r="478" spans="1:1">
      <c r="A478" s="468"/>
    </row>
    <row r="479" spans="1:1">
      <c r="A479" s="468"/>
    </row>
    <row r="480" spans="1:1">
      <c r="A480" s="468"/>
    </row>
    <row r="481" spans="1:1">
      <c r="A481" s="468"/>
    </row>
    <row r="482" spans="1:1">
      <c r="A482" s="468"/>
    </row>
    <row r="483" spans="1:1">
      <c r="A483" s="468"/>
    </row>
    <row r="484" spans="1:1">
      <c r="A484" s="468"/>
    </row>
    <row r="485" spans="1:1">
      <c r="A485" s="468"/>
    </row>
    <row r="486" spans="1:1">
      <c r="A486" s="468"/>
    </row>
    <row r="487" spans="1:1">
      <c r="A487" s="468"/>
    </row>
    <row r="488" spans="1:1">
      <c r="A488" s="468"/>
    </row>
    <row r="489" spans="1:1">
      <c r="A489" s="468"/>
    </row>
    <row r="490" spans="1:1">
      <c r="A490" s="468"/>
    </row>
    <row r="491" spans="1:1">
      <c r="A491" s="468"/>
    </row>
    <row r="492" spans="1:1">
      <c r="A492" s="468"/>
    </row>
    <row r="493" spans="1:1">
      <c r="A493" s="468"/>
    </row>
    <row r="494" spans="1:1">
      <c r="A494" s="468"/>
    </row>
    <row r="495" spans="1:1">
      <c r="A495" s="468"/>
    </row>
    <row r="496" spans="1:1">
      <c r="A496" s="468"/>
    </row>
    <row r="497" spans="1:1">
      <c r="A497" s="468"/>
    </row>
    <row r="498" spans="1:1">
      <c r="A498" s="468"/>
    </row>
    <row r="499" spans="1:1">
      <c r="A499" s="468"/>
    </row>
    <row r="500" spans="1:1">
      <c r="A500" s="468"/>
    </row>
    <row r="501" spans="1:1">
      <c r="A501" s="468"/>
    </row>
    <row r="502" spans="1:1">
      <c r="A502" s="468"/>
    </row>
    <row r="503" spans="1:1">
      <c r="A503" s="468"/>
    </row>
    <row r="504" spans="1:1">
      <c r="A504" s="468"/>
    </row>
    <row r="505" spans="1:1">
      <c r="A505" s="468"/>
    </row>
    <row r="506" spans="1:1">
      <c r="A506" s="468"/>
    </row>
    <row r="507" spans="1:1">
      <c r="A507" s="468"/>
    </row>
    <row r="508" spans="1:1">
      <c r="A508" s="468"/>
    </row>
    <row r="509" spans="1:1">
      <c r="A509" s="468"/>
    </row>
    <row r="510" spans="1:1">
      <c r="A510" s="468"/>
    </row>
    <row r="511" spans="1:1">
      <c r="A511" s="468"/>
    </row>
    <row r="512" spans="1:1">
      <c r="A512" s="468"/>
    </row>
    <row r="513" spans="1:1">
      <c r="A513" s="468"/>
    </row>
    <row r="514" spans="1:1">
      <c r="A514" s="468"/>
    </row>
    <row r="515" spans="1:1">
      <c r="A515" s="468"/>
    </row>
    <row r="516" spans="1:1">
      <c r="A516" s="468"/>
    </row>
    <row r="517" spans="1:1">
      <c r="A517" s="468"/>
    </row>
    <row r="518" spans="1:1">
      <c r="A518" s="468"/>
    </row>
    <row r="519" spans="1:1">
      <c r="A519" s="468"/>
    </row>
    <row r="520" spans="1:1">
      <c r="A520" s="468"/>
    </row>
    <row r="521" spans="1:1">
      <c r="A521" s="468"/>
    </row>
    <row r="522" spans="1:1">
      <c r="A522" s="468"/>
    </row>
    <row r="523" spans="1:1">
      <c r="A523" s="468"/>
    </row>
    <row r="524" spans="1:1">
      <c r="A524" s="468"/>
    </row>
    <row r="525" spans="1:1">
      <c r="A525" s="468"/>
    </row>
    <row r="526" spans="1:1">
      <c r="A526" s="468"/>
    </row>
    <row r="527" spans="1:1">
      <c r="A527" s="468"/>
    </row>
    <row r="528" spans="1:1">
      <c r="A528" s="468"/>
    </row>
    <row r="529" spans="1:1">
      <c r="A529" s="468"/>
    </row>
    <row r="530" spans="1:1">
      <c r="A530" s="468"/>
    </row>
    <row r="531" spans="1:1">
      <c r="A531" s="468"/>
    </row>
    <row r="532" spans="1:1">
      <c r="A532" s="468"/>
    </row>
    <row r="533" spans="1:1">
      <c r="A533" s="468"/>
    </row>
    <row r="534" spans="1:1">
      <c r="A534" s="468"/>
    </row>
    <row r="535" spans="1:1">
      <c r="A535" s="468"/>
    </row>
    <row r="536" spans="1:1">
      <c r="A536" s="468"/>
    </row>
    <row r="537" spans="1:1">
      <c r="A537" s="468"/>
    </row>
    <row r="538" spans="1:1">
      <c r="A538" s="468"/>
    </row>
    <row r="539" spans="1:1">
      <c r="A539" s="468"/>
    </row>
    <row r="540" spans="1:1">
      <c r="A540" s="468"/>
    </row>
    <row r="541" spans="1:1">
      <c r="A541" s="468"/>
    </row>
    <row r="542" spans="1:1">
      <c r="A542" s="468"/>
    </row>
    <row r="543" spans="1:1">
      <c r="A543" s="468"/>
    </row>
    <row r="544" spans="1:1">
      <c r="A544" s="468"/>
    </row>
    <row r="545" spans="1:1">
      <c r="A545" s="468"/>
    </row>
    <row r="546" spans="1:1">
      <c r="A546" s="468"/>
    </row>
    <row r="547" spans="1:1">
      <c r="A547" s="468"/>
    </row>
    <row r="548" spans="1:1">
      <c r="A548" s="468"/>
    </row>
    <row r="549" spans="1:1">
      <c r="A549" s="468"/>
    </row>
    <row r="550" spans="1:1">
      <c r="A550" s="468"/>
    </row>
    <row r="551" spans="1:1">
      <c r="A551" s="468"/>
    </row>
    <row r="552" spans="1:1">
      <c r="A552" s="468"/>
    </row>
    <row r="553" spans="1:1">
      <c r="A553" s="468"/>
    </row>
    <row r="554" spans="1:1">
      <c r="A554" s="468"/>
    </row>
    <row r="555" spans="1:1">
      <c r="A555" s="468"/>
    </row>
    <row r="556" spans="1:1">
      <c r="A556" s="468"/>
    </row>
    <row r="557" spans="1:1">
      <c r="A557" s="468"/>
    </row>
    <row r="558" spans="1:1">
      <c r="A558" s="468"/>
    </row>
    <row r="559" spans="1:1">
      <c r="A559" s="468"/>
    </row>
    <row r="560" spans="1:1">
      <c r="A560" s="468"/>
    </row>
    <row r="561" spans="1:1">
      <c r="A561" s="468"/>
    </row>
    <row r="562" spans="1:1">
      <c r="A562" s="468"/>
    </row>
    <row r="563" spans="1:1">
      <c r="A563" s="468"/>
    </row>
    <row r="564" spans="1:1">
      <c r="A564" s="468"/>
    </row>
    <row r="565" spans="1:1">
      <c r="A565" s="468"/>
    </row>
    <row r="566" spans="1:1">
      <c r="A566" s="468"/>
    </row>
    <row r="567" spans="1:1">
      <c r="A567" s="468"/>
    </row>
    <row r="568" spans="1:1">
      <c r="A568" s="468"/>
    </row>
    <row r="569" spans="1:1">
      <c r="A569" s="468"/>
    </row>
    <row r="570" spans="1:1">
      <c r="A570" s="468"/>
    </row>
    <row r="571" spans="1:1">
      <c r="A571" s="468"/>
    </row>
    <row r="572" spans="1:1">
      <c r="A572" s="468"/>
    </row>
    <row r="573" spans="1:1">
      <c r="A573" s="468"/>
    </row>
    <row r="574" spans="1:1">
      <c r="A574" s="468"/>
    </row>
    <row r="575" spans="1:1">
      <c r="A575" s="468"/>
    </row>
    <row r="576" spans="1:1">
      <c r="A576" s="468"/>
    </row>
    <row r="577" spans="1:1">
      <c r="A577" s="468"/>
    </row>
    <row r="578" spans="1:1">
      <c r="A578" s="468"/>
    </row>
    <row r="579" spans="1:1">
      <c r="A579" s="468"/>
    </row>
    <row r="580" spans="1:1">
      <c r="A580" s="468"/>
    </row>
    <row r="581" spans="1:1">
      <c r="A581" s="468"/>
    </row>
    <row r="582" spans="1:1">
      <c r="A582" s="468"/>
    </row>
    <row r="583" spans="1:1">
      <c r="A583" s="468"/>
    </row>
    <row r="584" spans="1:1">
      <c r="A584" s="468"/>
    </row>
    <row r="585" spans="1:1">
      <c r="A585" s="468"/>
    </row>
    <row r="586" spans="1:1">
      <c r="A586" s="468"/>
    </row>
    <row r="587" spans="1:1">
      <c r="A587" s="468"/>
    </row>
    <row r="588" spans="1:1">
      <c r="A588" s="468"/>
    </row>
    <row r="589" spans="1:1">
      <c r="A589" s="468"/>
    </row>
    <row r="590" spans="1:1">
      <c r="A590" s="468"/>
    </row>
    <row r="591" spans="1:1">
      <c r="A591" s="468"/>
    </row>
    <row r="592" spans="1:1">
      <c r="A592" s="468"/>
    </row>
    <row r="593" spans="1:1">
      <c r="A593" s="468"/>
    </row>
    <row r="594" spans="1:1">
      <c r="A594" s="468"/>
    </row>
    <row r="595" spans="1:1">
      <c r="A595" s="468"/>
    </row>
    <row r="596" spans="1:1">
      <c r="A596" s="468"/>
    </row>
    <row r="597" spans="1:1">
      <c r="A597" s="468"/>
    </row>
    <row r="598" spans="1:1">
      <c r="A598" s="468"/>
    </row>
    <row r="599" spans="1:1">
      <c r="A599" s="468"/>
    </row>
    <row r="600" spans="1:1">
      <c r="A600" s="468"/>
    </row>
    <row r="601" spans="1:1">
      <c r="A601" s="468"/>
    </row>
    <row r="602" spans="1:1">
      <c r="A602" s="468"/>
    </row>
    <row r="603" spans="1:1">
      <c r="A603" s="468"/>
    </row>
    <row r="604" spans="1:1">
      <c r="A604" s="468"/>
    </row>
    <row r="605" spans="1:1">
      <c r="A605" s="468"/>
    </row>
    <row r="606" spans="1:1">
      <c r="A606" s="468"/>
    </row>
    <row r="607" spans="1:1">
      <c r="A607" s="468"/>
    </row>
    <row r="608" spans="1:1">
      <c r="A608" s="468"/>
    </row>
    <row r="609" spans="1:1">
      <c r="A609" s="468"/>
    </row>
    <row r="610" spans="1:1">
      <c r="A610" s="468"/>
    </row>
    <row r="611" spans="1:1">
      <c r="A611" s="468"/>
    </row>
    <row r="612" spans="1:1">
      <c r="A612" s="468"/>
    </row>
    <row r="613" spans="1:1">
      <c r="A613" s="468"/>
    </row>
    <row r="614" spans="1:1">
      <c r="A614" s="468"/>
    </row>
    <row r="615" spans="1:1">
      <c r="A615" s="468"/>
    </row>
    <row r="616" spans="1:1">
      <c r="A616" s="468"/>
    </row>
    <row r="617" spans="1:1">
      <c r="A617" s="468"/>
    </row>
    <row r="618" spans="1:1">
      <c r="A618" s="468"/>
    </row>
    <row r="619" spans="1:1">
      <c r="A619" s="468"/>
    </row>
    <row r="620" spans="1:1">
      <c r="A620" s="468"/>
    </row>
    <row r="621" spans="1:1">
      <c r="A621" s="468"/>
    </row>
    <row r="622" spans="1:1">
      <c r="A622" s="468"/>
    </row>
    <row r="623" spans="1:1">
      <c r="A623" s="468"/>
    </row>
    <row r="624" spans="1:1">
      <c r="A624" s="468"/>
    </row>
    <row r="625" spans="1:1">
      <c r="A625" s="468"/>
    </row>
    <row r="626" spans="1:1">
      <c r="A626" s="468"/>
    </row>
    <row r="627" spans="1:1">
      <c r="A627" s="468"/>
    </row>
    <row r="628" spans="1:1">
      <c r="A628" s="468"/>
    </row>
    <row r="629" spans="1:1">
      <c r="A629" s="468"/>
    </row>
    <row r="630" spans="1:1">
      <c r="A630" s="468"/>
    </row>
    <row r="631" spans="1:1">
      <c r="A631" s="468"/>
    </row>
    <row r="632" spans="1:1">
      <c r="A632" s="468"/>
    </row>
    <row r="633" spans="1:1">
      <c r="A633" s="468"/>
    </row>
    <row r="634" spans="1:1">
      <c r="A634" s="468"/>
    </row>
    <row r="635" spans="1:1">
      <c r="A635" s="468"/>
    </row>
    <row r="636" spans="1:1">
      <c r="A636" s="468"/>
    </row>
    <row r="637" spans="1:1">
      <c r="A637" s="468"/>
    </row>
    <row r="638" spans="1:1">
      <c r="A638" s="468"/>
    </row>
    <row r="639" spans="1:1">
      <c r="A639" s="468"/>
    </row>
    <row r="640" spans="1:1">
      <c r="A640" s="468"/>
    </row>
    <row r="641" spans="1:1">
      <c r="A641" s="468"/>
    </row>
    <row r="642" spans="1:1">
      <c r="A642" s="468"/>
    </row>
    <row r="643" spans="1:1">
      <c r="A643" s="468"/>
    </row>
    <row r="644" spans="1:1">
      <c r="A644" s="468"/>
    </row>
    <row r="645" spans="1:1">
      <c r="A645" s="468"/>
    </row>
    <row r="646" spans="1:1">
      <c r="A646" s="468"/>
    </row>
    <row r="647" spans="1:1">
      <c r="A647" s="468"/>
    </row>
    <row r="648" spans="1:1">
      <c r="A648" s="468"/>
    </row>
    <row r="649" spans="1:1">
      <c r="A649" s="468"/>
    </row>
    <row r="650" spans="1:1">
      <c r="A650" s="468"/>
    </row>
    <row r="651" spans="1:1">
      <c r="A651" s="468"/>
    </row>
    <row r="652" spans="1:1">
      <c r="A652" s="468"/>
    </row>
    <row r="653" spans="1:1">
      <c r="A653" s="468"/>
    </row>
    <row r="654" spans="1:1">
      <c r="A654" s="468"/>
    </row>
    <row r="655" spans="1:1">
      <c r="A655" s="468"/>
    </row>
    <row r="656" spans="1:1">
      <c r="A656" s="468"/>
    </row>
    <row r="657" spans="1:1">
      <c r="A657" s="468"/>
    </row>
    <row r="658" spans="1:1">
      <c r="A658" s="468"/>
    </row>
    <row r="659" spans="1:1">
      <c r="A659" s="468"/>
    </row>
    <row r="660" spans="1:1">
      <c r="A660" s="468"/>
    </row>
    <row r="661" spans="1:1">
      <c r="A661" s="468"/>
    </row>
    <row r="662" spans="1:1">
      <c r="A662" s="468"/>
    </row>
    <row r="663" spans="1:1">
      <c r="A663" s="468"/>
    </row>
    <row r="664" spans="1:1">
      <c r="A664" s="468"/>
    </row>
    <row r="665" spans="1:1">
      <c r="A665" s="468"/>
    </row>
    <row r="666" spans="1:1">
      <c r="A666" s="468"/>
    </row>
    <row r="667" spans="1:1">
      <c r="A667" s="468"/>
    </row>
    <row r="668" spans="1:1">
      <c r="A668" s="468"/>
    </row>
    <row r="669" spans="1:1">
      <c r="A669" s="468"/>
    </row>
    <row r="670" spans="1:1">
      <c r="A670" s="468"/>
    </row>
    <row r="671" spans="1:1">
      <c r="A671" s="468"/>
    </row>
    <row r="672" spans="1:1">
      <c r="A672" s="468"/>
    </row>
    <row r="673" spans="1:1">
      <c r="A673" s="468"/>
    </row>
    <row r="674" spans="1:1">
      <c r="A674" s="468"/>
    </row>
    <row r="675" spans="1:1">
      <c r="A675" s="468"/>
    </row>
    <row r="676" spans="1:1">
      <c r="A676" s="468"/>
    </row>
    <row r="677" spans="1:1">
      <c r="A677" s="468"/>
    </row>
    <row r="678" spans="1:1">
      <c r="A678" s="468"/>
    </row>
    <row r="679" spans="1:1">
      <c r="A679" s="468"/>
    </row>
    <row r="680" spans="1:1">
      <c r="A680" s="468"/>
    </row>
    <row r="681" spans="1:1">
      <c r="A681" s="468"/>
    </row>
    <row r="682" spans="1:1">
      <c r="A682" s="468"/>
    </row>
    <row r="683" spans="1:1">
      <c r="A683" s="468"/>
    </row>
    <row r="684" spans="1:1">
      <c r="A684" s="468"/>
    </row>
    <row r="685" spans="1:1">
      <c r="A685" s="468"/>
    </row>
    <row r="686" spans="1:1">
      <c r="A686" s="468"/>
    </row>
    <row r="687" spans="1:1">
      <c r="A687" s="468"/>
    </row>
    <row r="688" spans="1:1">
      <c r="A688" s="468"/>
    </row>
    <row r="689" spans="1:1">
      <c r="A689" s="468"/>
    </row>
    <row r="690" spans="1:1">
      <c r="A690" s="468"/>
    </row>
    <row r="691" spans="1:1">
      <c r="A691" s="468"/>
    </row>
    <row r="692" spans="1:1">
      <c r="A692" s="468"/>
    </row>
    <row r="693" spans="1:1">
      <c r="A693" s="468"/>
    </row>
    <row r="694" spans="1:1">
      <c r="A694" s="468"/>
    </row>
    <row r="695" spans="1:1">
      <c r="A695" s="468"/>
    </row>
    <row r="696" spans="1:1">
      <c r="A696" s="468"/>
    </row>
    <row r="697" spans="1:1">
      <c r="A697" s="468"/>
    </row>
    <row r="698" spans="1:1">
      <c r="A698" s="468"/>
    </row>
    <row r="699" spans="1:1">
      <c r="A699" s="468"/>
    </row>
    <row r="700" spans="1:1">
      <c r="A700" s="468"/>
    </row>
    <row r="701" spans="1:1">
      <c r="A701" s="468"/>
    </row>
    <row r="702" spans="1:1">
      <c r="A702" s="468"/>
    </row>
    <row r="703" spans="1:1">
      <c r="A703" s="468"/>
    </row>
    <row r="704" spans="1:1">
      <c r="A704" s="468"/>
    </row>
    <row r="705" spans="1:1">
      <c r="A705" s="468"/>
    </row>
    <row r="706" spans="1:1">
      <c r="A706" s="468"/>
    </row>
    <row r="707" spans="1:1">
      <c r="A707" s="468"/>
    </row>
    <row r="708" spans="1:1">
      <c r="A708" s="468"/>
    </row>
    <row r="709" spans="1:1">
      <c r="A709" s="468"/>
    </row>
    <row r="710" spans="1:1">
      <c r="A710" s="468"/>
    </row>
    <row r="711" spans="1:1">
      <c r="A711" s="468"/>
    </row>
    <row r="712" spans="1:1">
      <c r="A712" s="468"/>
    </row>
    <row r="713" spans="1:1">
      <c r="A713" s="468"/>
    </row>
    <row r="714" spans="1:1">
      <c r="A714" s="468"/>
    </row>
    <row r="715" spans="1:1">
      <c r="A715" s="468"/>
    </row>
    <row r="716" spans="1:1">
      <c r="A716" s="468"/>
    </row>
    <row r="717" spans="1:1">
      <c r="A717" s="468"/>
    </row>
    <row r="718" spans="1:1">
      <c r="A718" s="468"/>
    </row>
    <row r="719" spans="1:1">
      <c r="A719" s="468"/>
    </row>
    <row r="720" spans="1:1">
      <c r="A720" s="468"/>
    </row>
    <row r="721" spans="1:1">
      <c r="A721" s="468"/>
    </row>
    <row r="722" spans="1:1">
      <c r="A722" s="468"/>
    </row>
    <row r="723" spans="1:1">
      <c r="A723" s="468"/>
    </row>
    <row r="724" spans="1:1">
      <c r="A724" s="468"/>
    </row>
    <row r="725" spans="1:1">
      <c r="A725" s="468"/>
    </row>
    <row r="726" spans="1:1">
      <c r="A726" s="468"/>
    </row>
    <row r="727" spans="1:1">
      <c r="A727" s="468"/>
    </row>
    <row r="728" spans="1:1">
      <c r="A728" s="468"/>
    </row>
    <row r="729" spans="1:1">
      <c r="A729" s="468"/>
    </row>
    <row r="730" spans="1:1">
      <c r="A730" s="468"/>
    </row>
    <row r="731" spans="1:1">
      <c r="A731" s="468"/>
    </row>
    <row r="732" spans="1:1">
      <c r="A732" s="468"/>
    </row>
    <row r="733" spans="1:1">
      <c r="A733" s="468"/>
    </row>
    <row r="734" spans="1:1">
      <c r="A734" s="468"/>
    </row>
    <row r="735" spans="1:1">
      <c r="A735" s="468"/>
    </row>
    <row r="736" spans="1:1">
      <c r="A736" s="468"/>
    </row>
    <row r="737" spans="1:1">
      <c r="A737" s="468"/>
    </row>
    <row r="738" spans="1:1">
      <c r="A738" s="468"/>
    </row>
    <row r="739" spans="1:1">
      <c r="A739" s="468"/>
    </row>
    <row r="740" spans="1:1">
      <c r="A740" s="468"/>
    </row>
    <row r="741" spans="1:1">
      <c r="A741" s="468"/>
    </row>
    <row r="742" spans="1:1">
      <c r="A742" s="468"/>
    </row>
    <row r="743" spans="1:1">
      <c r="A743" s="468"/>
    </row>
    <row r="744" spans="1:1">
      <c r="A744" s="468"/>
    </row>
    <row r="745" spans="1:1">
      <c r="A745" s="468"/>
    </row>
    <row r="746" spans="1:1">
      <c r="A746" s="468"/>
    </row>
    <row r="747" spans="1:1">
      <c r="A747" s="468"/>
    </row>
    <row r="748" spans="1:1">
      <c r="A748" s="468"/>
    </row>
    <row r="749" spans="1:1">
      <c r="A749" s="468"/>
    </row>
    <row r="750" spans="1:1">
      <c r="A750" s="468"/>
    </row>
    <row r="751" spans="1:1">
      <c r="A751" s="468"/>
    </row>
    <row r="752" spans="1:1">
      <c r="A752" s="468"/>
    </row>
    <row r="753" spans="1:1">
      <c r="A753" s="468"/>
    </row>
    <row r="754" spans="1:1">
      <c r="A754" s="468"/>
    </row>
    <row r="755" spans="1:1">
      <c r="A755" s="468"/>
    </row>
    <row r="756" spans="1:1">
      <c r="A756" s="468"/>
    </row>
    <row r="757" spans="1:1">
      <c r="A757" s="468"/>
    </row>
    <row r="758" spans="1:1">
      <c r="A758" s="468"/>
    </row>
    <row r="759" spans="1:1">
      <c r="A759" s="468"/>
    </row>
    <row r="760" spans="1:1">
      <c r="A760" s="468"/>
    </row>
    <row r="761" spans="1:1">
      <c r="A761" s="468"/>
    </row>
    <row r="762" spans="1:1">
      <c r="A762" s="468"/>
    </row>
    <row r="763" spans="1:1">
      <c r="A763" s="468"/>
    </row>
    <row r="764" spans="1:1">
      <c r="A764" s="468"/>
    </row>
    <row r="765" spans="1:1">
      <c r="A765" s="468"/>
    </row>
    <row r="766" spans="1:1">
      <c r="A766" s="468"/>
    </row>
    <row r="767" spans="1:1">
      <c r="A767" s="468"/>
    </row>
    <row r="768" spans="1:1">
      <c r="A768" s="468"/>
    </row>
    <row r="769" spans="1:1">
      <c r="A769" s="468"/>
    </row>
    <row r="770" spans="1:1">
      <c r="A770" s="468"/>
    </row>
    <row r="771" spans="1:1">
      <c r="A771" s="468"/>
    </row>
    <row r="772" spans="1:1">
      <c r="A772" s="468"/>
    </row>
    <row r="773" spans="1:1">
      <c r="A773" s="468"/>
    </row>
    <row r="774" spans="1:1">
      <c r="A774" s="468"/>
    </row>
    <row r="775" spans="1:1">
      <c r="A775" s="468"/>
    </row>
    <row r="776" spans="1:1">
      <c r="A776" s="468"/>
    </row>
    <row r="777" spans="1:1">
      <c r="A777" s="468"/>
    </row>
    <row r="778" spans="1:1">
      <c r="A778" s="468"/>
    </row>
    <row r="779" spans="1:1">
      <c r="A779" s="468"/>
    </row>
    <row r="780" spans="1:1">
      <c r="A780" s="468"/>
    </row>
    <row r="781" spans="1:1">
      <c r="A781" s="468"/>
    </row>
    <row r="782" spans="1:1">
      <c r="A782" s="468"/>
    </row>
    <row r="783" spans="1:1">
      <c r="A783" s="468"/>
    </row>
    <row r="784" spans="1:1">
      <c r="A784" s="468"/>
    </row>
    <row r="785" spans="1:1">
      <c r="A785" s="468"/>
    </row>
    <row r="786" spans="1:1">
      <c r="A786" s="468"/>
    </row>
    <row r="787" spans="1:1">
      <c r="A787" s="468"/>
    </row>
    <row r="788" spans="1:1">
      <c r="A788" s="468"/>
    </row>
    <row r="789" spans="1:1">
      <c r="A789" s="468"/>
    </row>
    <row r="790" spans="1:1">
      <c r="A790" s="468"/>
    </row>
    <row r="791" spans="1:1">
      <c r="A791" s="468"/>
    </row>
    <row r="792" spans="1:1">
      <c r="A792" s="468"/>
    </row>
    <row r="793" spans="1:1">
      <c r="A793" s="468"/>
    </row>
    <row r="794" spans="1:1">
      <c r="A794" s="468"/>
    </row>
    <row r="795" spans="1:1">
      <c r="A795" s="468"/>
    </row>
    <row r="796" spans="1:1">
      <c r="A796" s="468"/>
    </row>
    <row r="797" spans="1:1">
      <c r="A797" s="468"/>
    </row>
    <row r="798" spans="1:1">
      <c r="A798" s="468"/>
    </row>
    <row r="799" spans="1:1">
      <c r="A799" s="468"/>
    </row>
    <row r="800" spans="1:1">
      <c r="A800" s="468"/>
    </row>
    <row r="801" spans="1:1">
      <c r="A801" s="468"/>
    </row>
    <row r="802" spans="1:1">
      <c r="A802" s="468"/>
    </row>
    <row r="803" spans="1:1">
      <c r="A803" s="468"/>
    </row>
    <row r="804" spans="1:1">
      <c r="A804" s="468"/>
    </row>
    <row r="805" spans="1:1">
      <c r="A805" s="468"/>
    </row>
    <row r="806" spans="1:1">
      <c r="A806" s="468"/>
    </row>
    <row r="807" spans="1:1">
      <c r="A807" s="468"/>
    </row>
    <row r="808" spans="1:1">
      <c r="A808" s="468"/>
    </row>
    <row r="809" spans="1:1">
      <c r="A809" s="468"/>
    </row>
    <row r="810" spans="1:1">
      <c r="A810" s="468"/>
    </row>
    <row r="811" spans="1:1">
      <c r="A811" s="468"/>
    </row>
    <row r="812" spans="1:1">
      <c r="A812" s="468"/>
    </row>
    <row r="813" spans="1:1">
      <c r="A813" s="468"/>
    </row>
    <row r="814" spans="1:1">
      <c r="A814" s="468"/>
    </row>
    <row r="815" spans="1:1">
      <c r="A815" s="468"/>
    </row>
    <row r="816" spans="1:1">
      <c r="A816" s="468"/>
    </row>
    <row r="817" spans="1:1">
      <c r="A817" s="468"/>
    </row>
    <row r="818" spans="1:1">
      <c r="A818" s="468"/>
    </row>
    <row r="819" spans="1:1">
      <c r="A819" s="468"/>
    </row>
    <row r="820" spans="1:1">
      <c r="A820" s="468"/>
    </row>
    <row r="821" spans="1:1">
      <c r="A821" s="468"/>
    </row>
    <row r="822" spans="1:1">
      <c r="A822" s="468"/>
    </row>
    <row r="823" spans="1:1">
      <c r="A823" s="468"/>
    </row>
    <row r="824" spans="1:1">
      <c r="A824" s="468"/>
    </row>
    <row r="825" spans="1:1">
      <c r="A825" s="468"/>
    </row>
    <row r="826" spans="1:1">
      <c r="A826" s="468"/>
    </row>
    <row r="827" spans="1:1">
      <c r="A827" s="468"/>
    </row>
    <row r="828" spans="1:1">
      <c r="A828" s="468"/>
    </row>
    <row r="829" spans="1:1">
      <c r="A829" s="468"/>
    </row>
    <row r="830" spans="1:1">
      <c r="A830" s="468"/>
    </row>
    <row r="831" spans="1:1">
      <c r="A831" s="468"/>
    </row>
    <row r="832" spans="1:1">
      <c r="A832" s="468"/>
    </row>
    <row r="833" spans="1:1">
      <c r="A833" s="468"/>
    </row>
    <row r="834" spans="1:1">
      <c r="A834" s="468"/>
    </row>
    <row r="835" spans="1:1">
      <c r="A835" s="468"/>
    </row>
    <row r="836" spans="1:1">
      <c r="A836" s="468"/>
    </row>
    <row r="837" spans="1:1">
      <c r="A837" s="468"/>
    </row>
    <row r="838" spans="1:1">
      <c r="A838" s="468"/>
    </row>
    <row r="839" spans="1:1">
      <c r="A839" s="468"/>
    </row>
    <row r="840" spans="1:1">
      <c r="A840" s="468"/>
    </row>
    <row r="841" spans="1:1">
      <c r="A841" s="468"/>
    </row>
    <row r="842" spans="1:1">
      <c r="A842" s="468"/>
    </row>
    <row r="843" spans="1:1">
      <c r="A843" s="468"/>
    </row>
    <row r="844" spans="1:1">
      <c r="A844" s="468"/>
    </row>
    <row r="845" spans="1:1">
      <c r="A845" s="468"/>
    </row>
    <row r="846" spans="1:1">
      <c r="A846" s="468"/>
    </row>
    <row r="847" spans="1:1">
      <c r="A847" s="468"/>
    </row>
    <row r="848" spans="1:1">
      <c r="A848" s="468"/>
    </row>
    <row r="849" spans="1:1">
      <c r="A849" s="468"/>
    </row>
    <row r="850" spans="1:1">
      <c r="A850" s="468"/>
    </row>
    <row r="851" spans="1:1">
      <c r="A851" s="468"/>
    </row>
    <row r="852" spans="1:1">
      <c r="A852" s="468"/>
    </row>
    <row r="853" spans="1:1">
      <c r="A853" s="468"/>
    </row>
    <row r="854" spans="1:1">
      <c r="A854" s="468"/>
    </row>
    <row r="855" spans="1:1">
      <c r="A855" s="468"/>
    </row>
    <row r="856" spans="1:1">
      <c r="A856" s="468"/>
    </row>
    <row r="857" spans="1:1">
      <c r="A857" s="468"/>
    </row>
    <row r="858" spans="1:1">
      <c r="A858" s="468"/>
    </row>
    <row r="859" spans="1:1">
      <c r="A859" s="468"/>
    </row>
    <row r="860" spans="1:1">
      <c r="A860" s="468"/>
    </row>
    <row r="861" spans="1:1">
      <c r="A861" s="468"/>
    </row>
    <row r="862" spans="1:1">
      <c r="A862" s="468"/>
    </row>
    <row r="863" spans="1:1">
      <c r="A863" s="468"/>
    </row>
    <row r="864" spans="1:1">
      <c r="A864" s="468"/>
    </row>
    <row r="865" spans="1:1">
      <c r="A865" s="468"/>
    </row>
    <row r="866" spans="1:1">
      <c r="A866" s="468"/>
    </row>
    <row r="867" spans="1:1">
      <c r="A867" s="468"/>
    </row>
    <row r="868" spans="1:1">
      <c r="A868" s="468"/>
    </row>
    <row r="869" spans="1:1">
      <c r="A869" s="468"/>
    </row>
    <row r="870" spans="1:1">
      <c r="A870" s="468"/>
    </row>
    <row r="871" spans="1:1">
      <c r="A871" s="468"/>
    </row>
    <row r="872" spans="1:1">
      <c r="A872" s="468"/>
    </row>
    <row r="873" spans="1:1">
      <c r="A873" s="468"/>
    </row>
    <row r="874" spans="1:1">
      <c r="A874" s="468"/>
    </row>
    <row r="875" spans="1:1">
      <c r="A875" s="468"/>
    </row>
    <row r="876" spans="1:1">
      <c r="A876" s="468"/>
    </row>
    <row r="877" spans="1:1">
      <c r="A877" s="468"/>
    </row>
    <row r="878" spans="1:1">
      <c r="A878" s="468"/>
    </row>
    <row r="879" spans="1:1">
      <c r="A879" s="468"/>
    </row>
    <row r="880" spans="1:1">
      <c r="A880" s="468"/>
    </row>
    <row r="881" spans="1:1">
      <c r="A881" s="468"/>
    </row>
    <row r="882" spans="1:1">
      <c r="A882" s="468"/>
    </row>
    <row r="883" spans="1:1">
      <c r="A883" s="468"/>
    </row>
    <row r="884" spans="1:1">
      <c r="A884" s="468"/>
    </row>
    <row r="885" spans="1:1">
      <c r="A885" s="468"/>
    </row>
    <row r="886" spans="1:1">
      <c r="A886" s="468"/>
    </row>
    <row r="887" spans="1:1">
      <c r="A887" s="468"/>
    </row>
    <row r="888" spans="1:1">
      <c r="A888" s="468"/>
    </row>
    <row r="889" spans="1:1">
      <c r="A889" s="468"/>
    </row>
    <row r="890" spans="1:1">
      <c r="A890" s="468"/>
    </row>
    <row r="891" spans="1:1">
      <c r="A891" s="468"/>
    </row>
    <row r="892" spans="1:1">
      <c r="A892" s="468"/>
    </row>
    <row r="893" spans="1:1">
      <c r="A893" s="468"/>
    </row>
    <row r="894" spans="1:1">
      <c r="A894" s="468"/>
    </row>
    <row r="895" spans="1:1">
      <c r="A895" s="468"/>
    </row>
    <row r="896" spans="1:1">
      <c r="A896" s="468"/>
    </row>
    <row r="897" spans="1:1">
      <c r="A897" s="468"/>
    </row>
    <row r="898" spans="1:1">
      <c r="A898" s="468"/>
    </row>
    <row r="899" spans="1:1">
      <c r="A899" s="468"/>
    </row>
    <row r="900" spans="1:1">
      <c r="A900" s="468"/>
    </row>
    <row r="901" spans="1:1">
      <c r="A901" s="468"/>
    </row>
    <row r="902" spans="1:1">
      <c r="A902" s="468"/>
    </row>
    <row r="903" spans="1:1">
      <c r="A903" s="468"/>
    </row>
    <row r="904" spans="1:1">
      <c r="A904" s="468"/>
    </row>
    <row r="905" spans="1:1">
      <c r="A905" s="468"/>
    </row>
    <row r="906" spans="1:1">
      <c r="A906" s="468"/>
    </row>
    <row r="907" spans="1:1">
      <c r="A907" s="468"/>
    </row>
    <row r="908" spans="1:1">
      <c r="A908" s="468"/>
    </row>
    <row r="909" spans="1:1">
      <c r="A909" s="468"/>
    </row>
    <row r="910" spans="1:1">
      <c r="A910" s="468"/>
    </row>
    <row r="911" spans="1:1">
      <c r="A911" s="468"/>
    </row>
    <row r="912" spans="1:1">
      <c r="A912" s="468"/>
    </row>
    <row r="913" spans="1:1">
      <c r="A913" s="468"/>
    </row>
    <row r="914" spans="1:1">
      <c r="A914" s="468"/>
    </row>
    <row r="915" spans="1:1">
      <c r="A915" s="468"/>
    </row>
    <row r="916" spans="1:1">
      <c r="A916" s="468"/>
    </row>
    <row r="917" spans="1:1">
      <c r="A917" s="468"/>
    </row>
    <row r="918" spans="1:1">
      <c r="A918" s="468"/>
    </row>
    <row r="919" spans="1:1">
      <c r="A919" s="468"/>
    </row>
    <row r="920" spans="1:1">
      <c r="A920" s="468"/>
    </row>
    <row r="921" spans="1:1">
      <c r="A921" s="468"/>
    </row>
    <row r="922" spans="1:1">
      <c r="A922" s="468"/>
    </row>
    <row r="923" spans="1:1">
      <c r="A923" s="468"/>
    </row>
    <row r="924" spans="1:1">
      <c r="A924" s="468"/>
    </row>
    <row r="925" spans="1:1">
      <c r="A925" s="468"/>
    </row>
    <row r="926" spans="1:1">
      <c r="A926" s="468"/>
    </row>
    <row r="927" spans="1:1">
      <c r="A927" s="468"/>
    </row>
    <row r="928" spans="1:1">
      <c r="A928" s="468"/>
    </row>
    <row r="929" spans="1:1">
      <c r="A929" s="468"/>
    </row>
    <row r="930" spans="1:1">
      <c r="A930" s="468"/>
    </row>
    <row r="931" spans="1:1">
      <c r="A931" s="468"/>
    </row>
    <row r="932" spans="1:1">
      <c r="A932" s="468"/>
    </row>
    <row r="933" spans="1:1">
      <c r="A933" s="468"/>
    </row>
    <row r="934" spans="1:1">
      <c r="A934" s="468"/>
    </row>
    <row r="935" spans="1:1">
      <c r="A935" s="468"/>
    </row>
    <row r="936" spans="1:1">
      <c r="A936" s="468"/>
    </row>
    <row r="937" spans="1:1">
      <c r="A937" s="468"/>
    </row>
    <row r="938" spans="1:1">
      <c r="A938" s="468"/>
    </row>
    <row r="939" spans="1:1">
      <c r="A939" s="468"/>
    </row>
    <row r="940" spans="1:1">
      <c r="A940" s="468"/>
    </row>
    <row r="941" spans="1:1">
      <c r="A941" s="468"/>
    </row>
    <row r="942" spans="1:1">
      <c r="A942" s="468"/>
    </row>
    <row r="943" spans="1:1">
      <c r="A943" s="468"/>
    </row>
    <row r="944" spans="1:1">
      <c r="A944" s="468"/>
    </row>
    <row r="945" spans="1:1">
      <c r="A945" s="468"/>
    </row>
    <row r="946" spans="1:1">
      <c r="A946" s="468"/>
    </row>
    <row r="947" spans="1:1">
      <c r="A947" s="468"/>
    </row>
    <row r="948" spans="1:1">
      <c r="A948" s="468"/>
    </row>
    <row r="949" spans="1:1">
      <c r="A949" s="468"/>
    </row>
    <row r="950" spans="1:1">
      <c r="A950" s="468"/>
    </row>
    <row r="951" spans="1:1">
      <c r="A951" s="468"/>
    </row>
    <row r="952" spans="1:1">
      <c r="A952" s="468"/>
    </row>
    <row r="953" spans="1:1">
      <c r="A953" s="468"/>
    </row>
    <row r="954" spans="1:1">
      <c r="A954" s="468"/>
    </row>
    <row r="955" spans="1:1">
      <c r="A955" s="468"/>
    </row>
    <row r="956" spans="1:1">
      <c r="A956" s="468"/>
    </row>
    <row r="957" spans="1:1">
      <c r="A957" s="468"/>
    </row>
    <row r="958" spans="1:1">
      <c r="A958" s="468"/>
    </row>
    <row r="959" spans="1:1">
      <c r="A959" s="468"/>
    </row>
    <row r="960" spans="1:1">
      <c r="A960" s="468"/>
    </row>
    <row r="961" spans="1:1">
      <c r="A961" s="468"/>
    </row>
    <row r="962" spans="1:1">
      <c r="A962" s="468"/>
    </row>
    <row r="963" spans="1:1">
      <c r="A963" s="468"/>
    </row>
    <row r="964" spans="1:1">
      <c r="A964" s="468"/>
    </row>
    <row r="965" spans="1:1">
      <c r="A965" s="468"/>
    </row>
    <row r="966" spans="1:1">
      <c r="A966" s="468"/>
    </row>
    <row r="967" spans="1:1">
      <c r="A967" s="468"/>
    </row>
    <row r="968" spans="1:1">
      <c r="A968" s="468"/>
    </row>
    <row r="969" spans="1:1">
      <c r="A969" s="468"/>
    </row>
    <row r="970" spans="1:1">
      <c r="A970" s="468"/>
    </row>
    <row r="971" spans="1:1">
      <c r="A971" s="468"/>
    </row>
    <row r="972" spans="1:1">
      <c r="A972" s="468"/>
    </row>
    <row r="973" spans="1:1">
      <c r="A973" s="468"/>
    </row>
    <row r="974" spans="1:1">
      <c r="A974" s="468"/>
    </row>
    <row r="975" spans="1:1">
      <c r="A975" s="468"/>
    </row>
    <row r="976" spans="1:1">
      <c r="A976" s="468"/>
    </row>
    <row r="977" spans="1:1">
      <c r="A977" s="468"/>
    </row>
    <row r="978" spans="1:1">
      <c r="A978" s="468"/>
    </row>
    <row r="979" spans="1:1">
      <c r="A979" s="468"/>
    </row>
    <row r="980" spans="1:1">
      <c r="A980" s="468"/>
    </row>
    <row r="981" spans="1:1">
      <c r="A981" s="468"/>
    </row>
    <row r="982" spans="1:1">
      <c r="A982" s="468"/>
    </row>
    <row r="983" spans="1:1">
      <c r="A983" s="468"/>
    </row>
    <row r="984" spans="1:1">
      <c r="A984" s="468"/>
    </row>
    <row r="985" spans="1:1">
      <c r="A985" s="468"/>
    </row>
    <row r="986" spans="1:1">
      <c r="A986" s="468"/>
    </row>
    <row r="987" spans="1:1">
      <c r="A987" s="468"/>
    </row>
    <row r="988" spans="1:1">
      <c r="A988" s="468"/>
    </row>
    <row r="989" spans="1:1">
      <c r="A989" s="468"/>
    </row>
    <row r="990" spans="1:1">
      <c r="A990" s="468"/>
    </row>
    <row r="991" spans="1:1">
      <c r="A991" s="468"/>
    </row>
    <row r="992" spans="1:1">
      <c r="A992" s="468"/>
    </row>
    <row r="993" spans="1:1">
      <c r="A993" s="468"/>
    </row>
    <row r="994" spans="1:1">
      <c r="A994" s="468"/>
    </row>
    <row r="995" spans="1:1">
      <c r="A995" s="468"/>
    </row>
    <row r="996" spans="1:1">
      <c r="A996" s="468"/>
    </row>
    <row r="997" spans="1:1">
      <c r="A997" s="468"/>
    </row>
    <row r="998" spans="1:1">
      <c r="A998" s="468"/>
    </row>
    <row r="999" spans="1:1">
      <c r="A999" s="468"/>
    </row>
    <row r="1000" spans="1:1">
      <c r="A1000" s="468"/>
    </row>
    <row r="1001" spans="1:1">
      <c r="A1001" s="468"/>
    </row>
    <row r="1002" spans="1:1">
      <c r="A1002" s="468"/>
    </row>
    <row r="1003" spans="1:1">
      <c r="A1003" s="468"/>
    </row>
    <row r="1004" spans="1:1">
      <c r="A1004" s="468"/>
    </row>
    <row r="1005" spans="1:1">
      <c r="A1005" s="468"/>
    </row>
    <row r="1006" spans="1:1">
      <c r="A1006" s="468"/>
    </row>
    <row r="1007" spans="1:1">
      <c r="A1007" s="468"/>
    </row>
    <row r="1008" spans="1:1">
      <c r="A1008" s="468"/>
    </row>
    <row r="1009" spans="1:1">
      <c r="A1009" s="468"/>
    </row>
    <row r="1010" spans="1:1">
      <c r="A1010" s="468"/>
    </row>
    <row r="1011" spans="1:1">
      <c r="A1011" s="468"/>
    </row>
    <row r="1012" spans="1:1">
      <c r="A1012" s="468"/>
    </row>
    <row r="1013" spans="1:1">
      <c r="A1013" s="468"/>
    </row>
    <row r="1014" spans="1:1">
      <c r="A1014" s="468"/>
    </row>
    <row r="1015" spans="1:1">
      <c r="A1015" s="468"/>
    </row>
    <row r="1016" spans="1:1">
      <c r="A1016" s="468"/>
    </row>
    <row r="1017" spans="1:1">
      <c r="A1017" s="468"/>
    </row>
    <row r="1018" spans="1:1">
      <c r="A1018" s="468"/>
    </row>
    <row r="1019" spans="1:1">
      <c r="A1019" s="468"/>
    </row>
    <row r="1020" spans="1:1">
      <c r="A1020" s="468"/>
    </row>
    <row r="1021" spans="1:1">
      <c r="A1021" s="468"/>
    </row>
    <row r="1022" spans="1:1">
      <c r="A1022" s="468"/>
    </row>
    <row r="1023" spans="1:1">
      <c r="A1023" s="468"/>
    </row>
    <row r="1024" spans="1:1">
      <c r="A1024" s="468"/>
    </row>
    <row r="1025" spans="1:1">
      <c r="A1025" s="468"/>
    </row>
    <row r="1026" spans="1:1">
      <c r="A1026" s="468"/>
    </row>
    <row r="1027" spans="1:1">
      <c r="A1027" s="468"/>
    </row>
    <row r="1028" spans="1:1">
      <c r="A1028" s="468"/>
    </row>
    <row r="1029" spans="1:1">
      <c r="A1029" s="468"/>
    </row>
    <row r="1030" spans="1:1">
      <c r="A1030" s="468"/>
    </row>
    <row r="1031" spans="1:1">
      <c r="A1031" s="468"/>
    </row>
    <row r="1032" spans="1:1">
      <c r="A1032" s="468"/>
    </row>
    <row r="1033" spans="1:1">
      <c r="A1033" s="468"/>
    </row>
    <row r="1034" spans="1:1">
      <c r="A1034" s="468"/>
    </row>
    <row r="1035" spans="1:1">
      <c r="A1035" s="468"/>
    </row>
    <row r="1036" spans="1:1">
      <c r="A1036" s="468"/>
    </row>
    <row r="1037" spans="1:1">
      <c r="A1037" s="468"/>
    </row>
    <row r="1038" spans="1:1">
      <c r="A1038" s="468"/>
    </row>
    <row r="1039" spans="1:1">
      <c r="A1039" s="468"/>
    </row>
    <row r="1040" spans="1:1">
      <c r="A1040" s="468"/>
    </row>
    <row r="1041" spans="1:1">
      <c r="A1041" s="468"/>
    </row>
    <row r="1042" spans="1:1">
      <c r="A1042" s="468"/>
    </row>
    <row r="1043" spans="1:1">
      <c r="A1043" s="468"/>
    </row>
    <row r="1044" spans="1:1">
      <c r="A1044" s="468"/>
    </row>
    <row r="1045" spans="1:1">
      <c r="A1045" s="468"/>
    </row>
    <row r="1046" spans="1:1">
      <c r="A1046" s="468"/>
    </row>
    <row r="1047" spans="1:1">
      <c r="A1047" s="468"/>
    </row>
    <row r="1048" spans="1:1">
      <c r="A1048" s="468"/>
    </row>
    <row r="1049" spans="1:1">
      <c r="A1049" s="468"/>
    </row>
    <row r="1050" spans="1:1">
      <c r="A1050" s="468"/>
    </row>
    <row r="1051" spans="1:1">
      <c r="A1051" s="468"/>
    </row>
    <row r="1052" spans="1:1">
      <c r="A1052" s="468"/>
    </row>
    <row r="1053" spans="1:1">
      <c r="A1053" s="468"/>
    </row>
    <row r="1054" spans="1:1">
      <c r="A1054" s="468"/>
    </row>
    <row r="1055" spans="1:1">
      <c r="A1055" s="468"/>
    </row>
    <row r="1056" spans="1:1">
      <c r="A1056" s="468"/>
    </row>
    <row r="1057" spans="1:1">
      <c r="A1057" s="468"/>
    </row>
    <row r="1058" spans="1:1">
      <c r="A1058" s="468"/>
    </row>
    <row r="1059" spans="1:1">
      <c r="A1059" s="468"/>
    </row>
    <row r="1060" spans="1:1">
      <c r="A1060" s="468"/>
    </row>
    <row r="1061" spans="1:1">
      <c r="A1061" s="468"/>
    </row>
    <row r="1062" spans="1:1">
      <c r="A1062" s="468"/>
    </row>
    <row r="1063" spans="1:1">
      <c r="A1063" s="468"/>
    </row>
    <row r="1064" spans="1:1">
      <c r="A1064" s="468"/>
    </row>
    <row r="1065" spans="1:1">
      <c r="A1065" s="468"/>
    </row>
    <row r="1066" spans="1:1">
      <c r="A1066" s="468"/>
    </row>
    <row r="1067" spans="1:1">
      <c r="A1067" s="468"/>
    </row>
    <row r="1068" spans="1:1">
      <c r="A1068" s="468"/>
    </row>
    <row r="1069" spans="1:1">
      <c r="A1069" s="468"/>
    </row>
    <row r="1070" spans="1:1">
      <c r="A1070" s="468"/>
    </row>
    <row r="1071" spans="1:1">
      <c r="A1071" s="468"/>
    </row>
    <row r="1072" spans="1:1">
      <c r="A1072" s="468"/>
    </row>
    <row r="1073" spans="1:1">
      <c r="A1073" s="468"/>
    </row>
    <row r="1074" spans="1:1">
      <c r="A1074" s="468"/>
    </row>
    <row r="1075" spans="1:1">
      <c r="A1075" s="468"/>
    </row>
    <row r="1076" spans="1:1">
      <c r="A1076" s="468"/>
    </row>
    <row r="1077" spans="1:1">
      <c r="A1077" s="468"/>
    </row>
    <row r="1078" spans="1:1">
      <c r="A1078" s="468"/>
    </row>
    <row r="1079" spans="1:1">
      <c r="A1079" s="468"/>
    </row>
    <row r="1080" spans="1:1">
      <c r="A1080" s="468"/>
    </row>
    <row r="1081" spans="1:1">
      <c r="A1081" s="468"/>
    </row>
    <row r="1082" spans="1:1">
      <c r="A1082" s="468"/>
    </row>
    <row r="1083" spans="1:1">
      <c r="A1083" s="468"/>
    </row>
    <row r="1084" spans="1:1">
      <c r="A1084" s="468"/>
    </row>
    <row r="1085" spans="1:1">
      <c r="A1085" s="468"/>
    </row>
    <row r="1086" spans="1:1">
      <c r="A1086" s="468"/>
    </row>
    <row r="1087" spans="1:1">
      <c r="A1087" s="468"/>
    </row>
    <row r="1088" spans="1:1">
      <c r="A1088" s="468"/>
    </row>
    <row r="1089" spans="1:1">
      <c r="A1089" s="468"/>
    </row>
    <row r="1090" spans="1:1">
      <c r="A1090" s="468"/>
    </row>
    <row r="1091" spans="1:1">
      <c r="A1091" s="468"/>
    </row>
    <row r="1092" spans="1:1">
      <c r="A1092" s="468"/>
    </row>
    <row r="1093" spans="1:1">
      <c r="A1093" s="468"/>
    </row>
    <row r="1094" spans="1:1">
      <c r="A1094" s="468"/>
    </row>
    <row r="1095" spans="1:1">
      <c r="A1095" s="468"/>
    </row>
    <row r="1096" spans="1:1">
      <c r="A1096" s="468"/>
    </row>
    <row r="1097" spans="1:1">
      <c r="A1097" s="468"/>
    </row>
    <row r="1098" spans="1:1">
      <c r="A1098" s="468"/>
    </row>
    <row r="1099" spans="1:1">
      <c r="A1099" s="468"/>
    </row>
    <row r="1100" spans="1:1">
      <c r="A1100" s="468"/>
    </row>
    <row r="1101" spans="1:1">
      <c r="A1101" s="468"/>
    </row>
    <row r="1102" spans="1:1">
      <c r="A1102" s="468"/>
    </row>
    <row r="1103" spans="1:1">
      <c r="A1103" s="468"/>
    </row>
    <row r="1104" spans="1:1">
      <c r="A1104" s="468"/>
    </row>
    <row r="1105" spans="1:1">
      <c r="A1105" s="468"/>
    </row>
    <row r="1106" spans="1:1">
      <c r="A1106" s="468"/>
    </row>
    <row r="1107" spans="1:1">
      <c r="A1107" s="468"/>
    </row>
    <row r="1108" spans="1:1">
      <c r="A1108" s="468"/>
    </row>
    <row r="1109" spans="1:1">
      <c r="A1109" s="468"/>
    </row>
    <row r="1110" spans="1:1">
      <c r="A1110" s="468"/>
    </row>
    <row r="1111" spans="1:1">
      <c r="A1111" s="468"/>
    </row>
    <row r="1112" spans="1:1">
      <c r="A1112" s="468"/>
    </row>
    <row r="1113" spans="1:1">
      <c r="A1113" s="468"/>
    </row>
    <row r="1114" spans="1:1">
      <c r="A1114" s="468"/>
    </row>
    <row r="1115" spans="1:1">
      <c r="A1115" s="468"/>
    </row>
    <row r="1116" spans="1:1">
      <c r="A1116" s="468"/>
    </row>
    <row r="1117" spans="1:1">
      <c r="A1117" s="468"/>
    </row>
    <row r="1118" spans="1:1">
      <c r="A1118" s="468"/>
    </row>
    <row r="1119" spans="1:1">
      <c r="A1119" s="468"/>
    </row>
    <row r="1120" spans="1:1">
      <c r="A1120" s="468"/>
    </row>
    <row r="1121" spans="1:1">
      <c r="A1121" s="468"/>
    </row>
    <row r="1122" spans="1:1">
      <c r="A1122" s="468"/>
    </row>
    <row r="1123" spans="1:1">
      <c r="A1123" s="468"/>
    </row>
    <row r="1124" spans="1:1">
      <c r="A1124" s="468"/>
    </row>
    <row r="1125" spans="1:1">
      <c r="A1125" s="468"/>
    </row>
    <row r="1126" spans="1:1">
      <c r="A1126" s="468"/>
    </row>
    <row r="1127" spans="1:1">
      <c r="A1127" s="468"/>
    </row>
    <row r="1128" spans="1:1">
      <c r="A1128" s="468"/>
    </row>
    <row r="1129" spans="1:1">
      <c r="A1129" s="468"/>
    </row>
    <row r="1130" spans="1:1">
      <c r="A1130" s="468"/>
    </row>
    <row r="1131" spans="1:1">
      <c r="A1131" s="468"/>
    </row>
    <row r="1132" spans="1:1">
      <c r="A1132" s="468"/>
    </row>
    <row r="1133" spans="1:1">
      <c r="A1133" s="468"/>
    </row>
    <row r="1134" spans="1:1">
      <c r="A1134" s="468"/>
    </row>
    <row r="1135" spans="1:1">
      <c r="A1135" s="468"/>
    </row>
    <row r="1136" spans="1:1">
      <c r="A1136" s="468"/>
    </row>
    <row r="1137" spans="1:1">
      <c r="A1137" s="468"/>
    </row>
    <row r="1138" spans="1:1">
      <c r="A1138" s="468"/>
    </row>
    <row r="1139" spans="1:1">
      <c r="A1139" s="468"/>
    </row>
    <row r="1140" spans="1:1">
      <c r="A1140" s="468"/>
    </row>
    <row r="1141" spans="1:1">
      <c r="A1141" s="468"/>
    </row>
    <row r="1142" spans="1:1">
      <c r="A1142" s="468"/>
    </row>
    <row r="1143" spans="1:1">
      <c r="A1143" s="468"/>
    </row>
    <row r="1144" spans="1:1">
      <c r="A1144" s="468"/>
    </row>
    <row r="1145" spans="1:1">
      <c r="A1145" s="468"/>
    </row>
    <row r="1146" spans="1:1">
      <c r="A1146" s="468"/>
    </row>
    <row r="1147" spans="1:1">
      <c r="A1147" s="468"/>
    </row>
    <row r="1148" spans="1:1">
      <c r="A1148" s="468"/>
    </row>
    <row r="1149" spans="1:1">
      <c r="A1149" s="468"/>
    </row>
    <row r="1150" spans="1:1">
      <c r="A1150" s="468"/>
    </row>
    <row r="1151" spans="1:1">
      <c r="A1151" s="468"/>
    </row>
    <row r="1152" spans="1:1">
      <c r="A1152" s="468"/>
    </row>
    <row r="1153" spans="1:1">
      <c r="A1153" s="468"/>
    </row>
    <row r="1154" spans="1:1">
      <c r="A1154" s="468"/>
    </row>
    <row r="1155" spans="1:1">
      <c r="A1155" s="468"/>
    </row>
    <row r="1156" spans="1:1">
      <c r="A1156" s="468"/>
    </row>
    <row r="1157" spans="1:1">
      <c r="A1157" s="468"/>
    </row>
    <row r="1158" spans="1:1">
      <c r="A1158" s="468"/>
    </row>
    <row r="1159" spans="1:1">
      <c r="A1159" s="468"/>
    </row>
    <row r="1160" spans="1:1">
      <c r="A1160" s="468"/>
    </row>
    <row r="1161" spans="1:1">
      <c r="A1161" s="468"/>
    </row>
    <row r="1162" spans="1:1">
      <c r="A1162" s="468"/>
    </row>
    <row r="1163" spans="1:1">
      <c r="A1163" s="468"/>
    </row>
    <row r="1164" spans="1:1">
      <c r="A1164" s="468"/>
    </row>
    <row r="1165" spans="1:1">
      <c r="A1165" s="468"/>
    </row>
    <row r="1166" spans="1:1">
      <c r="A1166" s="468"/>
    </row>
    <row r="1167" spans="1:1">
      <c r="A1167" s="468"/>
    </row>
    <row r="1168" spans="1:1">
      <c r="A1168" s="468"/>
    </row>
    <row r="1169" spans="1:1">
      <c r="A1169" s="468"/>
    </row>
    <row r="1170" spans="1:1">
      <c r="A1170" s="468"/>
    </row>
    <row r="1171" spans="1:1">
      <c r="A1171" s="468"/>
    </row>
    <row r="1172" spans="1:1">
      <c r="A1172" s="468"/>
    </row>
    <row r="1173" spans="1:1">
      <c r="A1173" s="468"/>
    </row>
    <row r="1174" spans="1:1">
      <c r="A1174" s="468"/>
    </row>
    <row r="1175" spans="1:1">
      <c r="A1175" s="468"/>
    </row>
    <row r="1176" spans="1:1">
      <c r="A1176" s="468"/>
    </row>
    <row r="1177" spans="1:1">
      <c r="A1177" s="468"/>
    </row>
    <row r="1178" spans="1:1">
      <c r="A1178" s="468"/>
    </row>
    <row r="1179" spans="1:1">
      <c r="A1179" s="468"/>
    </row>
    <row r="1180" spans="1:1">
      <c r="A1180" s="468"/>
    </row>
    <row r="1181" spans="1:1">
      <c r="A1181" s="468"/>
    </row>
    <row r="1182" spans="1:1">
      <c r="A1182" s="468"/>
    </row>
    <row r="1183" spans="1:1">
      <c r="A1183" s="468"/>
    </row>
    <row r="1184" spans="1:1">
      <c r="A1184" s="468"/>
    </row>
    <row r="1185" spans="1:1">
      <c r="A1185" s="468"/>
    </row>
    <row r="1186" spans="1:1">
      <c r="A1186" s="468"/>
    </row>
    <row r="1187" spans="1:1">
      <c r="A1187" s="468"/>
    </row>
    <row r="1188" spans="1:1">
      <c r="A1188" s="468"/>
    </row>
    <row r="1189" spans="1:1">
      <c r="A1189" s="468"/>
    </row>
    <row r="1190" spans="1:1">
      <c r="A1190" s="468"/>
    </row>
    <row r="1191" spans="1:1">
      <c r="A1191" s="468"/>
    </row>
    <row r="1192" spans="1:1">
      <c r="A1192" s="468"/>
    </row>
    <row r="1193" spans="1:1">
      <c r="A1193" s="468"/>
    </row>
    <row r="1194" spans="1:1">
      <c r="A1194" s="468"/>
    </row>
    <row r="1195" spans="1:1">
      <c r="A1195" s="468"/>
    </row>
    <row r="1196" spans="1:1">
      <c r="A1196" s="468"/>
    </row>
    <row r="1197" spans="1:1">
      <c r="A1197" s="468"/>
    </row>
    <row r="1198" spans="1:1">
      <c r="A1198" s="468"/>
    </row>
    <row r="1199" spans="1:1">
      <c r="A1199" s="468"/>
    </row>
    <row r="1200" spans="1:1">
      <c r="A1200" s="468"/>
    </row>
    <row r="1201" spans="1:1">
      <c r="A1201" s="468"/>
    </row>
    <row r="1202" spans="1:1">
      <c r="A1202" s="468"/>
    </row>
    <row r="1203" spans="1:1">
      <c r="A1203" s="468"/>
    </row>
    <row r="1204" spans="1:1">
      <c r="A1204" s="468"/>
    </row>
    <row r="1205" spans="1:1">
      <c r="A1205" s="468"/>
    </row>
    <row r="1206" spans="1:1">
      <c r="A1206" s="468"/>
    </row>
    <row r="1207" spans="1:1">
      <c r="A1207" s="468"/>
    </row>
    <row r="1208" spans="1:1">
      <c r="A1208" s="468"/>
    </row>
    <row r="1209" spans="1:1">
      <c r="A1209" s="468"/>
    </row>
    <row r="1210" spans="1:1">
      <c r="A1210" s="468"/>
    </row>
    <row r="1211" spans="1:1">
      <c r="A1211" s="468"/>
    </row>
    <row r="1212" spans="1:1">
      <c r="A1212" s="468"/>
    </row>
    <row r="1213" spans="1:1">
      <c r="A1213" s="468"/>
    </row>
    <row r="1214" spans="1:1">
      <c r="A1214" s="468"/>
    </row>
    <row r="1215" spans="1:1">
      <c r="A1215" s="468"/>
    </row>
    <row r="1216" spans="1:1">
      <c r="A1216" s="468"/>
    </row>
    <row r="1217" spans="1:1">
      <c r="A1217" s="468"/>
    </row>
    <row r="1218" spans="1:1">
      <c r="A1218" s="468"/>
    </row>
    <row r="1219" spans="1:1">
      <c r="A1219" s="468"/>
    </row>
    <row r="1220" spans="1:1">
      <c r="A1220" s="468"/>
    </row>
    <row r="1221" spans="1:1">
      <c r="A1221" s="468"/>
    </row>
    <row r="1222" spans="1:1">
      <c r="A1222" s="468"/>
    </row>
    <row r="1223" spans="1:1">
      <c r="A1223" s="468"/>
    </row>
    <row r="1224" spans="1:1">
      <c r="A1224" s="468"/>
    </row>
    <row r="1225" spans="1:1">
      <c r="A1225" s="468"/>
    </row>
    <row r="1226" spans="1:1">
      <c r="A1226" s="468"/>
    </row>
    <row r="1227" spans="1:1">
      <c r="A1227" s="468"/>
    </row>
    <row r="1228" spans="1:1">
      <c r="A1228" s="468"/>
    </row>
    <row r="1229" spans="1:1">
      <c r="A1229" s="468"/>
    </row>
    <row r="1230" spans="1:1">
      <c r="A1230" s="468"/>
    </row>
    <row r="1231" spans="1:1">
      <c r="A1231" s="468"/>
    </row>
    <row r="1232" spans="1:1">
      <c r="A1232" s="468"/>
    </row>
    <row r="1233" spans="1:1">
      <c r="A1233" s="468"/>
    </row>
    <row r="1234" spans="1:1">
      <c r="A1234" s="468"/>
    </row>
    <row r="1235" spans="1:1">
      <c r="A1235" s="468"/>
    </row>
    <row r="1236" spans="1:1">
      <c r="A1236" s="468"/>
    </row>
    <row r="1237" spans="1:1">
      <c r="A1237" s="468"/>
    </row>
    <row r="1238" spans="1:1">
      <c r="A1238" s="468"/>
    </row>
    <row r="1239" spans="1:1">
      <c r="A1239" s="468"/>
    </row>
    <row r="1240" spans="1:1">
      <c r="A1240" s="468"/>
    </row>
    <row r="1241" spans="1:1">
      <c r="A1241" s="468"/>
    </row>
    <row r="1242" spans="1:1">
      <c r="A1242" s="468"/>
    </row>
    <row r="1243" spans="1:1">
      <c r="A1243" s="468"/>
    </row>
    <row r="1244" spans="1:1">
      <c r="A1244" s="468"/>
    </row>
    <row r="1245" spans="1:1">
      <c r="A1245" s="468"/>
    </row>
    <row r="1246" spans="1:1">
      <c r="A1246" s="468"/>
    </row>
    <row r="1247" spans="1:1">
      <c r="A1247" s="468"/>
    </row>
    <row r="1248" spans="1:1">
      <c r="A1248" s="468"/>
    </row>
    <row r="1249" spans="1:1">
      <c r="A1249" s="468"/>
    </row>
    <row r="1250" spans="1:1">
      <c r="A1250" s="468"/>
    </row>
    <row r="1251" spans="1:1">
      <c r="A1251" s="468"/>
    </row>
    <row r="1252" spans="1:1">
      <c r="A1252" s="468"/>
    </row>
    <row r="1253" spans="1:1">
      <c r="A1253" s="468"/>
    </row>
    <row r="1254" spans="1:1">
      <c r="A1254" s="468"/>
    </row>
    <row r="1255" spans="1:1">
      <c r="A1255" s="468"/>
    </row>
    <row r="1256" spans="1:1">
      <c r="A1256" s="468"/>
    </row>
    <row r="1257" spans="1:1">
      <c r="A1257" s="468"/>
    </row>
    <row r="1258" spans="1:1">
      <c r="A1258" s="468"/>
    </row>
    <row r="1259" spans="1:1">
      <c r="A1259" s="468"/>
    </row>
    <row r="1260" spans="1:1">
      <c r="A1260" s="468"/>
    </row>
    <row r="1261" spans="1:1">
      <c r="A1261" s="468"/>
    </row>
    <row r="1262" spans="1:1">
      <c r="A1262" s="468"/>
    </row>
    <row r="1263" spans="1:1">
      <c r="A1263" s="468"/>
    </row>
    <row r="1264" spans="1:1">
      <c r="A1264" s="468"/>
    </row>
    <row r="1265" spans="1:1">
      <c r="A1265" s="468"/>
    </row>
    <row r="1266" spans="1:1">
      <c r="A1266" s="468"/>
    </row>
    <row r="1267" spans="1:1">
      <c r="A1267" s="468"/>
    </row>
    <row r="1268" spans="1:1">
      <c r="A1268" s="468"/>
    </row>
    <row r="1269" spans="1:1">
      <c r="A1269" s="468"/>
    </row>
    <row r="1270" spans="1:1">
      <c r="A1270" s="468"/>
    </row>
    <row r="1271" spans="1:1">
      <c r="A1271" s="468"/>
    </row>
    <row r="1272" spans="1:1">
      <c r="A1272" s="468"/>
    </row>
    <row r="1273" spans="1:1">
      <c r="A1273" s="468"/>
    </row>
    <row r="1274" spans="1:1">
      <c r="A1274" s="468"/>
    </row>
    <row r="1275" spans="1:1">
      <c r="A1275" s="468"/>
    </row>
    <row r="1276" spans="1:1">
      <c r="A1276" s="468"/>
    </row>
    <row r="1277" spans="1:1">
      <c r="A1277" s="468"/>
    </row>
    <row r="1278" spans="1:1">
      <c r="A1278" s="468"/>
    </row>
    <row r="1279" spans="1:1">
      <c r="A1279" s="468"/>
    </row>
    <row r="1280" spans="1:1">
      <c r="A1280" s="468"/>
    </row>
    <row r="1281" spans="1:1">
      <c r="A1281" s="468"/>
    </row>
    <row r="1282" spans="1:1">
      <c r="A1282" s="468"/>
    </row>
    <row r="1283" spans="1:1">
      <c r="A1283" s="468"/>
    </row>
    <row r="1284" spans="1:1">
      <c r="A1284" s="468"/>
    </row>
    <row r="1285" spans="1:1">
      <c r="A1285" s="468"/>
    </row>
    <row r="1286" spans="1:1">
      <c r="A1286" s="468"/>
    </row>
    <row r="1287" spans="1:1">
      <c r="A1287" s="468"/>
    </row>
    <row r="1288" spans="1:1">
      <c r="A1288" s="468"/>
    </row>
    <row r="1289" spans="1:1">
      <c r="A1289" s="468"/>
    </row>
    <row r="1290" spans="1:1">
      <c r="A1290" s="468"/>
    </row>
    <row r="1291" spans="1:1">
      <c r="A1291" s="468"/>
    </row>
    <row r="1292" spans="1:1">
      <c r="A1292" s="468"/>
    </row>
    <row r="1293" spans="1:1">
      <c r="A1293" s="468"/>
    </row>
    <row r="1294" spans="1:1">
      <c r="A1294" s="468"/>
    </row>
    <row r="1295" spans="1:1">
      <c r="A1295" s="468"/>
    </row>
    <row r="1296" spans="1:1">
      <c r="A1296" s="468"/>
    </row>
    <row r="1297" spans="1:1">
      <c r="A1297" s="468"/>
    </row>
    <row r="1298" spans="1:1">
      <c r="A1298" s="468"/>
    </row>
    <row r="1299" spans="1:1">
      <c r="A1299" s="468"/>
    </row>
    <row r="1300" spans="1:1">
      <c r="A1300" s="468"/>
    </row>
    <row r="1301" spans="1:1">
      <c r="A1301" s="468"/>
    </row>
    <row r="1302" spans="1:1">
      <c r="A1302" s="468"/>
    </row>
    <row r="1303" spans="1:1">
      <c r="A1303" s="468"/>
    </row>
    <row r="1304" spans="1:1">
      <c r="A1304" s="468"/>
    </row>
    <row r="1305" spans="1:1">
      <c r="A1305" s="468"/>
    </row>
    <row r="1306" spans="1:1">
      <c r="A1306" s="468"/>
    </row>
    <row r="1307" spans="1:1">
      <c r="A1307" s="468"/>
    </row>
    <row r="1308" spans="1:1">
      <c r="A1308" s="468"/>
    </row>
    <row r="1309" spans="1:1">
      <c r="A1309" s="468"/>
    </row>
    <row r="1310" spans="1:1">
      <c r="A1310" s="468"/>
    </row>
    <row r="1311" spans="1:1">
      <c r="A1311" s="468"/>
    </row>
    <row r="1312" spans="1:1">
      <c r="A1312" s="468"/>
    </row>
    <row r="1313" spans="1:1">
      <c r="A1313" s="468"/>
    </row>
    <row r="1314" spans="1:1">
      <c r="A1314" s="468"/>
    </row>
    <row r="1315" spans="1:1">
      <c r="A1315" s="468"/>
    </row>
    <row r="1316" spans="1:1">
      <c r="A1316" s="468"/>
    </row>
    <row r="1317" spans="1:1">
      <c r="A1317" s="468"/>
    </row>
    <row r="1318" spans="1:1">
      <c r="A1318" s="468"/>
    </row>
    <row r="1319" spans="1:1">
      <c r="A1319" s="468"/>
    </row>
    <row r="1320" spans="1:1">
      <c r="A1320" s="468"/>
    </row>
    <row r="1321" spans="1:1">
      <c r="A1321" s="468"/>
    </row>
    <row r="1322" spans="1:1">
      <c r="A1322" s="468"/>
    </row>
    <row r="1323" spans="1:1">
      <c r="A1323" s="468"/>
    </row>
    <row r="1324" spans="1:1">
      <c r="A1324" s="468"/>
    </row>
    <row r="1325" spans="1:1">
      <c r="A1325" s="468"/>
    </row>
    <row r="1326" spans="1:1">
      <c r="A1326" s="468"/>
    </row>
    <row r="1327" spans="1:1">
      <c r="A1327" s="468"/>
    </row>
    <row r="1328" spans="1:1">
      <c r="A1328" s="468"/>
    </row>
    <row r="1329" spans="1:1">
      <c r="A1329" s="468"/>
    </row>
    <row r="1330" spans="1:1">
      <c r="A1330" s="468"/>
    </row>
    <row r="1331" spans="1:1">
      <c r="A1331" s="468"/>
    </row>
    <row r="1332" spans="1:1">
      <c r="A1332" s="468"/>
    </row>
    <row r="1333" spans="1:1">
      <c r="A1333" s="468"/>
    </row>
    <row r="1334" spans="1:1">
      <c r="A1334" s="468"/>
    </row>
    <row r="1335" spans="1:1">
      <c r="A1335" s="468"/>
    </row>
    <row r="1336" spans="1:1">
      <c r="A1336" s="468"/>
    </row>
    <row r="1337" spans="1:1">
      <c r="A1337" s="468"/>
    </row>
    <row r="1338" spans="1:1">
      <c r="A1338" s="468"/>
    </row>
    <row r="1339" spans="1:1">
      <c r="A1339" s="468"/>
    </row>
    <row r="1340" spans="1:1">
      <c r="A1340" s="468"/>
    </row>
    <row r="1341" spans="1:1">
      <c r="A1341" s="468"/>
    </row>
    <row r="1342" spans="1:1">
      <c r="A1342" s="468"/>
    </row>
    <row r="1343" spans="1:1">
      <c r="A1343" s="468"/>
    </row>
    <row r="1344" spans="1:1">
      <c r="A1344" s="468"/>
    </row>
    <row r="1345" spans="1:1">
      <c r="A1345" s="468"/>
    </row>
    <row r="1346" spans="1:1">
      <c r="A1346" s="468"/>
    </row>
    <row r="1347" spans="1:1">
      <c r="A1347" s="468"/>
    </row>
    <row r="1348" spans="1:1">
      <c r="A1348" s="468"/>
    </row>
    <row r="1349" spans="1:1">
      <c r="A1349" s="468"/>
    </row>
    <row r="1350" spans="1:1">
      <c r="A1350" s="468"/>
    </row>
    <row r="1351" spans="1:1">
      <c r="A1351" s="468"/>
    </row>
    <row r="1352" spans="1:1">
      <c r="A1352" s="468"/>
    </row>
    <row r="1353" spans="1:1">
      <c r="A1353" s="468"/>
    </row>
    <row r="1354" spans="1:1">
      <c r="A1354" s="468"/>
    </row>
    <row r="1355" spans="1:1">
      <c r="A1355" s="468"/>
    </row>
    <row r="1356" spans="1:1">
      <c r="A1356" s="468"/>
    </row>
    <row r="1357" spans="1:1">
      <c r="A1357" s="468"/>
    </row>
    <row r="1358" spans="1:1">
      <c r="A1358" s="468"/>
    </row>
    <row r="1359" spans="1:1">
      <c r="A1359" s="468"/>
    </row>
    <row r="1360" spans="1:1">
      <c r="A1360" s="468"/>
    </row>
    <row r="1361" spans="1:1">
      <c r="A1361" s="468"/>
    </row>
    <row r="1362" spans="1:1">
      <c r="A1362" s="468"/>
    </row>
    <row r="1363" spans="1:1">
      <c r="A1363" s="468"/>
    </row>
    <row r="1364" spans="1:1">
      <c r="A1364" s="468"/>
    </row>
    <row r="1365" spans="1:1">
      <c r="A1365" s="468"/>
    </row>
    <row r="1366" spans="1:1">
      <c r="A1366" s="468"/>
    </row>
    <row r="1367" spans="1:1">
      <c r="A1367" s="468"/>
    </row>
    <row r="1368" spans="1:1">
      <c r="A1368" s="468"/>
    </row>
    <row r="1369" spans="1:1">
      <c r="A1369" s="468"/>
    </row>
    <row r="1370" spans="1:1">
      <c r="A1370" s="468"/>
    </row>
  </sheetData>
  <mergeCells count="16">
    <mergeCell ref="D28:E28"/>
    <mergeCell ref="B19:F19"/>
    <mergeCell ref="D23:E23"/>
    <mergeCell ref="A26:B26"/>
    <mergeCell ref="D26:E26"/>
    <mergeCell ref="A27:G27"/>
    <mergeCell ref="B6:C6"/>
    <mergeCell ref="B7:C7"/>
    <mergeCell ref="B9:F9"/>
    <mergeCell ref="B13:F13"/>
    <mergeCell ref="B16:F16"/>
    <mergeCell ref="A1:F1"/>
    <mergeCell ref="A2:B2"/>
    <mergeCell ref="C2:G2"/>
    <mergeCell ref="B4:C4"/>
    <mergeCell ref="B5:F5"/>
  </mergeCells>
  <pageMargins left="0.7" right="0.7" top="0.75" bottom="0.75" header="0.3" footer="0.3"/>
  <pageSetup scale="89" orientation="portrait" r:id="rId1"/>
</worksheet>
</file>

<file path=xl/worksheets/sheet44.xml><?xml version="1.0" encoding="utf-8"?>
<worksheet xmlns="http://schemas.openxmlformats.org/spreadsheetml/2006/main" xmlns:r="http://schemas.openxmlformats.org/officeDocument/2006/relationships">
  <sheetPr codeName="Sheet28">
    <tabColor indexed="14"/>
  </sheetPr>
  <dimension ref="A1:BT149"/>
  <sheetViews>
    <sheetView view="pageBreakPreview" zoomScale="115" workbookViewId="0">
      <selection activeCell="F27" sqref="F27:G27"/>
    </sheetView>
  </sheetViews>
  <sheetFormatPr defaultColWidth="8" defaultRowHeight="12.75"/>
  <cols>
    <col min="1" max="1" width="4.28515625" style="351" customWidth="1"/>
    <col min="2" max="2" width="12" style="344" customWidth="1"/>
    <col min="3" max="3" width="7" style="344" customWidth="1"/>
    <col min="4" max="4" width="8.7109375" style="344" customWidth="1"/>
    <col min="5" max="5" width="8.5703125" style="344" customWidth="1"/>
    <col min="6" max="6" width="9.5703125" style="351" customWidth="1"/>
    <col min="7" max="7" width="10.28515625" style="351" customWidth="1"/>
    <col min="8" max="8" width="9.5703125" style="344" customWidth="1"/>
    <col min="9" max="9" width="8.85546875" style="344" customWidth="1"/>
    <col min="10" max="10" width="14.5703125" style="344" customWidth="1"/>
    <col min="11" max="11" width="12.28515625" style="350" customWidth="1"/>
    <col min="12" max="12" width="15.7109375" style="344" customWidth="1"/>
    <col min="13" max="13" width="22.85546875" style="344" customWidth="1"/>
    <col min="14" max="14" width="12" style="344" customWidth="1"/>
    <col min="15" max="15" width="8" style="344"/>
    <col min="16" max="16" width="12.7109375" style="344" customWidth="1"/>
    <col min="17" max="16384" width="8" style="344"/>
  </cols>
  <sheetData>
    <row r="1" spans="1:21" ht="20.25" customHeight="1">
      <c r="A1" s="3974"/>
      <c r="B1" s="3974"/>
      <c r="C1" s="3974"/>
      <c r="D1" s="3974"/>
      <c r="E1" s="3974"/>
      <c r="F1" s="3974"/>
      <c r="G1" s="3974"/>
      <c r="H1" s="3974"/>
      <c r="I1" s="3974"/>
      <c r="J1" s="3974"/>
      <c r="L1" s="377" t="s">
        <v>2117</v>
      </c>
      <c r="M1" s="377" t="s">
        <v>2118</v>
      </c>
      <c r="P1" s="378"/>
      <c r="Q1" s="361"/>
      <c r="R1" s="378" t="s">
        <v>2119</v>
      </c>
      <c r="S1" s="361"/>
      <c r="T1" s="361"/>
    </row>
    <row r="2" spans="1:21" ht="20.25" customHeight="1">
      <c r="A2" s="3974"/>
      <c r="B2" s="3974"/>
      <c r="C2" s="3974"/>
      <c r="D2" s="3974"/>
      <c r="E2" s="3974"/>
      <c r="F2" s="3974"/>
      <c r="G2" s="3974"/>
      <c r="H2" s="3974"/>
      <c r="I2" s="3974"/>
      <c r="J2" s="3974"/>
      <c r="L2" s="379" t="str">
        <f>L1&amp;"/"&amp;M1&amp;"/"&amp;N4&amp;"/2017-18"</f>
        <v>W11/DEE-III/Wgl-0-CRR-GoRT.No.273-Sl.No-1/2017-18</v>
      </c>
      <c r="M2" s="361"/>
      <c r="P2" s="380"/>
      <c r="Q2" s="424"/>
      <c r="R2" s="425" t="s">
        <v>2120</v>
      </c>
      <c r="S2" s="388"/>
    </row>
    <row r="3" spans="1:21" ht="25.5">
      <c r="A3" s="3974"/>
      <c r="B3" s="3974"/>
      <c r="C3" s="3974"/>
      <c r="D3" s="3974"/>
      <c r="E3" s="3974"/>
      <c r="F3" s="3974"/>
      <c r="G3" s="3974"/>
      <c r="H3" s="3974"/>
      <c r="I3" s="3974"/>
      <c r="J3" s="3974"/>
      <c r="K3" s="381" t="s">
        <v>438</v>
      </c>
      <c r="L3" s="382" t="str">
        <f>'Input Data'!E1</f>
        <v>R/F A to B in Wanaparthy Mandal of Wanaparthy District</v>
      </c>
      <c r="M3" s="383"/>
      <c r="N3" s="384"/>
      <c r="O3" s="384"/>
      <c r="P3" s="384"/>
      <c r="Q3" s="384"/>
      <c r="R3" s="383"/>
      <c r="S3" s="426"/>
    </row>
    <row r="4" spans="1:21" ht="17.25" customHeight="1">
      <c r="A4" s="3974"/>
      <c r="B4" s="3974"/>
      <c r="C4" s="3974"/>
      <c r="D4" s="3974"/>
      <c r="E4" s="3974"/>
      <c r="F4" s="3974"/>
      <c r="G4" s="3974"/>
      <c r="H4" s="3974"/>
      <c r="I4" s="3974"/>
      <c r="J4" s="3974"/>
      <c r="K4" s="381" t="s">
        <v>440</v>
      </c>
      <c r="L4" s="385">
        <f>'Input Data'!J4</f>
        <v>100</v>
      </c>
      <c r="M4" s="386"/>
      <c r="N4" s="387" t="str">
        <f>L8&amp;"-"&amp;L9&amp;"-"&amp;K9&amp;"-GoRT.No."&amp;M6&amp;"-Sl.No-"&amp;N6</f>
        <v>Wgl-0-CRR-GoRT.No.273-Sl.No-1</v>
      </c>
      <c r="O4" s="386"/>
      <c r="P4" s="388"/>
      <c r="Q4" s="388"/>
      <c r="R4" s="388"/>
    </row>
    <row r="5" spans="1:21">
      <c r="A5" s="3974"/>
      <c r="B5" s="3974"/>
      <c r="C5" s="3974"/>
      <c r="D5" s="3974"/>
      <c r="E5" s="3974"/>
      <c r="F5" s="3974"/>
      <c r="G5" s="3974"/>
      <c r="H5" s="3974"/>
      <c r="I5" s="3974"/>
      <c r="J5" s="3974"/>
      <c r="K5" s="381" t="s">
        <v>388</v>
      </c>
      <c r="L5" s="389" t="str">
        <f>'Input Data'!D7</f>
        <v>Wanaparthy</v>
      </c>
      <c r="M5" s="390" t="s">
        <v>2121</v>
      </c>
      <c r="N5" s="390" t="s">
        <v>460</v>
      </c>
      <c r="O5" s="390"/>
      <c r="P5" s="390" t="s">
        <v>2122</v>
      </c>
      <c r="Q5" s="427"/>
      <c r="R5" s="428"/>
    </row>
    <row r="6" spans="1:21" ht="12.75" customHeight="1">
      <c r="A6" s="3974"/>
      <c r="B6" s="3974"/>
      <c r="C6" s="3974"/>
      <c r="D6" s="3974"/>
      <c r="E6" s="3974"/>
      <c r="F6" s="3974"/>
      <c r="G6" s="3974"/>
      <c r="H6" s="3974"/>
      <c r="I6" s="3974"/>
      <c r="J6" s="3974"/>
      <c r="K6" s="381" t="s">
        <v>445</v>
      </c>
      <c r="L6" s="389" t="str">
        <f>'Input Data'!D4</f>
        <v>Wanaparthy</v>
      </c>
      <c r="M6" s="391">
        <f>'Input Data'!K3</f>
        <v>273</v>
      </c>
      <c r="N6" s="391">
        <f>'Input Data'!M3</f>
        <v>1</v>
      </c>
      <c r="O6" s="392"/>
      <c r="P6" s="2929" t="str">
        <f>'Input Data'!L3</f>
        <v>20.07.2023</v>
      </c>
      <c r="Q6" s="428"/>
      <c r="R6" s="428"/>
      <c r="T6" s="429"/>
    </row>
    <row r="7" spans="1:21" ht="18" customHeight="1">
      <c r="A7" s="3974"/>
      <c r="B7" s="3974"/>
      <c r="C7" s="3974"/>
      <c r="D7" s="3974"/>
      <c r="E7" s="3974"/>
      <c r="F7" s="3974"/>
      <c r="G7" s="3974"/>
      <c r="H7" s="3974"/>
      <c r="I7" s="3974"/>
      <c r="J7" s="3974"/>
      <c r="K7" s="381" t="s">
        <v>2123</v>
      </c>
      <c r="L7" s="389" t="str">
        <f>'Input Data'!D3</f>
        <v>Warangal</v>
      </c>
      <c r="M7" s="393" t="s">
        <v>2124</v>
      </c>
      <c r="N7" s="394" t="s">
        <v>2125</v>
      </c>
      <c r="O7" s="395"/>
      <c r="P7" s="395"/>
      <c r="Q7" s="395"/>
      <c r="R7" s="426"/>
      <c r="S7" s="430"/>
      <c r="T7" s="431"/>
    </row>
    <row r="8" spans="1:21" ht="34.5" customHeight="1">
      <c r="A8" s="3974"/>
      <c r="B8" s="3974"/>
      <c r="C8" s="3974"/>
      <c r="D8" s="3974"/>
      <c r="E8" s="3974"/>
      <c r="F8" s="3974"/>
      <c r="G8" s="3974"/>
      <c r="H8" s="3974"/>
      <c r="I8" s="3974"/>
      <c r="J8" s="3974"/>
      <c r="K8" s="381"/>
      <c r="L8" s="396" t="str">
        <f>'Input Data'!E3</f>
        <v>Wgl</v>
      </c>
      <c r="M8" s="397" t="s">
        <v>2126</v>
      </c>
      <c r="N8" s="3858" t="str">
        <f>"NIT.No."&amp;N9&amp;" Dt: 18-8-.2018 for 1st  Call"</f>
        <v>NIT.No.- Dt: 18-8-.2018 for 1st  Call</v>
      </c>
      <c r="O8" s="3859"/>
      <c r="P8" s="3859"/>
      <c r="Q8" s="3859"/>
      <c r="R8" s="3860"/>
    </row>
    <row r="9" spans="1:21" ht="15">
      <c r="A9" s="3974"/>
      <c r="B9" s="3974"/>
      <c r="C9" s="3974"/>
      <c r="D9" s="3974"/>
      <c r="E9" s="3974"/>
      <c r="F9" s="3974"/>
      <c r="G9" s="3974"/>
      <c r="H9" s="3974"/>
      <c r="I9" s="3974"/>
      <c r="J9" s="3974"/>
      <c r="K9" s="396" t="str">
        <f>'Input Data'!I6</f>
        <v>CRR</v>
      </c>
      <c r="L9" s="396">
        <f>'Input Data'!H7</f>
        <v>0</v>
      </c>
      <c r="M9" s="398" t="s">
        <v>2127</v>
      </c>
      <c r="N9" s="399" t="str">
        <f>'Input Data'!L5</f>
        <v>-</v>
      </c>
      <c r="O9" s="3861"/>
      <c r="P9" s="3862"/>
      <c r="Q9" s="3862"/>
      <c r="R9" s="3863"/>
      <c r="S9" s="432"/>
      <c r="T9" s="432"/>
      <c r="U9" s="432"/>
    </row>
    <row r="10" spans="1:21" ht="16.5" customHeight="1">
      <c r="A10" s="3974"/>
      <c r="B10" s="3974"/>
      <c r="C10" s="3974"/>
      <c r="D10" s="3974"/>
      <c r="E10" s="3974"/>
      <c r="F10" s="3974"/>
      <c r="G10" s="3974"/>
      <c r="H10" s="3974"/>
      <c r="I10" s="3974"/>
      <c r="J10" s="3974"/>
      <c r="K10" s="396"/>
      <c r="L10" s="396" t="str">
        <f>'Input Data'!I7</f>
        <v>2024-25</v>
      </c>
      <c r="M10" s="397" t="s">
        <v>2128</v>
      </c>
      <c r="N10" s="3987" t="s">
        <v>2129</v>
      </c>
      <c r="O10" s="3988"/>
      <c r="P10" s="3988"/>
      <c r="Q10" s="3988"/>
      <c r="R10" s="3989"/>
      <c r="S10" s="432"/>
      <c r="T10" s="432"/>
      <c r="U10" s="432"/>
    </row>
    <row r="11" spans="1:21" ht="17.25" customHeight="1">
      <c r="A11" s="3974"/>
      <c r="B11" s="3974"/>
      <c r="C11" s="3974"/>
      <c r="D11" s="3974"/>
      <c r="E11" s="3974"/>
      <c r="F11" s="3974"/>
      <c r="G11" s="3974"/>
      <c r="H11" s="3974"/>
      <c r="I11" s="3974"/>
      <c r="J11" s="3974"/>
      <c r="K11" s="390" t="s">
        <v>330</v>
      </c>
      <c r="L11" s="400">
        <f>'Schedule-A'!H189</f>
        <v>8076412</v>
      </c>
      <c r="M11" s="401"/>
      <c r="N11" s="3990"/>
      <c r="O11" s="3991"/>
      <c r="P11" s="3991"/>
      <c r="Q11" s="3991"/>
      <c r="R11" s="3992"/>
      <c r="S11" s="401"/>
      <c r="T11" s="401"/>
      <c r="U11" s="401"/>
    </row>
    <row r="12" spans="1:21" ht="27.75" customHeight="1">
      <c r="A12" s="3974"/>
      <c r="B12" s="3974"/>
      <c r="C12" s="3974"/>
      <c r="D12" s="3974"/>
      <c r="E12" s="3974"/>
      <c r="F12" s="3974"/>
      <c r="G12" s="3974"/>
      <c r="H12" s="3974"/>
      <c r="I12" s="3974"/>
      <c r="J12" s="3974"/>
      <c r="K12" s="402" t="s">
        <v>2130</v>
      </c>
      <c r="L12" s="403">
        <v>12</v>
      </c>
      <c r="M12" s="404" t="s">
        <v>2131</v>
      </c>
      <c r="N12" s="3993"/>
      <c r="O12" s="3994"/>
      <c r="P12" s="3994"/>
      <c r="Q12" s="3994"/>
      <c r="R12" s="3995"/>
      <c r="S12" s="401"/>
      <c r="T12" s="401"/>
      <c r="U12" s="401"/>
    </row>
    <row r="13" spans="1:21" ht="30" customHeight="1">
      <c r="B13" s="3864" t="s">
        <v>2132</v>
      </c>
      <c r="C13" s="3864"/>
      <c r="D13" s="3864"/>
      <c r="E13" s="3864"/>
      <c r="F13" s="3864"/>
      <c r="G13" s="3864"/>
      <c r="H13" s="3864"/>
      <c r="I13" s="3864"/>
      <c r="J13" s="3864"/>
      <c r="K13" s="405"/>
      <c r="M13" s="406" t="s">
        <v>2133</v>
      </c>
    </row>
    <row r="14" spans="1:21" ht="26.25" customHeight="1">
      <c r="B14" s="3865" t="str">
        <f>"Note file.No. "&amp;$L$2</f>
        <v>Note file.No. W11/DEE-III/Wgl-0-CRR-GoRT.No.273-Sl.No-1/2017-18</v>
      </c>
      <c r="C14" s="3865"/>
      <c r="D14" s="3865"/>
      <c r="E14" s="3865"/>
      <c r="F14" s="3865"/>
      <c r="G14" s="3865"/>
      <c r="H14" s="3865"/>
      <c r="I14" s="3865"/>
      <c r="J14" s="3865"/>
      <c r="K14" s="405"/>
    </row>
    <row r="15" spans="1:21" ht="39" customHeight="1">
      <c r="B15" s="352" t="s">
        <v>437</v>
      </c>
      <c r="C15" s="3866" t="str">
        <f>"PR Circle-"&amp;$L$7&amp;"-Dist:"&amp;$L$6&amp;"-"&amp;$L$9&amp;"-"&amp;$K$9&amp;"-"&amp;$L$10&amp;" - "&amp;$L$3&amp;"- Estt.Cost.Rs."&amp;$L$4&amp;".00 Lakhs Tender Submitted for Approval - regarding"</f>
        <v>PR Circle-Warangal-Dist:Wanaparthy-0-CRR-2024-25 - R/F A to B in Wanaparthy Mandal of Wanaparthy District- Estt.Cost.Rs.100.00 Lakhs Tender Submitted for Approval - regarding</v>
      </c>
      <c r="D15" s="3866"/>
      <c r="E15" s="3866"/>
      <c r="F15" s="3866"/>
      <c r="G15" s="3866"/>
      <c r="H15" s="3866"/>
      <c r="I15" s="3866"/>
      <c r="J15" s="3866"/>
      <c r="K15" s="405"/>
    </row>
    <row r="16" spans="1:21" ht="27.75" customHeight="1">
      <c r="A16" s="3974"/>
      <c r="B16" s="3975" t="s">
        <v>439</v>
      </c>
      <c r="C16" s="3867" t="str">
        <f>"1).GoRt.No."&amp;M6&amp;" dt:"&amp;P6&amp;" of  PR&amp;RD (Prog-I)Dept, of Govt. Of Telangana-"&amp;"Sl.No."&amp;N6</f>
        <v>1).GoRt.No.273 dt:20.07.2023 of  PR&amp;RD (Prog-I)Dept, of Govt. Of Telangana-Sl.No.1</v>
      </c>
      <c r="D16" s="3867"/>
      <c r="E16" s="3867"/>
      <c r="F16" s="3867"/>
      <c r="G16" s="3867"/>
      <c r="H16" s="3867"/>
      <c r="I16" s="3867"/>
      <c r="J16" s="3867"/>
      <c r="K16" s="405"/>
    </row>
    <row r="17" spans="1:13" ht="27" customHeight="1">
      <c r="A17" s="3974"/>
      <c r="B17" s="3975"/>
      <c r="C17" s="3867" t="str">
        <f>"2).SE,PR "&amp;L8&amp;","&amp;" "&amp;$N$8</f>
        <v>2).SE,PR Wgl, NIT.No.- Dt: 18-8-.2018 for 1st  Call</v>
      </c>
      <c r="D17" s="3867"/>
      <c r="E17" s="3867"/>
      <c r="F17" s="3867"/>
      <c r="G17" s="3867"/>
      <c r="H17" s="3867"/>
      <c r="I17" s="3867"/>
      <c r="J17" s="3867"/>
      <c r="K17" s="405"/>
    </row>
    <row r="18" spans="1:13" ht="15" customHeight="1">
      <c r="B18" s="354"/>
      <c r="C18" s="3867" t="str">
        <f>"3). SE,PR,"&amp;L8&amp;"-"&amp;N7</f>
        <v>3). SE,PR,Wgl-Lr.No.T3/737/CRR/Guntipally/2017-18, dt:  29.3.2018</v>
      </c>
      <c r="D18" s="3867"/>
      <c r="E18" s="3867"/>
      <c r="F18" s="3867"/>
      <c r="G18" s="3867"/>
      <c r="H18" s="3867"/>
      <c r="I18" s="3867"/>
      <c r="J18" s="3867"/>
      <c r="K18" s="405"/>
    </row>
    <row r="19" spans="1:13" ht="15" customHeight="1">
      <c r="B19" s="354"/>
      <c r="C19" s="3868" t="s">
        <v>2134</v>
      </c>
      <c r="D19" s="3868"/>
      <c r="E19" s="3868"/>
      <c r="F19" s="3868"/>
      <c r="G19" s="3868"/>
      <c r="H19" s="3868"/>
      <c r="I19" s="3868"/>
      <c r="J19" s="3868"/>
      <c r="K19" s="405"/>
    </row>
    <row r="20" spans="1:13" ht="15" customHeight="1">
      <c r="B20" s="354"/>
      <c r="C20" s="3868" t="s">
        <v>2135</v>
      </c>
      <c r="D20" s="3868"/>
      <c r="E20" s="3868"/>
      <c r="F20" s="3868"/>
      <c r="G20" s="3868"/>
      <c r="H20" s="3868"/>
      <c r="I20" s="3868"/>
      <c r="J20" s="3868"/>
      <c r="K20" s="405"/>
    </row>
    <row r="21" spans="1:13" ht="15" customHeight="1">
      <c r="B21" s="354"/>
      <c r="C21" s="3868" t="s">
        <v>2136</v>
      </c>
      <c r="D21" s="3868"/>
      <c r="E21" s="3868"/>
      <c r="F21" s="3868"/>
      <c r="G21" s="3868"/>
      <c r="H21" s="3868"/>
      <c r="I21" s="3868"/>
      <c r="J21" s="3868"/>
      <c r="K21" s="405"/>
    </row>
    <row r="22" spans="1:13" ht="13.5" customHeight="1">
      <c r="B22" s="3869"/>
      <c r="C22" s="3869"/>
      <c r="D22" s="3869"/>
      <c r="E22" s="3870" t="s">
        <v>444</v>
      </c>
      <c r="F22" s="3871"/>
      <c r="G22" s="3871"/>
      <c r="H22" s="3869"/>
      <c r="I22" s="3869"/>
      <c r="J22" s="3869"/>
      <c r="K22" s="405"/>
    </row>
    <row r="23" spans="1:13" ht="14.25">
      <c r="B23" s="3872" t="s">
        <v>447</v>
      </c>
      <c r="C23" s="3872"/>
      <c r="D23" s="3872"/>
      <c r="E23" s="3872"/>
      <c r="F23" s="3872"/>
      <c r="G23" s="3872"/>
      <c r="H23" s="3872"/>
      <c r="I23" s="3872"/>
      <c r="J23" s="3872"/>
      <c r="K23" s="405"/>
    </row>
    <row r="24" spans="1:13" ht="84.75" customHeight="1">
      <c r="B24" s="3866" t="s">
        <v>2137</v>
      </c>
      <c r="C24" s="3866"/>
      <c r="D24" s="3866"/>
      <c r="E24" s="3866"/>
      <c r="F24" s="3866"/>
      <c r="G24" s="3866"/>
      <c r="H24" s="3866"/>
      <c r="I24" s="3866"/>
      <c r="J24" s="3866"/>
      <c r="K24" s="405"/>
    </row>
    <row r="25" spans="1:13" ht="80.25" customHeight="1">
      <c r="A25" s="356"/>
      <c r="B25" s="3866" t="str">
        <f>"                    Kindly peruse the ref. 3rd  cited where in the SE (PR)"&amp;L7&amp;" has submitted the Bid evaluation report along with relevent certificates,"&amp;" down loaded tender documents  of  the above work for which tenders is invited vide in the ref. 2nd cited, and recomonded  the  successful L1 bidder  of "&amp;B35&amp;"  who has quoted @ "&amp;I35&amp;" than the estimated rates  of "&amp;M13&amp;" for ECV of Rs."&amp;E35&amp;".00 and with a TCV of Rs."&amp;G35&amp;".00 in 1st Call."</f>
        <v xml:space="preserve">                    Kindly peruse the ref. 3rd  cited where in the SE (PR)Warangal has submitted the Bid evaluation report along with relevent certificates, down loaded tender documents  of  the above work for which tenders is invited vide in the ref. 2nd cited, and recomonded  the  successful L1 bidder  of Sri.J.Aswarthulu  who has quoted @ 6.78% Less than the estimated rates  of SSR-2018-19 for ECV of Rs.8076412.00 and with a TCV of Rs.8888001.24.00 in 1st Call.</v>
      </c>
      <c r="C25" s="3866"/>
      <c r="D25" s="3866"/>
      <c r="E25" s="3866"/>
      <c r="F25" s="3866"/>
      <c r="G25" s="3866"/>
      <c r="H25" s="3866"/>
      <c r="I25" s="3866"/>
      <c r="J25" s="3866"/>
      <c r="K25" s="405"/>
      <c r="M25" s="344">
        <f>3700+2500</f>
        <v>6200</v>
      </c>
    </row>
    <row r="26" spans="1:13" ht="59.25" customHeight="1">
      <c r="B26" s="3873" t="str">
        <f>"                     The tenders are invited through ‘e’ procurement plot form vide tender notice No. in the ref, 2nd cited for "&amp;M12&amp;". The tender Notice was published in daily news paper of  "&amp;N10&amp;"   published through ‘e’ procurement with the following dates."</f>
        <v xml:space="preserve">                     The tenders are invited through ‘e’ procurement plot form vide tender notice No. in the ref, 2nd cited for 1st Call.. The tender Notice was published in daily news paper of  Eenadu ( Telugu) dt: 22-8-2018 &amp; The Times of India (English) dt. 22-8-2018   published through ‘e’ procurement with the following dates.</v>
      </c>
      <c r="C26" s="3873"/>
      <c r="D26" s="3873"/>
      <c r="E26" s="3873"/>
      <c r="F26" s="3873"/>
      <c r="G26" s="3873"/>
      <c r="H26" s="3873"/>
      <c r="I26" s="3873"/>
      <c r="J26" s="3873"/>
      <c r="K26" s="405"/>
    </row>
    <row r="27" spans="1:13" ht="19.5" customHeight="1">
      <c r="B27" s="357" t="s">
        <v>2138</v>
      </c>
      <c r="C27" s="358"/>
      <c r="D27" s="358"/>
      <c r="E27" s="359"/>
      <c r="F27" s="3874">
        <v>43168</v>
      </c>
      <c r="G27" s="3874"/>
      <c r="H27" s="360">
        <v>11</v>
      </c>
      <c r="I27" s="3875" t="s">
        <v>2139</v>
      </c>
      <c r="J27" s="3875"/>
      <c r="K27" s="405"/>
    </row>
    <row r="28" spans="1:13" ht="19.5" customHeight="1">
      <c r="B28" s="357" t="s">
        <v>2140</v>
      </c>
      <c r="C28" s="361"/>
      <c r="D28" s="361"/>
      <c r="E28" s="359"/>
      <c r="F28" s="3874">
        <v>43175</v>
      </c>
      <c r="G28" s="3874"/>
      <c r="H28" s="360">
        <v>4</v>
      </c>
      <c r="I28" s="3875" t="s">
        <v>2141</v>
      </c>
      <c r="J28" s="3875"/>
      <c r="K28" s="405"/>
    </row>
    <row r="29" spans="1:13" ht="19.5" customHeight="1">
      <c r="B29" s="357" t="s">
        <v>2142</v>
      </c>
      <c r="C29" s="361"/>
      <c r="D29" s="361"/>
      <c r="E29" s="359"/>
      <c r="F29" s="3876">
        <f>F28</f>
        <v>43175</v>
      </c>
      <c r="G29" s="3876"/>
      <c r="H29" s="360">
        <v>5</v>
      </c>
      <c r="I29" s="3875" t="s">
        <v>2141</v>
      </c>
      <c r="J29" s="3875"/>
      <c r="K29" s="405"/>
    </row>
    <row r="30" spans="1:13" ht="19.5" customHeight="1">
      <c r="B30" s="357" t="s">
        <v>2143</v>
      </c>
      <c r="C30" s="361"/>
      <c r="D30" s="361"/>
      <c r="E30" s="359"/>
      <c r="F30" s="3874">
        <v>43176</v>
      </c>
      <c r="G30" s="3874"/>
      <c r="H30" s="360">
        <v>11</v>
      </c>
      <c r="I30" s="407" t="str">
        <f>"AM By SE PR"&amp;$L$7</f>
        <v>AM By SE PRWarangal</v>
      </c>
      <c r="J30" s="359"/>
      <c r="K30" s="405"/>
    </row>
    <row r="31" spans="1:13" ht="19.5" customHeight="1">
      <c r="B31" s="357" t="s">
        <v>2144</v>
      </c>
      <c r="C31" s="361"/>
      <c r="D31" s="361"/>
      <c r="E31" s="359"/>
      <c r="F31" s="3874">
        <v>43179</v>
      </c>
      <c r="G31" s="3874"/>
      <c r="H31" s="360">
        <v>11</v>
      </c>
      <c r="I31" s="407" t="str">
        <f>"AM  By SE PR"&amp;$L$7</f>
        <v>AM  By SE PRWarangal</v>
      </c>
      <c r="J31" s="359"/>
      <c r="K31" s="405"/>
    </row>
    <row r="32" spans="1:13" ht="19.5" customHeight="1">
      <c r="B32" s="357" t="s">
        <v>2145</v>
      </c>
      <c r="C32" s="361"/>
      <c r="D32" s="361"/>
      <c r="E32" s="359"/>
      <c r="F32" s="3877">
        <f>L12</f>
        <v>12</v>
      </c>
      <c r="G32" s="3878"/>
      <c r="H32" s="360"/>
      <c r="I32" s="407" t="s">
        <v>2146</v>
      </c>
      <c r="J32" s="359"/>
      <c r="K32" s="405"/>
    </row>
    <row r="33" spans="1:14" s="345" customFormat="1" ht="39" customHeight="1">
      <c r="A33" s="362"/>
      <c r="B33" s="3879" t="str">
        <f>"                 In response to the above"&amp;M12&amp;"  tender notice, the following tenders  were  received and the details are as below."</f>
        <v xml:space="preserve">                 In response to the above1st Call.  tender notice, the following tenders  were  received and the details are as below.</v>
      </c>
      <c r="C33" s="3879"/>
      <c r="D33" s="3879"/>
      <c r="E33" s="3879"/>
      <c r="F33" s="3879"/>
      <c r="G33" s="3879"/>
      <c r="H33" s="3879"/>
      <c r="I33" s="3879"/>
      <c r="J33" s="3879"/>
      <c r="K33" s="408"/>
    </row>
    <row r="34" spans="1:14" ht="24" customHeight="1">
      <c r="A34" s="364" t="s">
        <v>460</v>
      </c>
      <c r="B34" s="3880" t="s">
        <v>2147</v>
      </c>
      <c r="C34" s="3880"/>
      <c r="D34" s="364" t="s">
        <v>485</v>
      </c>
      <c r="E34" s="3881" t="s">
        <v>330</v>
      </c>
      <c r="F34" s="3881"/>
      <c r="G34" s="3881" t="s">
        <v>365</v>
      </c>
      <c r="H34" s="3881"/>
      <c r="I34" s="409" t="s">
        <v>2148</v>
      </c>
      <c r="J34" s="410" t="s">
        <v>2149</v>
      </c>
    </row>
    <row r="35" spans="1:14" s="345" customFormat="1" ht="25.5" customHeight="1">
      <c r="A35" s="365">
        <v>1</v>
      </c>
      <c r="B35" s="3882" t="s">
        <v>2150</v>
      </c>
      <c r="C35" s="3883"/>
      <c r="D35" s="366" t="s">
        <v>2151</v>
      </c>
      <c r="E35" s="3884">
        <f>L11</f>
        <v>8076412</v>
      </c>
      <c r="F35" s="3884"/>
      <c r="G35" s="3885">
        <v>8888001.2400000002</v>
      </c>
      <c r="H35" s="3885"/>
      <c r="I35" s="366" t="s">
        <v>2152</v>
      </c>
      <c r="J35" s="411" t="s">
        <v>2153</v>
      </c>
      <c r="K35" s="412" t="s">
        <v>2154</v>
      </c>
      <c r="L35" s="413">
        <v>2</v>
      </c>
      <c r="M35" s="414" t="s">
        <v>2155</v>
      </c>
    </row>
    <row r="36" spans="1:14" s="346" customFormat="1" ht="25.5" customHeight="1">
      <c r="A36" s="367">
        <v>2</v>
      </c>
      <c r="B36" s="3886" t="s">
        <v>2156</v>
      </c>
      <c r="C36" s="3887"/>
      <c r="D36" s="368"/>
      <c r="E36" s="3888">
        <f>E35</f>
        <v>8076412</v>
      </c>
      <c r="F36" s="3888"/>
      <c r="G36" s="3889">
        <v>9324678.4100000001</v>
      </c>
      <c r="H36" s="3889"/>
      <c r="I36" s="415" t="s">
        <v>2157</v>
      </c>
      <c r="J36" s="367" t="s">
        <v>2158</v>
      </c>
      <c r="K36" s="416" t="s">
        <v>2159</v>
      </c>
      <c r="L36" s="417">
        <v>2</v>
      </c>
    </row>
    <row r="37" spans="1:14" ht="29.25" hidden="1" customHeight="1">
      <c r="A37" s="364">
        <v>3</v>
      </c>
      <c r="B37" s="3890" t="s">
        <v>2160</v>
      </c>
      <c r="C37" s="3890"/>
      <c r="D37" s="366" t="s">
        <v>2151</v>
      </c>
      <c r="E37" s="3888">
        <f t="shared" ref="E37:E43" si="0">E36</f>
        <v>8076412</v>
      </c>
      <c r="F37" s="3888"/>
      <c r="G37" s="3889">
        <v>8357179.2599999998</v>
      </c>
      <c r="H37" s="3889"/>
      <c r="I37" s="366" t="s">
        <v>2161</v>
      </c>
      <c r="J37" s="411" t="s">
        <v>2162</v>
      </c>
      <c r="K37" s="381"/>
      <c r="L37" s="417"/>
    </row>
    <row r="38" spans="1:14" ht="29.25" hidden="1" customHeight="1">
      <c r="A38" s="364">
        <v>4</v>
      </c>
      <c r="B38" s="3890" t="s">
        <v>2163</v>
      </c>
      <c r="C38" s="3890"/>
      <c r="D38" s="366" t="s">
        <v>2151</v>
      </c>
      <c r="E38" s="3891">
        <f t="shared" si="0"/>
        <v>8076412</v>
      </c>
      <c r="F38" s="3892"/>
      <c r="G38" s="3889" t="s">
        <v>2164</v>
      </c>
      <c r="H38" s="3889"/>
      <c r="I38" s="366" t="s">
        <v>2165</v>
      </c>
      <c r="J38" s="411" t="s">
        <v>2166</v>
      </c>
      <c r="K38" s="381"/>
      <c r="L38" s="417"/>
    </row>
    <row r="39" spans="1:14" ht="54" hidden="1" customHeight="1">
      <c r="A39" s="364">
        <v>5</v>
      </c>
      <c r="B39" s="3890" t="s">
        <v>2167</v>
      </c>
      <c r="C39" s="3890"/>
      <c r="D39" s="366" t="s">
        <v>2168</v>
      </c>
      <c r="E39" s="3888">
        <f t="shared" si="0"/>
        <v>8076412</v>
      </c>
      <c r="F39" s="3888"/>
      <c r="G39" s="3889" t="s">
        <v>2164</v>
      </c>
      <c r="H39" s="3889"/>
      <c r="I39" s="366"/>
      <c r="J39" s="411"/>
      <c r="K39" s="381"/>
      <c r="L39" s="417"/>
    </row>
    <row r="40" spans="1:14" ht="21" hidden="1">
      <c r="A40" s="364">
        <v>6</v>
      </c>
      <c r="B40" s="3890" t="s">
        <v>2169</v>
      </c>
      <c r="C40" s="3890"/>
      <c r="D40" s="366" t="s">
        <v>2151</v>
      </c>
      <c r="E40" s="3888">
        <f t="shared" si="0"/>
        <v>8076412</v>
      </c>
      <c r="F40" s="3888"/>
      <c r="G40" s="3889">
        <v>25193516.829999998</v>
      </c>
      <c r="H40" s="3889"/>
      <c r="I40" s="366" t="s">
        <v>2170</v>
      </c>
      <c r="J40" s="411" t="s">
        <v>2171</v>
      </c>
      <c r="K40" s="381"/>
      <c r="L40" s="417"/>
    </row>
    <row r="41" spans="1:14" ht="21" hidden="1">
      <c r="A41" s="364">
        <v>7</v>
      </c>
      <c r="B41" s="3890" t="s">
        <v>2172</v>
      </c>
      <c r="C41" s="3890"/>
      <c r="D41" s="366" t="s">
        <v>2151</v>
      </c>
      <c r="E41" s="3888">
        <f t="shared" si="0"/>
        <v>8076412</v>
      </c>
      <c r="F41" s="3888"/>
      <c r="G41" s="3889">
        <v>42980568.359999999</v>
      </c>
      <c r="H41" s="3889"/>
      <c r="I41" s="366" t="s">
        <v>2173</v>
      </c>
      <c r="J41" s="411" t="s">
        <v>2174</v>
      </c>
      <c r="K41" s="381"/>
      <c r="L41" s="417"/>
    </row>
    <row r="42" spans="1:14" ht="29.25" hidden="1" customHeight="1">
      <c r="A42" s="364">
        <v>8</v>
      </c>
      <c r="B42" s="3890" t="s">
        <v>2175</v>
      </c>
      <c r="C42" s="3890"/>
      <c r="D42" s="366" t="s">
        <v>2151</v>
      </c>
      <c r="E42" s="3888">
        <f t="shared" si="0"/>
        <v>8076412</v>
      </c>
      <c r="F42" s="3888"/>
      <c r="G42" s="3889">
        <v>42993820.329999998</v>
      </c>
      <c r="H42" s="3889"/>
      <c r="I42" s="366" t="s">
        <v>2176</v>
      </c>
      <c r="J42" s="411" t="s">
        <v>2177</v>
      </c>
      <c r="K42" s="381"/>
      <c r="L42" s="417"/>
    </row>
    <row r="43" spans="1:14" ht="25.5" hidden="1">
      <c r="A43" s="364">
        <v>9</v>
      </c>
      <c r="B43" s="3890" t="s">
        <v>2178</v>
      </c>
      <c r="C43" s="3890"/>
      <c r="D43" s="368" t="s">
        <v>2151</v>
      </c>
      <c r="E43" s="3888">
        <f t="shared" si="0"/>
        <v>8076412</v>
      </c>
      <c r="F43" s="3888"/>
      <c r="G43" s="3889">
        <v>44115820.780000001</v>
      </c>
      <c r="H43" s="3889"/>
      <c r="I43" s="368" t="s">
        <v>2179</v>
      </c>
      <c r="J43" s="411" t="s">
        <v>2180</v>
      </c>
      <c r="K43" s="381" t="s">
        <v>2181</v>
      </c>
      <c r="L43" s="418">
        <f>L35-L36</f>
        <v>0</v>
      </c>
    </row>
    <row r="44" spans="1:14" hidden="1">
      <c r="A44" s="364"/>
      <c r="B44" s="3890"/>
      <c r="C44" s="3890"/>
      <c r="D44" s="368"/>
      <c r="E44" s="3888"/>
      <c r="F44" s="3888"/>
      <c r="G44" s="3893"/>
      <c r="H44" s="3893"/>
      <c r="I44" s="368"/>
      <c r="J44" s="367"/>
      <c r="K44" s="419"/>
      <c r="L44" s="420" t="str">
        <f>N44</f>
        <v>Lowest</v>
      </c>
      <c r="M44" s="421" t="s">
        <v>2182</v>
      </c>
      <c r="N44" s="422" t="s">
        <v>2183</v>
      </c>
    </row>
    <row r="45" spans="1:14" ht="15" hidden="1" customHeight="1">
      <c r="A45" s="364">
        <v>4</v>
      </c>
      <c r="B45" s="3890" t="s">
        <v>2184</v>
      </c>
      <c r="C45" s="3890"/>
      <c r="D45" s="368" t="s">
        <v>2168</v>
      </c>
      <c r="E45" s="3888">
        <f>E44</f>
        <v>0</v>
      </c>
      <c r="F45" s="3888"/>
      <c r="G45" s="3894" t="s">
        <v>2185</v>
      </c>
      <c r="H45" s="3895"/>
      <c r="I45" s="367"/>
      <c r="J45" s="367" t="s">
        <v>2186</v>
      </c>
    </row>
    <row r="46" spans="1:14" hidden="1">
      <c r="H46" s="369"/>
    </row>
    <row r="47" spans="1:14" ht="45.75" customHeight="1">
      <c r="B47" s="3879" t="str">
        <f>"                             As per the Evaluation statement  and down loaded documents submitted by the SE, PR,"&amp;L7&amp;",  total "&amp;L35&amp;" -Bid is received and "&amp;L36&amp;" - Bid  is qualified and "&amp;L43&amp;"-Bid(s) are dis-Qualified. The evaluation of the "&amp;L44&amp;"  bidder is as follows."</f>
        <v xml:space="preserve">                             As per the Evaluation statement  and down loaded documents submitted by the SE, PR,Warangal,  total 2 -Bid is received and 2 - Bid  is qualified and 0-Bid(s) are dis-Qualified. The evaluation of the Lowest  bidder is as follows.</v>
      </c>
      <c r="C47" s="3879"/>
      <c r="D47" s="3879"/>
      <c r="E47" s="3879"/>
      <c r="F47" s="3879"/>
      <c r="G47" s="3879"/>
      <c r="H47" s="3879"/>
      <c r="I47" s="3879"/>
      <c r="J47" s="3879"/>
      <c r="K47" s="350" t="s">
        <v>85</v>
      </c>
    </row>
    <row r="48" spans="1:14">
      <c r="B48" s="363"/>
      <c r="C48" s="363"/>
      <c r="D48" s="363"/>
      <c r="E48" s="363"/>
      <c r="F48" s="363"/>
      <c r="G48" s="363"/>
      <c r="H48" s="363"/>
      <c r="I48" s="363"/>
      <c r="J48" s="363"/>
    </row>
    <row r="49" spans="1:16" ht="34.5" customHeight="1">
      <c r="B49" s="3896" t="str">
        <f>"EVALUATION STATEMENT OF SUCCESSFUL L1 -"&amp;L44&amp;" BIDDER -"&amp;B35&amp;" is as follows"</f>
        <v>EVALUATION STATEMENT OF SUCCESSFUL L1 -Lowest BIDDER -Sri.J.Aswarthulu is as follows</v>
      </c>
      <c r="C49" s="3897"/>
      <c r="D49" s="3897"/>
      <c r="E49" s="3897"/>
      <c r="F49" s="3897"/>
      <c r="G49" s="3897"/>
      <c r="H49" s="3897"/>
      <c r="I49" s="3897"/>
      <c r="J49" s="3898"/>
    </row>
    <row r="50" spans="1:16" ht="21" customHeight="1">
      <c r="B50" s="3899" t="s">
        <v>2187</v>
      </c>
      <c r="C50" s="3899"/>
      <c r="D50" s="3899"/>
      <c r="E50" s="3985" t="s">
        <v>2188</v>
      </c>
      <c r="F50" s="3985"/>
      <c r="G50" s="3900" t="s">
        <v>2153</v>
      </c>
      <c r="H50" s="3900"/>
      <c r="I50" s="3900"/>
      <c r="J50" s="3900"/>
    </row>
    <row r="51" spans="1:16" ht="29.25" customHeight="1">
      <c r="A51" s="351">
        <v>1</v>
      </c>
      <c r="B51" s="3901" t="s">
        <v>2189</v>
      </c>
      <c r="C51" s="3901"/>
      <c r="D51" s="3901"/>
      <c r="E51" s="3986"/>
      <c r="F51" s="3986"/>
      <c r="G51" s="3902" t="str">
        <f>B35</f>
        <v>Sri.J.Aswarthulu</v>
      </c>
      <c r="H51" s="3903"/>
      <c r="I51" s="3903"/>
      <c r="J51" s="3904"/>
    </row>
    <row r="52" spans="1:16" ht="27" customHeight="1">
      <c r="B52" s="3905" t="s">
        <v>2190</v>
      </c>
      <c r="C52" s="3906"/>
      <c r="D52" s="3906"/>
      <c r="E52" s="3906"/>
      <c r="F52" s="3907"/>
      <c r="G52" s="370" t="s">
        <v>2191</v>
      </c>
      <c r="H52" s="371"/>
      <c r="I52" s="3908" t="s">
        <v>2192</v>
      </c>
      <c r="J52" s="3909"/>
    </row>
    <row r="53" spans="1:16" ht="24.75" customHeight="1">
      <c r="B53" s="3905" t="s">
        <v>2193</v>
      </c>
      <c r="C53" s="3906"/>
      <c r="D53" s="3906"/>
      <c r="E53" s="3906"/>
      <c r="F53" s="3907"/>
      <c r="G53" s="3976" t="s">
        <v>2194</v>
      </c>
      <c r="H53" s="3977"/>
      <c r="I53" s="3977"/>
      <c r="J53" s="3978"/>
    </row>
    <row r="54" spans="1:16" ht="24.75" customHeight="1">
      <c r="B54" s="3905" t="s">
        <v>2195</v>
      </c>
      <c r="C54" s="3906"/>
      <c r="D54" s="3906"/>
      <c r="E54" s="3906"/>
      <c r="F54" s="3907"/>
      <c r="G54" s="3979"/>
      <c r="H54" s="3980"/>
      <c r="I54" s="3980"/>
      <c r="J54" s="3981"/>
      <c r="P54" s="344">
        <f>600.29*1.1</f>
        <v>660.31899999999996</v>
      </c>
    </row>
    <row r="55" spans="1:16" ht="26.25" customHeight="1">
      <c r="B55" s="3905" t="s">
        <v>2196</v>
      </c>
      <c r="C55" s="3906"/>
      <c r="D55" s="3906"/>
      <c r="E55" s="3906"/>
      <c r="F55" s="3907"/>
      <c r="G55" s="3979"/>
      <c r="H55" s="3980"/>
      <c r="I55" s="3980"/>
      <c r="J55" s="3981"/>
    </row>
    <row r="56" spans="1:16" ht="26.25" customHeight="1">
      <c r="B56" s="3905" t="s">
        <v>2197</v>
      </c>
      <c r="C56" s="3906"/>
      <c r="D56" s="3906"/>
      <c r="E56" s="3906"/>
      <c r="F56" s="3907"/>
      <c r="G56" s="3982"/>
      <c r="H56" s="3983"/>
      <c r="I56" s="3983"/>
      <c r="J56" s="3984"/>
    </row>
    <row r="57" spans="1:16" ht="51.75" customHeight="1">
      <c r="A57" s="351">
        <v>2</v>
      </c>
      <c r="B57" s="3910" t="s">
        <v>332</v>
      </c>
      <c r="C57" s="3911"/>
      <c r="D57" s="3912"/>
      <c r="E57" s="3913">
        <v>95400</v>
      </c>
      <c r="F57" s="3913"/>
      <c r="G57" s="3914" t="s">
        <v>2198</v>
      </c>
      <c r="H57" s="3914"/>
      <c r="I57" s="3914"/>
      <c r="J57" s="373" t="s">
        <v>2199</v>
      </c>
    </row>
    <row r="58" spans="1:16" ht="29.25" customHeight="1">
      <c r="A58" s="351">
        <v>3</v>
      </c>
      <c r="B58" s="372" t="s">
        <v>2200</v>
      </c>
      <c r="C58" s="372"/>
      <c r="D58" s="372"/>
      <c r="E58" s="3915" t="s">
        <v>2201</v>
      </c>
      <c r="F58" s="3916"/>
      <c r="G58" s="3917" t="s">
        <v>2202</v>
      </c>
      <c r="H58" s="3917"/>
      <c r="I58" s="3917"/>
      <c r="J58" s="373"/>
    </row>
    <row r="59" spans="1:16" s="347" customFormat="1" ht="29.25" customHeight="1">
      <c r="A59" s="374">
        <v>4</v>
      </c>
      <c r="B59" s="3918" t="s">
        <v>2203</v>
      </c>
      <c r="C59" s="3919"/>
      <c r="D59" s="3920"/>
      <c r="E59" s="3921" t="s">
        <v>2201</v>
      </c>
      <c r="F59" s="3922"/>
      <c r="G59" s="3923" t="s">
        <v>2202</v>
      </c>
      <c r="H59" s="3924"/>
      <c r="I59" s="3924"/>
      <c r="J59" s="375"/>
      <c r="K59" s="352"/>
    </row>
    <row r="60" spans="1:16" s="347" customFormat="1" ht="42" customHeight="1">
      <c r="A60" s="351">
        <v>5</v>
      </c>
      <c r="B60" s="3918" t="s">
        <v>2204</v>
      </c>
      <c r="C60" s="3919"/>
      <c r="D60" s="3920"/>
      <c r="E60" s="3925">
        <v>23.89</v>
      </c>
      <c r="F60" s="3925"/>
      <c r="G60" s="3926" t="s">
        <v>2205</v>
      </c>
      <c r="H60" s="3927"/>
      <c r="I60" s="3928"/>
      <c r="J60" s="376" t="s">
        <v>2206</v>
      </c>
      <c r="K60" s="352"/>
    </row>
    <row r="61" spans="1:16" ht="55.5" customHeight="1">
      <c r="A61" s="351">
        <v>6</v>
      </c>
      <c r="B61" s="3918" t="s">
        <v>2207</v>
      </c>
      <c r="C61" s="3919"/>
      <c r="D61" s="3920"/>
      <c r="E61" s="3929" t="s">
        <v>2208</v>
      </c>
      <c r="F61" s="3930"/>
      <c r="G61" s="3931" t="s">
        <v>2209</v>
      </c>
      <c r="H61" s="3932"/>
      <c r="I61" s="3933"/>
      <c r="J61" s="376" t="s">
        <v>2210</v>
      </c>
      <c r="L61" s="344">
        <f>3.7*2500</f>
        <v>9250</v>
      </c>
    </row>
    <row r="62" spans="1:16" ht="120" customHeight="1">
      <c r="A62" s="351">
        <v>7</v>
      </c>
      <c r="B62" s="3918" t="s">
        <v>2211</v>
      </c>
      <c r="C62" s="3919"/>
      <c r="D62" s="3920"/>
      <c r="E62" s="3929" t="s">
        <v>2212</v>
      </c>
      <c r="F62" s="3930"/>
      <c r="G62" s="3923" t="s">
        <v>2213</v>
      </c>
      <c r="H62" s="3924"/>
      <c r="I62" s="3934"/>
      <c r="J62" s="373" t="s">
        <v>2214</v>
      </c>
    </row>
    <row r="63" spans="1:16" ht="57.75" customHeight="1">
      <c r="A63" s="351">
        <v>8</v>
      </c>
      <c r="B63" s="3918" t="s">
        <v>2215</v>
      </c>
      <c r="C63" s="3919"/>
      <c r="D63" s="3920"/>
      <c r="E63" s="3929" t="s">
        <v>2212</v>
      </c>
      <c r="F63" s="3930"/>
      <c r="G63" s="3923" t="s">
        <v>2213</v>
      </c>
      <c r="H63" s="3924"/>
      <c r="I63" s="3934"/>
      <c r="J63" s="373" t="s">
        <v>2216</v>
      </c>
    </row>
    <row r="64" spans="1:16" ht="26.25" customHeight="1">
      <c r="A64" s="351">
        <v>9</v>
      </c>
      <c r="B64" s="3918" t="s">
        <v>2217</v>
      </c>
      <c r="C64" s="3919"/>
      <c r="D64" s="3919"/>
      <c r="E64" s="3929" t="s">
        <v>2212</v>
      </c>
      <c r="F64" s="3930"/>
      <c r="G64" s="3923" t="s">
        <v>2218</v>
      </c>
      <c r="H64" s="3924"/>
      <c r="I64" s="3924"/>
      <c r="J64" s="423" t="s">
        <v>2219</v>
      </c>
    </row>
    <row r="65" spans="1:15" ht="24" customHeight="1">
      <c r="A65" s="351">
        <v>10</v>
      </c>
      <c r="B65" s="3918" t="s">
        <v>2220</v>
      </c>
      <c r="C65" s="3919"/>
      <c r="D65" s="3919"/>
      <c r="E65" s="3935" t="s">
        <v>2221</v>
      </c>
      <c r="F65" s="3936"/>
      <c r="G65" s="3923" t="s">
        <v>2213</v>
      </c>
      <c r="H65" s="3924"/>
      <c r="I65" s="3924"/>
      <c r="J65" s="423" t="s">
        <v>2222</v>
      </c>
    </row>
    <row r="66" spans="1:15" ht="31.5" customHeight="1">
      <c r="A66" s="351">
        <v>11</v>
      </c>
      <c r="B66" s="3918" t="s">
        <v>2223</v>
      </c>
      <c r="C66" s="3919"/>
      <c r="D66" s="3919"/>
      <c r="E66" s="3929" t="s">
        <v>2212</v>
      </c>
      <c r="F66" s="3930"/>
      <c r="G66" s="3923" t="s">
        <v>2224</v>
      </c>
      <c r="H66" s="3924"/>
      <c r="I66" s="3924"/>
      <c r="J66" s="423" t="s">
        <v>2225</v>
      </c>
    </row>
    <row r="67" spans="1:15" s="348" customFormat="1" ht="23.25" hidden="1" customHeight="1">
      <c r="A67" s="433">
        <v>12</v>
      </c>
      <c r="B67" s="3937" t="s">
        <v>2226</v>
      </c>
      <c r="C67" s="3938"/>
      <c r="D67" s="3938"/>
      <c r="E67" s="3935" t="s">
        <v>2221</v>
      </c>
      <c r="F67" s="3936"/>
      <c r="G67" s="3939" t="s">
        <v>2213</v>
      </c>
      <c r="H67" s="3940"/>
      <c r="I67" s="3940"/>
      <c r="J67" s="442" t="s">
        <v>2227</v>
      </c>
      <c r="K67" s="443"/>
    </row>
    <row r="68" spans="1:15" ht="20.25" customHeight="1">
      <c r="A68" s="351">
        <v>12</v>
      </c>
      <c r="B68" s="3918" t="s">
        <v>2228</v>
      </c>
      <c r="C68" s="3919"/>
      <c r="D68" s="3919"/>
      <c r="E68" s="3929" t="s">
        <v>2212</v>
      </c>
      <c r="F68" s="3930"/>
      <c r="G68" s="3923" t="s">
        <v>2213</v>
      </c>
      <c r="H68" s="3924"/>
      <c r="I68" s="3924"/>
      <c r="J68" s="423" t="s">
        <v>2229</v>
      </c>
      <c r="K68" s="444"/>
    </row>
    <row r="69" spans="1:15" ht="26.25" customHeight="1">
      <c r="A69" s="351">
        <v>13</v>
      </c>
      <c r="B69" s="3918" t="s">
        <v>2230</v>
      </c>
      <c r="C69" s="3919"/>
      <c r="D69" s="3919"/>
      <c r="E69" s="3929" t="s">
        <v>2212</v>
      </c>
      <c r="F69" s="3930"/>
      <c r="G69" s="3923" t="s">
        <v>2213</v>
      </c>
      <c r="H69" s="3924"/>
      <c r="I69" s="3924"/>
      <c r="J69" s="445" t="s">
        <v>2231</v>
      </c>
    </row>
    <row r="70" spans="1:15" ht="85.5" customHeight="1">
      <c r="B70" s="3941" t="s">
        <v>2232</v>
      </c>
      <c r="C70" s="3942"/>
      <c r="D70" s="3942"/>
      <c r="E70" s="3942"/>
      <c r="F70" s="3943"/>
      <c r="G70" s="3944">
        <f>ROUND(M70,2)</f>
        <v>1097.78</v>
      </c>
      <c r="H70" s="3945"/>
      <c r="I70" s="3946" t="s">
        <v>2233</v>
      </c>
      <c r="J70" s="3947"/>
      <c r="K70" s="417">
        <v>997.98</v>
      </c>
      <c r="L70" s="417">
        <v>1.1000000000000001</v>
      </c>
      <c r="M70" s="418">
        <f>K70*L70</f>
        <v>1097.778</v>
      </c>
    </row>
    <row r="71" spans="1:15" ht="14.25">
      <c r="B71" s="3948" t="s">
        <v>423</v>
      </c>
      <c r="C71" s="3949"/>
      <c r="D71" s="3949"/>
      <c r="E71" s="3949"/>
      <c r="F71" s="3950"/>
      <c r="G71" s="3951">
        <f>L12/12</f>
        <v>1</v>
      </c>
      <c r="H71" s="3951"/>
      <c r="I71" s="3952"/>
      <c r="J71" s="3953"/>
      <c r="K71" s="446"/>
      <c r="L71" s="344">
        <f>1.2*187.94</f>
        <v>225.52799999999999</v>
      </c>
    </row>
    <row r="72" spans="1:15" ht="18" customHeight="1">
      <c r="B72" s="3954" t="s">
        <v>2234</v>
      </c>
      <c r="C72" s="3954"/>
      <c r="D72" s="3954"/>
      <c r="E72" s="3954"/>
      <c r="F72" s="3954"/>
      <c r="G72" s="3954"/>
      <c r="H72" s="3954"/>
      <c r="I72" s="3955"/>
      <c r="J72" s="3955"/>
      <c r="K72" s="446"/>
    </row>
    <row r="73" spans="1:15" ht="14.25">
      <c r="B73" s="434" t="s">
        <v>2235</v>
      </c>
      <c r="C73" s="3955" t="s">
        <v>2236</v>
      </c>
      <c r="D73" s="3955"/>
      <c r="E73" s="3955"/>
      <c r="F73" s="3955"/>
      <c r="G73" s="3956" t="s">
        <v>2237</v>
      </c>
      <c r="H73" s="3956"/>
      <c r="I73" s="3952" t="s">
        <v>485</v>
      </c>
      <c r="J73" s="3953"/>
      <c r="K73" s="446"/>
      <c r="L73" s="447" t="s">
        <v>2238</v>
      </c>
      <c r="M73" s="447" t="s">
        <v>2237</v>
      </c>
    </row>
    <row r="74" spans="1:15" ht="14.25">
      <c r="B74" s="435">
        <v>1</v>
      </c>
      <c r="C74" s="3952" t="str">
        <f>"NIT. No. "&amp;L74</f>
        <v>NIT. No. Naryanpet Divn</v>
      </c>
      <c r="D74" s="3953"/>
      <c r="E74" s="3953"/>
      <c r="F74" s="3953"/>
      <c r="G74" s="3957">
        <f t="shared" ref="G74:G91" si="1">M74</f>
        <v>219.69</v>
      </c>
      <c r="H74" s="3957"/>
      <c r="I74" s="3952" t="s">
        <v>2239</v>
      </c>
      <c r="J74" s="3952"/>
      <c r="K74" s="446"/>
      <c r="L74" s="448" t="s">
        <v>2240</v>
      </c>
      <c r="M74" s="449">
        <v>219.69</v>
      </c>
      <c r="N74" s="450"/>
      <c r="O74" s="450"/>
    </row>
    <row r="75" spans="1:15" ht="14.25">
      <c r="B75" s="435">
        <v>2</v>
      </c>
      <c r="C75" s="3952" t="str">
        <f>"NIT. No. "&amp;L75</f>
        <v>NIT. No. Naryanpet Divn</v>
      </c>
      <c r="D75" s="3953"/>
      <c r="E75" s="3953"/>
      <c r="F75" s="3953"/>
      <c r="G75" s="3957">
        <f t="shared" si="1"/>
        <v>150</v>
      </c>
      <c r="H75" s="3957"/>
      <c r="I75" s="3952" t="s">
        <v>2239</v>
      </c>
      <c r="J75" s="3952"/>
      <c r="K75" s="446"/>
      <c r="L75" s="448" t="s">
        <v>2240</v>
      </c>
      <c r="M75" s="449">
        <v>150</v>
      </c>
    </row>
    <row r="76" spans="1:15" ht="14.25">
      <c r="B76" s="435">
        <v>3</v>
      </c>
      <c r="C76" s="3952" t="str">
        <f t="shared" ref="C76:C91" si="2">"NIT. No. "&amp;L76</f>
        <v>NIT. No. Naryanpet Divn</v>
      </c>
      <c r="D76" s="3953"/>
      <c r="E76" s="3953"/>
      <c r="F76" s="3953"/>
      <c r="G76" s="3957">
        <f t="shared" si="1"/>
        <v>67.17</v>
      </c>
      <c r="H76" s="3957"/>
      <c r="I76" s="3952" t="s">
        <v>2239</v>
      </c>
      <c r="J76" s="3952"/>
      <c r="K76" s="446"/>
      <c r="L76" s="448" t="s">
        <v>2240</v>
      </c>
      <c r="M76" s="449">
        <v>67.17</v>
      </c>
    </row>
    <row r="77" spans="1:15" ht="14.25" hidden="1">
      <c r="B77" s="435">
        <v>4</v>
      </c>
      <c r="C77" s="3952" t="str">
        <f t="shared" si="2"/>
        <v xml:space="preserve">NIT. No. </v>
      </c>
      <c r="D77" s="3953"/>
      <c r="E77" s="3953"/>
      <c r="F77" s="3953"/>
      <c r="G77" s="3957">
        <f t="shared" si="1"/>
        <v>0</v>
      </c>
      <c r="H77" s="3957"/>
      <c r="I77" s="3952" t="s">
        <v>2239</v>
      </c>
      <c r="J77" s="3952"/>
      <c r="K77" s="446"/>
      <c r="L77" s="451"/>
      <c r="M77" s="449"/>
    </row>
    <row r="78" spans="1:15" ht="15" hidden="1">
      <c r="B78" s="435">
        <v>5</v>
      </c>
      <c r="C78" s="3952" t="str">
        <f t="shared" si="2"/>
        <v xml:space="preserve">NIT. No. </v>
      </c>
      <c r="D78" s="3953"/>
      <c r="E78" s="3953"/>
      <c r="F78" s="3953"/>
      <c r="G78" s="3957">
        <f t="shared" si="1"/>
        <v>0</v>
      </c>
      <c r="H78" s="3957"/>
      <c r="I78" s="3952" t="s">
        <v>2239</v>
      </c>
      <c r="J78" s="3952"/>
      <c r="K78" s="446"/>
      <c r="L78" s="452"/>
      <c r="M78" s="453"/>
    </row>
    <row r="79" spans="1:15" ht="15" hidden="1">
      <c r="B79" s="435">
        <v>6</v>
      </c>
      <c r="C79" s="3952" t="str">
        <f t="shared" si="2"/>
        <v xml:space="preserve">NIT. No. </v>
      </c>
      <c r="D79" s="3953"/>
      <c r="E79" s="3953"/>
      <c r="F79" s="3953"/>
      <c r="G79" s="3957">
        <f t="shared" si="1"/>
        <v>0</v>
      </c>
      <c r="H79" s="3957"/>
      <c r="I79" s="3952" t="s">
        <v>2239</v>
      </c>
      <c r="J79" s="3952"/>
      <c r="K79" s="446"/>
      <c r="L79" s="452"/>
      <c r="M79" s="453"/>
    </row>
    <row r="80" spans="1:15" ht="15" hidden="1">
      <c r="B80" s="435">
        <v>7</v>
      </c>
      <c r="C80" s="3952" t="str">
        <f t="shared" si="2"/>
        <v xml:space="preserve">NIT. No. </v>
      </c>
      <c r="D80" s="3953"/>
      <c r="E80" s="3953"/>
      <c r="F80" s="3953"/>
      <c r="G80" s="3957">
        <f t="shared" si="1"/>
        <v>0</v>
      </c>
      <c r="H80" s="3957"/>
      <c r="I80" s="3952" t="s">
        <v>2239</v>
      </c>
      <c r="J80" s="3952"/>
      <c r="K80" s="446"/>
      <c r="L80" s="452"/>
      <c r="M80" s="453"/>
    </row>
    <row r="81" spans="2:13" ht="15" hidden="1">
      <c r="B81" s="435">
        <v>8</v>
      </c>
      <c r="C81" s="3952" t="str">
        <f t="shared" si="2"/>
        <v xml:space="preserve">NIT. No. </v>
      </c>
      <c r="D81" s="3953"/>
      <c r="E81" s="3953"/>
      <c r="F81" s="3953"/>
      <c r="G81" s="3957">
        <f t="shared" si="1"/>
        <v>0</v>
      </c>
      <c r="H81" s="3957"/>
      <c r="I81" s="3952" t="s">
        <v>2239</v>
      </c>
      <c r="J81" s="3952"/>
      <c r="K81" s="446"/>
      <c r="L81" s="452"/>
      <c r="M81" s="453"/>
    </row>
    <row r="82" spans="2:13" ht="15" hidden="1">
      <c r="B82" s="435">
        <v>9</v>
      </c>
      <c r="C82" s="3952" t="str">
        <f t="shared" si="2"/>
        <v xml:space="preserve">NIT. No. </v>
      </c>
      <c r="D82" s="3953"/>
      <c r="E82" s="3953"/>
      <c r="F82" s="3953"/>
      <c r="G82" s="3957">
        <f t="shared" si="1"/>
        <v>0</v>
      </c>
      <c r="H82" s="3957"/>
      <c r="I82" s="3952" t="s">
        <v>2239</v>
      </c>
      <c r="J82" s="3952"/>
      <c r="K82" s="446"/>
      <c r="L82" s="452"/>
      <c r="M82" s="453"/>
    </row>
    <row r="83" spans="2:13" ht="15" hidden="1">
      <c r="B83" s="435">
        <v>10</v>
      </c>
      <c r="C83" s="3952" t="str">
        <f t="shared" si="2"/>
        <v xml:space="preserve">NIT. No. </v>
      </c>
      <c r="D83" s="3953"/>
      <c r="E83" s="3953"/>
      <c r="F83" s="3953"/>
      <c r="G83" s="3957">
        <f t="shared" si="1"/>
        <v>0</v>
      </c>
      <c r="H83" s="3957"/>
      <c r="I83" s="3952" t="s">
        <v>2239</v>
      </c>
      <c r="J83" s="3952"/>
      <c r="K83" s="446"/>
      <c r="L83" s="452"/>
      <c r="M83" s="453"/>
    </row>
    <row r="84" spans="2:13" ht="15" hidden="1">
      <c r="B84" s="435">
        <v>11</v>
      </c>
      <c r="C84" s="3952" t="str">
        <f t="shared" si="2"/>
        <v xml:space="preserve">NIT. No. </v>
      </c>
      <c r="D84" s="3953"/>
      <c r="E84" s="3953"/>
      <c r="F84" s="3953"/>
      <c r="G84" s="3957">
        <f t="shared" si="1"/>
        <v>0</v>
      </c>
      <c r="H84" s="3957"/>
      <c r="I84" s="3952" t="s">
        <v>2239</v>
      </c>
      <c r="J84" s="3952"/>
      <c r="K84" s="446"/>
      <c r="L84" s="452"/>
      <c r="M84" s="453"/>
    </row>
    <row r="85" spans="2:13" ht="15" hidden="1">
      <c r="B85" s="435">
        <v>12</v>
      </c>
      <c r="C85" s="3952" t="str">
        <f t="shared" si="2"/>
        <v xml:space="preserve">NIT. No. </v>
      </c>
      <c r="D85" s="3953"/>
      <c r="E85" s="3953"/>
      <c r="F85" s="3953"/>
      <c r="G85" s="3957">
        <f t="shared" si="1"/>
        <v>0</v>
      </c>
      <c r="H85" s="3957"/>
      <c r="I85" s="3952" t="s">
        <v>2239</v>
      </c>
      <c r="J85" s="3952"/>
      <c r="K85" s="446"/>
      <c r="L85" s="452"/>
      <c r="M85" s="453"/>
    </row>
    <row r="86" spans="2:13" ht="15" hidden="1">
      <c r="B86" s="435">
        <v>13</v>
      </c>
      <c r="C86" s="3952" t="str">
        <f t="shared" si="2"/>
        <v xml:space="preserve">NIT. No. </v>
      </c>
      <c r="D86" s="3953"/>
      <c r="E86" s="3953"/>
      <c r="F86" s="3953"/>
      <c r="G86" s="3957">
        <f t="shared" si="1"/>
        <v>0</v>
      </c>
      <c r="H86" s="3957"/>
      <c r="I86" s="3952" t="s">
        <v>2239</v>
      </c>
      <c r="J86" s="3952"/>
      <c r="K86" s="446"/>
      <c r="L86" s="452"/>
      <c r="M86" s="453"/>
    </row>
    <row r="87" spans="2:13" ht="15" hidden="1">
      <c r="B87" s="435">
        <v>14</v>
      </c>
      <c r="C87" s="3952" t="str">
        <f t="shared" si="2"/>
        <v xml:space="preserve">NIT. No. </v>
      </c>
      <c r="D87" s="3953"/>
      <c r="E87" s="3953"/>
      <c r="F87" s="3953"/>
      <c r="G87" s="3957">
        <f t="shared" si="1"/>
        <v>0</v>
      </c>
      <c r="H87" s="3957"/>
      <c r="I87" s="3952" t="s">
        <v>2239</v>
      </c>
      <c r="J87" s="3952"/>
      <c r="K87" s="446"/>
      <c r="L87" s="452"/>
      <c r="M87" s="453"/>
    </row>
    <row r="88" spans="2:13" ht="15" hidden="1">
      <c r="B88" s="435">
        <v>15</v>
      </c>
      <c r="C88" s="3952" t="str">
        <f t="shared" si="2"/>
        <v xml:space="preserve">NIT. No. </v>
      </c>
      <c r="D88" s="3953"/>
      <c r="E88" s="3953"/>
      <c r="F88" s="3953"/>
      <c r="G88" s="3957">
        <f t="shared" si="1"/>
        <v>0</v>
      </c>
      <c r="H88" s="3957"/>
      <c r="I88" s="3952" t="s">
        <v>2239</v>
      </c>
      <c r="J88" s="3952"/>
      <c r="K88" s="446"/>
      <c r="L88" s="452"/>
      <c r="M88" s="453"/>
    </row>
    <row r="89" spans="2:13" ht="15" hidden="1">
      <c r="B89" s="435">
        <v>16</v>
      </c>
      <c r="C89" s="3952" t="str">
        <f t="shared" si="2"/>
        <v xml:space="preserve">NIT. No. </v>
      </c>
      <c r="D89" s="3953"/>
      <c r="E89" s="3953"/>
      <c r="F89" s="3953"/>
      <c r="G89" s="3957">
        <f t="shared" si="1"/>
        <v>0</v>
      </c>
      <c r="H89" s="3957"/>
      <c r="I89" s="3952" t="s">
        <v>2239</v>
      </c>
      <c r="J89" s="3952"/>
      <c r="K89" s="446"/>
      <c r="L89" s="452"/>
      <c r="M89" s="453"/>
    </row>
    <row r="90" spans="2:13" ht="15" hidden="1">
      <c r="B90" s="435">
        <v>17</v>
      </c>
      <c r="C90" s="3952" t="str">
        <f t="shared" si="2"/>
        <v xml:space="preserve">NIT. No. </v>
      </c>
      <c r="D90" s="3953"/>
      <c r="E90" s="3953"/>
      <c r="F90" s="3953"/>
      <c r="G90" s="3957">
        <f t="shared" si="1"/>
        <v>0</v>
      </c>
      <c r="H90" s="3957"/>
      <c r="I90" s="3952" t="s">
        <v>2239</v>
      </c>
      <c r="J90" s="3952"/>
      <c r="K90" s="446"/>
      <c r="L90" s="452"/>
      <c r="M90" s="453"/>
    </row>
    <row r="91" spans="2:13" ht="15" hidden="1">
      <c r="B91" s="435">
        <v>18</v>
      </c>
      <c r="C91" s="3952" t="str">
        <f t="shared" si="2"/>
        <v xml:space="preserve">NIT. No. </v>
      </c>
      <c r="D91" s="3953"/>
      <c r="E91" s="3953"/>
      <c r="F91" s="3953"/>
      <c r="G91" s="3957">
        <f t="shared" si="1"/>
        <v>0</v>
      </c>
      <c r="H91" s="3957"/>
      <c r="I91" s="3952" t="s">
        <v>2239</v>
      </c>
      <c r="J91" s="3952"/>
      <c r="K91" s="446"/>
      <c r="L91" s="452"/>
      <c r="M91" s="453"/>
    </row>
    <row r="92" spans="2:13" ht="21" customHeight="1">
      <c r="B92" s="3958" t="s">
        <v>2241</v>
      </c>
      <c r="C92" s="3958"/>
      <c r="D92" s="3958"/>
      <c r="E92" s="3958"/>
      <c r="F92" s="3958"/>
      <c r="G92" s="3959">
        <f>SUM(G74:H91)</f>
        <v>436.86</v>
      </c>
      <c r="H92" s="3959"/>
      <c r="I92" s="3952"/>
      <c r="J92" s="3953"/>
      <c r="K92" s="446"/>
      <c r="L92" s="452"/>
      <c r="M92" s="453"/>
    </row>
    <row r="93" spans="2:13" ht="47.25" customHeight="1">
      <c r="B93" s="3958" t="s">
        <v>2242</v>
      </c>
      <c r="C93" s="3958"/>
      <c r="D93" s="3958"/>
      <c r="E93" s="3958"/>
      <c r="F93" s="3958"/>
      <c r="G93" s="3960">
        <v>423.15</v>
      </c>
      <c r="H93" s="3961"/>
      <c r="I93" s="3962" t="s">
        <v>2243</v>
      </c>
      <c r="J93" s="3963"/>
      <c r="K93" s="446"/>
      <c r="L93" s="454" t="s">
        <v>2244</v>
      </c>
      <c r="M93" s="455">
        <v>96.644484800000001</v>
      </c>
    </row>
    <row r="94" spans="2:13" ht="15.75" customHeight="1">
      <c r="B94" s="3958" t="s">
        <v>2245</v>
      </c>
      <c r="C94" s="3958"/>
      <c r="D94" s="3958"/>
      <c r="E94" s="3958"/>
      <c r="F94" s="3958"/>
      <c r="G94" s="3964">
        <f>ROUND(G93+G92,2)</f>
        <v>860.01</v>
      </c>
      <c r="H94" s="3956"/>
      <c r="I94" s="3952"/>
      <c r="J94" s="3953"/>
      <c r="K94" s="446"/>
    </row>
    <row r="95" spans="2:13" ht="29.25" customHeight="1">
      <c r="B95" s="3958" t="str">
        <f>"Bid Capacity = 2x"&amp;G70&amp;"x"&amp;G71&amp;"-"&amp;G94</f>
        <v>Bid Capacity = 2x1097.78x1-860.01</v>
      </c>
      <c r="C95" s="3958"/>
      <c r="D95" s="3958"/>
      <c r="E95" s="3958"/>
      <c r="F95" s="3958"/>
      <c r="G95" s="3965">
        <f>ROUND(2*G70*G71-G94,20)</f>
        <v>1335.55</v>
      </c>
      <c r="H95" s="3965"/>
      <c r="I95" s="3966">
        <f>ROUND(L11/100000,2)</f>
        <v>80.760000000000005</v>
      </c>
      <c r="J95" s="3966"/>
      <c r="K95" s="344"/>
    </row>
    <row r="96" spans="2:13" ht="26.25" customHeight="1">
      <c r="B96" s="3954" t="str">
        <f>"Hence Assed Bid capacity is more than required, ie.,Rs."&amp;G95&amp;" Lakhs &gt; "&amp;I95&amp;" Lakhs"</f>
        <v>Hence Assed Bid capacity is more than required, ie.,Rs.1335.55 Lakhs &gt; 80.76 Lakhs</v>
      </c>
      <c r="C96" s="3954"/>
      <c r="D96" s="3954"/>
      <c r="E96" s="3954"/>
      <c r="F96" s="3954"/>
      <c r="G96" s="3954"/>
      <c r="H96" s="3954"/>
      <c r="I96" s="3954"/>
      <c r="J96" s="3954"/>
      <c r="L96" s="450"/>
      <c r="M96" s="450"/>
    </row>
    <row r="98" spans="1:72" ht="55.5" customHeight="1">
      <c r="B98" s="3866" t="str">
        <f>"                             The SE has recommended the "&amp;M12&amp;"  "&amp;L44&amp;"  qualified  bidder  of "&amp;B35&amp;"  for acceptance of the tender for above work  (NiT.No-"&amp;N9&amp;" ) at  "&amp;I35&amp;" than the estimate rates with SSR 2017-18 with a ECV of Rs:"&amp;E35&amp;".00   and  TCV of  Rs: "&amp;G35</f>
        <v xml:space="preserve">                             The SE has recommended the 1st Call.  Lowest  qualified  bidder  of Sri.J.Aswarthulu  for acceptance of the tender for above work  (NiT.No-- ) at  6.78% Less than the estimate rates with SSR 2017-18 with a ECV of Rs:8076412.00   and  TCV of  Rs: 8888001.24</v>
      </c>
      <c r="C98" s="3866"/>
      <c r="D98" s="3866"/>
      <c r="E98" s="3866"/>
      <c r="F98" s="3866"/>
      <c r="G98" s="3866"/>
      <c r="H98" s="3866"/>
      <c r="I98" s="3866"/>
      <c r="J98" s="3866"/>
    </row>
    <row r="99" spans="1:72" ht="86.25" hidden="1" customHeight="1">
      <c r="B99" s="3866" t="s">
        <v>2246</v>
      </c>
      <c r="C99" s="3866"/>
      <c r="D99" s="3866"/>
      <c r="E99" s="3866"/>
      <c r="F99" s="3866"/>
      <c r="G99" s="3866"/>
      <c r="H99" s="3866"/>
      <c r="I99" s="3866"/>
      <c r="J99" s="3866"/>
    </row>
    <row r="100" spans="1:72" ht="60.75" customHeight="1">
      <c r="B100" s="3866" t="str">
        <f>"                             As per the GoMs.NO 12 dt: 28-1-2015 of I&amp;CAD Dept. Govt. Of Telangana all the tender with a ECV up to Rs. 10.00 Cr. the  Chief Engineer is competent to  approve Tender, as this work ECV is Rs."&amp;E35&amp;".00 which is less than 10.00 Cr. Hence the  Engineer-in-Chief is competent for approve this tender."</f>
        <v xml:space="preserve">                             As per the GoMs.NO 12 dt: 28-1-2015 of I&amp;CAD Dept. Govt. Of Telangana all the tender with a ECV up to Rs. 10.00 Cr. the  Chief Engineer is competent to  approve Tender, as this work ECV is Rs.8076412.00 which is less than 10.00 Cr. Hence the  Engineer-in-Chief is competent for approve this tender.</v>
      </c>
      <c r="C100" s="3866"/>
      <c r="D100" s="3866"/>
      <c r="E100" s="3866"/>
      <c r="F100" s="3866"/>
      <c r="G100" s="3866"/>
      <c r="H100" s="3866"/>
      <c r="I100" s="3866"/>
      <c r="J100" s="3866"/>
    </row>
    <row r="101" spans="1:72" ht="27" customHeight="1">
      <c r="B101" s="3866" t="s">
        <v>2247</v>
      </c>
      <c r="C101" s="3866"/>
      <c r="D101" s="3866"/>
      <c r="E101" s="3866"/>
      <c r="F101" s="3866"/>
      <c r="G101" s="3866"/>
      <c r="H101" s="3866"/>
      <c r="I101" s="3866"/>
      <c r="J101" s="3866"/>
    </row>
    <row r="102" spans="1:72">
      <c r="B102" s="353"/>
      <c r="C102" s="353"/>
      <c r="D102" s="353"/>
      <c r="E102" s="353"/>
      <c r="F102" s="353"/>
      <c r="G102" s="353"/>
      <c r="H102" s="353"/>
      <c r="I102" s="353"/>
      <c r="J102" s="353"/>
    </row>
    <row r="103" spans="1:72">
      <c r="B103" s="353"/>
      <c r="C103" s="353"/>
      <c r="D103" s="353"/>
      <c r="E103" s="353"/>
      <c r="F103" s="353"/>
      <c r="G103" s="353"/>
      <c r="H103" s="353"/>
      <c r="I103" s="353"/>
      <c r="J103" s="353"/>
    </row>
    <row r="104" spans="1:72" ht="48.75" customHeight="1">
      <c r="B104" s="3968" t="s">
        <v>617</v>
      </c>
      <c r="C104" s="3968"/>
      <c r="D104" s="3968"/>
      <c r="E104" s="3968"/>
      <c r="F104" s="3968"/>
      <c r="G104" s="3968"/>
      <c r="H104" s="3968"/>
      <c r="I104" s="3968"/>
      <c r="J104" s="3968"/>
    </row>
    <row r="105" spans="1:72" ht="105" customHeight="1">
      <c r="B105" s="3969" t="str">
        <f>"           As per the pre page note orders the lowest tender of  "&amp;$B$35&amp;"  quoated at "&amp;I35&amp;"  then Estiamted rates  of "&amp;$M$13&amp;" for the ECV of Rs."&amp;$E$35&amp;".00 and with a TCV of Rs."&amp;G35&amp;" is apparoved  for NIt No. "&amp;$N$9&amp;"  online tender compartive statement and a draft memo to Superintending Engineer P.R "&amp;$L$6&amp;" for communicating the approved tender   is put up below for perusal and approval Sir,"</f>
        <v xml:space="preserve">           As per the pre page note orders the lowest tender of  Sri.J.Aswarthulu  quoated at 6.78% Less  then Estiamted rates  of SSR-2018-19 for the ECV of Rs.8076412.00 and with a TCV of Rs.8888001.24 is apparoved  for NIt No. -  online tender compartive statement and a draft memo to Superintending Engineer P.R Wanaparthy for communicating the approved tender   is put up below for perusal and approval Sir,</v>
      </c>
      <c r="C105" s="3969"/>
      <c r="D105" s="3969"/>
      <c r="E105" s="3969"/>
      <c r="F105" s="3969"/>
      <c r="G105" s="3969"/>
      <c r="H105" s="3969"/>
      <c r="I105" s="3969"/>
      <c r="J105" s="3969"/>
    </row>
    <row r="106" spans="1:72" ht="38.25" customHeight="1">
      <c r="B106" s="353"/>
      <c r="C106" s="353"/>
      <c r="D106" s="353"/>
      <c r="E106" s="353"/>
      <c r="F106" s="355"/>
      <c r="G106" s="353"/>
      <c r="H106" s="353"/>
      <c r="I106" s="353"/>
      <c r="J106" s="353"/>
      <c r="BT106" s="344" t="s">
        <v>2248</v>
      </c>
    </row>
    <row r="108" spans="1:72" ht="21" customHeight="1">
      <c r="A108" s="436"/>
      <c r="B108" s="3970" t="s">
        <v>643</v>
      </c>
      <c r="C108" s="3970"/>
      <c r="D108" s="3970"/>
      <c r="E108" s="3970"/>
      <c r="F108" s="3970"/>
      <c r="G108" s="3970"/>
      <c r="H108" s="3970"/>
      <c r="I108" s="3970"/>
      <c r="J108" s="3970"/>
    </row>
    <row r="109" spans="1:72" ht="26.25" customHeight="1">
      <c r="B109" s="3970" t="s">
        <v>2249</v>
      </c>
      <c r="C109" s="3970"/>
      <c r="D109" s="3970"/>
      <c r="E109" s="3970"/>
      <c r="F109" s="3970"/>
      <c r="G109" s="3970"/>
      <c r="H109" s="3970"/>
      <c r="I109" s="3970"/>
      <c r="J109" s="3970"/>
    </row>
    <row r="110" spans="1:72" ht="21" customHeight="1">
      <c r="B110" s="3971" t="str">
        <f>"Memo No."&amp;$L$2&amp;"-Tender,"&amp;$R$2</f>
        <v>Memo No.W11/DEE-III/Wgl-0-CRR-GoRT.No.273-Sl.No-1/2017-18-Tender,  Dt:  - 9-2018</v>
      </c>
      <c r="C110" s="3971"/>
      <c r="D110" s="3971"/>
      <c r="E110" s="3971"/>
      <c r="F110" s="3971"/>
      <c r="G110" s="3971"/>
      <c r="H110" s="3971"/>
      <c r="I110" s="3971"/>
      <c r="J110" s="3971"/>
    </row>
    <row r="111" spans="1:72" ht="52.5" customHeight="1">
      <c r="B111" s="437" t="s">
        <v>645</v>
      </c>
      <c r="C111" s="3866" t="str">
        <f>"PR Circle-"&amp;$L$7&amp;"-Dist:"&amp;$L$6&amp;"-"&amp;$L$9&amp;"-"&amp;$K$9&amp;"-"&amp;$L$10&amp;" - "&amp;$L$3&amp;"- Estt.Cost.Rs."&amp;$L$4&amp;".00 Lakhs approval of tender communicated - regarding"</f>
        <v>PR Circle-Warangal-Dist:Wanaparthy-0-CRR-2024-25 - R/F A to B in Wanaparthy Mandal of Wanaparthy District- Estt.Cost.Rs.100.00 Lakhs approval of tender communicated - regarding</v>
      </c>
      <c r="D111" s="3866"/>
      <c r="E111" s="3866"/>
      <c r="F111" s="3866"/>
      <c r="G111" s="3866"/>
      <c r="H111" s="3866"/>
      <c r="I111" s="3866"/>
      <c r="J111" s="3866"/>
      <c r="L111" s="344" t="s">
        <v>2250</v>
      </c>
    </row>
    <row r="112" spans="1:72" ht="31.5" customHeight="1">
      <c r="B112" s="438" t="s">
        <v>646</v>
      </c>
      <c r="C112" s="3972" t="str">
        <f>$C$16</f>
        <v>1).GoRt.No.273 dt:20.07.2023 of  PR&amp;RD (Prog-I)Dept, of Govt. Of Telangana-Sl.No.1</v>
      </c>
      <c r="D112" s="3972"/>
      <c r="E112" s="3972"/>
      <c r="F112" s="3972"/>
      <c r="G112" s="3972"/>
      <c r="H112" s="3972"/>
      <c r="I112" s="3972"/>
      <c r="J112" s="3972"/>
    </row>
    <row r="113" spans="1:13" ht="28.5" customHeight="1">
      <c r="B113" s="405"/>
      <c r="C113" s="3996" t="str">
        <f>$C$17</f>
        <v>2).SE,PR Wgl, NIT.No.- Dt: 18-8-.2018 for 1st  Call</v>
      </c>
      <c r="D113" s="3996"/>
      <c r="E113" s="3996"/>
      <c r="F113" s="3996"/>
      <c r="G113" s="3996"/>
      <c r="H113" s="3996"/>
      <c r="I113" s="3996"/>
      <c r="J113" s="3996"/>
    </row>
    <row r="114" spans="1:13" ht="14.25" customHeight="1">
      <c r="B114" s="354"/>
      <c r="C114" s="3996" t="str">
        <f>$C$18</f>
        <v>3). SE,PR,Wgl-Lr.No.T3/737/CRR/Guntipally/2017-18, dt:  29.3.2018</v>
      </c>
      <c r="D114" s="3996"/>
      <c r="E114" s="3996"/>
      <c r="F114" s="3996"/>
      <c r="G114" s="3996"/>
      <c r="H114" s="3996"/>
      <c r="I114" s="3996"/>
      <c r="J114" s="3996"/>
      <c r="K114" s="405"/>
    </row>
    <row r="115" spans="1:13" ht="14.25" customHeight="1">
      <c r="B115" s="354"/>
      <c r="C115" s="3996" t="s">
        <v>2251</v>
      </c>
      <c r="D115" s="3996"/>
      <c r="E115" s="3996"/>
      <c r="F115" s="3996"/>
      <c r="G115" s="3996"/>
      <c r="H115" s="3996"/>
      <c r="I115" s="3996"/>
      <c r="J115" s="3996"/>
      <c r="K115" s="405"/>
    </row>
    <row r="116" spans="1:13" ht="14.25" customHeight="1">
      <c r="B116" s="354"/>
      <c r="C116" s="439"/>
      <c r="D116" s="439"/>
      <c r="E116" s="439"/>
      <c r="F116" s="439"/>
      <c r="G116" s="439"/>
      <c r="H116" s="439"/>
      <c r="I116" s="439"/>
      <c r="J116" s="439"/>
      <c r="K116" s="405"/>
    </row>
    <row r="117" spans="1:13" ht="19.5" customHeight="1">
      <c r="B117" s="405"/>
      <c r="C117" s="405"/>
      <c r="D117" s="405"/>
      <c r="E117" s="405"/>
      <c r="F117" s="405" t="s">
        <v>647</v>
      </c>
      <c r="G117" s="405"/>
      <c r="H117" s="405"/>
      <c r="I117" s="405"/>
      <c r="J117" s="405"/>
    </row>
    <row r="118" spans="1:13" ht="90" customHeight="1">
      <c r="B118" s="3967" t="str">
        <f>"                The "&amp;$L$44&amp;" qualified tender of "&amp;$B$35&amp;"  for the work  "&amp;$L$3&amp;" , Estt. Rs. "&amp;L4&amp;".00 Lakhs  is accepted at "&amp;$I$35&amp;" than the Estimated rates with "&amp;$M$13&amp;", for Tender Contract Value of   Rs."&amp;$G$35&amp;"  incuding 5 years maintanance charges as recommended by the Superintending Engineer, (PR),"&amp;$L$7&amp;"  through the reference 3rd&amp;4th cited  above.  in "&amp;M12</f>
        <v xml:space="preserve">                The Lowest qualified tender of Sri.J.Aswarthulu  for the work  R/F A to B in Wanaparthy Mandal of Wanaparthy District , Estt. Rs. 100.00 Lakhs  is accepted at 6.78% Less than the Estimated rates with SSR-2018-19, for Tender Contract Value of   Rs.8888001.24  incuding 5 years maintanance charges as recommended by the Superintending Engineer, (PR),Warangal  through the reference 3rd&amp;4th cited  above.  in 1st Call.</v>
      </c>
      <c r="C118" s="3967"/>
      <c r="D118" s="3967"/>
      <c r="E118" s="3967"/>
      <c r="F118" s="3967"/>
      <c r="G118" s="3967"/>
      <c r="H118" s="3967"/>
      <c r="I118" s="3967"/>
      <c r="J118" s="3967"/>
      <c r="M118" s="405"/>
    </row>
    <row r="119" spans="1:13" ht="93.75" customHeight="1">
      <c r="B119" s="3967" t="s">
        <v>2252</v>
      </c>
      <c r="C119" s="3967"/>
      <c r="D119" s="3967"/>
      <c r="E119" s="3967"/>
      <c r="F119" s="3967"/>
      <c r="G119" s="3967"/>
      <c r="H119" s="3967"/>
      <c r="I119" s="3967"/>
      <c r="J119" s="3967"/>
      <c r="M119" s="405"/>
    </row>
    <row r="120" spans="1:13" ht="57.75" customHeight="1">
      <c r="B120" s="3967" t="s">
        <v>2253</v>
      </c>
      <c r="C120" s="3967"/>
      <c r="D120" s="3967"/>
      <c r="E120" s="3967"/>
      <c r="F120" s="3967"/>
      <c r="G120" s="3967"/>
      <c r="H120" s="3967"/>
      <c r="I120" s="3967"/>
      <c r="J120" s="3967"/>
      <c r="M120" s="405"/>
    </row>
    <row r="121" spans="1:13" ht="35.25" customHeight="1">
      <c r="A121" s="441" t="s">
        <v>648</v>
      </c>
      <c r="B121" s="3967" t="s">
        <v>2254</v>
      </c>
      <c r="C121" s="3967"/>
      <c r="D121" s="3967"/>
      <c r="E121" s="3967"/>
      <c r="F121" s="3967"/>
      <c r="G121" s="3967"/>
      <c r="H121" s="3967"/>
      <c r="I121" s="3967"/>
      <c r="J121" s="3967"/>
      <c r="M121" s="405"/>
    </row>
    <row r="122" spans="1:13" ht="103.5" customHeight="1">
      <c r="A122" s="441" t="s">
        <v>650</v>
      </c>
      <c r="B122" s="3967" t="s">
        <v>2255</v>
      </c>
      <c r="C122" s="3967"/>
      <c r="D122" s="3967"/>
      <c r="E122" s="3967"/>
      <c r="F122" s="3967"/>
      <c r="G122" s="3967"/>
      <c r="H122" s="3967"/>
      <c r="I122" s="3967"/>
      <c r="J122" s="3967"/>
    </row>
    <row r="123" spans="1:13" ht="40.5" customHeight="1">
      <c r="A123" s="441" t="s">
        <v>652</v>
      </c>
      <c r="B123" s="3967" t="s">
        <v>2256</v>
      </c>
      <c r="C123" s="3967"/>
      <c r="D123" s="3967"/>
      <c r="E123" s="3967"/>
      <c r="F123" s="3967"/>
      <c r="G123" s="3967"/>
      <c r="H123" s="3967"/>
      <c r="I123" s="3967"/>
      <c r="J123" s="3967"/>
    </row>
    <row r="124" spans="1:13" ht="51.75" customHeight="1">
      <c r="A124" s="441" t="s">
        <v>654</v>
      </c>
      <c r="B124" s="3967" t="s">
        <v>2257</v>
      </c>
      <c r="C124" s="3967"/>
      <c r="D124" s="3967"/>
      <c r="E124" s="3967"/>
      <c r="F124" s="3967"/>
      <c r="G124" s="3967"/>
      <c r="H124" s="3967"/>
      <c r="I124" s="3967"/>
      <c r="J124" s="3967"/>
    </row>
    <row r="125" spans="1:13" s="349" customFormat="1" ht="62.25" customHeight="1">
      <c r="A125" s="441" t="s">
        <v>656</v>
      </c>
      <c r="B125" s="3967" t="s">
        <v>2258</v>
      </c>
      <c r="C125" s="3967"/>
      <c r="D125" s="3967"/>
      <c r="E125" s="3967"/>
      <c r="F125" s="3967"/>
      <c r="G125" s="3967"/>
      <c r="H125" s="3967"/>
      <c r="I125" s="3967"/>
      <c r="J125" s="3967"/>
      <c r="K125" s="456"/>
    </row>
    <row r="126" spans="1:13" s="349" customFormat="1" ht="37.5" customHeight="1">
      <c r="A126" s="441" t="s">
        <v>658</v>
      </c>
      <c r="B126" s="3967" t="s">
        <v>2259</v>
      </c>
      <c r="C126" s="3967"/>
      <c r="D126" s="3967"/>
      <c r="E126" s="3967"/>
      <c r="F126" s="3967"/>
      <c r="G126" s="3967"/>
      <c r="H126" s="3967"/>
      <c r="I126" s="3967"/>
      <c r="J126" s="3967"/>
      <c r="K126" s="456"/>
    </row>
    <row r="127" spans="1:13" s="349" customFormat="1" ht="78" customHeight="1">
      <c r="A127" s="441" t="s">
        <v>660</v>
      </c>
      <c r="B127" s="3967" t="s">
        <v>2260</v>
      </c>
      <c r="C127" s="3967"/>
      <c r="D127" s="3967"/>
      <c r="E127" s="3967"/>
      <c r="F127" s="3967"/>
      <c r="G127" s="3967"/>
      <c r="H127" s="3967"/>
      <c r="I127" s="3967"/>
      <c r="J127" s="3967"/>
      <c r="K127" s="456"/>
    </row>
    <row r="128" spans="1:13" s="349" customFormat="1" ht="58.5" customHeight="1">
      <c r="A128" s="441" t="s">
        <v>662</v>
      </c>
      <c r="B128" s="3967" t="s">
        <v>2261</v>
      </c>
      <c r="C128" s="3967"/>
      <c r="D128" s="3967"/>
      <c r="E128" s="3967"/>
      <c r="F128" s="3967"/>
      <c r="G128" s="3967"/>
      <c r="H128" s="3967"/>
      <c r="I128" s="3967"/>
      <c r="J128" s="3967"/>
      <c r="K128" s="456"/>
    </row>
    <row r="129" spans="1:30" ht="28.5" customHeight="1">
      <c r="A129" s="441" t="s">
        <v>2262</v>
      </c>
      <c r="B129" s="3967" t="s">
        <v>2263</v>
      </c>
      <c r="C129" s="3967"/>
      <c r="D129" s="3967"/>
      <c r="E129" s="3967"/>
      <c r="F129" s="3967"/>
      <c r="G129" s="3967"/>
      <c r="H129" s="3967"/>
      <c r="I129" s="3967"/>
      <c r="J129" s="3967"/>
    </row>
    <row r="130" spans="1:30" s="350" customFormat="1" ht="26.25" customHeight="1">
      <c r="A130" s="441" t="s">
        <v>2264</v>
      </c>
      <c r="B130" s="3967" t="s">
        <v>2265</v>
      </c>
      <c r="C130" s="3967"/>
      <c r="D130" s="3967"/>
      <c r="E130" s="3967"/>
      <c r="F130" s="3967"/>
      <c r="G130" s="3967"/>
      <c r="H130" s="3967"/>
      <c r="I130" s="3967"/>
      <c r="J130" s="3967"/>
      <c r="L130" s="3967"/>
      <c r="M130" s="3967"/>
      <c r="N130" s="3967"/>
      <c r="O130" s="3967"/>
      <c r="P130" s="3967"/>
      <c r="Q130" s="3967"/>
      <c r="R130" s="3967"/>
      <c r="S130" s="3967"/>
      <c r="T130" s="3967"/>
      <c r="U130" s="344"/>
      <c r="V130" s="344"/>
      <c r="W130" s="344"/>
      <c r="X130" s="344"/>
      <c r="Y130" s="344"/>
      <c r="Z130" s="344"/>
      <c r="AA130" s="344"/>
      <c r="AB130" s="344"/>
      <c r="AC130" s="344"/>
      <c r="AD130" s="344"/>
    </row>
    <row r="131" spans="1:30" s="350" customFormat="1" ht="33.75" customHeight="1">
      <c r="A131" s="441" t="s">
        <v>2266</v>
      </c>
      <c r="B131" s="3967" t="s">
        <v>2267</v>
      </c>
      <c r="C131" s="3967"/>
      <c r="D131" s="3967"/>
      <c r="E131" s="3967"/>
      <c r="F131" s="3967"/>
      <c r="G131" s="3967"/>
      <c r="H131" s="3967"/>
      <c r="I131" s="3967"/>
      <c r="J131" s="3967"/>
      <c r="L131" s="440"/>
      <c r="M131" s="440"/>
      <c r="N131" s="440"/>
      <c r="O131" s="440"/>
      <c r="P131" s="440"/>
      <c r="Q131" s="440"/>
      <c r="R131" s="440"/>
      <c r="S131" s="440"/>
      <c r="T131" s="440"/>
      <c r="U131" s="344"/>
      <c r="V131" s="344"/>
      <c r="W131" s="344"/>
      <c r="X131" s="344"/>
      <c r="Y131" s="344"/>
      <c r="Z131" s="344"/>
      <c r="AA131" s="344"/>
      <c r="AB131" s="344"/>
      <c r="AC131" s="344"/>
      <c r="AD131" s="344"/>
    </row>
    <row r="132" spans="1:30" s="350" customFormat="1" ht="28.5" customHeight="1">
      <c r="A132" s="441"/>
      <c r="B132" s="3972" t="s">
        <v>2268</v>
      </c>
      <c r="C132" s="3972"/>
      <c r="D132" s="3972"/>
      <c r="E132" s="3972"/>
      <c r="F132" s="3972"/>
      <c r="G132" s="3972"/>
      <c r="H132" s="3972"/>
      <c r="I132" s="3972"/>
      <c r="J132" s="3972"/>
      <c r="L132" s="3967"/>
      <c r="M132" s="3967"/>
      <c r="N132" s="3967"/>
      <c r="O132" s="3967"/>
      <c r="P132" s="3967"/>
      <c r="Q132" s="3967"/>
      <c r="R132" s="3967"/>
      <c r="S132" s="3967"/>
      <c r="T132" s="3967"/>
      <c r="U132" s="344"/>
      <c r="V132" s="344"/>
      <c r="W132" s="344"/>
      <c r="X132" s="344"/>
      <c r="Y132" s="344"/>
      <c r="Z132" s="344"/>
      <c r="AA132" s="344"/>
      <c r="AB132" s="344"/>
      <c r="AC132" s="344"/>
      <c r="AD132" s="344"/>
    </row>
    <row r="133" spans="1:30" s="350" customFormat="1" ht="38.25" customHeight="1">
      <c r="A133" s="441"/>
      <c r="B133" s="3967" t="s">
        <v>2269</v>
      </c>
      <c r="C133" s="3967"/>
      <c r="D133" s="3967"/>
      <c r="E133" s="3967"/>
      <c r="F133" s="3967"/>
      <c r="G133" s="3967"/>
      <c r="H133" s="3967"/>
      <c r="I133" s="3967"/>
      <c r="J133" s="3967"/>
      <c r="L133" s="344"/>
      <c r="M133" s="344"/>
      <c r="N133" s="344"/>
      <c r="O133" s="344"/>
      <c r="P133" s="344"/>
      <c r="Q133" s="344"/>
      <c r="R133" s="344"/>
      <c r="S133" s="344"/>
      <c r="T133" s="344"/>
      <c r="U133" s="344"/>
      <c r="V133" s="344"/>
      <c r="W133" s="344"/>
      <c r="X133" s="344"/>
      <c r="Y133" s="344"/>
      <c r="Z133" s="344"/>
      <c r="AA133" s="344"/>
      <c r="AB133" s="344"/>
      <c r="AC133" s="344"/>
      <c r="AD133" s="344"/>
    </row>
    <row r="134" spans="1:30" s="350" customFormat="1" ht="14.25">
      <c r="A134" s="351"/>
      <c r="B134" s="405"/>
      <c r="C134" s="405"/>
      <c r="D134" s="405"/>
      <c r="E134" s="405"/>
      <c r="F134" s="405"/>
      <c r="G134" s="405"/>
      <c r="H134" s="457" t="s">
        <v>2270</v>
      </c>
      <c r="I134" s="405"/>
      <c r="J134" s="405"/>
      <c r="L134" s="344"/>
      <c r="M134" s="344"/>
      <c r="N134" s="344"/>
      <c r="O134" s="344"/>
      <c r="P134" s="344"/>
      <c r="Q134" s="344"/>
      <c r="R134" s="344"/>
      <c r="S134" s="344"/>
      <c r="T134" s="344"/>
      <c r="U134" s="344"/>
      <c r="V134" s="344"/>
      <c r="W134" s="344"/>
      <c r="X134" s="344"/>
      <c r="Y134" s="344"/>
      <c r="Z134" s="344"/>
      <c r="AA134" s="344"/>
      <c r="AB134" s="344"/>
      <c r="AC134" s="344"/>
      <c r="AD134" s="344"/>
    </row>
    <row r="135" spans="1:30" s="350" customFormat="1" ht="14.25">
      <c r="A135" s="351"/>
      <c r="B135" s="405"/>
      <c r="C135" s="405"/>
      <c r="D135" s="405"/>
      <c r="E135" s="405"/>
      <c r="F135" s="405"/>
      <c r="G135" s="405"/>
      <c r="H135" s="458" t="s">
        <v>2271</v>
      </c>
      <c r="I135" s="405"/>
      <c r="J135" s="405"/>
      <c r="L135" s="344"/>
      <c r="M135" s="344"/>
      <c r="N135" s="344"/>
      <c r="O135" s="344"/>
      <c r="P135" s="344"/>
      <c r="Q135" s="344"/>
      <c r="R135" s="344"/>
      <c r="S135" s="344"/>
      <c r="T135" s="344"/>
      <c r="U135" s="344"/>
      <c r="V135" s="344"/>
      <c r="W135" s="344"/>
      <c r="X135" s="344"/>
      <c r="Y135" s="344"/>
      <c r="Z135" s="344"/>
      <c r="AA135" s="344"/>
      <c r="AB135" s="344"/>
      <c r="AC135" s="344"/>
      <c r="AD135" s="344"/>
    </row>
    <row r="136" spans="1:30" s="350" customFormat="1" ht="14.25">
      <c r="A136" s="351"/>
      <c r="B136" s="405"/>
      <c r="C136" s="405"/>
      <c r="D136" s="405"/>
      <c r="E136" s="405"/>
      <c r="F136" s="405"/>
      <c r="G136" s="405"/>
      <c r="H136" s="458" t="s">
        <v>2272</v>
      </c>
      <c r="I136" s="405"/>
      <c r="J136" s="405"/>
      <c r="L136" s="344"/>
      <c r="M136" s="344"/>
      <c r="N136" s="344"/>
      <c r="O136" s="344"/>
      <c r="P136" s="344"/>
      <c r="Q136" s="344"/>
      <c r="R136" s="344"/>
      <c r="S136" s="344"/>
      <c r="T136" s="344"/>
      <c r="U136" s="344"/>
      <c r="V136" s="344"/>
      <c r="W136" s="344"/>
      <c r="X136" s="344"/>
      <c r="Y136" s="344"/>
      <c r="Z136" s="344"/>
      <c r="AA136" s="344"/>
      <c r="AB136" s="344"/>
      <c r="AC136" s="344"/>
      <c r="AD136" s="344"/>
    </row>
    <row r="137" spans="1:30" s="350" customFormat="1" ht="20.25" customHeight="1">
      <c r="A137" s="351"/>
      <c r="B137" s="405" t="s">
        <v>669</v>
      </c>
      <c r="C137" s="405"/>
      <c r="D137" s="405"/>
      <c r="E137" s="405"/>
      <c r="F137" s="405"/>
      <c r="G137" s="405"/>
      <c r="H137" s="458" t="s">
        <v>2273</v>
      </c>
      <c r="I137" s="459"/>
      <c r="J137" s="405"/>
      <c r="L137" s="344"/>
      <c r="M137" s="344"/>
      <c r="N137" s="344"/>
      <c r="O137" s="344"/>
      <c r="P137" s="344"/>
      <c r="Q137" s="344"/>
      <c r="R137" s="344"/>
      <c r="S137" s="344"/>
      <c r="T137" s="344"/>
      <c r="U137" s="344"/>
      <c r="V137" s="344"/>
      <c r="W137" s="344"/>
      <c r="X137" s="344"/>
      <c r="Y137" s="344"/>
      <c r="Z137" s="344"/>
      <c r="AA137" s="344"/>
      <c r="AB137" s="344"/>
      <c r="AC137" s="344"/>
      <c r="AD137" s="344"/>
    </row>
    <row r="138" spans="1:30" s="350" customFormat="1" ht="19.5" customHeight="1">
      <c r="A138" s="351"/>
      <c r="B138" s="405" t="str">
        <f>"The Superintending Engineer (PR), "&amp;$L$7</f>
        <v>The Superintending Engineer (PR), Warangal</v>
      </c>
      <c r="C138" s="405"/>
      <c r="D138" s="405"/>
      <c r="E138" s="405"/>
      <c r="F138" s="405"/>
      <c r="G138" s="405"/>
      <c r="H138" s="459"/>
      <c r="I138" s="405"/>
      <c r="J138" s="405"/>
      <c r="L138" s="344"/>
      <c r="M138" s="344"/>
      <c r="N138" s="344"/>
      <c r="O138" s="344"/>
      <c r="P138" s="344"/>
      <c r="Q138" s="344"/>
      <c r="R138" s="344"/>
      <c r="S138" s="344"/>
      <c r="T138" s="344"/>
      <c r="U138" s="344"/>
      <c r="V138" s="344"/>
      <c r="W138" s="344"/>
      <c r="X138" s="344"/>
      <c r="Y138" s="344"/>
      <c r="Z138" s="344"/>
      <c r="AA138" s="344"/>
      <c r="AB138" s="344"/>
      <c r="AC138" s="344"/>
      <c r="AD138" s="344"/>
    </row>
    <row r="139" spans="1:30" s="350" customFormat="1" ht="14.25">
      <c r="A139" s="351"/>
      <c r="B139" s="405"/>
      <c r="C139" s="405"/>
      <c r="D139" s="460"/>
      <c r="E139" s="460"/>
      <c r="F139" s="460"/>
      <c r="G139" s="460"/>
      <c r="H139" s="459"/>
      <c r="I139" s="460"/>
      <c r="J139" s="460"/>
      <c r="L139" s="344"/>
      <c r="M139" s="344"/>
      <c r="N139" s="344"/>
      <c r="O139" s="344"/>
      <c r="P139" s="344"/>
      <c r="Q139" s="344"/>
      <c r="R139" s="344"/>
      <c r="S139" s="344"/>
      <c r="T139" s="344"/>
      <c r="U139" s="344"/>
      <c r="V139" s="344"/>
      <c r="W139" s="344"/>
      <c r="X139" s="344"/>
      <c r="Y139" s="344"/>
      <c r="Z139" s="344"/>
      <c r="AA139" s="344"/>
      <c r="AB139" s="344"/>
      <c r="AC139" s="344"/>
      <c r="AD139" s="344"/>
    </row>
    <row r="140" spans="1:30" s="350" customFormat="1" ht="14.25">
      <c r="A140" s="351"/>
      <c r="B140" s="405"/>
      <c r="C140" s="405"/>
      <c r="D140" s="460"/>
      <c r="E140" s="460"/>
      <c r="F140" s="460"/>
      <c r="G140" s="460"/>
      <c r="H140" s="459"/>
      <c r="I140" s="460"/>
      <c r="J140" s="460"/>
      <c r="L140" s="344"/>
      <c r="M140" s="344"/>
      <c r="N140" s="344"/>
      <c r="O140" s="344"/>
      <c r="P140" s="344"/>
      <c r="Q140" s="344"/>
      <c r="R140" s="344"/>
      <c r="S140" s="344"/>
      <c r="T140" s="344"/>
      <c r="U140" s="344"/>
      <c r="V140" s="344"/>
      <c r="W140" s="344"/>
      <c r="X140" s="344"/>
      <c r="Y140" s="344"/>
      <c r="Z140" s="344"/>
      <c r="AA140" s="344"/>
      <c r="AB140" s="344"/>
      <c r="AC140" s="344"/>
      <c r="AD140" s="344"/>
    </row>
    <row r="141" spans="1:30" s="350" customFormat="1" ht="14.25">
      <c r="A141" s="351"/>
      <c r="B141" s="405"/>
      <c r="C141" s="405"/>
      <c r="D141" s="460"/>
      <c r="E141" s="460"/>
      <c r="F141" s="461"/>
      <c r="G141" s="461"/>
      <c r="H141" s="457" t="s">
        <v>670</v>
      </c>
      <c r="I141" s="461"/>
      <c r="J141" s="461"/>
      <c r="L141" s="344"/>
      <c r="M141" s="344"/>
      <c r="N141" s="344"/>
      <c r="O141" s="344"/>
      <c r="P141" s="344"/>
      <c r="Q141" s="344"/>
      <c r="R141" s="344"/>
      <c r="S141" s="344"/>
      <c r="T141" s="344"/>
      <c r="U141" s="344"/>
      <c r="V141" s="344"/>
      <c r="W141" s="344"/>
      <c r="X141" s="344"/>
      <c r="Y141" s="344"/>
      <c r="Z141" s="344"/>
      <c r="AA141" s="344"/>
      <c r="AB141" s="344"/>
      <c r="AC141" s="344"/>
      <c r="AD141" s="344"/>
    </row>
    <row r="142" spans="1:30" s="350" customFormat="1" ht="14.25">
      <c r="A142" s="351"/>
      <c r="B142" s="405"/>
      <c r="C142" s="405"/>
      <c r="D142" s="460"/>
      <c r="E142" s="460"/>
      <c r="F142" s="461"/>
      <c r="G142" s="461"/>
      <c r="H142" s="457"/>
      <c r="I142" s="461"/>
      <c r="J142" s="461"/>
      <c r="L142" s="344"/>
      <c r="M142" s="344"/>
      <c r="N142" s="344"/>
      <c r="O142" s="344"/>
      <c r="P142" s="344"/>
      <c r="Q142" s="344"/>
      <c r="R142" s="344"/>
      <c r="S142" s="344"/>
      <c r="T142" s="344"/>
      <c r="U142" s="344"/>
      <c r="V142" s="344"/>
      <c r="W142" s="344"/>
      <c r="X142" s="344"/>
      <c r="Y142" s="344"/>
      <c r="Z142" s="344"/>
      <c r="AA142" s="344"/>
      <c r="AB142" s="344"/>
      <c r="AC142" s="344"/>
      <c r="AD142" s="344"/>
    </row>
    <row r="143" spans="1:30" s="350" customFormat="1" ht="14.25">
      <c r="A143" s="351"/>
      <c r="B143" s="459"/>
      <c r="C143" s="459"/>
      <c r="D143" s="459"/>
      <c r="E143" s="459"/>
      <c r="F143" s="462"/>
      <c r="G143" s="462"/>
      <c r="H143" s="457"/>
      <c r="I143" s="464"/>
      <c r="J143" s="464"/>
      <c r="L143" s="344"/>
      <c r="M143" s="344"/>
      <c r="N143" s="344"/>
      <c r="O143" s="344"/>
      <c r="P143" s="344"/>
      <c r="Q143" s="344"/>
      <c r="R143" s="344"/>
      <c r="S143" s="344"/>
      <c r="T143" s="344"/>
      <c r="U143" s="344"/>
      <c r="V143" s="344"/>
      <c r="W143" s="344"/>
      <c r="X143" s="344"/>
      <c r="Y143" s="344"/>
      <c r="Z143" s="344"/>
      <c r="AA143" s="344"/>
      <c r="AB143" s="344"/>
      <c r="AC143" s="344"/>
      <c r="AD143" s="344"/>
    </row>
    <row r="144" spans="1:30" s="350" customFormat="1" ht="14.25">
      <c r="A144" s="351"/>
      <c r="B144" s="459"/>
      <c r="C144" s="459"/>
      <c r="D144" s="459"/>
      <c r="E144" s="459"/>
      <c r="F144" s="462"/>
      <c r="G144" s="462"/>
      <c r="H144" s="457" t="s">
        <v>2274</v>
      </c>
      <c r="I144" s="464"/>
      <c r="J144" s="464"/>
      <c r="L144" s="344"/>
      <c r="M144" s="344"/>
      <c r="N144" s="344"/>
      <c r="O144" s="344"/>
      <c r="P144" s="344"/>
      <c r="Q144" s="344"/>
      <c r="R144" s="344"/>
      <c r="S144" s="344"/>
      <c r="T144" s="344"/>
      <c r="U144" s="344"/>
      <c r="V144" s="344"/>
      <c r="W144" s="344"/>
      <c r="X144" s="344"/>
      <c r="Y144" s="344"/>
      <c r="Z144" s="344"/>
      <c r="AA144" s="344"/>
      <c r="AB144" s="344"/>
      <c r="AC144" s="344"/>
      <c r="AD144" s="344"/>
    </row>
    <row r="145" spans="1:30" s="350" customFormat="1" ht="14.25">
      <c r="A145" s="351"/>
      <c r="B145" s="459"/>
      <c r="C145" s="459"/>
      <c r="D145" s="459"/>
      <c r="E145" s="459"/>
      <c r="F145" s="463"/>
      <c r="G145" s="463"/>
      <c r="H145" s="464"/>
      <c r="I145" s="459"/>
      <c r="J145" s="459"/>
      <c r="L145" s="344"/>
      <c r="M145" s="344"/>
      <c r="N145" s="344"/>
      <c r="O145" s="344"/>
      <c r="P145" s="344"/>
      <c r="Q145" s="344"/>
      <c r="R145" s="344"/>
      <c r="S145" s="344"/>
      <c r="T145" s="344"/>
      <c r="U145" s="344"/>
      <c r="V145" s="344"/>
      <c r="W145" s="344"/>
      <c r="X145" s="344"/>
      <c r="Y145" s="344"/>
      <c r="Z145" s="344"/>
      <c r="AA145" s="344"/>
      <c r="AB145" s="344"/>
      <c r="AC145" s="344"/>
      <c r="AD145" s="344"/>
    </row>
    <row r="146" spans="1:30" s="350" customFormat="1" ht="14.25">
      <c r="A146" s="465" t="s">
        <v>2275</v>
      </c>
      <c r="B146" s="459"/>
      <c r="C146" s="459"/>
      <c r="D146" s="459"/>
      <c r="E146" s="459"/>
      <c r="F146" s="463"/>
      <c r="G146" s="463"/>
      <c r="H146" s="464"/>
      <c r="I146" s="459"/>
      <c r="J146" s="459"/>
      <c r="L146" s="344"/>
      <c r="M146" s="344"/>
      <c r="N146" s="344"/>
      <c r="O146" s="344"/>
      <c r="P146" s="344"/>
      <c r="Q146" s="344"/>
      <c r="R146" s="344"/>
      <c r="S146" s="344"/>
      <c r="T146" s="344"/>
      <c r="U146" s="344"/>
      <c r="V146" s="344"/>
      <c r="W146" s="344"/>
      <c r="X146" s="344"/>
      <c r="Y146" s="344"/>
      <c r="Z146" s="344"/>
      <c r="AA146" s="344"/>
      <c r="AB146" s="344"/>
      <c r="AC146" s="344"/>
      <c r="AD146" s="344"/>
    </row>
    <row r="147" spans="1:30" s="350" customFormat="1" ht="46.5" customHeight="1">
      <c r="A147" s="3973" t="str">
        <f>"                The "&amp;L44&amp;"  qualified tender of "&amp;B35&amp;" is accepted at "&amp;I35&amp;" than the Estimated rates with "&amp;M13&amp;" with a TCV of Rs."&amp;G35</f>
        <v xml:space="preserve">                The Lowest  qualified tender of Sri.J.Aswarthulu is accepted at 6.78% Less than the Estimated rates with SSR-2018-19 with a TCV of Rs.8888001.24</v>
      </c>
      <c r="B147" s="3973"/>
      <c r="C147" s="3973"/>
      <c r="D147" s="3973"/>
      <c r="E147" s="3973"/>
      <c r="F147" s="3973"/>
      <c r="G147" s="3973"/>
      <c r="H147" s="3973"/>
      <c r="I147" s="3973"/>
      <c r="J147" s="459"/>
      <c r="L147" s="344"/>
      <c r="M147" s="344"/>
      <c r="N147" s="344"/>
      <c r="O147" s="344"/>
      <c r="P147" s="344"/>
      <c r="Q147" s="344"/>
      <c r="R147" s="344"/>
      <c r="S147" s="344"/>
      <c r="T147" s="344"/>
      <c r="U147" s="344"/>
      <c r="V147" s="344"/>
      <c r="W147" s="344"/>
      <c r="X147" s="344"/>
      <c r="Y147" s="344"/>
      <c r="Z147" s="344"/>
      <c r="AA147" s="344"/>
      <c r="AB147" s="344"/>
      <c r="AC147" s="344"/>
      <c r="AD147" s="344"/>
    </row>
    <row r="148" spans="1:30" s="350" customFormat="1" ht="14.25">
      <c r="A148" s="351"/>
      <c r="B148" s="459"/>
      <c r="C148" s="459"/>
      <c r="D148" s="459"/>
      <c r="E148" s="459"/>
      <c r="F148" s="463"/>
      <c r="G148" s="463"/>
      <c r="H148" s="459"/>
      <c r="I148" s="459"/>
      <c r="J148" s="459"/>
      <c r="L148" s="344"/>
      <c r="M148" s="344"/>
      <c r="N148" s="344"/>
      <c r="O148" s="344"/>
      <c r="P148" s="344"/>
      <c r="Q148" s="344"/>
      <c r="R148" s="344"/>
      <c r="S148" s="344"/>
      <c r="T148" s="344"/>
      <c r="U148" s="344"/>
      <c r="V148" s="344"/>
      <c r="W148" s="344"/>
      <c r="X148" s="344"/>
      <c r="Y148" s="344"/>
      <c r="Z148" s="344"/>
      <c r="AA148" s="344"/>
      <c r="AB148" s="344"/>
      <c r="AC148" s="344"/>
      <c r="AD148" s="344"/>
    </row>
    <row r="149" spans="1:30" s="350" customFormat="1" ht="14.25">
      <c r="A149" s="351"/>
      <c r="B149" s="459"/>
      <c r="C149" s="459"/>
      <c r="D149" s="459"/>
      <c r="E149" s="459"/>
      <c r="F149" s="463"/>
      <c r="G149" s="463"/>
      <c r="H149" s="459"/>
      <c r="I149" s="459"/>
      <c r="J149" s="459"/>
      <c r="L149" s="344"/>
      <c r="M149" s="344"/>
      <c r="N149" s="344"/>
      <c r="O149" s="344"/>
      <c r="P149" s="344"/>
      <c r="Q149" s="344"/>
      <c r="R149" s="344"/>
      <c r="S149" s="344"/>
      <c r="T149" s="344"/>
      <c r="U149" s="344"/>
      <c r="V149" s="344"/>
      <c r="W149" s="344"/>
      <c r="X149" s="344"/>
      <c r="Y149" s="344"/>
      <c r="Z149" s="344"/>
      <c r="AA149" s="344"/>
      <c r="AB149" s="344"/>
      <c r="AC149" s="344"/>
      <c r="AD149" s="344"/>
    </row>
  </sheetData>
  <mergeCells count="231">
    <mergeCell ref="B132:J132"/>
    <mergeCell ref="L132:T132"/>
    <mergeCell ref="B133:J133"/>
    <mergeCell ref="A147:I147"/>
    <mergeCell ref="A16:A17"/>
    <mergeCell ref="B16:B17"/>
    <mergeCell ref="G53:J56"/>
    <mergeCell ref="E50:F51"/>
    <mergeCell ref="A1:J12"/>
    <mergeCell ref="N10:R12"/>
    <mergeCell ref="B124:J124"/>
    <mergeCell ref="B125:J125"/>
    <mergeCell ref="B126:J126"/>
    <mergeCell ref="B127:J127"/>
    <mergeCell ref="B128:J128"/>
    <mergeCell ref="B129:J129"/>
    <mergeCell ref="B130:J130"/>
    <mergeCell ref="L130:T130"/>
    <mergeCell ref="B131:J131"/>
    <mergeCell ref="C113:J113"/>
    <mergeCell ref="C114:J114"/>
    <mergeCell ref="C115:J115"/>
    <mergeCell ref="B118:J118"/>
    <mergeCell ref="B119:J119"/>
    <mergeCell ref="B120:J120"/>
    <mergeCell ref="B121:J121"/>
    <mergeCell ref="B122:J122"/>
    <mergeCell ref="B123:J123"/>
    <mergeCell ref="B100:J100"/>
    <mergeCell ref="B101:J101"/>
    <mergeCell ref="B104:J104"/>
    <mergeCell ref="B105:J105"/>
    <mergeCell ref="B108:J108"/>
    <mergeCell ref="B109:J109"/>
    <mergeCell ref="B110:J110"/>
    <mergeCell ref="C111:J111"/>
    <mergeCell ref="C112:J112"/>
    <mergeCell ref="B94:F94"/>
    <mergeCell ref="G94:H94"/>
    <mergeCell ref="I94:J94"/>
    <mergeCell ref="B95:F95"/>
    <mergeCell ref="G95:H95"/>
    <mergeCell ref="I95:J95"/>
    <mergeCell ref="B96:J96"/>
    <mergeCell ref="B98:J98"/>
    <mergeCell ref="B99:J99"/>
    <mergeCell ref="C91:F91"/>
    <mergeCell ref="G91:H91"/>
    <mergeCell ref="I91:J91"/>
    <mergeCell ref="B92:F92"/>
    <mergeCell ref="G92:H92"/>
    <mergeCell ref="I92:J92"/>
    <mergeCell ref="B93:F93"/>
    <mergeCell ref="G93:H93"/>
    <mergeCell ref="I93:J93"/>
    <mergeCell ref="C88:F88"/>
    <mergeCell ref="G88:H88"/>
    <mergeCell ref="I88:J88"/>
    <mergeCell ref="C89:F89"/>
    <mergeCell ref="G89:H89"/>
    <mergeCell ref="I89:J89"/>
    <mergeCell ref="C90:F90"/>
    <mergeCell ref="G90:H90"/>
    <mergeCell ref="I90:J90"/>
    <mergeCell ref="C85:F85"/>
    <mergeCell ref="G85:H85"/>
    <mergeCell ref="I85:J85"/>
    <mergeCell ref="C86:F86"/>
    <mergeCell ref="G86:H86"/>
    <mergeCell ref="I86:J86"/>
    <mergeCell ref="C87:F87"/>
    <mergeCell ref="G87:H87"/>
    <mergeCell ref="I87:J87"/>
    <mergeCell ref="C82:F82"/>
    <mergeCell ref="G82:H82"/>
    <mergeCell ref="I82:J82"/>
    <mergeCell ref="C83:F83"/>
    <mergeCell ref="G83:H83"/>
    <mergeCell ref="I83:J83"/>
    <mergeCell ref="C84:F84"/>
    <mergeCell ref="G84:H84"/>
    <mergeCell ref="I84:J84"/>
    <mergeCell ref="C79:F79"/>
    <mergeCell ref="G79:H79"/>
    <mergeCell ref="I79:J79"/>
    <mergeCell ref="C80:F80"/>
    <mergeCell ref="G80:H80"/>
    <mergeCell ref="I80:J80"/>
    <mergeCell ref="C81:F81"/>
    <mergeCell ref="G81:H81"/>
    <mergeCell ref="I81:J81"/>
    <mergeCell ref="C76:F76"/>
    <mergeCell ref="G76:H76"/>
    <mergeCell ref="I76:J76"/>
    <mergeCell ref="C77:F77"/>
    <mergeCell ref="G77:H77"/>
    <mergeCell ref="I77:J77"/>
    <mergeCell ref="C78:F78"/>
    <mergeCell ref="G78:H78"/>
    <mergeCell ref="I78:J78"/>
    <mergeCell ref="B72:H72"/>
    <mergeCell ref="I72:J72"/>
    <mergeCell ref="C73:F73"/>
    <mergeCell ref="G73:H73"/>
    <mergeCell ref="I73:J73"/>
    <mergeCell ref="C74:F74"/>
    <mergeCell ref="G74:H74"/>
    <mergeCell ref="I74:J74"/>
    <mergeCell ref="C75:F75"/>
    <mergeCell ref="G75:H75"/>
    <mergeCell ref="I75:J75"/>
    <mergeCell ref="B69:D69"/>
    <mergeCell ref="E69:F69"/>
    <mergeCell ref="G69:I69"/>
    <mergeCell ref="B70:F70"/>
    <mergeCell ref="G70:H70"/>
    <mergeCell ref="I70:J70"/>
    <mergeCell ref="B71:F71"/>
    <mergeCell ref="G71:H71"/>
    <mergeCell ref="I71:J71"/>
    <mergeCell ref="B66:D66"/>
    <mergeCell ref="E66:F66"/>
    <mergeCell ref="G66:I66"/>
    <mergeCell ref="B67:D67"/>
    <mergeCell ref="E67:F67"/>
    <mergeCell ref="G67:I67"/>
    <mergeCell ref="B68:D68"/>
    <mergeCell ref="E68:F68"/>
    <mergeCell ref="G68:I68"/>
    <mergeCell ref="B63:D63"/>
    <mergeCell ref="E63:F63"/>
    <mergeCell ref="G63:I63"/>
    <mergeCell ref="B64:D64"/>
    <mergeCell ref="E64:F64"/>
    <mergeCell ref="G64:I64"/>
    <mergeCell ref="B65:D65"/>
    <mergeCell ref="E65:F65"/>
    <mergeCell ref="G65:I65"/>
    <mergeCell ref="B60:D60"/>
    <mergeCell ref="E60:F60"/>
    <mergeCell ref="G60:I60"/>
    <mergeCell ref="B61:D61"/>
    <mergeCell ref="E61:F61"/>
    <mergeCell ref="G61:I61"/>
    <mergeCell ref="B62:D62"/>
    <mergeCell ref="E62:F62"/>
    <mergeCell ref="G62:I62"/>
    <mergeCell ref="B54:F54"/>
    <mergeCell ref="B55:F55"/>
    <mergeCell ref="B56:F56"/>
    <mergeCell ref="B57:D57"/>
    <mergeCell ref="E57:F57"/>
    <mergeCell ref="G57:I57"/>
    <mergeCell ref="E58:F58"/>
    <mergeCell ref="G58:I58"/>
    <mergeCell ref="B59:D59"/>
    <mergeCell ref="E59:F59"/>
    <mergeCell ref="G59:I59"/>
    <mergeCell ref="B47:J47"/>
    <mergeCell ref="B49:J49"/>
    <mergeCell ref="B50:D50"/>
    <mergeCell ref="G50:J50"/>
    <mergeCell ref="B51:D51"/>
    <mergeCell ref="G51:J51"/>
    <mergeCell ref="B52:F52"/>
    <mergeCell ref="I52:J52"/>
    <mergeCell ref="B53:F53"/>
    <mergeCell ref="B43:C43"/>
    <mergeCell ref="E43:F43"/>
    <mergeCell ref="G43:H43"/>
    <mergeCell ref="B44:C44"/>
    <mergeCell ref="E44:F44"/>
    <mergeCell ref="G44:H44"/>
    <mergeCell ref="B45:C45"/>
    <mergeCell ref="E45:F45"/>
    <mergeCell ref="G45:H45"/>
    <mergeCell ref="B40:C40"/>
    <mergeCell ref="E40:F40"/>
    <mergeCell ref="G40:H40"/>
    <mergeCell ref="B41:C41"/>
    <mergeCell ref="E41:F41"/>
    <mergeCell ref="G41:H41"/>
    <mergeCell ref="B42:C42"/>
    <mergeCell ref="E42:F42"/>
    <mergeCell ref="G42:H42"/>
    <mergeCell ref="B37:C37"/>
    <mergeCell ref="E37:F37"/>
    <mergeCell ref="G37:H37"/>
    <mergeCell ref="B38:C38"/>
    <mergeCell ref="E38:F38"/>
    <mergeCell ref="G38:H38"/>
    <mergeCell ref="B39:C39"/>
    <mergeCell ref="E39:F39"/>
    <mergeCell ref="G39:H39"/>
    <mergeCell ref="B33:J33"/>
    <mergeCell ref="B34:C34"/>
    <mergeCell ref="E34:F34"/>
    <mergeCell ref="G34:H34"/>
    <mergeCell ref="B35:C35"/>
    <mergeCell ref="E35:F35"/>
    <mergeCell ref="G35:H35"/>
    <mergeCell ref="B36:C36"/>
    <mergeCell ref="E36:F36"/>
    <mergeCell ref="G36:H36"/>
    <mergeCell ref="F27:G27"/>
    <mergeCell ref="I27:J27"/>
    <mergeCell ref="F28:G28"/>
    <mergeCell ref="I28:J28"/>
    <mergeCell ref="F29:G29"/>
    <mergeCell ref="I29:J29"/>
    <mergeCell ref="F30:G30"/>
    <mergeCell ref="F31:G31"/>
    <mergeCell ref="F32:G32"/>
    <mergeCell ref="C20:J20"/>
    <mergeCell ref="C21:J21"/>
    <mergeCell ref="B22:D22"/>
    <mergeCell ref="E22:G22"/>
    <mergeCell ref="H22:J22"/>
    <mergeCell ref="B23:J23"/>
    <mergeCell ref="B24:J24"/>
    <mergeCell ref="B25:J25"/>
    <mergeCell ref="B26:J26"/>
    <mergeCell ref="N8:R8"/>
    <mergeCell ref="O9:R9"/>
    <mergeCell ref="B13:J13"/>
    <mergeCell ref="B14:J14"/>
    <mergeCell ref="C15:J15"/>
    <mergeCell ref="C16:J16"/>
    <mergeCell ref="C17:J17"/>
    <mergeCell ref="C18:J18"/>
    <mergeCell ref="C19:J19"/>
  </mergeCells>
  <printOptions horizontalCentered="1"/>
  <pageMargins left="0.39370078740157499" right="0.47244094488188998" top="0.74803149606299202" bottom="0.511811023622047" header="0.23622047244094499" footer="0.23622047244094499"/>
  <pageSetup paperSize="9" orientation="portrait" r:id="rId1"/>
  <headerFooter alignWithMargins="0"/>
  <rowBreaks count="3" manualBreakCount="3">
    <brk id="48" max="9" man="1"/>
    <brk id="103" max="9" man="1"/>
    <brk id="107" max="9" man="1"/>
  </rowBreaks>
</worksheet>
</file>

<file path=xl/worksheets/sheet45.xml><?xml version="1.0" encoding="utf-8"?>
<worksheet xmlns="http://schemas.openxmlformats.org/spreadsheetml/2006/main" xmlns:r="http://schemas.openxmlformats.org/officeDocument/2006/relationships">
  <sheetPr codeName="Sheet31">
    <tabColor rgb="FF000099"/>
  </sheetPr>
  <dimension ref="A1:N360"/>
  <sheetViews>
    <sheetView view="pageBreakPreview" topLeftCell="A182" zoomScale="115" zoomScaleNormal="90" workbookViewId="0">
      <selection activeCell="H191" sqref="H191"/>
    </sheetView>
  </sheetViews>
  <sheetFormatPr defaultColWidth="9.140625" defaultRowHeight="12.75"/>
  <cols>
    <col min="1" max="1" width="9.140625" style="179" customWidth="1"/>
    <col min="2" max="2" width="6.28515625" style="180" customWidth="1"/>
    <col min="3" max="3" width="3.28515625" style="181" customWidth="1"/>
    <col min="4" max="4" width="38.42578125" style="182" customWidth="1"/>
    <col min="5" max="5" width="8.28515625" style="183" customWidth="1"/>
    <col min="6" max="6" width="10.140625" style="183" customWidth="1"/>
    <col min="7" max="7" width="10.42578125" style="183" customWidth="1"/>
    <col min="8" max="8" width="11.28515625" style="184" customWidth="1"/>
    <col min="9" max="9" width="8.7109375" style="185" hidden="1" customWidth="1"/>
    <col min="10" max="14" width="9.140625" style="185" hidden="1" customWidth="1"/>
    <col min="15" max="16384" width="9.140625" style="185"/>
  </cols>
  <sheetData>
    <row r="1" spans="1:9" ht="20.25" customHeight="1">
      <c r="A1" s="3997" t="s">
        <v>2276</v>
      </c>
      <c r="B1" s="3997"/>
      <c r="C1" s="3997"/>
      <c r="D1" s="3997"/>
      <c r="E1" s="3997"/>
      <c r="F1" s="3997"/>
      <c r="G1" s="3997"/>
      <c r="H1" s="3997"/>
      <c r="I1" s="263"/>
    </row>
    <row r="2" spans="1:9" ht="24" customHeight="1">
      <c r="A2" s="3998" t="str">
        <f>'Input Data'!E1</f>
        <v>R/F A to B in Wanaparthy Mandal of Wanaparthy District</v>
      </c>
      <c r="B2" s="3999"/>
      <c r="C2" s="3999"/>
      <c r="D2" s="3999"/>
      <c r="E2" s="3999"/>
      <c r="F2" s="3999"/>
      <c r="G2" s="3999"/>
      <c r="H2" s="3999"/>
      <c r="I2" s="264"/>
    </row>
    <row r="3" spans="1:9" s="173" customFormat="1" ht="30.75" customHeight="1">
      <c r="A3" s="186" t="s">
        <v>2277</v>
      </c>
      <c r="B3" s="4000" t="s">
        <v>2278</v>
      </c>
      <c r="C3" s="4000"/>
      <c r="D3" s="186" t="s">
        <v>530</v>
      </c>
      <c r="E3" s="186" t="s">
        <v>1024</v>
      </c>
      <c r="F3" s="186" t="s">
        <v>3</v>
      </c>
      <c r="G3" s="186" t="s">
        <v>1363</v>
      </c>
      <c r="H3" s="188" t="s">
        <v>2279</v>
      </c>
    </row>
    <row r="4" spans="1:9" s="174" customFormat="1" ht="18.95" customHeight="1">
      <c r="A4" s="187"/>
      <c r="B4" s="4001">
        <v>1</v>
      </c>
      <c r="C4" s="4001"/>
      <c r="D4" s="186">
        <v>2</v>
      </c>
      <c r="E4" s="186">
        <v>3</v>
      </c>
      <c r="F4" s="186">
        <v>4</v>
      </c>
      <c r="G4" s="186">
        <v>5</v>
      </c>
      <c r="H4" s="186">
        <v>6</v>
      </c>
      <c r="I4" s="173"/>
    </row>
    <row r="5" spans="1:9" s="174" customFormat="1" ht="9" customHeight="1">
      <c r="A5" s="189"/>
      <c r="B5" s="4002" t="s">
        <v>2280</v>
      </c>
      <c r="C5" s="4002"/>
      <c r="D5" s="4002"/>
      <c r="E5" s="190"/>
      <c r="F5" s="190"/>
      <c r="G5" s="190"/>
      <c r="H5" s="191"/>
      <c r="I5" s="264"/>
    </row>
    <row r="6" spans="1:9" s="174" customFormat="1">
      <c r="A6" s="192"/>
      <c r="B6" s="4003" t="s">
        <v>2281</v>
      </c>
      <c r="C6" s="4003"/>
      <c r="D6" s="4003"/>
      <c r="E6" s="193"/>
      <c r="F6" s="194">
        <f>+'Input Data'!D24</f>
        <v>0.13614999999999999</v>
      </c>
      <c r="G6" s="193"/>
      <c r="H6" s="195"/>
      <c r="I6" s="264"/>
    </row>
    <row r="7" spans="1:9" s="174" customFormat="1">
      <c r="A7" s="192"/>
      <c r="B7" s="193"/>
      <c r="C7" s="193"/>
      <c r="D7" s="193" t="s">
        <v>2282</v>
      </c>
      <c r="E7" s="193"/>
      <c r="F7" s="194">
        <f>+'Input Data'!E24</f>
        <v>0</v>
      </c>
      <c r="G7" s="193"/>
      <c r="H7" s="195"/>
      <c r="I7" s="264"/>
    </row>
    <row r="8" spans="1:9">
      <c r="A8" s="196"/>
      <c r="B8" s="4004" t="str">
        <f>"Muncipal AAllowance/Area Allowance @ "&amp;F8*100&amp;"%"</f>
        <v>Muncipal AAllowance/Area Allowance @ 0%</v>
      </c>
      <c r="C8" s="4004"/>
      <c r="D8" s="4004"/>
      <c r="E8" s="197"/>
      <c r="F8" s="198">
        <f>+'Input Data'!D23</f>
        <v>0</v>
      </c>
      <c r="G8" s="193"/>
      <c r="H8" s="199"/>
    </row>
    <row r="9" spans="1:9">
      <c r="A9" s="4005" t="s">
        <v>2283</v>
      </c>
      <c r="B9" s="4005"/>
      <c r="C9" s="4005"/>
      <c r="D9" s="4005"/>
      <c r="E9" s="4005"/>
      <c r="F9" s="4005"/>
      <c r="G9" s="4005"/>
      <c r="H9" s="4005"/>
    </row>
    <row r="10" spans="1:9" ht="44.1" customHeight="1">
      <c r="A10" s="200" t="s">
        <v>2284</v>
      </c>
      <c r="B10" s="201">
        <v>1</v>
      </c>
      <c r="C10" s="200"/>
      <c r="D10" s="4006" t="s">
        <v>2285</v>
      </c>
      <c r="E10" s="4006"/>
      <c r="F10" s="4006"/>
      <c r="G10" s="4006"/>
      <c r="H10" s="203"/>
    </row>
    <row r="11" spans="1:9">
      <c r="A11" s="204"/>
      <c r="B11" s="201"/>
      <c r="C11" s="200"/>
      <c r="D11" s="202" t="s">
        <v>2068</v>
      </c>
      <c r="E11" s="204"/>
      <c r="F11" s="204"/>
      <c r="G11" s="203"/>
      <c r="H11" s="203"/>
    </row>
    <row r="12" spans="1:9">
      <c r="A12" s="204"/>
      <c r="B12" s="201"/>
      <c r="C12" s="205"/>
      <c r="D12" s="206" t="s">
        <v>251</v>
      </c>
      <c r="E12" s="204"/>
      <c r="F12" s="204"/>
      <c r="G12" s="203"/>
      <c r="H12" s="203"/>
    </row>
    <row r="13" spans="1:9" ht="25.5">
      <c r="A13" s="204"/>
      <c r="B13" s="201"/>
      <c r="C13" s="200"/>
      <c r="D13" s="202" t="s">
        <v>2286</v>
      </c>
      <c r="E13" s="204" t="s">
        <v>1217</v>
      </c>
      <c r="F13" s="207">
        <v>1.05</v>
      </c>
      <c r="G13" s="203">
        <f>+lead!J37</f>
        <v>49000</v>
      </c>
      <c r="H13" s="208">
        <f>ROUND(F13*G13,2)</f>
        <v>51450</v>
      </c>
    </row>
    <row r="14" spans="1:9">
      <c r="A14" s="204"/>
      <c r="B14" s="201"/>
      <c r="C14" s="200"/>
      <c r="D14" s="202" t="s">
        <v>2287</v>
      </c>
      <c r="E14" s="204" t="s">
        <v>2288</v>
      </c>
      <c r="F14" s="207">
        <v>6</v>
      </c>
      <c r="G14" s="209">
        <f>+'SSR-rates'!L93</f>
        <v>83</v>
      </c>
      <c r="H14" s="208">
        <f>ROUND(F14*G14,2)</f>
        <v>498</v>
      </c>
    </row>
    <row r="15" spans="1:9" ht="25.5">
      <c r="A15" s="204"/>
      <c r="B15" s="201"/>
      <c r="C15" s="200"/>
      <c r="D15" s="202" t="s">
        <v>2289</v>
      </c>
      <c r="E15" s="204"/>
      <c r="F15" s="207"/>
      <c r="G15" s="203"/>
      <c r="H15" s="203"/>
    </row>
    <row r="16" spans="1:9">
      <c r="A16" s="204"/>
      <c r="B16" s="201"/>
      <c r="C16" s="200"/>
      <c r="D16" s="202" t="s">
        <v>14</v>
      </c>
      <c r="E16" s="204" t="s">
        <v>38</v>
      </c>
      <c r="F16" s="207" t="s">
        <v>384</v>
      </c>
      <c r="G16" s="203"/>
      <c r="H16" s="210"/>
    </row>
    <row r="17" spans="1:8">
      <c r="A17" s="204"/>
      <c r="B17" s="201"/>
      <c r="C17" s="200"/>
      <c r="D17" s="202" t="s">
        <v>2290</v>
      </c>
      <c r="E17" s="204" t="s">
        <v>38</v>
      </c>
      <c r="F17" s="207">
        <v>2</v>
      </c>
      <c r="G17" s="211">
        <f>+'SSR-rates'!L56</f>
        <v>640</v>
      </c>
      <c r="H17" s="208">
        <f>ROUND(F17*G17,2)</f>
        <v>1280</v>
      </c>
    </row>
    <row r="18" spans="1:8">
      <c r="A18" s="204"/>
      <c r="B18" s="201"/>
      <c r="C18" s="200"/>
      <c r="D18" s="202" t="s">
        <v>1209</v>
      </c>
      <c r="E18" s="204" t="s">
        <v>38</v>
      </c>
      <c r="F18" s="207">
        <v>6.4</v>
      </c>
      <c r="G18" s="212">
        <f>+'SSR-rates'!L60</f>
        <v>575</v>
      </c>
      <c r="H18" s="208">
        <f>ROUND(F18*G18,2)</f>
        <v>3680</v>
      </c>
    </row>
    <row r="19" spans="1:8">
      <c r="A19" s="204"/>
      <c r="B19" s="201"/>
      <c r="C19" s="200"/>
      <c r="D19" s="213" t="str">
        <f>B8</f>
        <v>Muncipal AAllowance/Area Allowance @ 0%</v>
      </c>
      <c r="E19" s="214">
        <f>F8</f>
        <v>0</v>
      </c>
      <c r="F19" s="207"/>
      <c r="G19" s="215"/>
      <c r="H19" s="208">
        <f>SUM(H16:H18)*E19</f>
        <v>0</v>
      </c>
    </row>
    <row r="20" spans="1:8">
      <c r="A20" s="204"/>
      <c r="B20" s="201"/>
      <c r="C20" s="200"/>
      <c r="D20" s="216" t="s">
        <v>2291</v>
      </c>
      <c r="E20" s="217">
        <v>0</v>
      </c>
      <c r="F20" s="207"/>
      <c r="G20" s="215"/>
      <c r="H20" s="208">
        <f>SUM(H17:H19)*E20</f>
        <v>0</v>
      </c>
    </row>
    <row r="21" spans="1:8">
      <c r="A21" s="204"/>
      <c r="B21" s="201"/>
      <c r="C21" s="200"/>
      <c r="D21" s="206" t="s">
        <v>2292</v>
      </c>
      <c r="E21" s="204"/>
      <c r="F21" s="204"/>
      <c r="G21" s="203"/>
      <c r="H21" s="210">
        <f>SUM(H13:H20)</f>
        <v>56908</v>
      </c>
    </row>
    <row r="22" spans="1:8" hidden="1">
      <c r="A22" s="204"/>
      <c r="B22" s="201"/>
      <c r="C22" s="200"/>
      <c r="D22" s="206"/>
      <c r="E22" s="204"/>
      <c r="F22" s="204"/>
      <c r="G22" s="203"/>
      <c r="H22" s="210"/>
    </row>
    <row r="23" spans="1:8" hidden="1">
      <c r="A23" s="204"/>
      <c r="B23" s="201"/>
      <c r="C23" s="200"/>
      <c r="D23" s="206"/>
      <c r="E23" s="204"/>
      <c r="F23" s="204"/>
      <c r="G23" s="203"/>
      <c r="H23" s="210"/>
    </row>
    <row r="24" spans="1:8" ht="81.95" customHeight="1">
      <c r="A24" s="218" t="s">
        <v>2293</v>
      </c>
      <c r="B24" s="219">
        <f>B10+1</f>
        <v>2</v>
      </c>
      <c r="C24" s="220"/>
      <c r="D24" s="4006" t="s">
        <v>1141</v>
      </c>
      <c r="E24" s="4006"/>
      <c r="F24" s="4006"/>
      <c r="G24" s="4006"/>
      <c r="H24" s="221"/>
    </row>
    <row r="25" spans="1:8" ht="38.25">
      <c r="A25" s="196"/>
      <c r="B25" s="222"/>
      <c r="C25" s="223"/>
      <c r="D25" s="221" t="s">
        <v>2294</v>
      </c>
      <c r="E25" s="196"/>
      <c r="F25" s="196"/>
      <c r="G25" s="224"/>
      <c r="H25" s="225"/>
    </row>
    <row r="26" spans="1:8">
      <c r="A26" s="196"/>
      <c r="B26" s="222"/>
      <c r="C26" s="223"/>
      <c r="D26" s="221" t="s">
        <v>2295</v>
      </c>
      <c r="E26" s="196"/>
      <c r="F26" s="196"/>
      <c r="G26" s="224"/>
      <c r="H26" s="220"/>
    </row>
    <row r="27" spans="1:8">
      <c r="A27" s="196"/>
      <c r="B27" s="222"/>
      <c r="C27" s="223"/>
      <c r="D27" s="226" t="s">
        <v>2296</v>
      </c>
      <c r="E27" s="218"/>
      <c r="F27" s="196"/>
      <c r="G27" s="218"/>
      <c r="H27" s="220"/>
    </row>
    <row r="28" spans="1:8">
      <c r="A28" s="196"/>
      <c r="B28" s="227" t="s">
        <v>557</v>
      </c>
      <c r="C28" s="223"/>
      <c r="D28" s="226" t="s">
        <v>2297</v>
      </c>
      <c r="E28" s="196"/>
      <c r="F28" s="196"/>
      <c r="G28" s="218"/>
      <c r="H28" s="220"/>
    </row>
    <row r="29" spans="1:8">
      <c r="A29" s="196"/>
      <c r="B29" s="222"/>
      <c r="C29" s="223"/>
      <c r="D29" s="221" t="s">
        <v>10</v>
      </c>
      <c r="E29" s="196"/>
      <c r="F29" s="196"/>
      <c r="G29" s="218"/>
      <c r="H29" s="220"/>
    </row>
    <row r="30" spans="1:8">
      <c r="A30" s="196"/>
      <c r="B30" s="222"/>
      <c r="C30" s="223"/>
      <c r="D30" s="221" t="s">
        <v>84</v>
      </c>
      <c r="E30" s="196"/>
      <c r="F30" s="196"/>
      <c r="G30" s="220"/>
      <c r="H30" s="220"/>
    </row>
    <row r="31" spans="1:8">
      <c r="A31" s="196"/>
      <c r="B31" s="222"/>
      <c r="C31" s="223"/>
      <c r="D31" s="228" t="s">
        <v>2298</v>
      </c>
      <c r="E31" s="196"/>
      <c r="F31" s="196"/>
      <c r="G31" s="196"/>
      <c r="H31" s="220"/>
    </row>
    <row r="32" spans="1:8">
      <c r="A32" s="196"/>
      <c r="B32" s="222"/>
      <c r="C32" s="223"/>
      <c r="D32" s="221" t="s">
        <v>14</v>
      </c>
      <c r="E32" s="196" t="s">
        <v>38</v>
      </c>
      <c r="F32" s="229">
        <v>0.64</v>
      </c>
      <c r="G32" s="208">
        <f>+'SSR-rates'!L58</f>
        <v>575</v>
      </c>
      <c r="H32" s="230">
        <f>ROUND(F32*G32,2)</f>
        <v>368</v>
      </c>
    </row>
    <row r="33" spans="1:14">
      <c r="A33" s="196"/>
      <c r="B33" s="222"/>
      <c r="C33" s="223"/>
      <c r="D33" s="221" t="s">
        <v>1209</v>
      </c>
      <c r="E33" s="196" t="s">
        <v>38</v>
      </c>
      <c r="F33" s="229">
        <v>3</v>
      </c>
      <c r="G33" s="208">
        <f>+'SSR-rates'!L60</f>
        <v>575</v>
      </c>
      <c r="H33" s="230">
        <f>ROUND(F33*G33,2)</f>
        <v>1725</v>
      </c>
    </row>
    <row r="34" spans="1:14">
      <c r="A34" s="196"/>
      <c r="B34" s="222"/>
      <c r="C34" s="223"/>
      <c r="D34" s="231" t="str">
        <f>$B$8</f>
        <v>Muncipal AAllowance/Area Allowance @ 0%</v>
      </c>
      <c r="E34" s="232">
        <f>$F$8</f>
        <v>0</v>
      </c>
      <c r="F34" s="229"/>
      <c r="G34" s="208"/>
      <c r="H34" s="208">
        <f>SUM(H32:H33)*E34</f>
        <v>0</v>
      </c>
    </row>
    <row r="35" spans="1:14">
      <c r="A35" s="196"/>
      <c r="B35" s="227"/>
      <c r="C35" s="223"/>
      <c r="D35" s="233" t="s">
        <v>2299</v>
      </c>
      <c r="E35" s="195" t="s">
        <v>31</v>
      </c>
      <c r="F35" s="229">
        <v>10</v>
      </c>
      <c r="G35" s="234">
        <v>0</v>
      </c>
      <c r="H35" s="230">
        <f>ROUND(F35*G35,2)</f>
        <v>0</v>
      </c>
    </row>
    <row r="36" spans="1:14">
      <c r="A36" s="196"/>
      <c r="B36" s="222"/>
      <c r="C36" s="223"/>
      <c r="D36" s="221"/>
      <c r="E36" s="196"/>
      <c r="F36" s="229"/>
      <c r="G36" s="235"/>
      <c r="H36" s="236">
        <f>SUM(H32:H35)</f>
        <v>2093</v>
      </c>
    </row>
    <row r="37" spans="1:14">
      <c r="A37" s="196"/>
      <c r="B37" s="222"/>
      <c r="C37" s="223"/>
      <c r="D37" s="228" t="s">
        <v>2300</v>
      </c>
      <c r="E37" s="196"/>
      <c r="F37" s="196"/>
      <c r="G37" s="235"/>
      <c r="H37" s="236">
        <f>ROUND(H36/10,2)</f>
        <v>209.3</v>
      </c>
    </row>
    <row r="38" spans="1:14">
      <c r="A38" s="237"/>
      <c r="B38" s="238"/>
      <c r="C38" s="239"/>
      <c r="D38" s="240"/>
      <c r="E38" s="240"/>
      <c r="F38" s="240"/>
      <c r="G38" s="240"/>
      <c r="H38" s="241"/>
    </row>
    <row r="39" spans="1:14">
      <c r="A39" s="196"/>
      <c r="B39" s="242"/>
      <c r="C39" s="193"/>
      <c r="D39" s="4007" t="s">
        <v>2301</v>
      </c>
      <c r="E39" s="4007"/>
      <c r="F39" s="4007"/>
      <c r="G39" s="4007"/>
      <c r="H39" s="199"/>
    </row>
    <row r="40" spans="1:14" ht="47.25" customHeight="1">
      <c r="A40" s="243" t="s">
        <v>2302</v>
      </c>
      <c r="B40" s="242">
        <f>B24+1</f>
        <v>3</v>
      </c>
      <c r="C40" s="193"/>
      <c r="D40" s="4006" t="s">
        <v>2303</v>
      </c>
      <c r="E40" s="4006"/>
      <c r="F40" s="4006"/>
      <c r="G40" s="4006"/>
      <c r="H40" s="210"/>
    </row>
    <row r="41" spans="1:14" ht="51">
      <c r="A41" s="196"/>
      <c r="B41" s="242"/>
      <c r="C41" s="193"/>
      <c r="D41" s="206" t="s">
        <v>2304</v>
      </c>
      <c r="E41" s="204"/>
      <c r="F41" s="244"/>
      <c r="G41" s="203"/>
      <c r="H41" s="210"/>
    </row>
    <row r="42" spans="1:14" ht="53.25" customHeight="1">
      <c r="A42" s="196"/>
      <c r="B42" s="242"/>
      <c r="C42" s="193"/>
      <c r="D42" s="206" t="s">
        <v>2305</v>
      </c>
      <c r="E42" s="204"/>
      <c r="F42" s="244"/>
      <c r="G42" s="203"/>
      <c r="H42" s="210"/>
    </row>
    <row r="43" spans="1:14">
      <c r="A43" s="196"/>
      <c r="B43" s="242"/>
      <c r="C43" s="193"/>
      <c r="D43" s="206" t="s">
        <v>2306</v>
      </c>
      <c r="E43" s="204"/>
      <c r="F43" s="244"/>
      <c r="G43" s="203"/>
      <c r="H43" s="210"/>
    </row>
    <row r="44" spans="1:14">
      <c r="A44" s="196"/>
      <c r="B44" s="242"/>
      <c r="C44" s="193"/>
      <c r="D44" s="202" t="s">
        <v>10</v>
      </c>
      <c r="E44" s="204"/>
      <c r="F44" s="244"/>
      <c r="G44" s="203"/>
      <c r="H44" s="210"/>
    </row>
    <row r="45" spans="1:14">
      <c r="A45" s="196"/>
      <c r="B45" s="242"/>
      <c r="C45" s="193"/>
      <c r="D45" s="245" t="s">
        <v>2307</v>
      </c>
      <c r="E45" s="204"/>
      <c r="F45" s="244"/>
      <c r="G45" s="203"/>
      <c r="H45" s="210"/>
    </row>
    <row r="46" spans="1:14">
      <c r="A46" s="196"/>
      <c r="B46" s="242"/>
      <c r="C46" s="193"/>
      <c r="D46" s="202" t="s">
        <v>2308</v>
      </c>
      <c r="E46" s="204"/>
      <c r="F46" s="244"/>
      <c r="G46" s="203"/>
      <c r="H46" s="210"/>
    </row>
    <row r="47" spans="1:14">
      <c r="A47" s="196"/>
      <c r="B47" s="242"/>
      <c r="C47" s="193"/>
      <c r="D47" s="206" t="s">
        <v>251</v>
      </c>
      <c r="E47" s="204"/>
      <c r="F47" s="244"/>
      <c r="G47" s="203"/>
      <c r="H47" s="210"/>
    </row>
    <row r="48" spans="1:14">
      <c r="A48" s="196"/>
      <c r="B48" s="242"/>
      <c r="C48" s="193"/>
      <c r="D48" s="202" t="s">
        <v>1968</v>
      </c>
      <c r="E48" s="204" t="s">
        <v>1217</v>
      </c>
      <c r="F48" s="244">
        <v>4.13</v>
      </c>
      <c r="G48" s="203">
        <f>+lead!J36</f>
        <v>5000</v>
      </c>
      <c r="H48" s="246">
        <f t="shared" ref="H48:H53" si="0">ROUND(F48*G48,2)</f>
        <v>20650</v>
      </c>
      <c r="J48" s="265">
        <f>H48</f>
        <v>20650</v>
      </c>
      <c r="K48" s="266">
        <f>+J48*12.5%</f>
        <v>2581.25</v>
      </c>
      <c r="L48" s="265">
        <f>+J48+K48</f>
        <v>23231.25</v>
      </c>
      <c r="M48" s="265" t="e">
        <f>+L48+#REF!</f>
        <v>#REF!</v>
      </c>
      <c r="N48" s="265" t="e">
        <f>+M48/1.125</f>
        <v>#REF!</v>
      </c>
    </row>
    <row r="49" spans="1:9" ht="25.5">
      <c r="A49" s="196"/>
      <c r="B49" s="242"/>
      <c r="C49" s="193"/>
      <c r="D49" s="202" t="s">
        <v>1852</v>
      </c>
      <c r="E49" s="204" t="s">
        <v>31</v>
      </c>
      <c r="F49" s="244">
        <f>6.75/2</f>
        <v>3.375</v>
      </c>
      <c r="G49" s="203">
        <f>+lead!$J$31</f>
        <v>1812.3700655723276</v>
      </c>
      <c r="H49" s="246">
        <f t="shared" si="0"/>
        <v>6116.75</v>
      </c>
    </row>
    <row r="50" spans="1:9">
      <c r="A50" s="196"/>
      <c r="B50" s="242"/>
      <c r="C50" s="193"/>
      <c r="D50" s="202" t="s">
        <v>1853</v>
      </c>
      <c r="E50" s="204" t="s">
        <v>31</v>
      </c>
      <c r="F50" s="244">
        <f>6.75/2</f>
        <v>3.375</v>
      </c>
      <c r="G50" s="203">
        <f>+lead!$J$33</f>
        <v>1447.5179333714741</v>
      </c>
      <c r="H50" s="246">
        <f t="shared" ref="H50" si="1">ROUND(F50*G50,2)</f>
        <v>4885.37</v>
      </c>
    </row>
    <row r="51" spans="1:9">
      <c r="A51" s="196"/>
      <c r="B51" s="242"/>
      <c r="C51" s="193"/>
      <c r="D51" s="202" t="s">
        <v>2309</v>
      </c>
      <c r="E51" s="204" t="s">
        <v>31</v>
      </c>
      <c r="F51" s="244">
        <v>8.1</v>
      </c>
      <c r="G51" s="203">
        <f>+lead!J14</f>
        <v>1706.5179333714741</v>
      </c>
      <c r="H51" s="246">
        <f t="shared" si="0"/>
        <v>13822.8</v>
      </c>
    </row>
    <row r="52" spans="1:9">
      <c r="A52" s="196"/>
      <c r="B52" s="242"/>
      <c r="C52" s="193"/>
      <c r="D52" s="202" t="s">
        <v>2310</v>
      </c>
      <c r="E52" s="204" t="s">
        <v>31</v>
      </c>
      <c r="F52" s="244">
        <v>4.05</v>
      </c>
      <c r="G52" s="203">
        <f>+lead!J16</f>
        <v>2005.5179333714741</v>
      </c>
      <c r="H52" s="246">
        <f t="shared" si="0"/>
        <v>8122.35</v>
      </c>
    </row>
    <row r="53" spans="1:9">
      <c r="A53" s="196"/>
      <c r="B53" s="242"/>
      <c r="C53" s="193"/>
      <c r="D53" s="202" t="s">
        <v>2311</v>
      </c>
      <c r="E53" s="204" t="s">
        <v>31</v>
      </c>
      <c r="F53" s="244">
        <v>1.35</v>
      </c>
      <c r="G53" s="203">
        <f>+lead!J18</f>
        <v>1754.5179333714741</v>
      </c>
      <c r="H53" s="246">
        <f t="shared" si="0"/>
        <v>2368.6</v>
      </c>
    </row>
    <row r="54" spans="1:9">
      <c r="A54" s="196"/>
      <c r="B54" s="242"/>
      <c r="C54" s="193"/>
      <c r="D54" s="206" t="s">
        <v>2312</v>
      </c>
      <c r="E54" s="204"/>
      <c r="F54" s="244"/>
      <c r="G54" s="204"/>
      <c r="H54" s="210"/>
    </row>
    <row r="55" spans="1:9">
      <c r="A55" s="196"/>
      <c r="B55" s="242"/>
      <c r="C55" s="193"/>
      <c r="D55" s="202" t="s">
        <v>14</v>
      </c>
      <c r="E55" s="204" t="s">
        <v>38</v>
      </c>
      <c r="F55" s="244">
        <v>0.86</v>
      </c>
      <c r="G55" s="203">
        <f>+'SSR-rates'!L58</f>
        <v>575</v>
      </c>
      <c r="H55" s="246">
        <f>ROUND(F55*G55,2)</f>
        <v>494.5</v>
      </c>
    </row>
    <row r="56" spans="1:9">
      <c r="A56" s="196"/>
      <c r="B56" s="242"/>
      <c r="C56" s="193"/>
      <c r="D56" s="202" t="s">
        <v>2313</v>
      </c>
      <c r="E56" s="204" t="s">
        <v>38</v>
      </c>
      <c r="F56" s="244">
        <v>1.5</v>
      </c>
      <c r="G56" s="247">
        <f>+'SSR-rates'!L96</f>
        <v>645</v>
      </c>
      <c r="H56" s="246">
        <f>ROUND(F56*G56,2)</f>
        <v>967.5</v>
      </c>
    </row>
    <row r="57" spans="1:9">
      <c r="A57" s="196"/>
      <c r="B57" s="242"/>
      <c r="C57" s="193"/>
      <c r="D57" s="202" t="s">
        <v>1209</v>
      </c>
      <c r="E57" s="204" t="s">
        <v>38</v>
      </c>
      <c r="F57" s="244">
        <v>20</v>
      </c>
      <c r="G57" s="215">
        <f>+'SSR-rates'!L60</f>
        <v>575</v>
      </c>
      <c r="H57" s="246">
        <f>ROUND(F57*G57,2)</f>
        <v>11500</v>
      </c>
    </row>
    <row r="58" spans="1:9">
      <c r="A58" s="196"/>
      <c r="B58" s="242"/>
      <c r="C58" s="193"/>
      <c r="D58" s="231" t="str">
        <f>$B$8</f>
        <v>Muncipal AAllowance/Area Allowance @ 0%</v>
      </c>
      <c r="E58" s="232">
        <f>$F$8</f>
        <v>0</v>
      </c>
      <c r="F58" s="229"/>
      <c r="G58" s="208"/>
      <c r="H58" s="208">
        <f>SUM(H55:H57)*E58</f>
        <v>0</v>
      </c>
    </row>
    <row r="59" spans="1:9">
      <c r="A59" s="196"/>
      <c r="B59" s="242"/>
      <c r="C59" s="193"/>
      <c r="D59" s="206" t="s">
        <v>2076</v>
      </c>
      <c r="E59" s="204"/>
      <c r="F59" s="244"/>
      <c r="G59" s="204"/>
      <c r="H59" s="210"/>
    </row>
    <row r="60" spans="1:9">
      <c r="A60" s="196"/>
      <c r="B60" s="242"/>
      <c r="C60" s="193"/>
      <c r="D60" s="202" t="s">
        <v>2314</v>
      </c>
      <c r="E60" s="204" t="s">
        <v>23</v>
      </c>
      <c r="F60" s="244">
        <v>6</v>
      </c>
      <c r="G60" s="203">
        <f>+'SSR-rates'!L88</f>
        <v>697.9</v>
      </c>
      <c r="H60" s="248">
        <f>ROUND(F60*G60,2)</f>
        <v>4187.3999999999996</v>
      </c>
    </row>
    <row r="61" spans="1:9" ht="25.5">
      <c r="A61" s="196"/>
      <c r="B61" s="242"/>
      <c r="C61" s="193"/>
      <c r="D61" s="202" t="s">
        <v>2315</v>
      </c>
      <c r="E61" s="204"/>
      <c r="F61" s="249">
        <v>0.04</v>
      </c>
      <c r="G61" s="203"/>
      <c r="H61" s="248">
        <f>SUM(H48:H60)*F61</f>
        <v>2924.6107999999995</v>
      </c>
    </row>
    <row r="62" spans="1:9">
      <c r="A62" s="196"/>
      <c r="B62" s="242"/>
      <c r="C62" s="193"/>
      <c r="D62" s="202"/>
      <c r="E62" s="204"/>
      <c r="F62" s="249"/>
      <c r="G62" s="203"/>
      <c r="H62" s="248">
        <f>SUM(H48:H61)</f>
        <v>76039.880799999984</v>
      </c>
    </row>
    <row r="63" spans="1:9">
      <c r="A63" s="196"/>
      <c r="B63" s="242"/>
      <c r="C63" s="193"/>
      <c r="D63" s="250" t="s">
        <v>2316</v>
      </c>
      <c r="E63" s="251">
        <v>0</v>
      </c>
      <c r="F63" s="252"/>
      <c r="G63" s="253"/>
      <c r="H63" s="254">
        <f>H62*E63</f>
        <v>0</v>
      </c>
    </row>
    <row r="64" spans="1:9" s="175" customFormat="1">
      <c r="A64" s="255"/>
      <c r="B64" s="256"/>
      <c r="C64" s="257"/>
      <c r="D64" s="258" t="s">
        <v>2317</v>
      </c>
      <c r="E64" s="259"/>
      <c r="F64" s="260"/>
      <c r="G64" s="261"/>
      <c r="H64" s="262">
        <f>ROUND(SUM(H62:H63)/15,2)</f>
        <v>5069.33</v>
      </c>
      <c r="I64" s="267" t="s">
        <v>2318</v>
      </c>
    </row>
    <row r="65" spans="1:8" ht="92.25" customHeight="1">
      <c r="A65" s="218" t="s">
        <v>2302</v>
      </c>
      <c r="B65" s="242">
        <f>B40+1</f>
        <v>4</v>
      </c>
      <c r="C65" s="220"/>
      <c r="D65" s="4006" t="s">
        <v>2319</v>
      </c>
      <c r="E65" s="4006"/>
      <c r="F65" s="4006"/>
      <c r="G65" s="4006"/>
      <c r="H65" s="221"/>
    </row>
    <row r="66" spans="1:8">
      <c r="A66" s="196"/>
      <c r="B66" s="242"/>
      <c r="C66" s="223"/>
      <c r="D66" s="226" t="s">
        <v>2320</v>
      </c>
      <c r="E66" s="196"/>
      <c r="F66" s="196"/>
      <c r="G66" s="235"/>
      <c r="H66" s="220"/>
    </row>
    <row r="67" spans="1:8">
      <c r="A67" s="196"/>
      <c r="B67" s="242"/>
      <c r="C67" s="223"/>
      <c r="D67" s="221" t="s">
        <v>2308</v>
      </c>
      <c r="E67" s="196"/>
      <c r="F67" s="196"/>
      <c r="G67" s="235"/>
      <c r="H67" s="220"/>
    </row>
    <row r="68" spans="1:8">
      <c r="A68" s="196"/>
      <c r="B68" s="242"/>
      <c r="C68" s="223"/>
      <c r="D68" s="226" t="s">
        <v>251</v>
      </c>
      <c r="E68" s="196"/>
      <c r="F68" s="196"/>
      <c r="G68" s="235"/>
      <c r="H68" s="220"/>
    </row>
    <row r="69" spans="1:8">
      <c r="A69" s="196"/>
      <c r="B69" s="242"/>
      <c r="C69" s="223"/>
      <c r="D69" s="221" t="s">
        <v>1968</v>
      </c>
      <c r="E69" s="196" t="s">
        <v>1217</v>
      </c>
      <c r="F69" s="196">
        <v>3.45</v>
      </c>
      <c r="G69" s="268">
        <f>G48</f>
        <v>5000</v>
      </c>
      <c r="H69" s="230">
        <f>ROUND(F69*G69,2)</f>
        <v>17250</v>
      </c>
    </row>
    <row r="70" spans="1:8" ht="25.5">
      <c r="A70" s="196"/>
      <c r="B70" s="242"/>
      <c r="C70" s="223"/>
      <c r="D70" s="202" t="s">
        <v>1852</v>
      </c>
      <c r="E70" s="204" t="s">
        <v>31</v>
      </c>
      <c r="F70" s="244">
        <f>6.75/2</f>
        <v>3.375</v>
      </c>
      <c r="G70" s="268">
        <f>+lead!$J$31</f>
        <v>1812.3700655723276</v>
      </c>
      <c r="H70" s="230">
        <f>ROUND(F70*G70,2)</f>
        <v>6116.75</v>
      </c>
    </row>
    <row r="71" spans="1:8">
      <c r="A71" s="196"/>
      <c r="B71" s="242"/>
      <c r="C71" s="223"/>
      <c r="D71" s="202" t="s">
        <v>1853</v>
      </c>
      <c r="E71" s="204" t="s">
        <v>31</v>
      </c>
      <c r="F71" s="244">
        <f>6.75/2</f>
        <v>3.375</v>
      </c>
      <c r="G71" s="268">
        <f>+lead!$J$33</f>
        <v>1447.5179333714741</v>
      </c>
      <c r="H71" s="230">
        <f>ROUND(F71*G71,2)</f>
        <v>4885.37</v>
      </c>
    </row>
    <row r="72" spans="1:8">
      <c r="A72" s="196"/>
      <c r="B72" s="242"/>
      <c r="C72" s="223"/>
      <c r="D72" s="221" t="s">
        <v>2309</v>
      </c>
      <c r="E72" s="196" t="s">
        <v>31</v>
      </c>
      <c r="F72" s="269">
        <v>13.5</v>
      </c>
      <c r="G72" s="268">
        <f>G51</f>
        <v>1706.5179333714741</v>
      </c>
      <c r="H72" s="220">
        <f>ROUND(F72*G72,2)</f>
        <v>23037.99</v>
      </c>
    </row>
    <row r="73" spans="1:8">
      <c r="A73" s="196"/>
      <c r="B73" s="242"/>
      <c r="C73" s="223"/>
      <c r="D73" s="221" t="s">
        <v>2321</v>
      </c>
      <c r="E73" s="196" t="s">
        <v>1866</v>
      </c>
      <c r="F73" s="269">
        <v>18</v>
      </c>
      <c r="G73" s="268">
        <v>0</v>
      </c>
      <c r="H73" s="230">
        <f>ROUND(F73*G73,2)</f>
        <v>0</v>
      </c>
    </row>
    <row r="74" spans="1:8">
      <c r="A74" s="196"/>
      <c r="B74" s="242"/>
      <c r="C74" s="223"/>
      <c r="D74" s="226" t="s">
        <v>2312</v>
      </c>
      <c r="E74" s="196"/>
      <c r="F74" s="196"/>
      <c r="G74" s="233"/>
      <c r="H74" s="220"/>
    </row>
    <row r="75" spans="1:8">
      <c r="A75" s="196"/>
      <c r="B75" s="242"/>
      <c r="C75" s="223"/>
      <c r="D75" s="221" t="s">
        <v>14</v>
      </c>
      <c r="E75" s="196" t="s">
        <v>38</v>
      </c>
      <c r="F75" s="196">
        <v>0.64</v>
      </c>
      <c r="G75" s="270">
        <f>+G55</f>
        <v>575</v>
      </c>
      <c r="H75" s="230">
        <f t="shared" ref="H75:H77" si="2">ROUND(F75*G75,2)</f>
        <v>368</v>
      </c>
    </row>
    <row r="76" spans="1:8">
      <c r="A76" s="196"/>
      <c r="B76" s="242"/>
      <c r="C76" s="223"/>
      <c r="D76" s="221" t="s">
        <v>2313</v>
      </c>
      <c r="E76" s="196" t="s">
        <v>38</v>
      </c>
      <c r="F76" s="269">
        <v>1</v>
      </c>
      <c r="G76" s="271">
        <f>+G56</f>
        <v>645</v>
      </c>
      <c r="H76" s="230">
        <f t="shared" si="2"/>
        <v>645</v>
      </c>
    </row>
    <row r="77" spans="1:8">
      <c r="A77" s="196"/>
      <c r="B77" s="242"/>
      <c r="C77" s="223"/>
      <c r="D77" s="221" t="s">
        <v>1209</v>
      </c>
      <c r="E77" s="196" t="s">
        <v>38</v>
      </c>
      <c r="F77" s="229">
        <v>15</v>
      </c>
      <c r="G77" s="272">
        <f>+G57</f>
        <v>575</v>
      </c>
      <c r="H77" s="230">
        <f t="shared" si="2"/>
        <v>8625</v>
      </c>
    </row>
    <row r="78" spans="1:8">
      <c r="A78" s="196"/>
      <c r="B78" s="242"/>
      <c r="C78" s="223"/>
      <c r="D78" s="231" t="str">
        <f>$B$8</f>
        <v>Muncipal AAllowance/Area Allowance @ 0%</v>
      </c>
      <c r="E78" s="232">
        <f>$F$8</f>
        <v>0</v>
      </c>
      <c r="F78" s="229"/>
      <c r="G78" s="268"/>
      <c r="H78" s="208">
        <f>SUM(H75:H77)*E78</f>
        <v>0</v>
      </c>
    </row>
    <row r="79" spans="1:8">
      <c r="A79" s="196"/>
      <c r="B79" s="242"/>
      <c r="C79" s="223"/>
      <c r="D79" s="226" t="s">
        <v>2076</v>
      </c>
      <c r="E79" s="196"/>
      <c r="F79" s="229"/>
      <c r="G79" s="233"/>
      <c r="H79" s="220"/>
    </row>
    <row r="80" spans="1:8" ht="38.25">
      <c r="A80" s="196"/>
      <c r="B80" s="242"/>
      <c r="C80" s="223"/>
      <c r="D80" s="221" t="s">
        <v>2322</v>
      </c>
      <c r="E80" s="196" t="s">
        <v>23</v>
      </c>
      <c r="F80" s="229">
        <v>6</v>
      </c>
      <c r="G80" s="268">
        <f>+'SSR-rates'!L88</f>
        <v>697.9</v>
      </c>
      <c r="H80" s="208">
        <f>ROUND(F80*G80,2)</f>
        <v>4187.3999999999996</v>
      </c>
    </row>
    <row r="81" spans="1:12">
      <c r="A81" s="196"/>
      <c r="B81" s="242"/>
      <c r="C81" s="223"/>
      <c r="D81" s="221" t="s">
        <v>2323</v>
      </c>
      <c r="E81" s="196" t="s">
        <v>23</v>
      </c>
      <c r="F81" s="229">
        <v>0.13</v>
      </c>
      <c r="G81" s="268">
        <f>+'SSR-rates'!L69</f>
        <v>769</v>
      </c>
      <c r="H81" s="220">
        <f>ROUND(F81*G81,2)</f>
        <v>99.97</v>
      </c>
    </row>
    <row r="82" spans="1:12">
      <c r="A82" s="196"/>
      <c r="B82" s="242"/>
      <c r="C82" s="223"/>
      <c r="D82" s="221"/>
      <c r="E82" s="196"/>
      <c r="F82" s="229"/>
      <c r="G82" s="235"/>
      <c r="H82" s="230">
        <f>SUM(H69:H81)</f>
        <v>65215.48</v>
      </c>
    </row>
    <row r="83" spans="1:12">
      <c r="A83" s="196"/>
      <c r="B83" s="242"/>
      <c r="C83" s="193"/>
      <c r="D83" s="250" t="s">
        <v>2316</v>
      </c>
      <c r="E83" s="251">
        <v>0</v>
      </c>
      <c r="F83" s="252"/>
      <c r="G83" s="253"/>
      <c r="H83" s="254">
        <f>H82*E83</f>
        <v>0</v>
      </c>
    </row>
    <row r="84" spans="1:12">
      <c r="A84" s="255"/>
      <c r="B84" s="256"/>
      <c r="C84" s="257"/>
      <c r="D84" s="273" t="s">
        <v>2317</v>
      </c>
      <c r="E84" s="259"/>
      <c r="F84" s="260"/>
      <c r="G84" s="261"/>
      <c r="H84" s="262">
        <f>ROUND(SUM(H82:H83)/15,2)</f>
        <v>4347.7</v>
      </c>
      <c r="I84" s="267" t="s">
        <v>2318</v>
      </c>
      <c r="J84" s="291"/>
      <c r="K84" s="291"/>
      <c r="L84" s="291"/>
    </row>
    <row r="85" spans="1:12">
      <c r="A85" s="196"/>
      <c r="B85" s="242"/>
      <c r="C85" s="223"/>
      <c r="D85" s="226"/>
      <c r="E85" s="196"/>
      <c r="F85" s="196"/>
      <c r="G85" s="274"/>
      <c r="H85" s="230"/>
    </row>
    <row r="86" spans="1:12" ht="25.5">
      <c r="A86" s="218" t="s">
        <v>2324</v>
      </c>
      <c r="B86" s="219">
        <f>B65+1</f>
        <v>5</v>
      </c>
      <c r="C86" s="275"/>
      <c r="D86" s="276" t="s">
        <v>2325</v>
      </c>
      <c r="E86" s="233"/>
      <c r="F86" s="233"/>
      <c r="G86" s="233"/>
      <c r="H86" s="270"/>
    </row>
    <row r="87" spans="1:12" ht="64.5" customHeight="1">
      <c r="A87" s="196"/>
      <c r="B87" s="219"/>
      <c r="C87" s="227"/>
      <c r="D87" s="4006" t="s">
        <v>2326</v>
      </c>
      <c r="E87" s="4006"/>
      <c r="F87" s="4006"/>
      <c r="G87" s="4006"/>
      <c r="H87" s="270"/>
    </row>
    <row r="88" spans="1:12">
      <c r="A88" s="196"/>
      <c r="B88" s="242"/>
      <c r="C88" s="218" t="s">
        <v>2327</v>
      </c>
      <c r="D88" s="226" t="s">
        <v>2328</v>
      </c>
      <c r="E88" s="196"/>
      <c r="F88" s="196"/>
      <c r="G88" s="196"/>
      <c r="H88" s="224"/>
    </row>
    <row r="89" spans="1:12" ht="25.5">
      <c r="A89" s="196"/>
      <c r="B89" s="242"/>
      <c r="C89" s="218"/>
      <c r="D89" s="221" t="s">
        <v>2329</v>
      </c>
      <c r="E89" s="196"/>
      <c r="F89" s="196"/>
      <c r="G89" s="196"/>
      <c r="H89" s="224"/>
    </row>
    <row r="90" spans="1:12" ht="25.5">
      <c r="A90" s="196"/>
      <c r="B90" s="242"/>
      <c r="C90" s="218"/>
      <c r="D90" s="226" t="s">
        <v>2330</v>
      </c>
      <c r="E90" s="196"/>
      <c r="F90" s="196"/>
      <c r="G90" s="196"/>
      <c r="H90" s="224"/>
    </row>
    <row r="91" spans="1:12">
      <c r="A91" s="196"/>
      <c r="B91" s="242"/>
      <c r="C91" s="218"/>
      <c r="D91" s="221" t="s">
        <v>2331</v>
      </c>
      <c r="E91" s="196"/>
      <c r="F91" s="196"/>
      <c r="G91" s="196"/>
      <c r="H91" s="224"/>
    </row>
    <row r="92" spans="1:12">
      <c r="A92" s="196"/>
      <c r="B92" s="242"/>
      <c r="C92" s="218"/>
      <c r="D92" s="228" t="s">
        <v>2298</v>
      </c>
      <c r="E92" s="196"/>
      <c r="F92" s="196"/>
      <c r="G92" s="196"/>
      <c r="H92" s="224"/>
    </row>
    <row r="93" spans="1:12">
      <c r="A93" s="196"/>
      <c r="B93" s="242"/>
      <c r="C93" s="218"/>
      <c r="D93" s="221" t="s">
        <v>14</v>
      </c>
      <c r="E93" s="196" t="s">
        <v>38</v>
      </c>
      <c r="F93" s="229">
        <v>0.12</v>
      </c>
      <c r="G93" s="224">
        <f>+G75</f>
        <v>575</v>
      </c>
      <c r="H93" s="208">
        <f>ROUND(F93*G93,2)</f>
        <v>69</v>
      </c>
    </row>
    <row r="94" spans="1:12">
      <c r="A94" s="196"/>
      <c r="B94" s="242"/>
      <c r="C94" s="218"/>
      <c r="D94" s="221" t="s">
        <v>2332</v>
      </c>
      <c r="E94" s="196" t="s">
        <v>38</v>
      </c>
      <c r="F94" s="229">
        <v>2</v>
      </c>
      <c r="G94" s="224">
        <f>+'SSR-rates'!L113</f>
        <v>740</v>
      </c>
      <c r="H94" s="208">
        <f>ROUND(F94*G94,2)</f>
        <v>1480</v>
      </c>
    </row>
    <row r="95" spans="1:12">
      <c r="A95" s="196"/>
      <c r="B95" s="242"/>
      <c r="C95" s="218"/>
      <c r="D95" s="221" t="s">
        <v>2333</v>
      </c>
      <c r="E95" s="196" t="s">
        <v>38</v>
      </c>
      <c r="F95" s="229"/>
      <c r="G95" s="196"/>
      <c r="H95" s="277"/>
    </row>
    <row r="96" spans="1:12">
      <c r="A96" s="196"/>
      <c r="B96" s="242"/>
      <c r="C96" s="218"/>
      <c r="D96" s="221" t="s">
        <v>1209</v>
      </c>
      <c r="E96" s="196" t="s">
        <v>38</v>
      </c>
      <c r="F96" s="229">
        <v>1</v>
      </c>
      <c r="G96" s="224">
        <f>+'SSR-rates'!L60</f>
        <v>575</v>
      </c>
      <c r="H96" s="208">
        <f>ROUND(F96*G96,2)</f>
        <v>575</v>
      </c>
    </row>
    <row r="97" spans="1:9">
      <c r="A97" s="196"/>
      <c r="B97" s="242"/>
      <c r="C97" s="218"/>
      <c r="D97" s="231" t="str">
        <f>$B$8</f>
        <v>Muncipal AAllowance/Area Allowance @ 0%</v>
      </c>
      <c r="E97" s="232">
        <f>$F$8</f>
        <v>0</v>
      </c>
      <c r="F97" s="229"/>
      <c r="G97" s="208"/>
      <c r="H97" s="208">
        <f>SUM(H93:H96)*E97</f>
        <v>0</v>
      </c>
    </row>
    <row r="98" spans="1:9">
      <c r="A98" s="196"/>
      <c r="B98" s="242"/>
      <c r="C98" s="218"/>
      <c r="D98" s="226" t="s">
        <v>2334</v>
      </c>
      <c r="E98" s="196"/>
      <c r="F98" s="229"/>
      <c r="G98" s="196"/>
      <c r="H98" s="277"/>
    </row>
    <row r="99" spans="1:9">
      <c r="A99" s="196"/>
      <c r="B99" s="242"/>
      <c r="C99" s="218"/>
      <c r="D99" s="221" t="s">
        <v>2335</v>
      </c>
      <c r="E99" s="196" t="s">
        <v>2336</v>
      </c>
      <c r="F99" s="229">
        <v>0.5</v>
      </c>
      <c r="G99" s="224">
        <v>240</v>
      </c>
      <c r="H99" s="208">
        <f>ROUND(F99*G99,2)</f>
        <v>120</v>
      </c>
    </row>
    <row r="100" spans="1:9" s="176" customFormat="1" ht="21.95" customHeight="1">
      <c r="A100" s="196"/>
      <c r="B100" s="242"/>
      <c r="C100" s="218"/>
      <c r="D100" s="222" t="s">
        <v>2291</v>
      </c>
      <c r="E100" s="278">
        <v>0</v>
      </c>
      <c r="F100" s="279"/>
      <c r="G100" s="280"/>
      <c r="H100" s="281">
        <f>SUM(H94:H99)*E100</f>
        <v>0</v>
      </c>
    </row>
    <row r="101" spans="1:9">
      <c r="A101" s="196"/>
      <c r="B101" s="242"/>
      <c r="C101" s="218"/>
      <c r="D101" s="221" t="s">
        <v>2337</v>
      </c>
      <c r="E101" s="196"/>
      <c r="F101" s="196"/>
      <c r="G101" s="196"/>
      <c r="H101" s="277">
        <f>SUM(H93:H100)</f>
        <v>2244</v>
      </c>
    </row>
    <row r="102" spans="1:9" ht="14.25" customHeight="1">
      <c r="A102" s="196"/>
      <c r="B102" s="256"/>
      <c r="C102" s="282"/>
      <c r="D102" s="273" t="s">
        <v>2338</v>
      </c>
      <c r="E102" s="282"/>
      <c r="F102" s="255"/>
      <c r="G102" s="255"/>
      <c r="H102" s="283">
        <f>H101/1600</f>
        <v>1.4025000000000001</v>
      </c>
      <c r="I102" s="267" t="s">
        <v>2318</v>
      </c>
    </row>
    <row r="103" spans="1:9" ht="14.25" hidden="1" customHeight="1">
      <c r="A103" s="196"/>
      <c r="B103" s="242"/>
      <c r="C103" s="218"/>
      <c r="D103" s="226"/>
      <c r="E103" s="218"/>
      <c r="F103" s="196"/>
      <c r="G103" s="196"/>
      <c r="H103" s="277"/>
    </row>
    <row r="104" spans="1:9" ht="14.25" hidden="1" customHeight="1">
      <c r="A104" s="196"/>
      <c r="B104" s="242"/>
      <c r="C104" s="218"/>
      <c r="D104" s="226"/>
      <c r="E104" s="218"/>
      <c r="F104" s="196"/>
      <c r="G104" s="196"/>
      <c r="H104" s="277"/>
    </row>
    <row r="105" spans="1:9" ht="14.25" hidden="1" customHeight="1">
      <c r="A105" s="196"/>
      <c r="B105" s="242"/>
      <c r="C105" s="218"/>
      <c r="D105" s="226"/>
      <c r="E105" s="218"/>
      <c r="F105" s="196"/>
      <c r="G105" s="196"/>
      <c r="H105" s="277"/>
    </row>
    <row r="106" spans="1:9" ht="14.25" hidden="1" customHeight="1">
      <c r="A106" s="196"/>
      <c r="B106" s="242"/>
      <c r="C106" s="218"/>
      <c r="D106" s="226"/>
      <c r="E106" s="218"/>
      <c r="F106" s="196"/>
      <c r="G106" s="196"/>
      <c r="H106" s="277"/>
    </row>
    <row r="107" spans="1:9" ht="14.25" hidden="1" customHeight="1">
      <c r="A107" s="196"/>
      <c r="B107" s="242"/>
      <c r="C107" s="218"/>
      <c r="D107" s="226"/>
      <c r="E107" s="218"/>
      <c r="F107" s="196"/>
      <c r="G107" s="196"/>
      <c r="H107" s="277"/>
    </row>
    <row r="108" spans="1:9" ht="14.25" hidden="1" customHeight="1">
      <c r="A108" s="196"/>
      <c r="B108" s="242"/>
      <c r="C108" s="218"/>
      <c r="D108" s="226"/>
      <c r="E108" s="218"/>
      <c r="F108" s="196"/>
      <c r="G108" s="196"/>
      <c r="H108" s="277"/>
    </row>
    <row r="109" spans="1:9" ht="14.25" hidden="1" customHeight="1">
      <c r="A109" s="196"/>
      <c r="B109" s="242"/>
      <c r="C109" s="218"/>
      <c r="D109" s="226"/>
      <c r="E109" s="218"/>
      <c r="F109" s="196"/>
      <c r="G109" s="196"/>
      <c r="H109" s="277"/>
    </row>
    <row r="110" spans="1:9" ht="14.25" hidden="1" customHeight="1">
      <c r="A110" s="196"/>
      <c r="B110" s="242"/>
      <c r="C110" s="218"/>
      <c r="D110" s="226"/>
      <c r="E110" s="218"/>
      <c r="F110" s="196"/>
      <c r="G110" s="196"/>
      <c r="H110" s="277"/>
    </row>
    <row r="111" spans="1:9" ht="14.25" hidden="1" customHeight="1">
      <c r="A111" s="196"/>
      <c r="B111" s="242"/>
      <c r="C111" s="218"/>
      <c r="D111" s="226"/>
      <c r="E111" s="218"/>
      <c r="F111" s="196"/>
      <c r="G111" s="196"/>
      <c r="H111" s="277"/>
    </row>
    <row r="112" spans="1:9" ht="14.25" hidden="1" customHeight="1">
      <c r="A112" s="196"/>
      <c r="B112" s="242"/>
      <c r="C112" s="218"/>
      <c r="D112" s="226"/>
      <c r="E112" s="218"/>
      <c r="F112" s="196"/>
      <c r="G112" s="196"/>
      <c r="H112" s="277"/>
    </row>
    <row r="113" spans="1:8" ht="14.25" hidden="1" customHeight="1">
      <c r="A113" s="196"/>
      <c r="B113" s="242"/>
      <c r="C113" s="218"/>
      <c r="D113" s="226"/>
      <c r="E113" s="218"/>
      <c r="F113" s="196"/>
      <c r="G113" s="196"/>
      <c r="H113" s="277"/>
    </row>
    <row r="114" spans="1:8" ht="14.25" hidden="1" customHeight="1">
      <c r="A114" s="196"/>
      <c r="B114" s="242"/>
      <c r="C114" s="218"/>
      <c r="D114" s="226"/>
      <c r="E114" s="218"/>
      <c r="F114" s="196"/>
      <c r="G114" s="196"/>
      <c r="H114" s="277"/>
    </row>
    <row r="115" spans="1:8" ht="14.25" hidden="1" customHeight="1">
      <c r="A115" s="196"/>
      <c r="B115" s="242"/>
      <c r="C115" s="218"/>
      <c r="D115" s="226"/>
      <c r="E115" s="218"/>
      <c r="F115" s="196"/>
      <c r="G115" s="196"/>
      <c r="H115" s="277"/>
    </row>
    <row r="116" spans="1:8" ht="14.25" hidden="1" customHeight="1">
      <c r="A116" s="196"/>
      <c r="B116" s="242"/>
      <c r="C116" s="218"/>
      <c r="D116" s="226"/>
      <c r="E116" s="218"/>
      <c r="F116" s="196"/>
      <c r="G116" s="196"/>
      <c r="H116" s="277"/>
    </row>
    <row r="117" spans="1:8" ht="14.25" hidden="1" customHeight="1">
      <c r="A117" s="196"/>
      <c r="B117" s="242"/>
      <c r="C117" s="218"/>
      <c r="D117" s="226"/>
      <c r="E117" s="218"/>
      <c r="F117" s="196"/>
      <c r="G117" s="196"/>
      <c r="H117" s="277"/>
    </row>
    <row r="118" spans="1:8" ht="14.25" hidden="1" customHeight="1">
      <c r="A118" s="196"/>
      <c r="B118" s="242"/>
      <c r="C118" s="218"/>
      <c r="D118" s="226"/>
      <c r="E118" s="218"/>
      <c r="F118" s="196"/>
      <c r="G118" s="196"/>
      <c r="H118" s="277"/>
    </row>
    <row r="119" spans="1:8" ht="14.25" hidden="1" customHeight="1">
      <c r="A119" s="237"/>
      <c r="B119" s="284"/>
      <c r="C119" s="285"/>
      <c r="D119" s="286"/>
      <c r="E119" s="285"/>
      <c r="F119" s="237"/>
      <c r="G119" s="237"/>
      <c r="H119" s="287"/>
    </row>
    <row r="120" spans="1:8" ht="14.25" customHeight="1">
      <c r="A120" s="4008" t="s">
        <v>2339</v>
      </c>
      <c r="B120" s="4008"/>
      <c r="C120" s="4008"/>
      <c r="D120" s="4008"/>
      <c r="E120" s="4008"/>
      <c r="F120" s="4008"/>
      <c r="G120" s="4008"/>
      <c r="H120" s="4008"/>
    </row>
    <row r="121" spans="1:8" ht="13.5" customHeight="1">
      <c r="A121" s="4016" t="s">
        <v>2340</v>
      </c>
      <c r="B121" s="219">
        <f>B86+1</f>
        <v>6</v>
      </c>
      <c r="C121" s="275"/>
      <c r="D121" s="226" t="s">
        <v>2341</v>
      </c>
      <c r="E121" s="196"/>
      <c r="F121" s="196"/>
      <c r="G121" s="196"/>
      <c r="H121" s="224"/>
    </row>
    <row r="122" spans="1:8" ht="14.25" customHeight="1">
      <c r="A122" s="4016"/>
      <c r="B122" s="242"/>
      <c r="C122" s="218" t="s">
        <v>781</v>
      </c>
      <c r="D122" s="226" t="s">
        <v>2342</v>
      </c>
      <c r="E122" s="196"/>
      <c r="F122" s="196"/>
      <c r="G122" s="196"/>
      <c r="H122" s="224"/>
    </row>
    <row r="123" spans="1:8" ht="120.95" customHeight="1">
      <c r="A123" s="196"/>
      <c r="B123" s="242"/>
      <c r="C123" s="218"/>
      <c r="D123" s="4006" t="s">
        <v>2343</v>
      </c>
      <c r="E123" s="4006"/>
      <c r="F123" s="4006"/>
      <c r="G123" s="4006"/>
      <c r="H123" s="224"/>
    </row>
    <row r="124" spans="1:8">
      <c r="A124" s="196"/>
      <c r="B124" s="242"/>
      <c r="C124" s="218"/>
      <c r="D124" s="288" t="s">
        <v>2344</v>
      </c>
      <c r="E124" s="196"/>
      <c r="F124" s="196"/>
      <c r="G124" s="196"/>
      <c r="H124" s="224"/>
    </row>
    <row r="125" spans="1:8">
      <c r="A125" s="196"/>
      <c r="B125" s="242"/>
      <c r="C125" s="218"/>
      <c r="D125" s="288" t="s">
        <v>2345</v>
      </c>
      <c r="E125" s="196"/>
      <c r="F125" s="196"/>
      <c r="G125" s="196"/>
      <c r="H125" s="224"/>
    </row>
    <row r="126" spans="1:8" ht="16.899999999999999" customHeight="1">
      <c r="A126" s="196"/>
      <c r="B126" s="242"/>
      <c r="C126" s="218"/>
      <c r="D126" s="226" t="s">
        <v>2346</v>
      </c>
      <c r="E126" s="196"/>
      <c r="F126" s="196"/>
      <c r="G126" s="196"/>
      <c r="H126" s="224"/>
    </row>
    <row r="127" spans="1:8">
      <c r="A127" s="196"/>
      <c r="B127" s="242"/>
      <c r="C127" s="218"/>
      <c r="D127" s="221" t="s">
        <v>2347</v>
      </c>
      <c r="E127" s="196" t="s">
        <v>31</v>
      </c>
      <c r="F127" s="289">
        <v>0.126</v>
      </c>
      <c r="G127" s="290">
        <f>H37</f>
        <v>209.3</v>
      </c>
      <c r="H127" s="208">
        <f>ROUND(F127*G127,2)</f>
        <v>26.37</v>
      </c>
    </row>
    <row r="128" spans="1:8" ht="22.5" customHeight="1">
      <c r="A128" s="196"/>
      <c r="B128" s="242"/>
      <c r="C128" s="218"/>
      <c r="D128" s="226" t="s">
        <v>2348</v>
      </c>
      <c r="E128" s="196"/>
      <c r="F128" s="289"/>
      <c r="G128" s="196"/>
      <c r="H128" s="224"/>
    </row>
    <row r="129" spans="1:8" ht="24" customHeight="1">
      <c r="A129" s="196"/>
      <c r="B129" s="242"/>
      <c r="C129" s="218"/>
      <c r="D129" s="221" t="s">
        <v>2349</v>
      </c>
      <c r="E129" s="196" t="s">
        <v>31</v>
      </c>
      <c r="F129" s="289">
        <v>0.126</v>
      </c>
      <c r="G129" s="290">
        <f>H64</f>
        <v>5069.33</v>
      </c>
      <c r="H129" s="208">
        <f>ROUND(F129*G129,2)</f>
        <v>638.74</v>
      </c>
    </row>
    <row r="130" spans="1:8" ht="42" customHeight="1">
      <c r="A130" s="196"/>
      <c r="B130" s="242"/>
      <c r="C130" s="218"/>
      <c r="D130" s="226" t="s">
        <v>2350</v>
      </c>
      <c r="E130" s="218"/>
      <c r="F130" s="289"/>
      <c r="G130" s="196"/>
      <c r="H130" s="224"/>
    </row>
    <row r="131" spans="1:8">
      <c r="A131" s="196"/>
      <c r="B131" s="242"/>
      <c r="C131" s="218"/>
      <c r="D131" s="221" t="s">
        <v>2351</v>
      </c>
      <c r="E131" s="269" t="s">
        <v>963</v>
      </c>
      <c r="F131" s="269">
        <v>0.46</v>
      </c>
      <c r="G131" s="290">
        <f>H226</f>
        <v>122.36690000000002</v>
      </c>
      <c r="H131" s="208">
        <f>ROUND(F131*G131,2)</f>
        <v>56.29</v>
      </c>
    </row>
    <row r="132" spans="1:8">
      <c r="A132" s="196"/>
      <c r="B132" s="242"/>
      <c r="C132" s="218"/>
      <c r="D132" s="226" t="s">
        <v>2352</v>
      </c>
      <c r="E132" s="196"/>
      <c r="F132" s="196"/>
      <c r="G132" s="233"/>
      <c r="H132" s="270"/>
    </row>
    <row r="133" spans="1:8">
      <c r="A133" s="196"/>
      <c r="B133" s="242"/>
      <c r="C133" s="218"/>
      <c r="D133" s="288" t="s">
        <v>14</v>
      </c>
      <c r="E133" s="269" t="s">
        <v>38</v>
      </c>
      <c r="F133" s="269" t="s">
        <v>384</v>
      </c>
      <c r="G133" s="196"/>
      <c r="H133" s="224"/>
    </row>
    <row r="134" spans="1:8">
      <c r="A134" s="196"/>
      <c r="B134" s="242"/>
      <c r="C134" s="218"/>
      <c r="D134" s="288" t="s">
        <v>1209</v>
      </c>
      <c r="E134" s="269" t="s">
        <v>38</v>
      </c>
      <c r="F134" s="269">
        <v>0.26</v>
      </c>
      <c r="G134" s="292">
        <f>+G96</f>
        <v>575</v>
      </c>
      <c r="H134" s="208">
        <f>ROUND(F134*G134,2)</f>
        <v>149.5</v>
      </c>
    </row>
    <row r="135" spans="1:8">
      <c r="A135" s="196"/>
      <c r="B135" s="242"/>
      <c r="C135" s="218"/>
      <c r="D135" s="231" t="str">
        <f>$B$8</f>
        <v>Muncipal AAllowance/Area Allowance @ 0%</v>
      </c>
      <c r="E135" s="232">
        <f>$F$8</f>
        <v>0</v>
      </c>
      <c r="F135" s="229"/>
      <c r="G135" s="208"/>
      <c r="H135" s="208">
        <f>SUM(H132:H134)*E135</f>
        <v>0</v>
      </c>
    </row>
    <row r="136" spans="1:8">
      <c r="A136" s="196"/>
      <c r="B136" s="242"/>
      <c r="C136" s="218"/>
      <c r="D136" s="226" t="s">
        <v>2334</v>
      </c>
      <c r="E136" s="269"/>
      <c r="F136" s="269"/>
      <c r="G136" s="196"/>
      <c r="H136" s="224"/>
    </row>
    <row r="137" spans="1:8">
      <c r="A137" s="196"/>
      <c r="B137" s="242"/>
      <c r="C137" s="218"/>
      <c r="D137" s="288" t="s">
        <v>2353</v>
      </c>
      <c r="E137" s="269"/>
      <c r="F137" s="269"/>
      <c r="G137" s="196"/>
      <c r="H137" s="224"/>
    </row>
    <row r="138" spans="1:8" ht="25.5">
      <c r="A138" s="196"/>
      <c r="B138" s="242"/>
      <c r="C138" s="218"/>
      <c r="D138" s="288" t="s">
        <v>2354</v>
      </c>
      <c r="E138" s="269" t="s">
        <v>2288</v>
      </c>
      <c r="F138" s="269">
        <v>12.4</v>
      </c>
      <c r="G138" s="269">
        <f>lead!$K$38</f>
        <v>61</v>
      </c>
      <c r="H138" s="208">
        <f>ROUND(F138*G138,2)</f>
        <v>756.4</v>
      </c>
    </row>
    <row r="139" spans="1:8" ht="25.5">
      <c r="A139" s="196"/>
      <c r="B139" s="242"/>
      <c r="C139" s="218"/>
      <c r="D139" s="288" t="s">
        <v>2355</v>
      </c>
      <c r="E139" s="269" t="s">
        <v>2288</v>
      </c>
      <c r="F139" s="269">
        <v>1.06</v>
      </c>
      <c r="G139" s="269">
        <f>G138</f>
        <v>61</v>
      </c>
      <c r="H139" s="208">
        <f>ROUND(F139*G139,2)</f>
        <v>64.66</v>
      </c>
    </row>
    <row r="140" spans="1:8" ht="48.95" customHeight="1">
      <c r="A140" s="196"/>
      <c r="B140" s="242"/>
      <c r="C140" s="218"/>
      <c r="D140" s="4022" t="s">
        <v>2356</v>
      </c>
      <c r="E140" s="4022"/>
      <c r="F140" s="196"/>
      <c r="G140" s="196"/>
      <c r="H140" s="224">
        <f>SUM(H138:H139)*3%</f>
        <v>24.631799999999998</v>
      </c>
    </row>
    <row r="141" spans="1:8" ht="46.5" customHeight="1">
      <c r="A141" s="196"/>
      <c r="B141" s="242"/>
      <c r="C141" s="218"/>
      <c r="D141" s="4022" t="s">
        <v>2357</v>
      </c>
      <c r="E141" s="4022"/>
      <c r="F141" s="196"/>
      <c r="G141" s="196"/>
      <c r="H141" s="224"/>
    </row>
    <row r="142" spans="1:8" hidden="1">
      <c r="A142" s="196"/>
      <c r="B142" s="242"/>
      <c r="C142" s="218"/>
      <c r="D142" s="221" t="s">
        <v>2358</v>
      </c>
      <c r="E142" s="196" t="s">
        <v>963</v>
      </c>
      <c r="F142" s="269">
        <v>0.35</v>
      </c>
      <c r="G142" s="196"/>
      <c r="H142" s="277"/>
    </row>
    <row r="143" spans="1:8" hidden="1">
      <c r="A143" s="196"/>
      <c r="B143" s="242"/>
      <c r="C143" s="218"/>
      <c r="D143" s="221" t="s">
        <v>2359</v>
      </c>
      <c r="E143" s="196"/>
      <c r="F143" s="269"/>
      <c r="G143" s="196"/>
      <c r="H143" s="277"/>
    </row>
    <row r="144" spans="1:8" hidden="1">
      <c r="A144" s="196"/>
      <c r="B144" s="242"/>
      <c r="C144" s="218"/>
      <c r="D144" s="221" t="s">
        <v>2360</v>
      </c>
      <c r="E144" s="196" t="s">
        <v>963</v>
      </c>
      <c r="F144" s="293">
        <v>0.156</v>
      </c>
      <c r="G144" s="196"/>
      <c r="H144" s="277"/>
    </row>
    <row r="145" spans="1:11" hidden="1">
      <c r="A145" s="196"/>
      <c r="B145" s="242"/>
      <c r="C145" s="218"/>
      <c r="D145" s="221" t="s">
        <v>2359</v>
      </c>
      <c r="E145" s="196"/>
      <c r="F145" s="269"/>
      <c r="G145" s="196"/>
      <c r="H145" s="277"/>
    </row>
    <row r="146" spans="1:11" hidden="1">
      <c r="A146" s="196"/>
      <c r="B146" s="242"/>
      <c r="C146" s="218"/>
      <c r="D146" s="221" t="s">
        <v>2361</v>
      </c>
      <c r="E146" s="196" t="s">
        <v>963</v>
      </c>
      <c r="F146" s="289">
        <v>0.28299999999999997</v>
      </c>
      <c r="G146" s="196"/>
      <c r="H146" s="277"/>
    </row>
    <row r="147" spans="1:11" hidden="1">
      <c r="A147" s="196"/>
      <c r="B147" s="242"/>
      <c r="C147" s="218"/>
      <c r="D147" s="221" t="s">
        <v>2359</v>
      </c>
      <c r="E147" s="196"/>
      <c r="F147" s="289"/>
      <c r="G147" s="196"/>
      <c r="H147" s="277"/>
    </row>
    <row r="148" spans="1:11" hidden="1">
      <c r="A148" s="196"/>
      <c r="B148" s="242"/>
      <c r="C148" s="218"/>
      <c r="D148" s="221" t="s">
        <v>2362</v>
      </c>
      <c r="E148" s="196" t="s">
        <v>963</v>
      </c>
      <c r="F148" s="269">
        <v>0.48</v>
      </c>
      <c r="G148" s="196"/>
      <c r="H148" s="277"/>
    </row>
    <row r="149" spans="1:11" hidden="1">
      <c r="A149" s="196"/>
      <c r="B149" s="242"/>
      <c r="C149" s="218"/>
      <c r="D149" s="221" t="s">
        <v>2359</v>
      </c>
      <c r="E149" s="196"/>
      <c r="F149" s="269"/>
      <c r="G149" s="196"/>
      <c r="H149" s="277"/>
    </row>
    <row r="150" spans="1:11" hidden="1">
      <c r="A150" s="196"/>
      <c r="B150" s="242"/>
      <c r="C150" s="218"/>
      <c r="D150" s="221" t="s">
        <v>2363</v>
      </c>
      <c r="E150" s="196" t="s">
        <v>963</v>
      </c>
      <c r="F150" s="269">
        <v>0.27</v>
      </c>
      <c r="G150" s="196"/>
      <c r="H150" s="277"/>
    </row>
    <row r="151" spans="1:11" hidden="1">
      <c r="A151" s="196"/>
      <c r="B151" s="242"/>
      <c r="C151" s="218"/>
      <c r="D151" s="221" t="s">
        <v>2359</v>
      </c>
      <c r="E151" s="196"/>
      <c r="F151" s="269"/>
      <c r="G151" s="196"/>
      <c r="H151" s="224"/>
    </row>
    <row r="152" spans="1:11">
      <c r="A152" s="196"/>
      <c r="B152" s="242"/>
      <c r="C152" s="218"/>
      <c r="D152" s="294" t="s">
        <v>2364</v>
      </c>
      <c r="E152" s="196" t="s">
        <v>191</v>
      </c>
      <c r="F152" s="269">
        <f>0.36*0.0015*7850</f>
        <v>4.2389999999999999</v>
      </c>
      <c r="G152" s="269">
        <f>G139</f>
        <v>61</v>
      </c>
      <c r="H152" s="208">
        <f>ROUND(F152*G152,2)</f>
        <v>258.58</v>
      </c>
    </row>
    <row r="153" spans="1:11">
      <c r="A153" s="196"/>
      <c r="B153" s="242"/>
      <c r="C153" s="218"/>
      <c r="D153" s="294" t="s">
        <v>2365</v>
      </c>
      <c r="E153" s="196" t="s">
        <v>963</v>
      </c>
      <c r="F153" s="295">
        <v>0.36</v>
      </c>
      <c r="G153" s="196"/>
      <c r="H153" s="277"/>
      <c r="K153" s="185">
        <f>0.9*0.9*0.5</f>
        <v>0.40500000000000003</v>
      </c>
    </row>
    <row r="154" spans="1:11" hidden="1">
      <c r="A154" s="196"/>
      <c r="B154" s="242"/>
      <c r="C154" s="218"/>
      <c r="D154" s="221" t="s">
        <v>2359</v>
      </c>
      <c r="E154" s="196"/>
      <c r="F154" s="269"/>
      <c r="G154" s="196"/>
      <c r="H154" s="277"/>
    </row>
    <row r="155" spans="1:11" hidden="1">
      <c r="A155" s="196"/>
      <c r="B155" s="242"/>
      <c r="C155" s="218"/>
      <c r="D155" s="221" t="s">
        <v>2366</v>
      </c>
      <c r="E155" s="196" t="s">
        <v>963</v>
      </c>
      <c r="F155" s="293">
        <v>0.67200000000000004</v>
      </c>
      <c r="G155" s="196"/>
      <c r="H155" s="277"/>
    </row>
    <row r="156" spans="1:11">
      <c r="A156" s="196"/>
      <c r="B156" s="242"/>
      <c r="C156" s="218"/>
      <c r="D156" s="226" t="s">
        <v>2076</v>
      </c>
      <c r="E156" s="196"/>
      <c r="F156" s="269"/>
      <c r="G156" s="196"/>
      <c r="H156" s="224"/>
    </row>
    <row r="157" spans="1:11">
      <c r="A157" s="196"/>
      <c r="B157" s="242"/>
      <c r="C157" s="218"/>
      <c r="D157" s="221" t="s">
        <v>2367</v>
      </c>
      <c r="E157" s="196" t="s">
        <v>23</v>
      </c>
      <c r="F157" s="269">
        <v>0.08</v>
      </c>
      <c r="G157" s="224">
        <f>+'SSR-rates'!L70</f>
        <v>512</v>
      </c>
      <c r="H157" s="208">
        <f>ROUND(F157*G157,2)</f>
        <v>40.96</v>
      </c>
    </row>
    <row r="158" spans="1:11" s="176" customFormat="1" ht="15" customHeight="1">
      <c r="A158" s="196"/>
      <c r="B158" s="242"/>
      <c r="C158" s="218"/>
      <c r="D158" s="296" t="s">
        <v>2368</v>
      </c>
      <c r="E158" s="297">
        <f>$F$6</f>
        <v>0.13614999999999999</v>
      </c>
      <c r="F158" s="298"/>
      <c r="G158" s="299"/>
      <c r="H158" s="300">
        <f>SUM(H127:H157)*E158</f>
        <v>274.49634457000002</v>
      </c>
    </row>
    <row r="159" spans="1:11" s="176" customFormat="1" ht="15" customHeight="1">
      <c r="A159" s="196"/>
      <c r="B159" s="242"/>
      <c r="C159" s="218"/>
      <c r="D159" s="296" t="s">
        <v>1314</v>
      </c>
      <c r="E159" s="297">
        <f>$F$7</f>
        <v>0</v>
      </c>
      <c r="F159" s="298"/>
      <c r="G159" s="299"/>
      <c r="H159" s="300">
        <f>SUM(H128:H158)*E159</f>
        <v>0</v>
      </c>
    </row>
    <row r="160" spans="1:11" ht="17.25" customHeight="1">
      <c r="A160" s="301"/>
      <c r="B160" s="302"/>
      <c r="C160" s="303"/>
      <c r="D160" s="304" t="s">
        <v>2369</v>
      </c>
      <c r="E160" s="301"/>
      <c r="F160" s="301"/>
      <c r="G160" s="301"/>
      <c r="H160" s="305">
        <f>SUM(H127:H159)</f>
        <v>2290.6281445700001</v>
      </c>
      <c r="I160" s="267" t="s">
        <v>2318</v>
      </c>
    </row>
    <row r="161" spans="1:8" ht="32.25" customHeight="1">
      <c r="A161" s="196"/>
      <c r="B161" s="242"/>
      <c r="C161" s="218"/>
      <c r="D161" s="4018" t="s">
        <v>2370</v>
      </c>
      <c r="E161" s="4019"/>
      <c r="F161" s="4019"/>
      <c r="G161" s="4019"/>
      <c r="H161" s="4019"/>
    </row>
    <row r="162" spans="1:8" ht="36.75" customHeight="1">
      <c r="A162" s="196"/>
      <c r="B162" s="242"/>
      <c r="C162" s="218"/>
      <c r="D162" s="4018" t="s">
        <v>2371</v>
      </c>
      <c r="E162" s="4019"/>
      <c r="F162" s="4019"/>
      <c r="G162" s="4019"/>
      <c r="H162" s="4019"/>
    </row>
    <row r="163" spans="1:8" ht="45" customHeight="1">
      <c r="A163" s="196"/>
      <c r="B163" s="242"/>
      <c r="C163" s="218"/>
      <c r="D163" s="4018" t="s">
        <v>2372</v>
      </c>
      <c r="E163" s="4019"/>
      <c r="F163" s="4019"/>
      <c r="G163" s="4019"/>
      <c r="H163" s="4019"/>
    </row>
    <row r="164" spans="1:8" ht="32.25" customHeight="1">
      <c r="A164" s="218" t="s">
        <v>2373</v>
      </c>
      <c r="B164" s="219">
        <f>B121+1</f>
        <v>7</v>
      </c>
      <c r="C164" s="275"/>
      <c r="D164" s="4020" t="s">
        <v>2374</v>
      </c>
      <c r="E164" s="4020"/>
      <c r="F164" s="4020"/>
      <c r="G164" s="4020"/>
      <c r="H164" s="4020"/>
    </row>
    <row r="165" spans="1:8" ht="23.1" customHeight="1">
      <c r="A165" s="196"/>
      <c r="B165" s="242"/>
      <c r="C165" s="218" t="s">
        <v>781</v>
      </c>
      <c r="D165" s="226" t="s">
        <v>2375</v>
      </c>
      <c r="E165" s="218"/>
      <c r="F165" s="196"/>
      <c r="G165" s="196"/>
      <c r="H165" s="224"/>
    </row>
    <row r="166" spans="1:8" ht="30.75" customHeight="1">
      <c r="A166" s="196"/>
      <c r="B166" s="242"/>
      <c r="C166" s="218"/>
      <c r="D166" s="306" t="s">
        <v>2376</v>
      </c>
      <c r="E166" s="232"/>
      <c r="F166" s="196"/>
      <c r="G166" s="196"/>
      <c r="H166" s="224"/>
    </row>
    <row r="167" spans="1:8" ht="146.1" customHeight="1">
      <c r="A167" s="196"/>
      <c r="B167" s="242"/>
      <c r="C167" s="218"/>
      <c r="D167" s="4006" t="s">
        <v>2377</v>
      </c>
      <c r="E167" s="4006"/>
      <c r="F167" s="4006"/>
      <c r="G167" s="4006"/>
      <c r="H167" s="224"/>
    </row>
    <row r="168" spans="1:8">
      <c r="A168" s="196"/>
      <c r="B168" s="242"/>
      <c r="C168" s="218"/>
      <c r="D168" s="288" t="s">
        <v>2378</v>
      </c>
      <c r="E168" s="196"/>
      <c r="F168" s="196"/>
      <c r="G168" s="196"/>
      <c r="H168" s="224"/>
    </row>
    <row r="169" spans="1:8">
      <c r="A169" s="196"/>
      <c r="B169" s="242"/>
      <c r="C169" s="218"/>
      <c r="D169" s="288" t="s">
        <v>2379</v>
      </c>
      <c r="E169" s="196"/>
      <c r="F169" s="196"/>
      <c r="G169" s="196"/>
      <c r="H169" s="224"/>
    </row>
    <row r="170" spans="1:8">
      <c r="A170" s="196"/>
      <c r="B170" s="242"/>
      <c r="C170" s="218"/>
      <c r="D170" s="226" t="s">
        <v>2346</v>
      </c>
      <c r="E170" s="196"/>
      <c r="F170" s="196"/>
      <c r="G170" s="196"/>
      <c r="H170" s="224"/>
    </row>
    <row r="171" spans="1:8">
      <c r="A171" s="196"/>
      <c r="B171" s="242"/>
      <c r="C171" s="218"/>
      <c r="D171" s="221" t="s">
        <v>2347</v>
      </c>
      <c r="E171" s="196" t="s">
        <v>31</v>
      </c>
      <c r="F171" s="289">
        <v>0.126</v>
      </c>
      <c r="G171" s="277">
        <f>H37</f>
        <v>209.3</v>
      </c>
      <c r="H171" s="208">
        <f>ROUND(F171*G171,2)</f>
        <v>26.37</v>
      </c>
    </row>
    <row r="172" spans="1:8" ht="21.75" customHeight="1">
      <c r="A172" s="196"/>
      <c r="B172" s="242"/>
      <c r="C172" s="218"/>
      <c r="D172" s="226" t="s">
        <v>2348</v>
      </c>
      <c r="E172" s="196"/>
      <c r="F172" s="289"/>
      <c r="G172" s="196"/>
      <c r="H172" s="277"/>
    </row>
    <row r="173" spans="1:8" ht="29.25" customHeight="1">
      <c r="A173" s="196"/>
      <c r="B173" s="242"/>
      <c r="C173" s="218"/>
      <c r="D173" s="221" t="s">
        <v>2349</v>
      </c>
      <c r="E173" s="196" t="s">
        <v>31</v>
      </c>
      <c r="F173" s="289">
        <v>0.126</v>
      </c>
      <c r="G173" s="277">
        <f>H64</f>
        <v>5069.33</v>
      </c>
      <c r="H173" s="208">
        <f>ROUND(F173*G173,2)</f>
        <v>638.74</v>
      </c>
    </row>
    <row r="174" spans="1:8" ht="48.75" customHeight="1">
      <c r="A174" s="196"/>
      <c r="B174" s="242"/>
      <c r="C174" s="218"/>
      <c r="D174" s="306" t="s">
        <v>2380</v>
      </c>
      <c r="E174" s="218"/>
      <c r="F174" s="269"/>
      <c r="G174" s="196"/>
      <c r="H174" s="224"/>
    </row>
    <row r="175" spans="1:8">
      <c r="A175" s="196"/>
      <c r="B175" s="242"/>
      <c r="C175" s="218"/>
      <c r="D175" s="288" t="s">
        <v>2381</v>
      </c>
      <c r="E175" s="269" t="s">
        <v>963</v>
      </c>
      <c r="F175" s="269">
        <v>0.59</v>
      </c>
      <c r="G175" s="277">
        <f>H226</f>
        <v>122.36690000000002</v>
      </c>
      <c r="H175" s="208">
        <f>ROUND(F175*G175,2)</f>
        <v>72.2</v>
      </c>
    </row>
    <row r="176" spans="1:8">
      <c r="A176" s="196"/>
      <c r="B176" s="242"/>
      <c r="C176" s="218"/>
      <c r="D176" s="226" t="s">
        <v>2352</v>
      </c>
      <c r="E176" s="196"/>
      <c r="F176" s="269"/>
      <c r="G176" s="196"/>
      <c r="H176" s="224"/>
    </row>
    <row r="177" spans="1:11">
      <c r="A177" s="196"/>
      <c r="B177" s="242"/>
      <c r="C177" s="218"/>
      <c r="D177" s="221" t="s">
        <v>14</v>
      </c>
      <c r="E177" s="196" t="s">
        <v>38</v>
      </c>
      <c r="F177" s="269" t="s">
        <v>384</v>
      </c>
      <c r="G177" s="196"/>
      <c r="H177" s="224"/>
    </row>
    <row r="178" spans="1:11">
      <c r="A178" s="196"/>
      <c r="B178" s="242"/>
      <c r="C178" s="218"/>
      <c r="D178" s="288" t="s">
        <v>1209</v>
      </c>
      <c r="E178" s="196" t="s">
        <v>38</v>
      </c>
      <c r="F178" s="269">
        <v>0.26</v>
      </c>
      <c r="G178" s="224">
        <f>+G96</f>
        <v>575</v>
      </c>
      <c r="H178" s="208">
        <f>ROUND(F178*G178,2)</f>
        <v>149.5</v>
      </c>
    </row>
    <row r="179" spans="1:11">
      <c r="A179" s="196"/>
      <c r="B179" s="242"/>
      <c r="C179" s="218"/>
      <c r="D179" s="231" t="str">
        <f>$B$8</f>
        <v>Muncipal AAllowance/Area Allowance @ 0%</v>
      </c>
      <c r="E179" s="232">
        <f>$F$8</f>
        <v>0</v>
      </c>
      <c r="F179" s="229"/>
      <c r="G179" s="208"/>
      <c r="H179" s="208">
        <f>SUM(H176:H178)*E179</f>
        <v>0</v>
      </c>
    </row>
    <row r="180" spans="1:11">
      <c r="A180" s="196"/>
      <c r="B180" s="242"/>
      <c r="C180" s="218"/>
      <c r="D180" s="226" t="s">
        <v>2334</v>
      </c>
      <c r="E180" s="196"/>
      <c r="F180" s="269"/>
      <c r="G180" s="196"/>
      <c r="H180" s="224"/>
    </row>
    <row r="181" spans="1:11">
      <c r="A181" s="196"/>
      <c r="B181" s="242"/>
      <c r="C181" s="218"/>
      <c r="D181" s="288" t="s">
        <v>2382</v>
      </c>
      <c r="E181" s="196"/>
      <c r="F181" s="269"/>
      <c r="G181" s="196"/>
      <c r="H181" s="224"/>
    </row>
    <row r="182" spans="1:11" ht="25.5">
      <c r="A182" s="196"/>
      <c r="B182" s="242"/>
      <c r="C182" s="218"/>
      <c r="D182" s="288" t="s">
        <v>2383</v>
      </c>
      <c r="E182" s="269" t="s">
        <v>2288</v>
      </c>
      <c r="F182" s="269">
        <v>12.4</v>
      </c>
      <c r="G182" s="269">
        <f>lead!$K$38</f>
        <v>61</v>
      </c>
      <c r="H182" s="208">
        <f>ROUND(F182*G182,2)</f>
        <v>756.4</v>
      </c>
    </row>
    <row r="183" spans="1:11" ht="33.75" customHeight="1">
      <c r="A183" s="237"/>
      <c r="B183" s="284"/>
      <c r="C183" s="285"/>
      <c r="D183" s="307" t="s">
        <v>2384</v>
      </c>
      <c r="E183" s="308" t="s">
        <v>2288</v>
      </c>
      <c r="F183" s="308">
        <v>1.06</v>
      </c>
      <c r="G183" s="308">
        <f>G182</f>
        <v>61</v>
      </c>
      <c r="H183" s="309">
        <f>ROUND(F183*G183,2)</f>
        <v>64.66</v>
      </c>
    </row>
    <row r="184" spans="1:11" ht="88.5" customHeight="1">
      <c r="A184" s="196"/>
      <c r="B184" s="242"/>
      <c r="C184" s="218"/>
      <c r="D184" s="288" t="s">
        <v>2385</v>
      </c>
      <c r="E184" s="269" t="s">
        <v>963</v>
      </c>
      <c r="F184" s="269">
        <v>0.9</v>
      </c>
      <c r="G184" s="196"/>
      <c r="H184" s="277"/>
    </row>
    <row r="185" spans="1:11" ht="20.25" customHeight="1">
      <c r="A185" s="196"/>
      <c r="B185" s="242"/>
      <c r="C185" s="218"/>
      <c r="D185" s="288" t="s">
        <v>2386</v>
      </c>
      <c r="E185" s="269" t="s">
        <v>191</v>
      </c>
      <c r="F185" s="269">
        <f>0.9*0.002*7850</f>
        <v>14.13</v>
      </c>
      <c r="G185" s="269">
        <f>G183</f>
        <v>61</v>
      </c>
      <c r="H185" s="208">
        <f>ROUND(F185*G185,2)</f>
        <v>861.93</v>
      </c>
      <c r="K185" s="185">
        <f>0.9*0.002*7850</f>
        <v>14.13</v>
      </c>
    </row>
    <row r="186" spans="1:11" ht="33.75" customHeight="1">
      <c r="A186" s="196"/>
      <c r="B186" s="242"/>
      <c r="C186" s="218"/>
      <c r="D186" s="288" t="s">
        <v>2387</v>
      </c>
      <c r="E186" s="269"/>
      <c r="F186" s="269"/>
      <c r="G186" s="196"/>
      <c r="H186" s="300">
        <f>H185*3%</f>
        <v>25.857899999999997</v>
      </c>
      <c r="K186" s="185">
        <f>0.9/1</f>
        <v>0.9</v>
      </c>
    </row>
    <row r="187" spans="1:11">
      <c r="A187" s="196"/>
      <c r="B187" s="242"/>
      <c r="C187" s="218"/>
      <c r="D187" s="226" t="s">
        <v>2076</v>
      </c>
      <c r="E187" s="269"/>
      <c r="F187" s="269"/>
      <c r="G187" s="196"/>
      <c r="H187" s="224"/>
    </row>
    <row r="188" spans="1:11">
      <c r="A188" s="196"/>
      <c r="B188" s="242"/>
      <c r="C188" s="218"/>
      <c r="D188" s="221" t="s">
        <v>2367</v>
      </c>
      <c r="E188" s="196" t="s">
        <v>23</v>
      </c>
      <c r="F188" s="269">
        <v>0.08</v>
      </c>
      <c r="G188" s="224">
        <f>+G157</f>
        <v>512</v>
      </c>
      <c r="H188" s="208">
        <f>ROUND(F188*G188,2)</f>
        <v>40.96</v>
      </c>
    </row>
    <row r="189" spans="1:11" s="176" customFormat="1" ht="21" customHeight="1">
      <c r="A189" s="196"/>
      <c r="B189" s="242"/>
      <c r="C189" s="218"/>
      <c r="D189" s="296" t="s">
        <v>2368</v>
      </c>
      <c r="E189" s="297">
        <f>$F$6</f>
        <v>0.13614999999999999</v>
      </c>
      <c r="F189" s="298"/>
      <c r="G189" s="299"/>
      <c r="H189" s="300">
        <f>SUM(H171:H188)*E189</f>
        <v>358.97552708500001</v>
      </c>
    </row>
    <row r="190" spans="1:11" s="176" customFormat="1" ht="21" customHeight="1">
      <c r="A190" s="196"/>
      <c r="B190" s="242"/>
      <c r="C190" s="218"/>
      <c r="D190" s="296" t="s">
        <v>1314</v>
      </c>
      <c r="E190" s="297">
        <f>$F$7</f>
        <v>0</v>
      </c>
      <c r="F190" s="298"/>
      <c r="G190" s="299"/>
      <c r="H190" s="300">
        <f>SUM(H159:H189)*E190</f>
        <v>0</v>
      </c>
    </row>
    <row r="191" spans="1:11" ht="24.75" customHeight="1">
      <c r="A191" s="196"/>
      <c r="B191" s="242"/>
      <c r="C191" s="218"/>
      <c r="D191" s="221" t="s">
        <v>2388</v>
      </c>
      <c r="E191" s="196"/>
      <c r="F191" s="196"/>
      <c r="G191" s="196"/>
      <c r="H191" s="277">
        <f>SUM(H171:H189)</f>
        <v>2995.5934270850003</v>
      </c>
    </row>
    <row r="192" spans="1:11" ht="39" customHeight="1">
      <c r="A192" s="255"/>
      <c r="B192" s="256"/>
      <c r="C192" s="282"/>
      <c r="D192" s="273" t="s">
        <v>2389</v>
      </c>
      <c r="E192" s="255"/>
      <c r="F192" s="255"/>
      <c r="G192" s="255"/>
      <c r="H192" s="283">
        <f>H191/1</f>
        <v>2995.5934270850003</v>
      </c>
      <c r="I192" s="267" t="s">
        <v>2318</v>
      </c>
    </row>
    <row r="193" spans="1:8" ht="35.25" customHeight="1">
      <c r="A193" s="218" t="s">
        <v>2390</v>
      </c>
      <c r="B193" s="219">
        <f>B164+1</f>
        <v>8</v>
      </c>
      <c r="C193" s="275"/>
      <c r="D193" s="4021" t="s">
        <v>2391</v>
      </c>
      <c r="E193" s="4021"/>
      <c r="F193" s="4021"/>
      <c r="G193" s="4021"/>
      <c r="H193" s="224"/>
    </row>
    <row r="194" spans="1:8" ht="63" customHeight="1">
      <c r="A194" s="196"/>
      <c r="B194" s="219"/>
      <c r="C194" s="227" t="s">
        <v>557</v>
      </c>
      <c r="D194" s="4006" t="s">
        <v>2392</v>
      </c>
      <c r="E194" s="4006"/>
      <c r="F194" s="4006"/>
      <c r="G194" s="4006"/>
      <c r="H194" s="224"/>
    </row>
    <row r="195" spans="1:8">
      <c r="A195" s="196"/>
      <c r="B195" s="242"/>
      <c r="C195" s="218"/>
      <c r="D195" s="221" t="s">
        <v>1206</v>
      </c>
      <c r="E195" s="196"/>
      <c r="F195" s="196"/>
      <c r="G195" s="196"/>
      <c r="H195" s="224"/>
    </row>
    <row r="196" spans="1:8">
      <c r="A196" s="196"/>
      <c r="B196" s="242"/>
      <c r="C196" s="218"/>
      <c r="D196" s="221" t="s">
        <v>2393</v>
      </c>
      <c r="E196" s="196"/>
      <c r="F196" s="196"/>
      <c r="G196" s="196"/>
      <c r="H196" s="224"/>
    </row>
    <row r="197" spans="1:8">
      <c r="A197" s="196"/>
      <c r="B197" s="242"/>
      <c r="C197" s="218"/>
      <c r="D197" s="228" t="s">
        <v>2298</v>
      </c>
      <c r="E197" s="196"/>
      <c r="F197" s="196"/>
      <c r="G197" s="196"/>
      <c r="H197" s="224"/>
    </row>
    <row r="198" spans="1:8">
      <c r="A198" s="196"/>
      <c r="B198" s="242"/>
      <c r="C198" s="218"/>
      <c r="D198" s="221" t="s">
        <v>14</v>
      </c>
      <c r="E198" s="196" t="s">
        <v>38</v>
      </c>
      <c r="F198" s="229" t="s">
        <v>384</v>
      </c>
      <c r="G198" s="224"/>
      <c r="H198" s="277"/>
    </row>
    <row r="199" spans="1:8">
      <c r="A199" s="196"/>
      <c r="B199" s="242"/>
      <c r="C199" s="218"/>
      <c r="D199" s="221" t="s">
        <v>2394</v>
      </c>
      <c r="E199" s="196" t="s">
        <v>38</v>
      </c>
      <c r="F199" s="229">
        <v>3</v>
      </c>
      <c r="G199" s="224">
        <f>+G94</f>
        <v>740</v>
      </c>
      <c r="H199" s="208">
        <f>ROUND(F199*G199,2)</f>
        <v>2220</v>
      </c>
    </row>
    <row r="200" spans="1:8">
      <c r="A200" s="196"/>
      <c r="B200" s="242"/>
      <c r="C200" s="218"/>
      <c r="D200" s="221" t="s">
        <v>2333</v>
      </c>
      <c r="E200" s="196" t="s">
        <v>38</v>
      </c>
      <c r="F200" s="229"/>
      <c r="G200" s="196"/>
      <c r="H200" s="277"/>
    </row>
    <row r="201" spans="1:8">
      <c r="A201" s="196"/>
      <c r="B201" s="242"/>
      <c r="C201" s="218"/>
      <c r="D201" s="221" t="s">
        <v>1209</v>
      </c>
      <c r="E201" s="196" t="s">
        <v>38</v>
      </c>
      <c r="F201" s="229">
        <v>2.2000000000000002</v>
      </c>
      <c r="G201" s="224">
        <f>+G178</f>
        <v>575</v>
      </c>
      <c r="H201" s="208">
        <f>ROUND(F201*G201,2)</f>
        <v>1265</v>
      </c>
    </row>
    <row r="202" spans="1:8">
      <c r="A202" s="196"/>
      <c r="B202" s="242"/>
      <c r="C202" s="218"/>
      <c r="D202" s="231" t="str">
        <f>$B$8</f>
        <v>Muncipal AAllowance/Area Allowance @ 0%</v>
      </c>
      <c r="E202" s="232">
        <f>$F$8</f>
        <v>0</v>
      </c>
      <c r="F202" s="229"/>
      <c r="G202" s="208"/>
      <c r="H202" s="208">
        <f>SUM(H199:H201)*E202</f>
        <v>0</v>
      </c>
    </row>
    <row r="203" spans="1:8">
      <c r="A203" s="196"/>
      <c r="B203" s="242"/>
      <c r="C203" s="218"/>
      <c r="D203" s="226" t="s">
        <v>2334</v>
      </c>
      <c r="E203" s="196"/>
      <c r="F203" s="229"/>
      <c r="G203" s="196"/>
      <c r="H203" s="224"/>
    </row>
    <row r="204" spans="1:8">
      <c r="A204" s="196"/>
      <c r="B204" s="242"/>
      <c r="C204" s="218"/>
      <c r="D204" s="221" t="s">
        <v>2395</v>
      </c>
      <c r="E204" s="196" t="s">
        <v>2336</v>
      </c>
      <c r="F204" s="229">
        <v>3</v>
      </c>
      <c r="G204" s="224">
        <v>172</v>
      </c>
      <c r="H204" s="208">
        <f>ROUND(F204*G204,2)</f>
        <v>516</v>
      </c>
    </row>
    <row r="205" spans="1:8" ht="27.75" customHeight="1">
      <c r="A205" s="196"/>
      <c r="B205" s="242"/>
      <c r="C205" s="218"/>
      <c r="D205" s="221" t="s">
        <v>2396</v>
      </c>
      <c r="E205" s="196" t="s">
        <v>2336</v>
      </c>
      <c r="F205" s="229">
        <v>6</v>
      </c>
      <c r="G205" s="224">
        <v>240</v>
      </c>
      <c r="H205" s="208">
        <f>ROUND(F205*G205,2)</f>
        <v>1440</v>
      </c>
    </row>
    <row r="206" spans="1:8" ht="15.75" customHeight="1">
      <c r="A206" s="196"/>
      <c r="B206" s="242"/>
      <c r="C206" s="218"/>
      <c r="D206" s="221" t="s">
        <v>2397</v>
      </c>
      <c r="E206" s="196"/>
      <c r="F206" s="233"/>
      <c r="G206" s="233"/>
      <c r="H206" s="270"/>
    </row>
    <row r="207" spans="1:8" ht="12.75" customHeight="1">
      <c r="A207" s="196"/>
      <c r="B207" s="242"/>
      <c r="C207" s="218"/>
      <c r="D207" s="221" t="s">
        <v>2398</v>
      </c>
      <c r="E207" s="196"/>
      <c r="F207" s="310"/>
      <c r="G207" s="196"/>
      <c r="H207" s="224"/>
    </row>
    <row r="208" spans="1:8" s="176" customFormat="1" ht="13.5" customHeight="1">
      <c r="A208" s="196"/>
      <c r="B208" s="242"/>
      <c r="C208" s="218"/>
      <c r="D208" s="222" t="s">
        <v>2291</v>
      </c>
      <c r="E208" s="195"/>
      <c r="F208" s="279"/>
      <c r="G208" s="280"/>
      <c r="H208" s="281"/>
    </row>
    <row r="209" spans="1:9">
      <c r="A209" s="196"/>
      <c r="B209" s="242"/>
      <c r="C209" s="218"/>
      <c r="D209" s="221" t="s">
        <v>2399</v>
      </c>
      <c r="E209" s="196"/>
      <c r="F209" s="310"/>
      <c r="G209" s="220"/>
      <c r="H209" s="224">
        <f>SUM(H198:H208)</f>
        <v>5441</v>
      </c>
    </row>
    <row r="210" spans="1:9" ht="12.75" customHeight="1">
      <c r="A210" s="255"/>
      <c r="B210" s="256"/>
      <c r="C210" s="282"/>
      <c r="D210" s="273" t="s">
        <v>2400</v>
      </c>
      <c r="E210" s="255"/>
      <c r="F210" s="255"/>
      <c r="G210" s="311"/>
      <c r="H210" s="312">
        <f>H209/40</f>
        <v>136.02500000000001</v>
      </c>
      <c r="I210" s="267" t="s">
        <v>2318</v>
      </c>
    </row>
    <row r="211" spans="1:9" ht="30" customHeight="1">
      <c r="A211" s="4017" t="s">
        <v>2401</v>
      </c>
      <c r="B211" s="219">
        <f>B193+1</f>
        <v>9</v>
      </c>
      <c r="C211" s="275"/>
      <c r="D211" s="226" t="s">
        <v>2402</v>
      </c>
      <c r="E211" s="196"/>
      <c r="F211" s="196"/>
      <c r="G211" s="196"/>
      <c r="H211" s="224"/>
    </row>
    <row r="212" spans="1:9" ht="61.5" customHeight="1">
      <c r="A212" s="4017"/>
      <c r="B212" s="219"/>
      <c r="C212" s="227"/>
      <c r="D212" s="4013" t="s">
        <v>2403</v>
      </c>
      <c r="E212" s="4013"/>
      <c r="F212" s="4013"/>
      <c r="G212" s="4013"/>
      <c r="H212" s="224"/>
    </row>
    <row r="213" spans="1:9">
      <c r="A213" s="237"/>
      <c r="B213" s="284"/>
      <c r="C213" s="285"/>
      <c r="D213" s="313" t="s">
        <v>1206</v>
      </c>
      <c r="E213" s="237"/>
      <c r="F213" s="237"/>
      <c r="G213" s="237"/>
      <c r="H213" s="314"/>
    </row>
    <row r="214" spans="1:9">
      <c r="A214" s="196"/>
      <c r="B214" s="242"/>
      <c r="C214" s="218"/>
      <c r="D214" s="221" t="s">
        <v>2404</v>
      </c>
      <c r="E214" s="196"/>
      <c r="F214" s="196"/>
      <c r="G214" s="196"/>
      <c r="H214" s="224"/>
    </row>
    <row r="215" spans="1:9">
      <c r="A215" s="196"/>
      <c r="B215" s="242"/>
      <c r="C215" s="218"/>
      <c r="D215" s="228" t="s">
        <v>2298</v>
      </c>
      <c r="E215" s="196"/>
      <c r="F215" s="196"/>
      <c r="G215" s="196"/>
      <c r="H215" s="224"/>
    </row>
    <row r="216" spans="1:9">
      <c r="A216" s="196"/>
      <c r="B216" s="242"/>
      <c r="C216" s="218"/>
      <c r="D216" s="221" t="s">
        <v>14</v>
      </c>
      <c r="E216" s="196" t="s">
        <v>38</v>
      </c>
      <c r="F216" s="229" t="s">
        <v>384</v>
      </c>
      <c r="G216" s="224"/>
      <c r="H216" s="277"/>
    </row>
    <row r="217" spans="1:9">
      <c r="A217" s="196"/>
      <c r="B217" s="242"/>
      <c r="C217" s="218"/>
      <c r="D217" s="221" t="s">
        <v>2394</v>
      </c>
      <c r="E217" s="196" t="s">
        <v>38</v>
      </c>
      <c r="F217" s="229">
        <v>0.6</v>
      </c>
      <c r="G217" s="224">
        <f>+G199</f>
        <v>740</v>
      </c>
      <c r="H217" s="208">
        <f>ROUND(F217*G217,2)</f>
        <v>444</v>
      </c>
    </row>
    <row r="218" spans="1:9">
      <c r="A218" s="196"/>
      <c r="B218" s="242"/>
      <c r="C218" s="218"/>
      <c r="D218" s="221" t="s">
        <v>1209</v>
      </c>
      <c r="E218" s="196" t="s">
        <v>38</v>
      </c>
      <c r="F218" s="229">
        <v>0.65</v>
      </c>
      <c r="G218" s="224">
        <f>+G201</f>
        <v>575</v>
      </c>
      <c r="H218" s="208">
        <f>ROUND(F218*G218,2)</f>
        <v>373.75</v>
      </c>
    </row>
    <row r="219" spans="1:9">
      <c r="A219" s="196"/>
      <c r="B219" s="242"/>
      <c r="C219" s="218"/>
      <c r="D219" s="231" t="str">
        <f>$B$8</f>
        <v>Muncipal AAllowance/Area Allowance @ 0%</v>
      </c>
      <c r="E219" s="232">
        <f>$F$8</f>
        <v>0</v>
      </c>
      <c r="F219" s="229"/>
      <c r="G219" s="208"/>
      <c r="H219" s="208">
        <f>SUM(H216:H218)*E219</f>
        <v>0</v>
      </c>
    </row>
    <row r="220" spans="1:9">
      <c r="A220" s="196"/>
      <c r="B220" s="242"/>
      <c r="C220" s="218"/>
      <c r="D220" s="226" t="s">
        <v>2334</v>
      </c>
      <c r="E220" s="196"/>
      <c r="F220" s="229"/>
      <c r="G220" s="196"/>
      <c r="H220" s="224"/>
    </row>
    <row r="221" spans="1:9">
      <c r="A221" s="196"/>
      <c r="B221" s="242"/>
      <c r="C221" s="218"/>
      <c r="D221" s="221" t="s">
        <v>2405</v>
      </c>
      <c r="E221" s="196" t="s">
        <v>2336</v>
      </c>
      <c r="F221" s="229">
        <v>0.6</v>
      </c>
      <c r="G221" s="224">
        <f>'SSR-rates'!$L$120</f>
        <v>149</v>
      </c>
      <c r="H221" s="208">
        <f>ROUND(F221*G221,2)</f>
        <v>89.4</v>
      </c>
    </row>
    <row r="222" spans="1:9">
      <c r="A222" s="196"/>
      <c r="B222" s="242"/>
      <c r="C222" s="218"/>
      <c r="D222" s="221" t="s">
        <v>2406</v>
      </c>
      <c r="E222" s="196" t="s">
        <v>2336</v>
      </c>
      <c r="F222" s="229">
        <v>1.25</v>
      </c>
      <c r="G222" s="224">
        <f>'SSR-rates'!$L$121</f>
        <v>250</v>
      </c>
      <c r="H222" s="208">
        <f>ROUND(F222*G222,2)</f>
        <v>312.5</v>
      </c>
    </row>
    <row r="223" spans="1:9" ht="31.5" customHeight="1">
      <c r="A223" s="196"/>
      <c r="B223" s="242"/>
      <c r="C223" s="218"/>
      <c r="D223" s="221" t="s">
        <v>2407</v>
      </c>
      <c r="E223" s="196"/>
      <c r="F223" s="196"/>
      <c r="G223" s="196"/>
      <c r="H223" s="299">
        <f>SUM(H221:H222)*1%</f>
        <v>4.0190000000000001</v>
      </c>
    </row>
    <row r="224" spans="1:9" s="176" customFormat="1" ht="13.5" customHeight="1">
      <c r="A224" s="196"/>
      <c r="B224" s="242"/>
      <c r="C224" s="218"/>
      <c r="D224" s="222" t="s">
        <v>2291</v>
      </c>
      <c r="E224" s="195"/>
      <c r="F224" s="279"/>
      <c r="G224" s="280"/>
      <c r="H224" s="281"/>
    </row>
    <row r="225" spans="1:9">
      <c r="A225" s="196"/>
      <c r="B225" s="242"/>
      <c r="C225" s="218"/>
      <c r="D225" s="221" t="s">
        <v>2408</v>
      </c>
      <c r="E225" s="196"/>
      <c r="F225" s="196"/>
      <c r="G225" s="196"/>
      <c r="H225" s="277">
        <f>SUM(H217:H224)</f>
        <v>1223.6690000000001</v>
      </c>
    </row>
    <row r="226" spans="1:9" ht="14.25" customHeight="1">
      <c r="A226" s="315"/>
      <c r="B226" s="256"/>
      <c r="C226" s="282"/>
      <c r="D226" s="273" t="s">
        <v>2409</v>
      </c>
      <c r="E226" s="255"/>
      <c r="F226" s="255"/>
      <c r="G226" s="255"/>
      <c r="H226" s="283">
        <f>H225/10</f>
        <v>122.36690000000002</v>
      </c>
      <c r="I226" s="267" t="s">
        <v>2318</v>
      </c>
    </row>
    <row r="227" spans="1:9" ht="14.25" customHeight="1">
      <c r="A227" s="315"/>
      <c r="B227" s="256"/>
      <c r="C227" s="282"/>
      <c r="D227" s="273"/>
      <c r="E227" s="255"/>
      <c r="F227" s="255"/>
      <c r="G227" s="255"/>
      <c r="H227" s="283"/>
      <c r="I227" s="267"/>
    </row>
    <row r="228" spans="1:9" ht="14.25" customHeight="1">
      <c r="A228" s="315"/>
      <c r="B228" s="256"/>
      <c r="C228" s="282"/>
      <c r="D228" s="273"/>
      <c r="E228" s="255"/>
      <c r="F228" s="255"/>
      <c r="G228" s="255"/>
      <c r="H228" s="283"/>
      <c r="I228" s="267"/>
    </row>
    <row r="229" spans="1:9" ht="14.25" customHeight="1">
      <c r="A229" s="315"/>
      <c r="B229" s="256"/>
      <c r="C229" s="282"/>
      <c r="D229" s="273"/>
      <c r="E229" s="255"/>
      <c r="F229" s="255"/>
      <c r="G229" s="255"/>
      <c r="H229" s="283"/>
      <c r="I229" s="267"/>
    </row>
    <row r="230" spans="1:9" ht="20.25" customHeight="1">
      <c r="A230" s="4017" t="s">
        <v>2410</v>
      </c>
      <c r="B230" s="219">
        <f>B211+1</f>
        <v>10</v>
      </c>
      <c r="C230" s="275"/>
      <c r="D230" s="226" t="s">
        <v>2411</v>
      </c>
      <c r="E230" s="196"/>
      <c r="F230" s="196"/>
      <c r="G230" s="196"/>
      <c r="H230" s="224"/>
    </row>
    <row r="231" spans="1:9" ht="60" customHeight="1">
      <c r="A231" s="4017"/>
      <c r="B231" s="219"/>
      <c r="C231" s="227"/>
      <c r="D231" s="4006" t="s">
        <v>2412</v>
      </c>
      <c r="E231" s="4006"/>
      <c r="F231" s="4006"/>
      <c r="G231" s="4006"/>
      <c r="H231" s="224"/>
    </row>
    <row r="232" spans="1:9">
      <c r="A232" s="196"/>
      <c r="B232" s="242"/>
      <c r="C232" s="218" t="s">
        <v>2413</v>
      </c>
      <c r="D232" s="226" t="s">
        <v>2414</v>
      </c>
      <c r="E232" s="196"/>
      <c r="F232" s="196"/>
      <c r="G232" s="196"/>
      <c r="H232" s="224"/>
    </row>
    <row r="233" spans="1:9">
      <c r="A233" s="196"/>
      <c r="B233" s="242"/>
      <c r="C233" s="218"/>
      <c r="D233" s="221" t="s">
        <v>2378</v>
      </c>
      <c r="E233" s="196"/>
      <c r="F233" s="196"/>
      <c r="G233" s="196"/>
      <c r="H233" s="224"/>
    </row>
    <row r="234" spans="1:9">
      <c r="A234" s="196"/>
      <c r="B234" s="242"/>
      <c r="C234" s="218"/>
      <c r="D234" s="221" t="s">
        <v>2415</v>
      </c>
      <c r="E234" s="196"/>
      <c r="F234" s="196"/>
      <c r="G234" s="196"/>
      <c r="H234" s="224"/>
    </row>
    <row r="235" spans="1:9">
      <c r="A235" s="196"/>
      <c r="B235" s="242"/>
      <c r="C235" s="218"/>
      <c r="D235" s="221" t="s">
        <v>2416</v>
      </c>
      <c r="E235" s="196"/>
      <c r="F235" s="196"/>
      <c r="G235" s="196"/>
      <c r="H235" s="224"/>
    </row>
    <row r="236" spans="1:9">
      <c r="A236" s="196"/>
      <c r="B236" s="242"/>
      <c r="C236" s="218"/>
      <c r="D236" s="221" t="s">
        <v>2417</v>
      </c>
      <c r="E236" s="196" t="s">
        <v>31</v>
      </c>
      <c r="F236" s="229">
        <v>2.35</v>
      </c>
      <c r="G236" s="277">
        <f>H64</f>
        <v>5069.33</v>
      </c>
      <c r="H236" s="208">
        <f>ROUND(F236*G236,2)</f>
        <v>11912.93</v>
      </c>
    </row>
    <row r="237" spans="1:9">
      <c r="A237" s="196"/>
      <c r="B237" s="242"/>
      <c r="C237" s="218"/>
      <c r="D237" s="221" t="s">
        <v>2418</v>
      </c>
      <c r="E237" s="196"/>
      <c r="F237" s="196"/>
      <c r="G237" s="196"/>
      <c r="H237" s="224"/>
    </row>
    <row r="238" spans="1:9" ht="21" customHeight="1">
      <c r="A238" s="196"/>
      <c r="B238" s="242"/>
      <c r="C238" s="218"/>
      <c r="D238" s="221" t="s">
        <v>2419</v>
      </c>
      <c r="E238" s="196" t="s">
        <v>2288</v>
      </c>
      <c r="F238" s="229">
        <v>22.08</v>
      </c>
      <c r="G238" s="277">
        <f>H21/1000</f>
        <v>56.908000000000001</v>
      </c>
      <c r="H238" s="208">
        <f>ROUND(F238*G238,2)</f>
        <v>1256.53</v>
      </c>
    </row>
    <row r="239" spans="1:9" ht="20.25" customHeight="1">
      <c r="A239" s="196"/>
      <c r="B239" s="242"/>
      <c r="C239" s="218"/>
      <c r="D239" s="221" t="s">
        <v>2420</v>
      </c>
      <c r="E239" s="196"/>
      <c r="F239" s="196"/>
      <c r="G239" s="196"/>
      <c r="H239" s="224"/>
    </row>
    <row r="240" spans="1:9" ht="19.5" customHeight="1">
      <c r="A240" s="196"/>
      <c r="B240" s="242"/>
      <c r="C240" s="218"/>
      <c r="D240" s="221" t="s">
        <v>2347</v>
      </c>
      <c r="E240" s="196" t="s">
        <v>31</v>
      </c>
      <c r="F240" s="229">
        <v>1.68</v>
      </c>
      <c r="G240" s="277">
        <f>H37</f>
        <v>209.3</v>
      </c>
      <c r="H240" s="208">
        <f>ROUND(F240*G240,2)</f>
        <v>351.62</v>
      </c>
    </row>
    <row r="241" spans="1:9">
      <c r="A241" s="196"/>
      <c r="B241" s="242"/>
      <c r="C241" s="218"/>
      <c r="D241" s="221" t="s">
        <v>2421</v>
      </c>
      <c r="E241" s="196"/>
      <c r="F241" s="196"/>
      <c r="G241" s="196"/>
      <c r="H241" s="224"/>
    </row>
    <row r="242" spans="1:9" ht="23.25" customHeight="1">
      <c r="A242" s="196"/>
      <c r="B242" s="242"/>
      <c r="C242" s="218"/>
      <c r="D242" s="221" t="s">
        <v>2422</v>
      </c>
      <c r="E242" s="196" t="s">
        <v>963</v>
      </c>
      <c r="F242" s="229">
        <v>9.85</v>
      </c>
      <c r="G242" s="277">
        <f>H210</f>
        <v>136.02500000000001</v>
      </c>
      <c r="H242" s="208">
        <f>ROUND(F242*G242,2)</f>
        <v>1339.85</v>
      </c>
    </row>
    <row r="243" spans="1:9" ht="31.5" customHeight="1">
      <c r="A243" s="196"/>
      <c r="B243" s="242"/>
      <c r="C243" s="218"/>
      <c r="D243" s="221" t="s">
        <v>2423</v>
      </c>
      <c r="E243" s="196"/>
      <c r="F243" s="196"/>
      <c r="G243" s="196"/>
      <c r="H243" s="224"/>
    </row>
    <row r="244" spans="1:9" ht="38.25">
      <c r="A244" s="196"/>
      <c r="B244" s="242"/>
      <c r="C244" s="218"/>
      <c r="D244" s="221" t="s">
        <v>2424</v>
      </c>
      <c r="E244" s="196" t="s">
        <v>2425</v>
      </c>
      <c r="F244" s="224">
        <v>1800</v>
      </c>
      <c r="G244" s="277">
        <f>H102</f>
        <v>1.4025000000000001</v>
      </c>
      <c r="H244" s="208">
        <f>ROUND(F244*G244,2)</f>
        <v>2524.5</v>
      </c>
    </row>
    <row r="245" spans="1:9">
      <c r="A245" s="196"/>
      <c r="B245" s="242"/>
      <c r="C245" s="218"/>
      <c r="D245" s="226" t="s">
        <v>2426</v>
      </c>
      <c r="E245" s="196"/>
      <c r="F245" s="196"/>
      <c r="G245" s="196"/>
      <c r="H245" s="224"/>
    </row>
    <row r="246" spans="1:9">
      <c r="A246" s="196"/>
      <c r="B246" s="242"/>
      <c r="C246" s="218"/>
      <c r="D246" s="228" t="s">
        <v>2427</v>
      </c>
      <c r="E246" s="196"/>
      <c r="F246" s="196"/>
      <c r="G246" s="196"/>
      <c r="H246" s="224"/>
    </row>
    <row r="247" spans="1:9">
      <c r="A247" s="196"/>
      <c r="B247" s="242"/>
      <c r="C247" s="218"/>
      <c r="D247" s="221" t="s">
        <v>14</v>
      </c>
      <c r="E247" s="196" t="s">
        <v>38</v>
      </c>
      <c r="F247" s="229" t="s">
        <v>384</v>
      </c>
      <c r="G247" s="224"/>
      <c r="H247" s="277"/>
    </row>
    <row r="248" spans="1:9">
      <c r="A248" s="196"/>
      <c r="B248" s="242"/>
      <c r="C248" s="218"/>
      <c r="D248" s="221" t="s">
        <v>2313</v>
      </c>
      <c r="E248" s="196" t="s">
        <v>38</v>
      </c>
      <c r="F248" s="229">
        <v>0.6</v>
      </c>
      <c r="G248" s="224">
        <f>+'SSR-rates'!L96</f>
        <v>645</v>
      </c>
      <c r="H248" s="208">
        <f>ROUND(F248*G248,2)</f>
        <v>387</v>
      </c>
    </row>
    <row r="249" spans="1:9">
      <c r="A249" s="196"/>
      <c r="B249" s="242"/>
      <c r="C249" s="218"/>
      <c r="D249" s="221" t="s">
        <v>1209</v>
      </c>
      <c r="E249" s="196" t="s">
        <v>38</v>
      </c>
      <c r="F249" s="229">
        <v>6.26</v>
      </c>
      <c r="G249" s="224">
        <f>+G218</f>
        <v>575</v>
      </c>
      <c r="H249" s="208">
        <f>ROUND(F249*G249,2)</f>
        <v>3599.5</v>
      </c>
    </row>
    <row r="250" spans="1:9">
      <c r="A250" s="196"/>
      <c r="B250" s="242"/>
      <c r="C250" s="218"/>
      <c r="D250" s="231" t="str">
        <f>$B$8</f>
        <v>Muncipal AAllowance/Area Allowance @ 0%</v>
      </c>
      <c r="E250" s="232">
        <f>$F$8</f>
        <v>0</v>
      </c>
      <c r="F250" s="229"/>
      <c r="G250" s="208"/>
      <c r="H250" s="208">
        <f>SUM(H247:H249)*E250</f>
        <v>0</v>
      </c>
    </row>
    <row r="251" spans="1:9">
      <c r="A251" s="196"/>
      <c r="B251" s="242"/>
      <c r="C251" s="218"/>
      <c r="D251" s="226" t="s">
        <v>2428</v>
      </c>
      <c r="E251" s="196"/>
      <c r="F251" s="229"/>
      <c r="G251" s="196"/>
      <c r="H251" s="224"/>
    </row>
    <row r="252" spans="1:9">
      <c r="A252" s="237"/>
      <c r="B252" s="284"/>
      <c r="C252" s="285"/>
      <c r="D252" s="313" t="s">
        <v>2429</v>
      </c>
      <c r="E252" s="237" t="s">
        <v>23</v>
      </c>
      <c r="F252" s="316">
        <v>6</v>
      </c>
      <c r="G252" s="316">
        <f>+G188</f>
        <v>512</v>
      </c>
      <c r="H252" s="309">
        <f>ROUND(F252*G252,2)</f>
        <v>3072</v>
      </c>
    </row>
    <row r="253" spans="1:9" s="176" customFormat="1" ht="18.600000000000001" customHeight="1">
      <c r="A253" s="196"/>
      <c r="B253" s="242"/>
      <c r="C253" s="218"/>
      <c r="D253" s="296" t="s">
        <v>2368</v>
      </c>
      <c r="E253" s="297">
        <f>$F$6</f>
        <v>0.13614999999999999</v>
      </c>
      <c r="F253" s="298"/>
      <c r="G253" s="299"/>
      <c r="H253" s="300">
        <f>SUM(H220:H252)*E253</f>
        <v>3566.5697291349998</v>
      </c>
    </row>
    <row r="254" spans="1:9" s="176" customFormat="1" ht="18.600000000000001" customHeight="1">
      <c r="A254" s="196"/>
      <c r="B254" s="242"/>
      <c r="C254" s="218"/>
      <c r="D254" s="296" t="s">
        <v>1314</v>
      </c>
      <c r="E254" s="297">
        <f>$F$7</f>
        <v>0</v>
      </c>
      <c r="F254" s="298"/>
      <c r="G254" s="299"/>
      <c r="H254" s="300">
        <f>SUM(H220:H253)*E254</f>
        <v>0</v>
      </c>
    </row>
    <row r="255" spans="1:9" ht="30" customHeight="1">
      <c r="A255" s="196"/>
      <c r="B255" s="242"/>
      <c r="C255" s="218"/>
      <c r="D255" s="221" t="s">
        <v>2430</v>
      </c>
      <c r="E255" s="196"/>
      <c r="F255" s="196"/>
      <c r="G255" s="196"/>
      <c r="H255" s="277"/>
    </row>
    <row r="256" spans="1:9" ht="21.75" customHeight="1">
      <c r="A256" s="255"/>
      <c r="B256" s="256"/>
      <c r="C256" s="282"/>
      <c r="D256" s="317" t="s">
        <v>2431</v>
      </c>
      <c r="E256" s="255"/>
      <c r="F256" s="255"/>
      <c r="G256" s="255"/>
      <c r="H256" s="283">
        <f>SUM(H236:H255)/6</f>
        <v>4668.4166215225005</v>
      </c>
      <c r="I256" s="267" t="s">
        <v>2318</v>
      </c>
    </row>
    <row r="257" spans="1:8" ht="27.75" customHeight="1">
      <c r="A257" s="196"/>
      <c r="B257" s="242"/>
      <c r="C257" s="218" t="s">
        <v>2327</v>
      </c>
      <c r="D257" s="226" t="s">
        <v>2432</v>
      </c>
      <c r="E257" s="196"/>
      <c r="F257" s="196"/>
      <c r="G257" s="196"/>
      <c r="H257" s="224"/>
    </row>
    <row r="258" spans="1:8">
      <c r="A258" s="196"/>
      <c r="B258" s="242"/>
      <c r="C258" s="218"/>
      <c r="D258" s="221" t="s">
        <v>2378</v>
      </c>
      <c r="E258" s="196"/>
      <c r="F258" s="196"/>
      <c r="G258" s="196"/>
      <c r="H258" s="224"/>
    </row>
    <row r="259" spans="1:8">
      <c r="A259" s="196"/>
      <c r="B259" s="242"/>
      <c r="C259" s="218"/>
      <c r="D259" s="221" t="s">
        <v>2433</v>
      </c>
      <c r="E259" s="196"/>
      <c r="F259" s="196"/>
      <c r="G259" s="196"/>
      <c r="H259" s="224"/>
    </row>
    <row r="260" spans="1:8">
      <c r="A260" s="196"/>
      <c r="B260" s="242"/>
      <c r="C260" s="218"/>
      <c r="D260" s="221" t="s">
        <v>2416</v>
      </c>
      <c r="E260" s="196"/>
      <c r="F260" s="196"/>
      <c r="G260" s="196"/>
      <c r="H260" s="224"/>
    </row>
    <row r="261" spans="1:8">
      <c r="A261" s="196"/>
      <c r="B261" s="242"/>
      <c r="C261" s="218"/>
      <c r="D261" s="221" t="s">
        <v>2417</v>
      </c>
      <c r="E261" s="196" t="s">
        <v>31</v>
      </c>
      <c r="F261" s="229">
        <v>3.77</v>
      </c>
      <c r="G261" s="277">
        <f>G236</f>
        <v>5069.33</v>
      </c>
      <c r="H261" s="208">
        <f>ROUND(F261*G261,2)</f>
        <v>19111.37</v>
      </c>
    </row>
    <row r="262" spans="1:8">
      <c r="A262" s="196"/>
      <c r="B262" s="242"/>
      <c r="C262" s="218"/>
      <c r="D262" s="221" t="s">
        <v>2418</v>
      </c>
      <c r="E262" s="196"/>
      <c r="F262" s="229"/>
      <c r="G262" s="196"/>
      <c r="H262" s="277"/>
    </row>
    <row r="263" spans="1:8" ht="18" customHeight="1">
      <c r="A263" s="196"/>
      <c r="B263" s="242"/>
      <c r="C263" s="218"/>
      <c r="D263" s="221" t="s">
        <v>2419</v>
      </c>
      <c r="E263" s="196" t="s">
        <v>2288</v>
      </c>
      <c r="F263" s="229">
        <v>26.32</v>
      </c>
      <c r="G263" s="277">
        <f>H21/1000</f>
        <v>56.908000000000001</v>
      </c>
      <c r="H263" s="208">
        <f>ROUND(F263*G263,2)</f>
        <v>1497.82</v>
      </c>
    </row>
    <row r="264" spans="1:8" ht="17.45" customHeight="1">
      <c r="A264" s="196"/>
      <c r="B264" s="242"/>
      <c r="C264" s="218"/>
      <c r="D264" s="221" t="s">
        <v>2420</v>
      </c>
      <c r="E264" s="196"/>
      <c r="F264" s="229"/>
      <c r="G264" s="196"/>
      <c r="H264" s="277"/>
    </row>
    <row r="265" spans="1:8">
      <c r="A265" s="196"/>
      <c r="B265" s="242"/>
      <c r="C265" s="218"/>
      <c r="D265" s="221" t="s">
        <v>2347</v>
      </c>
      <c r="E265" s="196" t="s">
        <v>31</v>
      </c>
      <c r="F265" s="229">
        <v>2.77</v>
      </c>
      <c r="G265" s="277">
        <f>H37</f>
        <v>209.3</v>
      </c>
      <c r="H265" s="208">
        <f>ROUND(F265*G265,2)</f>
        <v>579.76</v>
      </c>
    </row>
    <row r="266" spans="1:8">
      <c r="A266" s="196"/>
      <c r="B266" s="242"/>
      <c r="C266" s="218"/>
      <c r="D266" s="221" t="s">
        <v>2421</v>
      </c>
      <c r="E266" s="196"/>
      <c r="F266" s="229"/>
      <c r="G266" s="196"/>
      <c r="H266" s="277"/>
    </row>
    <row r="267" spans="1:8">
      <c r="A267" s="196"/>
      <c r="B267" s="242"/>
      <c r="C267" s="218"/>
      <c r="D267" s="221" t="s">
        <v>2422</v>
      </c>
      <c r="E267" s="196" t="s">
        <v>963</v>
      </c>
      <c r="F267" s="229">
        <v>11.41</v>
      </c>
      <c r="G267" s="277">
        <f>H210</f>
        <v>136.02500000000001</v>
      </c>
      <c r="H267" s="208">
        <f>ROUND(F267*G267,2)</f>
        <v>1552.05</v>
      </c>
    </row>
    <row r="268" spans="1:8" ht="25.5">
      <c r="A268" s="196"/>
      <c r="B268" s="242"/>
      <c r="C268" s="218"/>
      <c r="D268" s="221" t="s">
        <v>2434</v>
      </c>
      <c r="E268" s="196"/>
      <c r="F268" s="229"/>
      <c r="G268" s="196"/>
      <c r="H268" s="277"/>
    </row>
    <row r="269" spans="1:8" ht="38.25">
      <c r="A269" s="196"/>
      <c r="B269" s="242"/>
      <c r="C269" s="218"/>
      <c r="D269" s="221" t="s">
        <v>2424</v>
      </c>
      <c r="E269" s="196" t="s">
        <v>2425</v>
      </c>
      <c r="F269" s="224">
        <v>1680</v>
      </c>
      <c r="G269" s="277">
        <f>H102</f>
        <v>1.4025000000000001</v>
      </c>
      <c r="H269" s="208">
        <f>ROUND(F269*G269,2)</f>
        <v>2356.1999999999998</v>
      </c>
    </row>
    <row r="270" spans="1:8">
      <c r="A270" s="196"/>
      <c r="B270" s="242"/>
      <c r="C270" s="218"/>
      <c r="D270" s="226" t="s">
        <v>2426</v>
      </c>
      <c r="E270" s="196"/>
      <c r="F270" s="196"/>
      <c r="G270" s="196"/>
      <c r="H270" s="277"/>
    </row>
    <row r="271" spans="1:8">
      <c r="A271" s="196"/>
      <c r="B271" s="242"/>
      <c r="C271" s="218"/>
      <c r="D271" s="228" t="s">
        <v>2427</v>
      </c>
      <c r="E271" s="196"/>
      <c r="F271" s="196"/>
      <c r="G271" s="196"/>
      <c r="H271" s="277"/>
    </row>
    <row r="272" spans="1:8">
      <c r="A272" s="196"/>
      <c r="B272" s="242"/>
      <c r="C272" s="218"/>
      <c r="D272" s="221" t="s">
        <v>14</v>
      </c>
      <c r="E272" s="196" t="s">
        <v>38</v>
      </c>
      <c r="F272" s="229" t="s">
        <v>384</v>
      </c>
      <c r="G272" s="224"/>
      <c r="H272" s="277"/>
    </row>
    <row r="273" spans="1:9">
      <c r="A273" s="196"/>
      <c r="B273" s="242"/>
      <c r="C273" s="218"/>
      <c r="D273" s="221" t="s">
        <v>2313</v>
      </c>
      <c r="E273" s="196" t="s">
        <v>38</v>
      </c>
      <c r="F273" s="229">
        <v>1</v>
      </c>
      <c r="G273" s="224">
        <f>+G248</f>
        <v>645</v>
      </c>
      <c r="H273" s="208">
        <f>ROUND(F273*G273,2)</f>
        <v>645</v>
      </c>
    </row>
    <row r="274" spans="1:9">
      <c r="A274" s="196"/>
      <c r="B274" s="242"/>
      <c r="C274" s="218"/>
      <c r="D274" s="221" t="s">
        <v>1209</v>
      </c>
      <c r="E274" s="196" t="s">
        <v>38</v>
      </c>
      <c r="F274" s="229">
        <v>7.32</v>
      </c>
      <c r="G274" s="224">
        <f>+G249</f>
        <v>575</v>
      </c>
      <c r="H274" s="208">
        <f>ROUND(F274*G274,2)</f>
        <v>4209</v>
      </c>
    </row>
    <row r="275" spans="1:9">
      <c r="A275" s="196"/>
      <c r="B275" s="242"/>
      <c r="C275" s="218"/>
      <c r="D275" s="231" t="str">
        <f>$B$8</f>
        <v>Muncipal AAllowance/Area Allowance @ 0%</v>
      </c>
      <c r="E275" s="232">
        <f>$F$8</f>
        <v>0</v>
      </c>
      <c r="F275" s="229"/>
      <c r="G275" s="208"/>
      <c r="H275" s="208">
        <f>SUM(H272:H274)*E275</f>
        <v>0</v>
      </c>
    </row>
    <row r="276" spans="1:9">
      <c r="A276" s="196"/>
      <c r="B276" s="242"/>
      <c r="C276" s="218"/>
      <c r="D276" s="226" t="s">
        <v>2428</v>
      </c>
      <c r="E276" s="196"/>
      <c r="F276" s="229"/>
      <c r="G276" s="196"/>
      <c r="H276" s="277"/>
    </row>
    <row r="277" spans="1:9">
      <c r="A277" s="196"/>
      <c r="B277" s="242"/>
      <c r="C277" s="218"/>
      <c r="D277" s="221" t="s">
        <v>2429</v>
      </c>
      <c r="E277" s="196" t="s">
        <v>23</v>
      </c>
      <c r="F277" s="229">
        <v>6</v>
      </c>
      <c r="G277" s="229">
        <f>+G252</f>
        <v>512</v>
      </c>
      <c r="H277" s="208">
        <f>ROUND(F277*G277,2)</f>
        <v>3072</v>
      </c>
    </row>
    <row r="278" spans="1:9" s="176" customFormat="1" ht="13.5" customHeight="1">
      <c r="A278" s="196"/>
      <c r="B278" s="242"/>
      <c r="C278" s="218"/>
      <c r="D278" s="296" t="s">
        <v>2368</v>
      </c>
      <c r="E278" s="297">
        <f>$F$6</f>
        <v>0.13614999999999999</v>
      </c>
      <c r="F278" s="298"/>
      <c r="G278" s="299"/>
      <c r="H278" s="300">
        <f>SUM(H261:H277)*E278</f>
        <v>4496.1086799999994</v>
      </c>
    </row>
    <row r="279" spans="1:9" s="176" customFormat="1" ht="13.5" customHeight="1">
      <c r="A279" s="196"/>
      <c r="B279" s="242"/>
      <c r="C279" s="218"/>
      <c r="D279" s="296" t="s">
        <v>1314</v>
      </c>
      <c r="E279" s="297">
        <f>$F$7</f>
        <v>0</v>
      </c>
      <c r="F279" s="298"/>
      <c r="G279" s="299"/>
      <c r="H279" s="300">
        <f>SUM(H248:H278)*E279</f>
        <v>0</v>
      </c>
    </row>
    <row r="280" spans="1:9" ht="12.75" customHeight="1">
      <c r="A280" s="196"/>
      <c r="B280" s="242"/>
      <c r="C280" s="218"/>
      <c r="D280" s="221" t="s">
        <v>2435</v>
      </c>
      <c r="E280" s="196"/>
      <c r="F280" s="196"/>
      <c r="G280" s="224"/>
      <c r="H280" s="277">
        <f>SUM(H261:H279)</f>
        <v>37519.308679999995</v>
      </c>
    </row>
    <row r="281" spans="1:9" ht="13.5" customHeight="1">
      <c r="A281" s="255"/>
      <c r="B281" s="256"/>
      <c r="C281" s="282"/>
      <c r="D281" s="317" t="s">
        <v>2436</v>
      </c>
      <c r="E281" s="255"/>
      <c r="F281" s="255"/>
      <c r="G281" s="255"/>
      <c r="H281" s="283">
        <f>H280/14</f>
        <v>2679.9506199999996</v>
      </c>
      <c r="I281" s="267" t="s">
        <v>2318</v>
      </c>
    </row>
    <row r="282" spans="1:9" ht="12.75" customHeight="1">
      <c r="A282" s="196"/>
      <c r="B282" s="242"/>
      <c r="C282" s="218" t="s">
        <v>2437</v>
      </c>
      <c r="D282" s="226" t="s">
        <v>2438</v>
      </c>
      <c r="E282" s="196"/>
      <c r="F282" s="196"/>
      <c r="G282" s="196"/>
      <c r="H282" s="224"/>
    </row>
    <row r="283" spans="1:9">
      <c r="A283" s="196"/>
      <c r="B283" s="242"/>
      <c r="C283" s="218"/>
      <c r="D283" s="221" t="s">
        <v>2378</v>
      </c>
      <c r="E283" s="196"/>
      <c r="F283" s="196"/>
      <c r="G283" s="196"/>
      <c r="H283" s="224"/>
    </row>
    <row r="284" spans="1:9">
      <c r="A284" s="196"/>
      <c r="B284" s="242"/>
      <c r="C284" s="218"/>
      <c r="D284" s="221" t="s">
        <v>2439</v>
      </c>
      <c r="E284" s="196"/>
      <c r="F284" s="196"/>
      <c r="G284" s="196"/>
      <c r="H284" s="224"/>
    </row>
    <row r="285" spans="1:9">
      <c r="A285" s="196"/>
      <c r="B285" s="242"/>
      <c r="C285" s="218"/>
      <c r="D285" s="221" t="s">
        <v>2416</v>
      </c>
      <c r="E285" s="196"/>
      <c r="F285" s="196"/>
      <c r="G285" s="196"/>
      <c r="H285" s="224"/>
    </row>
    <row r="286" spans="1:9">
      <c r="A286" s="196"/>
      <c r="B286" s="242"/>
      <c r="C286" s="218"/>
      <c r="D286" s="221" t="s">
        <v>2417</v>
      </c>
      <c r="E286" s="196" t="s">
        <v>31</v>
      </c>
      <c r="F286" s="229">
        <v>1.58</v>
      </c>
      <c r="G286" s="277">
        <f>G261</f>
        <v>5069.33</v>
      </c>
      <c r="H286" s="208">
        <f>ROUND(F286*G286,2)</f>
        <v>8009.54</v>
      </c>
    </row>
    <row r="287" spans="1:9">
      <c r="A287" s="196"/>
      <c r="B287" s="242"/>
      <c r="C287" s="218"/>
      <c r="D287" s="221" t="s">
        <v>2418</v>
      </c>
      <c r="E287" s="196"/>
      <c r="F287" s="229"/>
      <c r="G287" s="196"/>
      <c r="H287" s="277"/>
    </row>
    <row r="288" spans="1:9">
      <c r="A288" s="196"/>
      <c r="B288" s="242"/>
      <c r="C288" s="218"/>
      <c r="D288" s="221" t="s">
        <v>2419</v>
      </c>
      <c r="E288" s="196" t="s">
        <v>2288</v>
      </c>
      <c r="F288" s="229">
        <v>66</v>
      </c>
      <c r="G288" s="277">
        <f>H21/1000</f>
        <v>56.908000000000001</v>
      </c>
      <c r="H288" s="208">
        <f>ROUND(F288*G288,2)</f>
        <v>3755.93</v>
      </c>
      <c r="I288" s="323"/>
    </row>
    <row r="289" spans="1:8" ht="36.950000000000003" customHeight="1">
      <c r="A289" s="196"/>
      <c r="B289" s="242"/>
      <c r="C289" s="218"/>
      <c r="D289" s="221" t="s">
        <v>2420</v>
      </c>
      <c r="E289" s="196"/>
      <c r="F289" s="229"/>
      <c r="G289" s="196"/>
      <c r="H289" s="277"/>
    </row>
    <row r="290" spans="1:8">
      <c r="A290" s="196"/>
      <c r="B290" s="242"/>
      <c r="C290" s="218"/>
      <c r="D290" s="221" t="s">
        <v>2347</v>
      </c>
      <c r="E290" s="196" t="s">
        <v>31</v>
      </c>
      <c r="F290" s="229">
        <v>1.39</v>
      </c>
      <c r="G290" s="277">
        <f>H37</f>
        <v>209.3</v>
      </c>
      <c r="H290" s="208">
        <f>ROUND(F290*G290,2)</f>
        <v>290.93</v>
      </c>
    </row>
    <row r="291" spans="1:8">
      <c r="A291" s="196"/>
      <c r="B291" s="242"/>
      <c r="C291" s="218"/>
      <c r="D291" s="221" t="s">
        <v>2421</v>
      </c>
      <c r="E291" s="196"/>
      <c r="F291" s="229"/>
      <c r="G291" s="196"/>
      <c r="H291" s="277"/>
    </row>
    <row r="292" spans="1:8">
      <c r="A292" s="196"/>
      <c r="B292" s="242"/>
      <c r="C292" s="218"/>
      <c r="D292" s="221" t="s">
        <v>2422</v>
      </c>
      <c r="E292" s="196" t="s">
        <v>963</v>
      </c>
      <c r="F292" s="229">
        <v>6.27</v>
      </c>
      <c r="G292" s="277">
        <f>H210</f>
        <v>136.02500000000001</v>
      </c>
      <c r="H292" s="208">
        <f>ROUND(F292*G292,2)</f>
        <v>852.88</v>
      </c>
    </row>
    <row r="293" spans="1:8" ht="25.5">
      <c r="A293" s="196"/>
      <c r="B293" s="242"/>
      <c r="C293" s="218"/>
      <c r="D293" s="221" t="s">
        <v>2440</v>
      </c>
      <c r="E293" s="196"/>
      <c r="F293" s="229"/>
      <c r="G293" s="196"/>
      <c r="H293" s="277"/>
    </row>
    <row r="294" spans="1:8" ht="38.25">
      <c r="A294" s="196"/>
      <c r="B294" s="242"/>
      <c r="C294" s="218"/>
      <c r="D294" s="221" t="s">
        <v>2424</v>
      </c>
      <c r="E294" s="196" t="s">
        <v>2425</v>
      </c>
      <c r="F294" s="229">
        <v>330</v>
      </c>
      <c r="G294" s="277">
        <f>H102</f>
        <v>1.4025000000000001</v>
      </c>
      <c r="H294" s="208">
        <f>ROUND(F294*G294,2)</f>
        <v>462.83</v>
      </c>
    </row>
    <row r="295" spans="1:8">
      <c r="A295" s="196"/>
      <c r="B295" s="242"/>
      <c r="C295" s="218"/>
      <c r="D295" s="226" t="s">
        <v>2426</v>
      </c>
      <c r="E295" s="196"/>
      <c r="F295" s="196"/>
      <c r="G295" s="196"/>
      <c r="H295" s="224"/>
    </row>
    <row r="296" spans="1:8">
      <c r="A296" s="196"/>
      <c r="B296" s="242"/>
      <c r="C296" s="218"/>
      <c r="D296" s="228" t="s">
        <v>2427</v>
      </c>
      <c r="E296" s="196"/>
      <c r="F296" s="196"/>
      <c r="G296" s="196"/>
      <c r="H296" s="224"/>
    </row>
    <row r="297" spans="1:8">
      <c r="A297" s="196"/>
      <c r="B297" s="242"/>
      <c r="C297" s="218"/>
      <c r="D297" s="221" t="s">
        <v>14</v>
      </c>
      <c r="E297" s="196" t="s">
        <v>38</v>
      </c>
      <c r="F297" s="229" t="s">
        <v>384</v>
      </c>
      <c r="G297" s="224"/>
      <c r="H297" s="277"/>
    </row>
    <row r="298" spans="1:8">
      <c r="A298" s="196"/>
      <c r="B298" s="242"/>
      <c r="C298" s="218"/>
      <c r="D298" s="221" t="s">
        <v>2313</v>
      </c>
      <c r="E298" s="196" t="s">
        <v>38</v>
      </c>
      <c r="F298" s="229">
        <v>1.5</v>
      </c>
      <c r="G298" s="224">
        <f>+G273</f>
        <v>645</v>
      </c>
      <c r="H298" s="208">
        <f>ROUND(F298*G298,2)</f>
        <v>967.5</v>
      </c>
    </row>
    <row r="299" spans="1:8">
      <c r="A299" s="196"/>
      <c r="B299" s="242"/>
      <c r="C299" s="218"/>
      <c r="D299" s="221" t="s">
        <v>1209</v>
      </c>
      <c r="E299" s="196" t="s">
        <v>38</v>
      </c>
      <c r="F299" s="229">
        <v>7.34</v>
      </c>
      <c r="G299" s="224">
        <f>+G274</f>
        <v>575</v>
      </c>
      <c r="H299" s="208">
        <f>ROUND(F299*G299,2)</f>
        <v>4220.5</v>
      </c>
    </row>
    <row r="300" spans="1:8">
      <c r="A300" s="196"/>
      <c r="B300" s="242"/>
      <c r="C300" s="218"/>
      <c r="D300" s="231" t="str">
        <f>$B$8</f>
        <v>Muncipal AAllowance/Area Allowance @ 0%</v>
      </c>
      <c r="E300" s="232">
        <f>$F$8</f>
        <v>0</v>
      </c>
      <c r="F300" s="229"/>
      <c r="G300" s="208"/>
      <c r="H300" s="208">
        <f>SUM(H297:H299)*E300</f>
        <v>0</v>
      </c>
    </row>
    <row r="301" spans="1:8">
      <c r="A301" s="196"/>
      <c r="B301" s="242"/>
      <c r="C301" s="218"/>
      <c r="D301" s="226" t="s">
        <v>2428</v>
      </c>
      <c r="E301" s="196"/>
      <c r="F301" s="229"/>
      <c r="G301" s="196"/>
      <c r="H301" s="277"/>
    </row>
    <row r="302" spans="1:8">
      <c r="A302" s="196"/>
      <c r="B302" s="242"/>
      <c r="C302" s="218"/>
      <c r="D302" s="221" t="s">
        <v>2429</v>
      </c>
      <c r="E302" s="196" t="s">
        <v>23</v>
      </c>
      <c r="F302" s="229">
        <v>6</v>
      </c>
      <c r="G302" s="229">
        <f>+G277</f>
        <v>512</v>
      </c>
      <c r="H302" s="208">
        <f>ROUND(F302*G302,2)</f>
        <v>3072</v>
      </c>
    </row>
    <row r="303" spans="1:8" s="176" customFormat="1">
      <c r="A303" s="196"/>
      <c r="B303" s="242"/>
      <c r="C303" s="218"/>
      <c r="D303" s="296" t="s">
        <v>2368</v>
      </c>
      <c r="E303" s="297">
        <f>$F$6</f>
        <v>0.13614999999999999</v>
      </c>
      <c r="F303" s="298"/>
      <c r="G303" s="299"/>
      <c r="H303" s="300">
        <f>SUM(H286:H302)*E303</f>
        <v>2945.2117764999998</v>
      </c>
    </row>
    <row r="304" spans="1:8" s="176" customFormat="1">
      <c r="A304" s="196"/>
      <c r="B304" s="242"/>
      <c r="C304" s="218"/>
      <c r="D304" s="296" t="s">
        <v>1314</v>
      </c>
      <c r="E304" s="297">
        <f>$F$7</f>
        <v>0</v>
      </c>
      <c r="F304" s="298"/>
      <c r="G304" s="299"/>
      <c r="H304" s="300">
        <f>SUM(H273:H303)*E304</f>
        <v>0</v>
      </c>
    </row>
    <row r="305" spans="1:9" ht="25.5">
      <c r="A305" s="196"/>
      <c r="B305" s="242"/>
      <c r="C305" s="218"/>
      <c r="D305" s="221" t="s">
        <v>2441</v>
      </c>
      <c r="E305" s="196"/>
      <c r="F305" s="196"/>
      <c r="G305" s="196"/>
      <c r="H305" s="277">
        <f>SUM(H286:H304)</f>
        <v>24577.321776500001</v>
      </c>
    </row>
    <row r="306" spans="1:9">
      <c r="A306" s="255"/>
      <c r="B306" s="256"/>
      <c r="C306" s="282"/>
      <c r="D306" s="273" t="s">
        <v>2442</v>
      </c>
      <c r="E306" s="255"/>
      <c r="F306" s="255"/>
      <c r="G306" s="255"/>
      <c r="H306" s="283">
        <f>H305/33</f>
        <v>744.76732656060608</v>
      </c>
      <c r="I306" s="267" t="s">
        <v>2318</v>
      </c>
    </row>
    <row r="307" spans="1:9" s="177" customFormat="1">
      <c r="A307" s="318"/>
      <c r="B307" s="319"/>
      <c r="C307" s="320"/>
      <c r="D307" s="321"/>
      <c r="E307" s="318"/>
      <c r="F307" s="318"/>
      <c r="G307" s="318"/>
      <c r="H307" s="322"/>
      <c r="I307" s="324"/>
    </row>
    <row r="308" spans="1:9" ht="18" customHeight="1">
      <c r="A308" s="4016" t="s">
        <v>2443</v>
      </c>
      <c r="B308" s="219">
        <f>B230+1</f>
        <v>11</v>
      </c>
      <c r="C308" s="275"/>
      <c r="D308" s="4014" t="s">
        <v>2444</v>
      </c>
      <c r="E308" s="4014"/>
      <c r="F308" s="4014"/>
      <c r="G308" s="4014"/>
      <c r="H308" s="4014"/>
    </row>
    <row r="309" spans="1:9" ht="162" customHeight="1">
      <c r="A309" s="4016"/>
      <c r="B309" s="219"/>
      <c r="C309" s="227"/>
      <c r="D309" s="4006" t="s">
        <v>2445</v>
      </c>
      <c r="E309" s="4006"/>
      <c r="F309" s="4006"/>
      <c r="G309" s="4006"/>
      <c r="H309" s="224"/>
    </row>
    <row r="310" spans="1:9" ht="15" customHeight="1">
      <c r="A310" s="196"/>
      <c r="B310" s="242"/>
      <c r="C310" s="218"/>
      <c r="D310" s="288" t="s">
        <v>2344</v>
      </c>
      <c r="E310" s="196"/>
      <c r="F310" s="196"/>
      <c r="G310" s="196"/>
      <c r="H310" s="224"/>
    </row>
    <row r="311" spans="1:9" ht="15" customHeight="1">
      <c r="A311" s="196"/>
      <c r="B311" s="242"/>
      <c r="C311" s="218"/>
      <c r="D311" s="288" t="s">
        <v>2446</v>
      </c>
      <c r="E311" s="196"/>
      <c r="F311" s="196"/>
      <c r="G311" s="196"/>
      <c r="H311" s="224"/>
    </row>
    <row r="312" spans="1:9" ht="15" customHeight="1">
      <c r="A312" s="196"/>
      <c r="B312" s="242"/>
      <c r="C312" s="218"/>
      <c r="D312" s="226" t="s">
        <v>2447</v>
      </c>
      <c r="E312" s="196"/>
      <c r="F312" s="196"/>
      <c r="G312" s="196"/>
      <c r="H312" s="224"/>
    </row>
    <row r="313" spans="1:9" ht="15" customHeight="1">
      <c r="A313" s="196"/>
      <c r="B313" s="242"/>
      <c r="C313" s="218"/>
      <c r="D313" s="221" t="s">
        <v>2347</v>
      </c>
      <c r="E313" s="269" t="s">
        <v>31</v>
      </c>
      <c r="F313" s="293">
        <v>0.252</v>
      </c>
      <c r="G313" s="277">
        <f>H37</f>
        <v>209.3</v>
      </c>
      <c r="H313" s="208">
        <f>ROUND(F313*G313,2)</f>
        <v>52.74</v>
      </c>
    </row>
    <row r="314" spans="1:9" ht="15" customHeight="1">
      <c r="A314" s="196"/>
      <c r="B314" s="242"/>
      <c r="C314" s="218"/>
      <c r="D314" s="306" t="s">
        <v>2448</v>
      </c>
      <c r="E314" s="269"/>
      <c r="F314" s="269"/>
      <c r="G314" s="196"/>
      <c r="H314" s="224"/>
    </row>
    <row r="315" spans="1:9" ht="15" customHeight="1">
      <c r="A315" s="196"/>
      <c r="B315" s="242"/>
      <c r="C315" s="218"/>
      <c r="D315" s="221" t="s">
        <v>2449</v>
      </c>
      <c r="E315" s="269" t="s">
        <v>31</v>
      </c>
      <c r="F315" s="289">
        <v>0.252</v>
      </c>
      <c r="G315" s="277">
        <f>G286</f>
        <v>5069.33</v>
      </c>
      <c r="H315" s="208">
        <f>ROUND(F315*G315,2)</f>
        <v>1277.47</v>
      </c>
    </row>
    <row r="316" spans="1:9" ht="25.5">
      <c r="A316" s="196"/>
      <c r="B316" s="242"/>
      <c r="C316" s="218"/>
      <c r="D316" s="306" t="s">
        <v>2450</v>
      </c>
      <c r="E316" s="269"/>
      <c r="F316" s="269"/>
      <c r="G316" s="196"/>
      <c r="H316" s="224"/>
    </row>
    <row r="317" spans="1:9">
      <c r="A317" s="196"/>
      <c r="B317" s="242"/>
      <c r="C317" s="218"/>
      <c r="D317" s="288" t="s">
        <v>2451</v>
      </c>
      <c r="E317" s="269"/>
      <c r="F317" s="269"/>
      <c r="G317" s="196"/>
      <c r="H317" s="224"/>
    </row>
    <row r="318" spans="1:9">
      <c r="A318" s="196"/>
      <c r="B318" s="242"/>
      <c r="C318" s="218"/>
      <c r="D318" s="288" t="s">
        <v>2452</v>
      </c>
      <c r="E318" s="269"/>
      <c r="F318" s="269"/>
      <c r="G318" s="196"/>
      <c r="H318" s="224"/>
    </row>
    <row r="319" spans="1:9" ht="15" customHeight="1">
      <c r="A319" s="196"/>
      <c r="B319" s="242"/>
      <c r="C319" s="218"/>
      <c r="D319" s="288" t="s">
        <v>2453</v>
      </c>
      <c r="E319" s="269" t="s">
        <v>963</v>
      </c>
      <c r="F319" s="269">
        <v>1.8</v>
      </c>
      <c r="G319" s="277">
        <f>H226</f>
        <v>122.36690000000002</v>
      </c>
      <c r="H319" s="208">
        <f>ROUND(F319*G319,2)</f>
        <v>220.26</v>
      </c>
    </row>
    <row r="320" spans="1:9" ht="38.25">
      <c r="A320" s="196"/>
      <c r="B320" s="242"/>
      <c r="C320" s="218"/>
      <c r="D320" s="306" t="s">
        <v>2454</v>
      </c>
      <c r="E320" s="269"/>
      <c r="F320" s="269"/>
      <c r="G320" s="196"/>
      <c r="H320" s="224"/>
    </row>
    <row r="321" spans="1:8" ht="14.25" customHeight="1">
      <c r="A321" s="196"/>
      <c r="B321" s="242"/>
      <c r="C321" s="218"/>
      <c r="D321" s="288" t="s">
        <v>2455</v>
      </c>
      <c r="E321" s="269"/>
      <c r="F321" s="269"/>
      <c r="G321" s="196"/>
      <c r="H321" s="224"/>
    </row>
    <row r="322" spans="1:8">
      <c r="A322" s="196"/>
      <c r="B322" s="242"/>
      <c r="C322" s="218"/>
      <c r="D322" s="288" t="s">
        <v>2456</v>
      </c>
      <c r="E322" s="269"/>
      <c r="F322" s="269"/>
      <c r="G322" s="196"/>
      <c r="H322" s="224"/>
    </row>
    <row r="323" spans="1:8" ht="25.5">
      <c r="A323" s="196"/>
      <c r="B323" s="242"/>
      <c r="C323" s="218"/>
      <c r="D323" s="288" t="s">
        <v>2457</v>
      </c>
      <c r="E323" s="269"/>
      <c r="F323" s="269"/>
      <c r="G323" s="196"/>
      <c r="H323" s="224"/>
    </row>
    <row r="324" spans="1:8" ht="15" customHeight="1">
      <c r="A324" s="196"/>
      <c r="B324" s="242"/>
      <c r="C324" s="218"/>
      <c r="D324" s="288" t="s">
        <v>2458</v>
      </c>
      <c r="E324" s="269"/>
      <c r="F324" s="269"/>
      <c r="G324" s="196"/>
      <c r="H324" s="224"/>
    </row>
    <row r="325" spans="1:8" ht="14.25" customHeight="1">
      <c r="A325" s="196"/>
      <c r="B325" s="242"/>
      <c r="C325" s="218"/>
      <c r="D325" s="288" t="s">
        <v>2459</v>
      </c>
      <c r="E325" s="269"/>
      <c r="F325" s="269"/>
      <c r="G325" s="196"/>
      <c r="H325" s="224"/>
    </row>
    <row r="326" spans="1:8">
      <c r="A326" s="196"/>
      <c r="B326" s="242"/>
      <c r="C326" s="218"/>
      <c r="D326" s="288" t="s">
        <v>2460</v>
      </c>
      <c r="E326" s="269"/>
      <c r="F326" s="269"/>
      <c r="G326" s="196"/>
      <c r="H326" s="224"/>
    </row>
    <row r="327" spans="1:8">
      <c r="A327" s="196"/>
      <c r="B327" s="242"/>
      <c r="C327" s="218"/>
      <c r="D327" s="288" t="s">
        <v>2461</v>
      </c>
      <c r="E327" s="269"/>
      <c r="F327" s="269"/>
      <c r="G327" s="196"/>
      <c r="H327" s="224"/>
    </row>
    <row r="328" spans="1:8">
      <c r="A328" s="196"/>
      <c r="B328" s="242"/>
      <c r="C328" s="218"/>
      <c r="D328" s="226" t="s">
        <v>2462</v>
      </c>
      <c r="E328" s="196"/>
      <c r="F328" s="229"/>
      <c r="G328" s="196"/>
      <c r="H328" s="224"/>
    </row>
    <row r="329" spans="1:8" ht="24.75" customHeight="1">
      <c r="A329" s="196"/>
      <c r="B329" s="242"/>
      <c r="C329" s="218"/>
      <c r="D329" s="288" t="s">
        <v>2424</v>
      </c>
      <c r="E329" s="269" t="s">
        <v>2463</v>
      </c>
      <c r="F329" s="325">
        <v>4532.5</v>
      </c>
      <c r="G329" s="277">
        <f>H102</f>
        <v>1.4025000000000001</v>
      </c>
      <c r="H329" s="208">
        <f>ROUND(F329*G329,2)</f>
        <v>6356.83</v>
      </c>
    </row>
    <row r="330" spans="1:8">
      <c r="A330" s="196"/>
      <c r="B330" s="242"/>
      <c r="C330" s="218"/>
      <c r="D330" s="306" t="s">
        <v>2464</v>
      </c>
      <c r="E330" s="196"/>
      <c r="F330" s="196"/>
      <c r="G330" s="196"/>
      <c r="H330" s="224"/>
    </row>
    <row r="331" spans="1:8">
      <c r="A331" s="196"/>
      <c r="B331" s="242"/>
      <c r="C331" s="218"/>
      <c r="D331" s="288" t="s">
        <v>14</v>
      </c>
      <c r="E331" s="269" t="s">
        <v>38</v>
      </c>
      <c r="F331" s="269" t="s">
        <v>384</v>
      </c>
      <c r="G331" s="224"/>
      <c r="H331" s="277"/>
    </row>
    <row r="332" spans="1:8">
      <c r="A332" s="196"/>
      <c r="B332" s="242"/>
      <c r="C332" s="218"/>
      <c r="D332" s="288" t="s">
        <v>1209</v>
      </c>
      <c r="E332" s="269" t="s">
        <v>38</v>
      </c>
      <c r="F332" s="269">
        <v>0.78</v>
      </c>
      <c r="G332" s="224">
        <f>+G299</f>
        <v>575</v>
      </c>
      <c r="H332" s="208">
        <f>ROUND(F332*G332,2)</f>
        <v>448.5</v>
      </c>
    </row>
    <row r="333" spans="1:8" ht="22.15" customHeight="1">
      <c r="A333" s="196"/>
      <c r="B333" s="242"/>
      <c r="C333" s="218"/>
      <c r="D333" s="231" t="str">
        <f>$B$8</f>
        <v>Muncipal AAllowance/Area Allowance @ 0%</v>
      </c>
      <c r="E333" s="232">
        <f>$F$8</f>
        <v>0</v>
      </c>
      <c r="F333" s="229"/>
      <c r="G333" s="208"/>
      <c r="H333" s="208">
        <f>SUM(H330:H332)*E333</f>
        <v>0</v>
      </c>
    </row>
    <row r="334" spans="1:8" ht="13.5" customHeight="1">
      <c r="A334" s="196"/>
      <c r="B334" s="242"/>
      <c r="C334" s="218"/>
      <c r="D334" s="306" t="s">
        <v>2334</v>
      </c>
      <c r="E334" s="269"/>
      <c r="F334" s="269"/>
      <c r="G334" s="196"/>
      <c r="H334" s="277"/>
    </row>
    <row r="335" spans="1:8" ht="27" customHeight="1">
      <c r="A335" s="196"/>
      <c r="B335" s="242"/>
      <c r="C335" s="218"/>
      <c r="D335" s="288" t="s">
        <v>2465</v>
      </c>
      <c r="E335" s="269" t="s">
        <v>2288</v>
      </c>
      <c r="F335" s="269">
        <v>63.15</v>
      </c>
      <c r="G335" s="269">
        <f>lead!$K$38</f>
        <v>61</v>
      </c>
      <c r="H335" s="208">
        <f>ROUND(F335*G335,2)</f>
        <v>3852.15</v>
      </c>
    </row>
    <row r="336" spans="1:8" ht="18" customHeight="1">
      <c r="A336" s="196"/>
      <c r="B336" s="242"/>
      <c r="C336" s="218"/>
      <c r="D336" s="288" t="s">
        <v>2466</v>
      </c>
      <c r="E336" s="269" t="s">
        <v>2288</v>
      </c>
      <c r="F336" s="269">
        <v>4.47</v>
      </c>
      <c r="G336" s="269">
        <f>lead!$K$38</f>
        <v>61</v>
      </c>
      <c r="H336" s="208">
        <f>ROUND(F336*G336,2)</f>
        <v>272.67</v>
      </c>
    </row>
    <row r="337" spans="1:11" ht="23.25" customHeight="1">
      <c r="A337" s="196"/>
      <c r="B337" s="242"/>
      <c r="C337" s="218"/>
      <c r="D337" s="288" t="s">
        <v>2467</v>
      </c>
      <c r="E337" s="269" t="s">
        <v>2288</v>
      </c>
      <c r="F337" s="269">
        <v>2.12</v>
      </c>
      <c r="G337" s="269">
        <f>lead!$K$38</f>
        <v>61</v>
      </c>
      <c r="H337" s="208">
        <f>ROUND(F337*G337,2)</f>
        <v>129.32</v>
      </c>
    </row>
    <row r="338" spans="1:11" ht="63.95" customHeight="1">
      <c r="A338" s="196"/>
      <c r="B338" s="242"/>
      <c r="C338" s="218"/>
      <c r="D338" s="288" t="s">
        <v>2468</v>
      </c>
      <c r="E338" s="269" t="s">
        <v>963</v>
      </c>
      <c r="F338" s="269">
        <v>1.44</v>
      </c>
      <c r="G338" s="196"/>
      <c r="H338" s="277"/>
    </row>
    <row r="339" spans="1:11">
      <c r="A339" s="196"/>
      <c r="B339" s="242"/>
      <c r="C339" s="218"/>
      <c r="D339" s="288" t="s">
        <v>2469</v>
      </c>
      <c r="E339" s="269" t="s">
        <v>191</v>
      </c>
      <c r="F339" s="269">
        <v>18.09</v>
      </c>
      <c r="G339" s="269">
        <f>lead!$K$38</f>
        <v>61</v>
      </c>
      <c r="H339" s="208">
        <f>ROUND(F339*G339,2)</f>
        <v>1103.49</v>
      </c>
      <c r="J339" s="185">
        <f>1.5*0.9</f>
        <v>1.35</v>
      </c>
      <c r="K339" s="185">
        <f>1.15*1.8</f>
        <v>2.0699999999999998</v>
      </c>
    </row>
    <row r="340" spans="1:11" ht="38.25">
      <c r="A340" s="196"/>
      <c r="B340" s="242"/>
      <c r="C340" s="218"/>
      <c r="D340" s="288" t="s">
        <v>2470</v>
      </c>
      <c r="E340" s="269"/>
      <c r="F340" s="196"/>
      <c r="G340" s="196"/>
      <c r="H340" s="299">
        <f>SUM(H335:H339)*3%</f>
        <v>160.72889999999998</v>
      </c>
    </row>
    <row r="341" spans="1:11">
      <c r="A341" s="196"/>
      <c r="B341" s="242"/>
      <c r="C341" s="218"/>
      <c r="D341" s="226" t="s">
        <v>2471</v>
      </c>
      <c r="E341" s="269"/>
      <c r="F341" s="196"/>
      <c r="G341" s="196"/>
      <c r="H341" s="224"/>
    </row>
    <row r="342" spans="1:11">
      <c r="A342" s="196"/>
      <c r="B342" s="242"/>
      <c r="C342" s="218"/>
      <c r="D342" s="288" t="s">
        <v>2367</v>
      </c>
      <c r="E342" s="269" t="s">
        <v>23</v>
      </c>
      <c r="F342" s="269">
        <v>0.24</v>
      </c>
      <c r="G342" s="229">
        <f>+G302</f>
        <v>512</v>
      </c>
      <c r="H342" s="208">
        <f>ROUND(F342*G342,2)</f>
        <v>122.88</v>
      </c>
    </row>
    <row r="343" spans="1:11" s="176" customFormat="1" ht="15.75" customHeight="1">
      <c r="A343" s="196"/>
      <c r="B343" s="242"/>
      <c r="C343" s="218"/>
      <c r="D343" s="296" t="s">
        <v>2368</v>
      </c>
      <c r="E343" s="297">
        <f>$F$6</f>
        <v>0.13614999999999999</v>
      </c>
      <c r="F343" s="298"/>
      <c r="G343" s="299"/>
      <c r="H343" s="300">
        <f>SUM(H313:H342)*E343</f>
        <v>1905.6968462349996</v>
      </c>
    </row>
    <row r="344" spans="1:11" s="176" customFormat="1" ht="15.75" customHeight="1">
      <c r="A344" s="196"/>
      <c r="B344" s="242"/>
      <c r="C344" s="218"/>
      <c r="D344" s="296" t="s">
        <v>1314</v>
      </c>
      <c r="E344" s="297">
        <f>$F$7</f>
        <v>0</v>
      </c>
      <c r="F344" s="298"/>
      <c r="G344" s="299"/>
      <c r="H344" s="300">
        <f>SUM(H313:H343)*E344</f>
        <v>0</v>
      </c>
    </row>
    <row r="345" spans="1:11" s="178" customFormat="1" ht="27.95" customHeight="1">
      <c r="A345" s="326"/>
      <c r="B345" s="327"/>
      <c r="C345" s="328"/>
      <c r="D345" s="329" t="s">
        <v>2472</v>
      </c>
      <c r="E345" s="326"/>
      <c r="F345" s="326"/>
      <c r="G345" s="326"/>
      <c r="H345" s="330">
        <f>SUM(H313:H344)</f>
        <v>15902.735746234997</v>
      </c>
      <c r="I345" s="343" t="s">
        <v>2318</v>
      </c>
    </row>
    <row r="346" spans="1:11">
      <c r="B346" s="331"/>
      <c r="D346" s="332"/>
      <c r="E346" s="333"/>
      <c r="F346" s="334"/>
      <c r="H346" s="332"/>
    </row>
    <row r="347" spans="1:11" ht="12" customHeight="1">
      <c r="B347" s="331"/>
      <c r="D347" s="332"/>
      <c r="E347" s="333"/>
      <c r="F347" s="334"/>
      <c r="H347" s="332"/>
    </row>
    <row r="348" spans="1:11" ht="12" customHeight="1">
      <c r="B348" s="331"/>
      <c r="D348" s="332"/>
      <c r="E348" s="333"/>
      <c r="F348" s="334"/>
      <c r="H348" s="332"/>
    </row>
    <row r="349" spans="1:11" ht="12" customHeight="1">
      <c r="B349" s="331"/>
      <c r="D349" s="332"/>
      <c r="E349" s="333"/>
      <c r="F349" s="334"/>
      <c r="H349" s="332"/>
    </row>
    <row r="350" spans="1:11" ht="12" customHeight="1">
      <c r="B350" s="331"/>
      <c r="D350" s="332"/>
      <c r="E350" s="333"/>
      <c r="F350" s="334"/>
      <c r="H350" s="332"/>
    </row>
    <row r="351" spans="1:11" ht="12" customHeight="1">
      <c r="B351" s="331"/>
      <c r="D351" s="332"/>
      <c r="E351" s="333"/>
      <c r="F351" s="334"/>
      <c r="H351" s="332"/>
    </row>
    <row r="352" spans="1:11" s="178" customFormat="1" ht="15.95" customHeight="1">
      <c r="A352" s="173"/>
      <c r="B352" s="335"/>
      <c r="C352" s="264"/>
      <c r="D352" s="336" t="str">
        <f>'Road-furniture '!B21</f>
        <v>Assistant Engineer,</v>
      </c>
      <c r="E352" s="4015" t="str">
        <f>'Road-furniture '!D21</f>
        <v>Dy. Exe. Engineer</v>
      </c>
      <c r="F352" s="4015"/>
      <c r="G352" s="4015"/>
      <c r="H352" s="332"/>
    </row>
    <row r="353" spans="1:8" s="178" customFormat="1" ht="15.95" customHeight="1">
      <c r="A353" s="173"/>
      <c r="B353" s="337"/>
      <c r="C353" s="264"/>
      <c r="D353" s="338" t="str">
        <f>'Road-furniture '!B22</f>
        <v>PRSD, Wanaparthy</v>
      </c>
      <c r="E353" s="4009" t="str">
        <f>'Road-furniture '!D22</f>
        <v>PRSD, Wanaparthy</v>
      </c>
      <c r="F353" s="4009"/>
      <c r="G353" s="4009"/>
      <c r="H353" s="339"/>
    </row>
    <row r="354" spans="1:8" s="178" customFormat="1">
      <c r="A354" s="173"/>
      <c r="B354" s="337"/>
      <c r="C354" s="264"/>
      <c r="D354" s="340"/>
      <c r="E354" s="341"/>
      <c r="F354" s="341"/>
      <c r="G354" s="341"/>
      <c r="H354" s="339"/>
    </row>
    <row r="355" spans="1:8" s="178" customFormat="1">
      <c r="A355" s="173"/>
      <c r="B355" s="342"/>
      <c r="C355" s="264"/>
      <c r="D355" s="340"/>
      <c r="E355" s="341"/>
      <c r="F355" s="341"/>
      <c r="G355" s="341"/>
      <c r="H355" s="339"/>
    </row>
    <row r="356" spans="1:8" s="178" customFormat="1" ht="15.95" hidden="1" customHeight="1">
      <c r="A356" s="173"/>
      <c r="B356" s="342"/>
      <c r="C356" s="264"/>
      <c r="D356" s="173" t="str">
        <f>'Road-furniture '!B25</f>
        <v>District Panchayat Raj Engineer,</v>
      </c>
      <c r="E356" s="4009" t="str">
        <f>'Road-furniture '!D25</f>
        <v>Superintending Engineer</v>
      </c>
      <c r="F356" s="4009"/>
      <c r="G356" s="4009"/>
      <c r="H356" s="339"/>
    </row>
    <row r="357" spans="1:8" s="178" customFormat="1" ht="15.95" hidden="1" customHeight="1">
      <c r="A357" s="173"/>
      <c r="B357" s="342"/>
      <c r="C357" s="264"/>
      <c r="D357" s="173" t="str">
        <f>'Road-furniture '!B26</f>
        <v>PIU, Wanaparthy</v>
      </c>
      <c r="E357" s="4010" t="str">
        <f>'Road-furniture '!D26</f>
        <v>PR, Circle, Warangal</v>
      </c>
      <c r="F357" s="4010"/>
      <c r="G357" s="4010"/>
      <c r="H357" s="339"/>
    </row>
    <row r="358" spans="1:8" s="178" customFormat="1">
      <c r="A358" s="173"/>
      <c r="B358" s="342"/>
      <c r="C358" s="264"/>
      <c r="D358" s="340"/>
      <c r="E358" s="341"/>
      <c r="F358" s="341"/>
      <c r="G358" s="341"/>
      <c r="H358" s="339"/>
    </row>
    <row r="359" spans="1:8">
      <c r="D359" s="182" t="str">
        <f>'Slab-Culverts Data'!C681</f>
        <v>District Panchayat Raj Engineer,</v>
      </c>
      <c r="F359" s="4011" t="str">
        <f>'Slab-Culverts Data'!G681</f>
        <v>Superintending Engineer</v>
      </c>
      <c r="G359" s="4011"/>
    </row>
    <row r="360" spans="1:8">
      <c r="D360" s="182" t="str">
        <f>'Slab-Culverts Data'!C682</f>
        <v>PIU, Wanaparthy</v>
      </c>
      <c r="F360" s="4012" t="str">
        <f>'Slab-Culverts Data'!G682</f>
        <v>PR, Circle, Warangal</v>
      </c>
      <c r="G360" s="4012"/>
    </row>
  </sheetData>
  <mergeCells count="39">
    <mergeCell ref="A121:A122"/>
    <mergeCell ref="A211:A212"/>
    <mergeCell ref="A230:A231"/>
    <mergeCell ref="A308:A309"/>
    <mergeCell ref="E353:G353"/>
    <mergeCell ref="D163:H163"/>
    <mergeCell ref="D164:H164"/>
    <mergeCell ref="D167:G167"/>
    <mergeCell ref="D193:G193"/>
    <mergeCell ref="D194:G194"/>
    <mergeCell ref="D123:G123"/>
    <mergeCell ref="D140:E140"/>
    <mergeCell ref="D141:E141"/>
    <mergeCell ref="D161:H161"/>
    <mergeCell ref="D162:H162"/>
    <mergeCell ref="E356:G356"/>
    <mergeCell ref="E357:G357"/>
    <mergeCell ref="F359:G359"/>
    <mergeCell ref="F360:G360"/>
    <mergeCell ref="D212:G212"/>
    <mergeCell ref="D231:G231"/>
    <mergeCell ref="D308:H308"/>
    <mergeCell ref="D309:G309"/>
    <mergeCell ref="E352:G352"/>
    <mergeCell ref="D39:G39"/>
    <mergeCell ref="D40:G40"/>
    <mergeCell ref="D65:G65"/>
    <mergeCell ref="D87:G87"/>
    <mergeCell ref="A120:H120"/>
    <mergeCell ref="B6:D6"/>
    <mergeCell ref="B8:D8"/>
    <mergeCell ref="A9:H9"/>
    <mergeCell ref="D10:G10"/>
    <mergeCell ref="D24:G24"/>
    <mergeCell ref="A1:H1"/>
    <mergeCell ref="A2:H2"/>
    <mergeCell ref="B3:C3"/>
    <mergeCell ref="B4:C4"/>
    <mergeCell ref="B5:D5"/>
  </mergeCells>
  <printOptions horizontalCentered="1"/>
  <pageMargins left="0.59055118110236204" right="0.196850393700787" top="0.59055118110236204" bottom="0.39370078740157499" header="0.23622047244094499" footer="0.196850393700787"/>
  <pageSetup paperSize="9" firstPageNumber="441" orientation="portrait" useFirstPageNumber="1" r:id="rId1"/>
  <headerFooter alignWithMargins="0">
    <oddHeader>&amp;R&amp;"Arial,Bold"RBR-TSRA</oddHeader>
  </headerFooter>
</worksheet>
</file>

<file path=xl/worksheets/sheet46.xml><?xml version="1.0" encoding="utf-8"?>
<worksheet xmlns="http://schemas.openxmlformats.org/spreadsheetml/2006/main" xmlns:r="http://schemas.openxmlformats.org/officeDocument/2006/relationships">
  <sheetPr codeName="Sheet33">
    <tabColor rgb="FFFF0000"/>
  </sheetPr>
  <dimension ref="A1:P34"/>
  <sheetViews>
    <sheetView view="pageBreakPreview" topLeftCell="A17" workbookViewId="0">
      <selection activeCell="E34" sqref="E34"/>
    </sheetView>
  </sheetViews>
  <sheetFormatPr defaultColWidth="8" defaultRowHeight="12.75"/>
  <cols>
    <col min="1" max="1" width="10.85546875" style="54" customWidth="1"/>
    <col min="2" max="2" width="14.7109375" style="54" customWidth="1"/>
    <col min="3" max="4" width="8" style="54"/>
    <col min="5" max="5" width="9.140625" style="54" customWidth="1"/>
    <col min="6" max="6" width="10.7109375" style="54" customWidth="1"/>
    <col min="7" max="7" width="9.140625" style="54" customWidth="1"/>
    <col min="8" max="8" width="13.42578125" style="54" customWidth="1"/>
    <col min="9" max="9" width="10.28515625" style="54" customWidth="1"/>
    <col min="10" max="10" width="10.5703125" style="54" customWidth="1"/>
    <col min="11" max="11" width="19" style="54" customWidth="1"/>
    <col min="12" max="12" width="17.7109375" style="54" customWidth="1"/>
    <col min="13" max="13" width="11.140625" style="54" customWidth="1"/>
    <col min="14" max="14" width="10.28515625" style="54" customWidth="1"/>
    <col min="15" max="15" width="9.140625" style="54" customWidth="1"/>
    <col min="16" max="16" width="9.42578125" style="54" customWidth="1"/>
    <col min="17" max="17" width="8.7109375" style="54" customWidth="1"/>
    <col min="18" max="18" width="6" style="54" customWidth="1"/>
    <col min="19" max="20" width="6.85546875" style="54" customWidth="1"/>
    <col min="21" max="22" width="9.140625" style="54" customWidth="1"/>
    <col min="23" max="23" width="8.5703125" style="54" customWidth="1"/>
    <col min="24" max="24" width="8.28515625" style="54" customWidth="1"/>
    <col min="25" max="25" width="9.140625" style="54" customWidth="1"/>
    <col min="26" max="26" width="9.42578125" style="54" customWidth="1"/>
    <col min="27" max="27" width="14.5703125" style="54" customWidth="1"/>
    <col min="28" max="28" width="14.140625" style="54" customWidth="1"/>
    <col min="29" max="29" width="8.140625" style="54" customWidth="1"/>
    <col min="30" max="16384" width="8" style="54"/>
  </cols>
  <sheetData>
    <row r="1" spans="1:16" ht="15.75">
      <c r="B1" s="55" t="str">
        <f>+'Input Data'!E1</f>
        <v>R/F A to B in Wanaparthy Mandal of Wanaparthy District</v>
      </c>
    </row>
    <row r="2" spans="1:16">
      <c r="A2" s="54" t="s">
        <v>2686</v>
      </c>
      <c r="K2" s="82" t="s">
        <v>2687</v>
      </c>
    </row>
    <row r="3" spans="1:16">
      <c r="A3" s="54" t="s">
        <v>2688</v>
      </c>
    </row>
    <row r="4" spans="1:16" ht="38.25">
      <c r="A4" s="57" t="s">
        <v>2689</v>
      </c>
      <c r="B4" s="56" t="s">
        <v>2690</v>
      </c>
      <c r="C4" s="4023" t="s">
        <v>2691</v>
      </c>
      <c r="D4" s="4023"/>
      <c r="E4" s="56" t="s">
        <v>2692</v>
      </c>
      <c r="F4" s="56" t="s">
        <v>2693</v>
      </c>
      <c r="G4" s="56" t="s">
        <v>2694</v>
      </c>
      <c r="H4" s="56" t="s">
        <v>2695</v>
      </c>
      <c r="I4" s="56" t="s">
        <v>2696</v>
      </c>
      <c r="J4" s="56" t="s">
        <v>2697</v>
      </c>
      <c r="K4" s="56" t="s">
        <v>2698</v>
      </c>
      <c r="L4" s="56" t="s">
        <v>2699</v>
      </c>
      <c r="M4" s="56" t="s">
        <v>2700</v>
      </c>
      <c r="N4" s="83"/>
    </row>
    <row r="5" spans="1:16">
      <c r="A5" s="57"/>
      <c r="B5" s="57"/>
      <c r="C5" s="57" t="s">
        <v>2701</v>
      </c>
      <c r="D5" s="57" t="s">
        <v>2702</v>
      </c>
      <c r="E5" s="57"/>
      <c r="F5" s="57"/>
      <c r="G5" s="57"/>
      <c r="H5" s="57"/>
      <c r="I5" s="57"/>
      <c r="J5" s="57"/>
      <c r="K5" s="68"/>
      <c r="L5" s="56"/>
      <c r="M5" s="68"/>
    </row>
    <row r="6" spans="1:16" ht="19.149999999999999" customHeight="1">
      <c r="A6" s="57">
        <v>300</v>
      </c>
      <c r="B6" s="57">
        <v>40</v>
      </c>
      <c r="C6" s="57">
        <v>0.78</v>
      </c>
      <c r="D6" s="57">
        <v>2.71</v>
      </c>
      <c r="E6" s="62">
        <f>PI()*(B6/1000)*(A6+B6)/1000</f>
        <v>4.2725660088821192E-2</v>
      </c>
      <c r="F6" s="63">
        <f>C6+D6*140/125</f>
        <v>3.8151999999999999</v>
      </c>
      <c r="G6" s="64">
        <f>+G33</f>
        <v>5300</v>
      </c>
      <c r="H6" s="65">
        <f>+lead!J36</f>
        <v>5000</v>
      </c>
      <c r="I6" s="64">
        <f>+G34</f>
        <v>55000</v>
      </c>
      <c r="J6" s="65">
        <f>+lead!J39</f>
        <v>55000</v>
      </c>
      <c r="K6" s="57">
        <f t="shared" ref="K6:K9" si="0">ROUND(360*E6*(H6-G6)/1000,2)</f>
        <v>-4.6100000000000003</v>
      </c>
      <c r="L6" s="57">
        <f t="shared" ref="L6:L9" si="1">ROUND(F6*(J6-I6)/1000,2)</f>
        <v>0</v>
      </c>
      <c r="M6" s="57">
        <f t="shared" ref="M6:M9" si="2">L6+K6</f>
        <v>-4.6100000000000003</v>
      </c>
      <c r="N6" s="84">
        <f>A6</f>
        <v>300</v>
      </c>
    </row>
    <row r="7" spans="1:16" ht="19.149999999999999" customHeight="1">
      <c r="A7" s="57">
        <v>450</v>
      </c>
      <c r="B7" s="57">
        <v>75</v>
      </c>
      <c r="C7" s="57">
        <v>0.78</v>
      </c>
      <c r="D7" s="57">
        <v>3.88</v>
      </c>
      <c r="E7" s="62">
        <f t="shared" ref="E7:E13" si="3">PI()*(B7/1000)*(A7+B7)/1000</f>
        <v>0.12370021073509811</v>
      </c>
      <c r="F7" s="63">
        <f t="shared" ref="F7:F13" si="4">C7+D7*140/125</f>
        <v>5.1255999999999995</v>
      </c>
      <c r="G7" s="57">
        <f t="shared" ref="G7:J13" si="5">G6</f>
        <v>5300</v>
      </c>
      <c r="H7" s="66">
        <f t="shared" si="5"/>
        <v>5000</v>
      </c>
      <c r="I7" s="57">
        <f t="shared" si="5"/>
        <v>55000</v>
      </c>
      <c r="J7" s="66">
        <f t="shared" si="5"/>
        <v>55000</v>
      </c>
      <c r="K7" s="57">
        <f t="shared" si="0"/>
        <v>-13.36</v>
      </c>
      <c r="L7" s="57">
        <f t="shared" si="1"/>
        <v>0</v>
      </c>
      <c r="M7" s="57">
        <f t="shared" si="2"/>
        <v>-13.36</v>
      </c>
      <c r="N7" s="84">
        <f t="shared" ref="N7:N13" si="6">A7</f>
        <v>450</v>
      </c>
      <c r="P7" s="85">
        <f>140/125</f>
        <v>1.1200000000000001</v>
      </c>
    </row>
    <row r="8" spans="1:16" ht="19.149999999999999" customHeight="1">
      <c r="A8" s="57">
        <v>600</v>
      </c>
      <c r="B8" s="57">
        <v>85</v>
      </c>
      <c r="C8" s="57">
        <v>2.34</v>
      </c>
      <c r="D8" s="57">
        <v>9.6300000000000008</v>
      </c>
      <c r="E8" s="62">
        <f t="shared" si="3"/>
        <v>0.18291923225526574</v>
      </c>
      <c r="F8" s="63">
        <f t="shared" si="4"/>
        <v>13.1256</v>
      </c>
      <c r="G8" s="57">
        <f t="shared" si="5"/>
        <v>5300</v>
      </c>
      <c r="H8" s="66">
        <f t="shared" si="5"/>
        <v>5000</v>
      </c>
      <c r="I8" s="57">
        <f>I7</f>
        <v>55000</v>
      </c>
      <c r="J8" s="66">
        <f t="shared" si="5"/>
        <v>55000</v>
      </c>
      <c r="K8" s="57">
        <f t="shared" si="0"/>
        <v>-19.760000000000002</v>
      </c>
      <c r="L8" s="57">
        <f t="shared" si="1"/>
        <v>0</v>
      </c>
      <c r="M8" s="57">
        <f t="shared" si="2"/>
        <v>-19.760000000000002</v>
      </c>
      <c r="N8" s="84">
        <f t="shared" si="6"/>
        <v>600</v>
      </c>
    </row>
    <row r="9" spans="1:16" ht="19.149999999999999" customHeight="1">
      <c r="A9" s="57">
        <v>700</v>
      </c>
      <c r="B9" s="57">
        <v>85</v>
      </c>
      <c r="C9" s="57">
        <v>3.44</v>
      </c>
      <c r="D9" s="57">
        <v>14.33</v>
      </c>
      <c r="E9" s="62">
        <f t="shared" si="3"/>
        <v>0.20962276981077899</v>
      </c>
      <c r="F9" s="63">
        <f t="shared" si="4"/>
        <v>19.489600000000003</v>
      </c>
      <c r="G9" s="57">
        <f t="shared" si="5"/>
        <v>5300</v>
      </c>
      <c r="H9" s="66">
        <f t="shared" si="5"/>
        <v>5000</v>
      </c>
      <c r="I9" s="57">
        <f t="shared" si="5"/>
        <v>55000</v>
      </c>
      <c r="J9" s="66">
        <f t="shared" si="5"/>
        <v>55000</v>
      </c>
      <c r="K9" s="57">
        <f t="shared" si="0"/>
        <v>-22.64</v>
      </c>
      <c r="L9" s="57">
        <f t="shared" si="1"/>
        <v>0</v>
      </c>
      <c r="M9" s="57">
        <f t="shared" si="2"/>
        <v>-22.64</v>
      </c>
      <c r="N9" s="84">
        <f t="shared" si="6"/>
        <v>700</v>
      </c>
    </row>
    <row r="10" spans="1:16" ht="19.149999999999999" customHeight="1">
      <c r="A10" s="57">
        <v>800</v>
      </c>
      <c r="B10" s="57">
        <v>95</v>
      </c>
      <c r="C10" s="57">
        <v>3.44</v>
      </c>
      <c r="D10" s="57">
        <v>21.2</v>
      </c>
      <c r="E10" s="62">
        <f t="shared" si="3"/>
        <v>0.26711391537147217</v>
      </c>
      <c r="F10" s="63">
        <f t="shared" si="4"/>
        <v>27.184000000000001</v>
      </c>
      <c r="G10" s="57">
        <f>+G9</f>
        <v>5300</v>
      </c>
      <c r="H10" s="66">
        <f>+H9</f>
        <v>5000</v>
      </c>
      <c r="I10" s="57">
        <f>+I9</f>
        <v>55000</v>
      </c>
      <c r="J10" s="66">
        <f>+J9</f>
        <v>55000</v>
      </c>
      <c r="K10" s="57">
        <f t="shared" ref="K10:K13" si="7">ROUND(360*E10*(H10-G10)/1000,2)</f>
        <v>-28.85</v>
      </c>
      <c r="L10" s="57">
        <f t="shared" ref="L10:L13" si="8">ROUND(F10*(J10-I10)/1000,2)</f>
        <v>0</v>
      </c>
      <c r="M10" s="57">
        <f t="shared" ref="M10:M13" si="9">L10+K10</f>
        <v>-28.85</v>
      </c>
      <c r="N10" s="84">
        <f t="shared" si="6"/>
        <v>800</v>
      </c>
    </row>
    <row r="11" spans="1:16" ht="19.149999999999999" customHeight="1">
      <c r="A11" s="57">
        <v>900</v>
      </c>
      <c r="B11" s="57">
        <v>100</v>
      </c>
      <c r="C11" s="57">
        <v>3.44</v>
      </c>
      <c r="D11" s="57">
        <v>27.13</v>
      </c>
      <c r="E11" s="62">
        <f t="shared" si="3"/>
        <v>0.31415926535897931</v>
      </c>
      <c r="F11" s="63">
        <f t="shared" si="4"/>
        <v>33.825600000000001</v>
      </c>
      <c r="G11" s="57">
        <f>G9</f>
        <v>5300</v>
      </c>
      <c r="H11" s="66">
        <f>H9</f>
        <v>5000</v>
      </c>
      <c r="I11" s="57">
        <f>I9</f>
        <v>55000</v>
      </c>
      <c r="J11" s="66">
        <f>J9</f>
        <v>55000</v>
      </c>
      <c r="K11" s="57">
        <f t="shared" si="7"/>
        <v>-33.93</v>
      </c>
      <c r="L11" s="57">
        <f t="shared" si="8"/>
        <v>0</v>
      </c>
      <c r="M11" s="57">
        <f t="shared" si="9"/>
        <v>-33.93</v>
      </c>
      <c r="N11" s="84">
        <f t="shared" si="6"/>
        <v>900</v>
      </c>
    </row>
    <row r="12" spans="1:16" ht="19.149999999999999" customHeight="1">
      <c r="A12" s="57">
        <v>1000</v>
      </c>
      <c r="B12" s="57">
        <v>115</v>
      </c>
      <c r="C12" s="57">
        <v>6.04</v>
      </c>
      <c r="D12" s="57">
        <v>35.479999999999997</v>
      </c>
      <c r="E12" s="62">
        <f t="shared" si="3"/>
        <v>0.40283071800655124</v>
      </c>
      <c r="F12" s="63">
        <f t="shared" si="4"/>
        <v>45.7776</v>
      </c>
      <c r="G12" s="57">
        <f t="shared" si="5"/>
        <v>5300</v>
      </c>
      <c r="H12" s="66">
        <f t="shared" si="5"/>
        <v>5000</v>
      </c>
      <c r="I12" s="57">
        <f t="shared" si="5"/>
        <v>55000</v>
      </c>
      <c r="J12" s="66">
        <f t="shared" si="5"/>
        <v>55000</v>
      </c>
      <c r="K12" s="57">
        <f t="shared" si="7"/>
        <v>-43.51</v>
      </c>
      <c r="L12" s="57">
        <f t="shared" si="8"/>
        <v>0</v>
      </c>
      <c r="M12" s="57">
        <f t="shared" si="9"/>
        <v>-43.51</v>
      </c>
      <c r="N12" s="84">
        <f t="shared" si="6"/>
        <v>1000</v>
      </c>
    </row>
    <row r="13" spans="1:16" ht="19.149999999999999" customHeight="1">
      <c r="A13" s="57">
        <v>1200</v>
      </c>
      <c r="B13" s="57">
        <v>120</v>
      </c>
      <c r="C13" s="57">
        <v>6.04</v>
      </c>
      <c r="D13" s="57">
        <v>53.07</v>
      </c>
      <c r="E13" s="62">
        <f t="shared" si="3"/>
        <v>0.49762827632862322</v>
      </c>
      <c r="F13" s="63">
        <f t="shared" si="4"/>
        <v>65.478400000000008</v>
      </c>
      <c r="G13" s="57">
        <f t="shared" si="5"/>
        <v>5300</v>
      </c>
      <c r="H13" s="66">
        <f t="shared" si="5"/>
        <v>5000</v>
      </c>
      <c r="I13" s="57">
        <f t="shared" si="5"/>
        <v>55000</v>
      </c>
      <c r="J13" s="66">
        <f t="shared" si="5"/>
        <v>55000</v>
      </c>
      <c r="K13" s="57">
        <f t="shared" si="7"/>
        <v>-53.74</v>
      </c>
      <c r="L13" s="57">
        <f t="shared" si="8"/>
        <v>0</v>
      </c>
      <c r="M13" s="57">
        <f t="shared" si="9"/>
        <v>-53.74</v>
      </c>
      <c r="N13" s="84">
        <f t="shared" si="6"/>
        <v>1200</v>
      </c>
    </row>
    <row r="14" spans="1:16" s="60" customFormat="1" ht="14.45" customHeight="1">
      <c r="A14" s="67" t="s">
        <v>2703</v>
      </c>
      <c r="B14" s="67"/>
      <c r="C14" s="67"/>
      <c r="D14" s="67"/>
      <c r="E14" s="67"/>
      <c r="F14" s="67"/>
      <c r="G14" s="67"/>
      <c r="H14" s="67"/>
      <c r="I14" s="67"/>
      <c r="J14" s="67"/>
      <c r="K14" s="67"/>
      <c r="L14" s="67"/>
      <c r="M14" s="67"/>
    </row>
    <row r="15" spans="1:16">
      <c r="A15" s="68" t="s">
        <v>2704</v>
      </c>
      <c r="B15" s="68"/>
      <c r="C15" s="68"/>
      <c r="D15" s="68"/>
      <c r="E15" s="68"/>
      <c r="F15" s="68"/>
      <c r="G15" s="68"/>
      <c r="H15" s="68"/>
      <c r="I15" s="68"/>
      <c r="J15" s="68"/>
      <c r="K15" s="68"/>
      <c r="L15" s="68"/>
      <c r="M15" s="68"/>
    </row>
    <row r="16" spans="1:16" s="61" customFormat="1" ht="24.75" customHeight="1">
      <c r="A16" s="69"/>
      <c r="B16" s="70" t="s">
        <v>2705</v>
      </c>
      <c r="C16" s="69"/>
      <c r="D16" s="69"/>
      <c r="E16" s="71" t="s">
        <v>2706</v>
      </c>
      <c r="F16" s="4024" t="s">
        <v>2707</v>
      </c>
      <c r="G16" s="4024"/>
      <c r="H16" s="69"/>
      <c r="I16" s="69"/>
      <c r="J16" s="69"/>
      <c r="K16" s="69"/>
      <c r="L16" s="71" t="s">
        <v>2708</v>
      </c>
      <c r="M16" s="69"/>
    </row>
    <row r="17" spans="1:13" ht="22.5">
      <c r="A17" s="72">
        <v>1</v>
      </c>
      <c r="B17" s="73" t="s">
        <v>2709</v>
      </c>
      <c r="C17" s="74"/>
      <c r="D17" s="75"/>
      <c r="E17" s="2982">
        <v>13839</v>
      </c>
      <c r="F17" s="76"/>
      <c r="G17" s="77">
        <f>M13</f>
        <v>-53.74</v>
      </c>
      <c r="H17" s="78"/>
      <c r="I17" s="86"/>
      <c r="J17" s="4025"/>
      <c r="K17" s="78">
        <v>0</v>
      </c>
      <c r="L17" s="87">
        <f>1*(E17+F17+I17+K17+G17)</f>
        <v>13785.26</v>
      </c>
      <c r="M17" s="68"/>
    </row>
    <row r="18" spans="1:13" ht="15.75">
      <c r="A18" s="72">
        <f>+A17+1</f>
        <v>2</v>
      </c>
      <c r="B18" s="73" t="s">
        <v>2710</v>
      </c>
      <c r="C18" s="74"/>
      <c r="D18" s="77"/>
      <c r="E18" s="2983">
        <v>1989</v>
      </c>
      <c r="F18" s="76"/>
      <c r="G18" s="77">
        <f>+'NP4 collars'!O15</f>
        <v>-6.49</v>
      </c>
      <c r="H18" s="78"/>
      <c r="I18" s="86"/>
      <c r="J18" s="4025"/>
      <c r="K18" s="78">
        <v>0</v>
      </c>
      <c r="L18" s="87">
        <f t="shared" ref="L18:L32" si="10">1*(E18+F18+I18+K18+G18)</f>
        <v>1982.51</v>
      </c>
      <c r="M18" s="68"/>
    </row>
    <row r="19" spans="1:13" ht="22.5">
      <c r="A19" s="72">
        <f t="shared" ref="A19:A32" si="11">+A18+1</f>
        <v>3</v>
      </c>
      <c r="B19" s="73" t="s">
        <v>2711</v>
      </c>
      <c r="C19" s="74"/>
      <c r="D19" s="75"/>
      <c r="E19" s="2982">
        <v>10191</v>
      </c>
      <c r="F19" s="76"/>
      <c r="G19" s="77">
        <f>+M12</f>
        <v>-43.51</v>
      </c>
      <c r="H19" s="78"/>
      <c r="I19" s="86"/>
      <c r="J19" s="4025"/>
      <c r="K19" s="78">
        <v>0</v>
      </c>
      <c r="L19" s="87">
        <f t="shared" si="10"/>
        <v>10147.49</v>
      </c>
      <c r="M19" s="68"/>
    </row>
    <row r="20" spans="1:13" ht="15.75">
      <c r="A20" s="72">
        <f t="shared" si="11"/>
        <v>4</v>
      </c>
      <c r="B20" s="73" t="s">
        <v>2712</v>
      </c>
      <c r="C20" s="74"/>
      <c r="D20" s="77"/>
      <c r="E20" s="2983">
        <v>1257</v>
      </c>
      <c r="F20" s="76"/>
      <c r="G20" s="77">
        <f>+'NP4 collars'!O14</f>
        <v>-4.32</v>
      </c>
      <c r="H20" s="78"/>
      <c r="I20" s="86"/>
      <c r="J20" s="4025"/>
      <c r="K20" s="78">
        <v>0</v>
      </c>
      <c r="L20" s="87">
        <f t="shared" si="10"/>
        <v>1252.68</v>
      </c>
      <c r="M20" s="68"/>
    </row>
    <row r="21" spans="1:13" ht="22.5">
      <c r="A21" s="72">
        <f t="shared" si="11"/>
        <v>5</v>
      </c>
      <c r="B21" s="73" t="s">
        <v>2713</v>
      </c>
      <c r="C21" s="74"/>
      <c r="D21" s="77"/>
      <c r="E21" s="2982">
        <v>7472</v>
      </c>
      <c r="F21" s="76"/>
      <c r="G21" s="77">
        <f>+M11</f>
        <v>-33.93</v>
      </c>
      <c r="H21" s="78"/>
      <c r="I21" s="86"/>
      <c r="J21" s="4025"/>
      <c r="K21" s="78">
        <v>0</v>
      </c>
      <c r="L21" s="87">
        <f t="shared" si="10"/>
        <v>7438.07</v>
      </c>
      <c r="M21" s="68"/>
    </row>
    <row r="22" spans="1:13" ht="15.75">
      <c r="A22" s="72">
        <f t="shared" si="11"/>
        <v>6</v>
      </c>
      <c r="B22" s="73" t="s">
        <v>2714</v>
      </c>
      <c r="C22" s="74"/>
      <c r="D22" s="77"/>
      <c r="E22" s="2983">
        <v>1000</v>
      </c>
      <c r="F22" s="76"/>
      <c r="G22" s="77">
        <f>+'NP4 collars'!O13</f>
        <v>-3.56</v>
      </c>
      <c r="H22" s="78"/>
      <c r="I22" s="86"/>
      <c r="J22" s="4025"/>
      <c r="K22" s="78">
        <v>0</v>
      </c>
      <c r="L22" s="87">
        <f t="shared" si="10"/>
        <v>996.44</v>
      </c>
      <c r="M22" s="68"/>
    </row>
    <row r="23" spans="1:13" ht="22.5">
      <c r="A23" s="72">
        <f t="shared" si="11"/>
        <v>7</v>
      </c>
      <c r="B23" s="73" t="s">
        <v>2715</v>
      </c>
      <c r="C23" s="74"/>
      <c r="D23" s="77"/>
      <c r="E23" s="2982">
        <v>6007</v>
      </c>
      <c r="F23" s="76"/>
      <c r="G23" s="77">
        <f>+M10</f>
        <v>-28.85</v>
      </c>
      <c r="H23" s="78"/>
      <c r="I23" s="86"/>
      <c r="J23" s="4025"/>
      <c r="K23" s="78">
        <v>0</v>
      </c>
      <c r="L23" s="87">
        <f t="shared" si="10"/>
        <v>5978.15</v>
      </c>
      <c r="M23" s="68"/>
    </row>
    <row r="24" spans="1:13" ht="15.75">
      <c r="A24" s="72">
        <f t="shared" si="11"/>
        <v>8</v>
      </c>
      <c r="B24" s="73" t="s">
        <v>2716</v>
      </c>
      <c r="C24" s="74"/>
      <c r="D24" s="77"/>
      <c r="E24" s="2983">
        <v>860</v>
      </c>
      <c r="F24" s="76"/>
      <c r="G24" s="77">
        <f>+'NP4 collars'!O12</f>
        <v>-2.88</v>
      </c>
      <c r="H24" s="78"/>
      <c r="I24" s="86"/>
      <c r="J24" s="4025"/>
      <c r="K24" s="78">
        <v>0</v>
      </c>
      <c r="L24" s="87">
        <f t="shared" si="10"/>
        <v>857.12</v>
      </c>
      <c r="M24" s="68"/>
    </row>
    <row r="25" spans="1:13" ht="22.5">
      <c r="A25" s="72">
        <f t="shared" si="11"/>
        <v>9</v>
      </c>
      <c r="B25" s="73" t="s">
        <v>2717</v>
      </c>
      <c r="C25" s="74"/>
      <c r="D25" s="77"/>
      <c r="E25" s="2982">
        <v>4581</v>
      </c>
      <c r="F25" s="76"/>
      <c r="G25" s="77">
        <f>+M9</f>
        <v>-22.64</v>
      </c>
      <c r="H25" s="78"/>
      <c r="I25" s="86"/>
      <c r="J25" s="4025"/>
      <c r="K25" s="78">
        <v>0</v>
      </c>
      <c r="L25" s="87">
        <f t="shared" si="10"/>
        <v>4558.3599999999997</v>
      </c>
      <c r="M25" s="68"/>
    </row>
    <row r="26" spans="1:13" ht="15.75">
      <c r="A26" s="72">
        <f t="shared" si="11"/>
        <v>10</v>
      </c>
      <c r="B26" s="73" t="s">
        <v>2718</v>
      </c>
      <c r="C26" s="74"/>
      <c r="D26" s="77"/>
      <c r="E26" s="2983">
        <v>682</v>
      </c>
      <c r="F26" s="76"/>
      <c r="G26" s="77">
        <f>+'NP4 collars'!O11</f>
        <v>-2.27</v>
      </c>
      <c r="H26" s="78"/>
      <c r="I26" s="86"/>
      <c r="J26" s="4025"/>
      <c r="K26" s="78">
        <v>0</v>
      </c>
      <c r="L26" s="87">
        <f t="shared" si="10"/>
        <v>679.73</v>
      </c>
      <c r="M26" s="68"/>
    </row>
    <row r="27" spans="1:13" ht="22.5">
      <c r="A27" s="72">
        <f t="shared" si="11"/>
        <v>11</v>
      </c>
      <c r="B27" s="73" t="s">
        <v>2719</v>
      </c>
      <c r="C27" s="74"/>
      <c r="D27" s="77"/>
      <c r="E27" s="2982">
        <v>3413</v>
      </c>
      <c r="F27" s="76"/>
      <c r="G27" s="77">
        <f>+M8</f>
        <v>-19.760000000000002</v>
      </c>
      <c r="H27" s="78"/>
      <c r="I27" s="86"/>
      <c r="J27" s="4025"/>
      <c r="K27" s="78">
        <v>0</v>
      </c>
      <c r="L27" s="87">
        <f t="shared" si="10"/>
        <v>3393.24</v>
      </c>
      <c r="M27" s="68"/>
    </row>
    <row r="28" spans="1:13" ht="15.75">
      <c r="A28" s="72">
        <f t="shared" si="11"/>
        <v>12</v>
      </c>
      <c r="B28" s="73" t="s">
        <v>2720</v>
      </c>
      <c r="C28" s="74"/>
      <c r="D28" s="77"/>
      <c r="E28" s="2983">
        <v>502</v>
      </c>
      <c r="F28" s="76"/>
      <c r="G28" s="77">
        <f>+'NP4 collars'!O10</f>
        <v>-1.74</v>
      </c>
      <c r="H28" s="78"/>
      <c r="I28" s="86"/>
      <c r="J28" s="4025"/>
      <c r="K28" s="78">
        <v>0</v>
      </c>
      <c r="L28" s="87">
        <f t="shared" si="10"/>
        <v>500.26</v>
      </c>
      <c r="M28" s="68"/>
    </row>
    <row r="29" spans="1:13" ht="22.5">
      <c r="A29" s="72">
        <f t="shared" si="11"/>
        <v>13</v>
      </c>
      <c r="B29" s="73" t="s">
        <v>2721</v>
      </c>
      <c r="C29" s="74"/>
      <c r="D29" s="77"/>
      <c r="E29" s="2982">
        <v>1768</v>
      </c>
      <c r="F29" s="76"/>
      <c r="G29" s="77">
        <f>+M7</f>
        <v>-13.36</v>
      </c>
      <c r="H29" s="78"/>
      <c r="I29" s="86"/>
      <c r="J29" s="4025"/>
      <c r="K29" s="78">
        <v>0</v>
      </c>
      <c r="L29" s="87">
        <f t="shared" si="10"/>
        <v>1754.64</v>
      </c>
      <c r="M29" s="68"/>
    </row>
    <row r="30" spans="1:13" ht="15.75">
      <c r="A30" s="72">
        <f t="shared" si="11"/>
        <v>14</v>
      </c>
      <c r="B30" s="73" t="s">
        <v>2722</v>
      </c>
      <c r="C30" s="74"/>
      <c r="D30" s="77"/>
      <c r="E30" s="2983">
        <v>320</v>
      </c>
      <c r="F30" s="76"/>
      <c r="G30" s="77">
        <f>+'NP4 collars'!O9</f>
        <v>-1.1499999999999999</v>
      </c>
      <c r="H30" s="78"/>
      <c r="I30" s="86"/>
      <c r="J30" s="4025"/>
      <c r="K30" s="78">
        <v>0</v>
      </c>
      <c r="L30" s="87">
        <f t="shared" si="10"/>
        <v>318.85000000000002</v>
      </c>
      <c r="M30" s="68"/>
    </row>
    <row r="31" spans="1:13" ht="22.5">
      <c r="A31" s="72">
        <f t="shared" si="11"/>
        <v>15</v>
      </c>
      <c r="B31" s="73" t="s">
        <v>2723</v>
      </c>
      <c r="C31" s="74"/>
      <c r="D31" s="77"/>
      <c r="E31" s="2982">
        <v>1133</v>
      </c>
      <c r="F31" s="76"/>
      <c r="G31" s="77">
        <f>+M6</f>
        <v>-4.6100000000000003</v>
      </c>
      <c r="H31" s="78"/>
      <c r="I31" s="86"/>
      <c r="J31" s="4025"/>
      <c r="K31" s="78">
        <v>0</v>
      </c>
      <c r="L31" s="87">
        <f t="shared" si="10"/>
        <v>1128.3900000000001</v>
      </c>
      <c r="M31" s="68"/>
    </row>
    <row r="32" spans="1:13" ht="15.75">
      <c r="A32" s="72">
        <f t="shared" si="11"/>
        <v>16</v>
      </c>
      <c r="B32" s="73" t="s">
        <v>2724</v>
      </c>
      <c r="C32" s="74"/>
      <c r="D32" s="77"/>
      <c r="E32" s="2983">
        <v>174</v>
      </c>
      <c r="F32" s="76"/>
      <c r="G32" s="77">
        <f>+'NP4 collars'!O8</f>
        <v>-0.5</v>
      </c>
      <c r="H32" s="78"/>
      <c r="I32" s="86"/>
      <c r="J32" s="4025"/>
      <c r="K32" s="78">
        <v>0</v>
      </c>
      <c r="L32" s="87">
        <f t="shared" si="10"/>
        <v>173.5</v>
      </c>
      <c r="M32" s="68"/>
    </row>
    <row r="33" spans="5:7">
      <c r="E33" s="80" t="s">
        <v>2725</v>
      </c>
      <c r="F33" s="81"/>
      <c r="G33" s="79">
        <v>5300</v>
      </c>
    </row>
    <row r="34" spans="5:7" ht="14.45" customHeight="1">
      <c r="E34" s="80" t="s">
        <v>2726</v>
      </c>
      <c r="G34" s="79">
        <v>55000</v>
      </c>
    </row>
  </sheetData>
  <sheetProtection password="83A3" sheet="1" objects="1" scenarios="1" selectLockedCells="1" selectUnlockedCells="1"/>
  <mergeCells count="10">
    <mergeCell ref="J23:J24"/>
    <mergeCell ref="J25:J26"/>
    <mergeCell ref="J27:J28"/>
    <mergeCell ref="J29:J30"/>
    <mergeCell ref="J31:J32"/>
    <mergeCell ref="C4:D4"/>
    <mergeCell ref="F16:G16"/>
    <mergeCell ref="J17:J18"/>
    <mergeCell ref="J19:J20"/>
    <mergeCell ref="J21:J22"/>
  </mergeCells>
  <pageMargins left="0.43307086614173201" right="0.27559055118110198" top="0.511811023622047" bottom="0.47244094488188998" header="0.511811023622047" footer="0.511811023622047"/>
  <pageSetup paperSize="9" scale="85" orientation="landscape" r:id="rId1"/>
  <headerFooter alignWithMargins="0"/>
</worksheet>
</file>

<file path=xl/worksheets/sheet47.xml><?xml version="1.0" encoding="utf-8"?>
<worksheet xmlns="http://schemas.openxmlformats.org/spreadsheetml/2006/main" xmlns:r="http://schemas.openxmlformats.org/officeDocument/2006/relationships">
  <sheetPr codeName="Sheet34">
    <tabColor rgb="FFFF0000"/>
  </sheetPr>
  <dimension ref="A1:O15"/>
  <sheetViews>
    <sheetView topLeftCell="A3" workbookViewId="0">
      <selection activeCell="L8" sqref="A8:L15"/>
    </sheetView>
  </sheetViews>
  <sheetFormatPr defaultColWidth="9.140625" defaultRowHeight="12.75"/>
  <cols>
    <col min="1" max="1" width="8" style="54" customWidth="1"/>
    <col min="2" max="3" width="9.140625" style="54" customWidth="1"/>
    <col min="4" max="4" width="6.140625" style="54" customWidth="1"/>
    <col min="5" max="6" width="7" style="54" customWidth="1"/>
    <col min="7" max="7" width="7.140625" style="54" customWidth="1"/>
    <col min="8" max="8" width="8.42578125" style="54" customWidth="1"/>
    <col min="9" max="11" width="9.140625" style="54" customWidth="1"/>
    <col min="12" max="12" width="8.7109375" style="54" customWidth="1"/>
    <col min="13" max="14" width="15.42578125" style="54" customWidth="1"/>
    <col min="15" max="15" width="10.140625" style="54" customWidth="1"/>
    <col min="16" max="16" width="9.140625" style="54" customWidth="1"/>
    <col min="17" max="17" width="9.42578125" style="54" customWidth="1"/>
    <col min="18" max="18" width="8.7109375" style="54" customWidth="1"/>
    <col min="19" max="19" width="6" style="54" customWidth="1"/>
    <col min="20" max="21" width="6.85546875" style="54" customWidth="1"/>
    <col min="22" max="23" width="9.140625" style="54" customWidth="1"/>
    <col min="24" max="24" width="8.5703125" style="54" customWidth="1"/>
    <col min="25" max="25" width="8.28515625" style="54" customWidth="1"/>
    <col min="26" max="26" width="9.140625" style="54" customWidth="1"/>
    <col min="27" max="27" width="9.42578125" style="54" customWidth="1"/>
    <col min="28" max="28" width="14.5703125" style="54" customWidth="1"/>
    <col min="29" max="29" width="14.140625" style="54" customWidth="1"/>
    <col min="30" max="30" width="8.140625" style="54" customWidth="1"/>
    <col min="31" max="16384" width="9.140625" style="54"/>
  </cols>
  <sheetData>
    <row r="1" spans="1:15" ht="15.75">
      <c r="C1" s="55" t="str">
        <f>'NP4 pipes'!B1</f>
        <v>R/F A to B in Wanaparthy Mandal of Wanaparthy District</v>
      </c>
    </row>
    <row r="2" spans="1:15">
      <c r="B2" s="54" t="s">
        <v>2686</v>
      </c>
    </row>
    <row r="3" spans="1:15">
      <c r="M3" s="58" t="s">
        <v>2687</v>
      </c>
    </row>
    <row r="4" spans="1:15">
      <c r="A4" s="54" t="s">
        <v>2727</v>
      </c>
    </row>
    <row r="6" spans="1:15" ht="38.25">
      <c r="A6" s="56" t="s">
        <v>2689</v>
      </c>
      <c r="B6" s="56" t="s">
        <v>2728</v>
      </c>
      <c r="C6" s="56" t="s">
        <v>2729</v>
      </c>
      <c r="D6" s="56" t="s">
        <v>2730</v>
      </c>
      <c r="E6" s="4023" t="s">
        <v>2731</v>
      </c>
      <c r="F6" s="4023"/>
      <c r="G6" s="56" t="s">
        <v>2692</v>
      </c>
      <c r="H6" s="56" t="s">
        <v>2693</v>
      </c>
      <c r="I6" s="56" t="s">
        <v>2694</v>
      </c>
      <c r="J6" s="56" t="s">
        <v>2695</v>
      </c>
      <c r="K6" s="56" t="s">
        <v>2696</v>
      </c>
      <c r="L6" s="56" t="s">
        <v>2697</v>
      </c>
      <c r="M6" s="56" t="s">
        <v>2698</v>
      </c>
      <c r="N6" s="56" t="s">
        <v>2699</v>
      </c>
      <c r="O6" s="56" t="s">
        <v>2700</v>
      </c>
    </row>
    <row r="7" spans="1:15">
      <c r="A7" s="57"/>
      <c r="B7" s="57"/>
      <c r="C7" s="57"/>
      <c r="D7" s="57"/>
      <c r="E7" s="57" t="s">
        <v>2701</v>
      </c>
      <c r="F7" s="57" t="s">
        <v>2702</v>
      </c>
      <c r="G7" s="57"/>
      <c r="H7" s="57"/>
      <c r="I7" s="57"/>
      <c r="J7" s="57"/>
      <c r="K7" s="57"/>
      <c r="L7" s="57"/>
      <c r="M7" s="57"/>
      <c r="N7" s="57"/>
      <c r="O7" s="57"/>
    </row>
    <row r="8" spans="1:15" ht="25.5" customHeight="1">
      <c r="A8" s="57">
        <v>300</v>
      </c>
      <c r="B8" s="57">
        <v>16</v>
      </c>
      <c r="C8" s="57">
        <v>30</v>
      </c>
      <c r="D8" s="57">
        <v>150</v>
      </c>
      <c r="E8" s="57">
        <v>0.11</v>
      </c>
      <c r="F8" s="57">
        <v>0.22</v>
      </c>
      <c r="G8" s="57">
        <f>PI()*((C8/1000)*(A8+C8)/1000)*D8/1000</f>
        <v>4.6652650905808432E-3</v>
      </c>
      <c r="H8" s="57">
        <f t="shared" ref="H8:H15" si="0">E8+F8*140/125</f>
        <v>0.35639999999999999</v>
      </c>
      <c r="I8" s="59">
        <f>'NP4 pipes'!G6</f>
        <v>5300</v>
      </c>
      <c r="J8" s="59">
        <f>'NP4 pipes'!H6</f>
        <v>5000</v>
      </c>
      <c r="K8" s="59">
        <f>'NP4 pipes'!I6</f>
        <v>55000</v>
      </c>
      <c r="L8" s="59">
        <f>'NP4 pipes'!J6</f>
        <v>55000</v>
      </c>
      <c r="M8" s="57">
        <f t="shared" ref="M8:M15" si="1">ROUND(360*G8*(J8-I8)/1000,2)</f>
        <v>-0.5</v>
      </c>
      <c r="N8" s="57">
        <f t="shared" ref="N8:N15" si="2">ROUND(H8*(L8-K8)/1000,2)</f>
        <v>0</v>
      </c>
      <c r="O8" s="57">
        <f t="shared" ref="O8:O15" si="3">N8+M8</f>
        <v>-0.5</v>
      </c>
    </row>
    <row r="9" spans="1:15" ht="25.5" customHeight="1">
      <c r="A9" s="57">
        <v>450</v>
      </c>
      <c r="B9" s="57">
        <v>19</v>
      </c>
      <c r="C9" s="57">
        <v>35</v>
      </c>
      <c r="D9" s="57">
        <v>200</v>
      </c>
      <c r="E9" s="57">
        <v>0.15</v>
      </c>
      <c r="F9" s="57">
        <v>0.6</v>
      </c>
      <c r="G9" s="57">
        <f>PI()*((C9/1000)*(A9+C9)/1000)*D9/1000</f>
        <v>1.0665707058937346E-2</v>
      </c>
      <c r="H9" s="57">
        <f t="shared" si="0"/>
        <v>0.82200000000000006</v>
      </c>
      <c r="I9" s="59">
        <f t="shared" ref="I9:L15" si="4">I8</f>
        <v>5300</v>
      </c>
      <c r="J9" s="59">
        <f t="shared" si="4"/>
        <v>5000</v>
      </c>
      <c r="K9" s="59">
        <f t="shared" si="4"/>
        <v>55000</v>
      </c>
      <c r="L9" s="59">
        <f t="shared" si="4"/>
        <v>55000</v>
      </c>
      <c r="M9" s="57">
        <f t="shared" si="1"/>
        <v>-1.1499999999999999</v>
      </c>
      <c r="N9" s="57">
        <f t="shared" si="2"/>
        <v>0</v>
      </c>
      <c r="O9" s="57">
        <f t="shared" si="3"/>
        <v>-1.1499999999999999</v>
      </c>
    </row>
    <row r="10" spans="1:15" ht="25.5" customHeight="1">
      <c r="A10" s="57">
        <v>600</v>
      </c>
      <c r="B10" s="57">
        <v>19</v>
      </c>
      <c r="C10" s="57">
        <v>40</v>
      </c>
      <c r="D10" s="57">
        <v>200</v>
      </c>
      <c r="E10" s="57">
        <v>0.23</v>
      </c>
      <c r="F10" s="57">
        <v>1.05</v>
      </c>
      <c r="G10" s="57">
        <f>PI()*((C10/1000)*(A10+C10)/1000)*D10/1000</f>
        <v>1.6084954386379743E-2</v>
      </c>
      <c r="H10" s="57">
        <f t="shared" si="0"/>
        <v>1.4059999999999999</v>
      </c>
      <c r="I10" s="59">
        <f t="shared" si="4"/>
        <v>5300</v>
      </c>
      <c r="J10" s="59">
        <f t="shared" si="4"/>
        <v>5000</v>
      </c>
      <c r="K10" s="59">
        <f t="shared" si="4"/>
        <v>55000</v>
      </c>
      <c r="L10" s="59">
        <f t="shared" si="4"/>
        <v>55000</v>
      </c>
      <c r="M10" s="57">
        <f t="shared" si="1"/>
        <v>-1.74</v>
      </c>
      <c r="N10" s="57">
        <f t="shared" si="2"/>
        <v>0</v>
      </c>
      <c r="O10" s="57">
        <f t="shared" si="3"/>
        <v>-1.74</v>
      </c>
    </row>
    <row r="11" spans="1:15" ht="25.5" customHeight="1">
      <c r="A11" s="57">
        <v>700</v>
      </c>
      <c r="B11" s="57">
        <v>19</v>
      </c>
      <c r="C11" s="57">
        <v>45</v>
      </c>
      <c r="D11" s="57">
        <v>200</v>
      </c>
      <c r="E11" s="57">
        <v>0.23</v>
      </c>
      <c r="F11" s="57">
        <v>1.85</v>
      </c>
      <c r="G11" s="57">
        <f t="shared" ref="G11:G15" si="5">PI()*((C11/1000)*(A11+C11)/1000)*D11/1000</f>
        <v>2.1064378742319562E-2</v>
      </c>
      <c r="H11" s="57">
        <f t="shared" si="0"/>
        <v>2.302</v>
      </c>
      <c r="I11" s="59">
        <f t="shared" si="4"/>
        <v>5300</v>
      </c>
      <c r="J11" s="59">
        <f t="shared" si="4"/>
        <v>5000</v>
      </c>
      <c r="K11" s="59">
        <f t="shared" si="4"/>
        <v>55000</v>
      </c>
      <c r="L11" s="59">
        <f t="shared" si="4"/>
        <v>55000</v>
      </c>
      <c r="M11" s="57">
        <f t="shared" si="1"/>
        <v>-2.27</v>
      </c>
      <c r="N11" s="57">
        <f t="shared" si="2"/>
        <v>0</v>
      </c>
      <c r="O11" s="57">
        <f t="shared" si="3"/>
        <v>-2.27</v>
      </c>
    </row>
    <row r="12" spans="1:15" ht="25.5" customHeight="1">
      <c r="A12" s="57">
        <v>800</v>
      </c>
      <c r="B12" s="57">
        <v>19</v>
      </c>
      <c r="C12" s="57">
        <v>50</v>
      </c>
      <c r="D12" s="57">
        <v>200</v>
      </c>
      <c r="E12" s="57">
        <v>0.23</v>
      </c>
      <c r="F12" s="57">
        <v>2.0499999999999998</v>
      </c>
      <c r="G12" s="57">
        <f t="shared" si="5"/>
        <v>2.6703537555513246E-2</v>
      </c>
      <c r="H12" s="57">
        <f t="shared" si="0"/>
        <v>2.5259999999999998</v>
      </c>
      <c r="I12" s="59">
        <f>+I11</f>
        <v>5300</v>
      </c>
      <c r="J12" s="59">
        <f>+J11</f>
        <v>5000</v>
      </c>
      <c r="K12" s="59">
        <f>+K11</f>
        <v>55000</v>
      </c>
      <c r="L12" s="59">
        <f>+L11</f>
        <v>55000</v>
      </c>
      <c r="M12" s="57">
        <f t="shared" ref="M12" si="6">ROUND(360*G12*(J12-I12)/1000,2)</f>
        <v>-2.88</v>
      </c>
      <c r="N12" s="57">
        <f t="shared" ref="N12" si="7">ROUND(H12*(L12-K12)/1000,2)</f>
        <v>0</v>
      </c>
      <c r="O12" s="57">
        <f t="shared" si="3"/>
        <v>-2.88</v>
      </c>
    </row>
    <row r="13" spans="1:15" ht="25.5" customHeight="1">
      <c r="A13" s="57">
        <v>900</v>
      </c>
      <c r="B13" s="57">
        <v>19</v>
      </c>
      <c r="C13" s="57">
        <v>55</v>
      </c>
      <c r="D13" s="57">
        <v>200</v>
      </c>
      <c r="E13" s="57">
        <v>0.33</v>
      </c>
      <c r="F13" s="57">
        <v>2.25</v>
      </c>
      <c r="G13" s="57">
        <f t="shared" si="5"/>
        <v>3.3002430825960771E-2</v>
      </c>
      <c r="H13" s="57">
        <f t="shared" si="0"/>
        <v>2.85</v>
      </c>
      <c r="I13" s="59">
        <f>I11</f>
        <v>5300</v>
      </c>
      <c r="J13" s="59">
        <f>J11</f>
        <v>5000</v>
      </c>
      <c r="K13" s="59">
        <f>K11</f>
        <v>55000</v>
      </c>
      <c r="L13" s="59">
        <f>L11</f>
        <v>55000</v>
      </c>
      <c r="M13" s="57">
        <f t="shared" si="1"/>
        <v>-3.56</v>
      </c>
      <c r="N13" s="57">
        <f t="shared" si="2"/>
        <v>0</v>
      </c>
      <c r="O13" s="57">
        <f t="shared" si="3"/>
        <v>-3.56</v>
      </c>
    </row>
    <row r="14" spans="1:15" ht="25.5" customHeight="1">
      <c r="A14" s="57">
        <v>1000</v>
      </c>
      <c r="B14" s="57">
        <v>19</v>
      </c>
      <c r="C14" s="57">
        <v>60</v>
      </c>
      <c r="D14" s="57">
        <v>200</v>
      </c>
      <c r="E14" s="57">
        <v>0.33</v>
      </c>
      <c r="F14" s="57">
        <v>3.09</v>
      </c>
      <c r="G14" s="57">
        <f t="shared" si="5"/>
        <v>3.9961058553662165E-2</v>
      </c>
      <c r="H14" s="57">
        <f t="shared" si="0"/>
        <v>3.7907999999999999</v>
      </c>
      <c r="I14" s="59">
        <f t="shared" si="4"/>
        <v>5300</v>
      </c>
      <c r="J14" s="59">
        <f t="shared" si="4"/>
        <v>5000</v>
      </c>
      <c r="K14" s="59">
        <f t="shared" si="4"/>
        <v>55000</v>
      </c>
      <c r="L14" s="59">
        <f t="shared" si="4"/>
        <v>55000</v>
      </c>
      <c r="M14" s="57">
        <f t="shared" si="1"/>
        <v>-4.32</v>
      </c>
      <c r="N14" s="57">
        <f t="shared" si="2"/>
        <v>0</v>
      </c>
      <c r="O14" s="57">
        <f t="shared" si="3"/>
        <v>-4.32</v>
      </c>
    </row>
    <row r="15" spans="1:15" ht="25.5" customHeight="1">
      <c r="A15" s="57">
        <v>1200</v>
      </c>
      <c r="B15" s="57">
        <v>19</v>
      </c>
      <c r="C15" s="57">
        <v>75</v>
      </c>
      <c r="D15" s="57">
        <v>200</v>
      </c>
      <c r="E15" s="57">
        <v>0.5</v>
      </c>
      <c r="F15" s="57">
        <v>5.08</v>
      </c>
      <c r="G15" s="57">
        <f t="shared" si="5"/>
        <v>6.0082959499904796E-2</v>
      </c>
      <c r="H15" s="57">
        <f t="shared" si="0"/>
        <v>6.1896000000000004</v>
      </c>
      <c r="I15" s="59">
        <f t="shared" si="4"/>
        <v>5300</v>
      </c>
      <c r="J15" s="59">
        <f t="shared" si="4"/>
        <v>5000</v>
      </c>
      <c r="K15" s="59">
        <f t="shared" si="4"/>
        <v>55000</v>
      </c>
      <c r="L15" s="59">
        <f t="shared" si="4"/>
        <v>55000</v>
      </c>
      <c r="M15" s="57">
        <f t="shared" si="1"/>
        <v>-6.49</v>
      </c>
      <c r="N15" s="57">
        <f t="shared" si="2"/>
        <v>0</v>
      </c>
      <c r="O15" s="57">
        <f t="shared" si="3"/>
        <v>-6.49</v>
      </c>
    </row>
  </sheetData>
  <sheetProtection password="83A3" sheet="1" objects="1" scenarios="1" selectLockedCells="1" selectUnlockedCells="1"/>
  <mergeCells count="1">
    <mergeCell ref="E6:F6"/>
  </mergeCells>
  <pageMargins left="0.45" right="0.28000000000000003" top="0.53" bottom="0.48" header="0.5" footer="0.5"/>
  <pageSetup paperSize="9" scale="95" orientation="landscape"/>
  <headerFooter alignWithMargins="0"/>
</worksheet>
</file>

<file path=xl/worksheets/sheet48.xml><?xml version="1.0" encoding="utf-8"?>
<worksheet xmlns="http://schemas.openxmlformats.org/spreadsheetml/2006/main" xmlns:r="http://schemas.openxmlformats.org/officeDocument/2006/relationships">
  <sheetPr codeName="Sheet26"/>
  <dimension ref="A1:G29"/>
  <sheetViews>
    <sheetView workbookViewId="0">
      <selection activeCell="K18" sqref="K18"/>
    </sheetView>
  </sheetViews>
  <sheetFormatPr defaultColWidth="8.85546875" defaultRowHeight="15"/>
  <cols>
    <col min="1" max="1" width="23.7109375" style="1" customWidth="1"/>
    <col min="2" max="2" width="31.7109375" style="1" customWidth="1"/>
    <col min="3" max="3" width="38.85546875" style="1" customWidth="1"/>
    <col min="4" max="6" width="14.28515625" style="1" customWidth="1"/>
    <col min="7" max="7" width="13.85546875" style="1" customWidth="1"/>
    <col min="8" max="16384" width="8.85546875" style="1"/>
  </cols>
  <sheetData>
    <row r="1" spans="1:7" ht="15.75">
      <c r="A1" s="3065" t="str">
        <f>'Schedule-A'!D3</f>
        <v>R/F A to B in Wanaparthy Mandal of Wanaparthy District</v>
      </c>
      <c r="B1" s="3065"/>
      <c r="C1" s="3065"/>
      <c r="D1" s="3065"/>
      <c r="E1" s="3065"/>
      <c r="F1" s="3065"/>
      <c r="G1" s="3"/>
    </row>
    <row r="2" spans="1:7" ht="15.75">
      <c r="A2" s="2"/>
      <c r="B2" s="2" t="str">
        <f>"NIT.No-"&amp;'Input Data'!L5</f>
        <v>NIT.No--</v>
      </c>
      <c r="C2" s="4">
        <f>'Schedule-A'!C4</f>
        <v>100</v>
      </c>
      <c r="D2" s="2"/>
      <c r="E2" s="2"/>
      <c r="F2" s="2"/>
      <c r="G2" s="3"/>
    </row>
    <row r="3" spans="1:7" ht="18.75">
      <c r="A3" s="5" t="s">
        <v>330</v>
      </c>
      <c r="B3" s="6">
        <f>'Schedule-A'!H189</f>
        <v>8076412</v>
      </c>
      <c r="C3" s="7">
        <f>B3</f>
        <v>8076412</v>
      </c>
      <c r="D3" s="2926" t="s">
        <v>331</v>
      </c>
      <c r="E3" s="8">
        <v>1.4999999999999999E-2</v>
      </c>
      <c r="F3" s="8">
        <v>2.5000000000000001E-2</v>
      </c>
      <c r="G3" s="9"/>
    </row>
    <row r="4" spans="1:7">
      <c r="A4" s="10" t="s">
        <v>332</v>
      </c>
      <c r="B4" s="11" t="s">
        <v>333</v>
      </c>
      <c r="C4" s="12">
        <f>CEILING(1%*B3,100)</f>
        <v>80800</v>
      </c>
      <c r="D4" s="13">
        <f>CEILING(1%*C3,100)</f>
        <v>80800</v>
      </c>
      <c r="E4" s="13">
        <f>CEILING(1.5%*C3,100)</f>
        <v>121200</v>
      </c>
      <c r="F4" s="13">
        <f>SUM(D4:E4)</f>
        <v>202000</v>
      </c>
      <c r="G4" s="9"/>
    </row>
    <row r="5" spans="1:7" ht="23.25">
      <c r="A5" s="14" t="s">
        <v>334</v>
      </c>
      <c r="B5" s="15" t="s">
        <v>335</v>
      </c>
      <c r="C5" s="16" t="s">
        <v>336</v>
      </c>
      <c r="D5" s="17">
        <f>1.12368*(ROUND(0.03%*C3,0))</f>
        <v>2722.6766400000001</v>
      </c>
      <c r="E5" s="18" t="s">
        <v>337</v>
      </c>
      <c r="F5" s="19"/>
      <c r="G5" s="9"/>
    </row>
    <row r="6" spans="1:7" ht="63.75">
      <c r="A6" s="20" t="s">
        <v>338</v>
      </c>
      <c r="B6" s="21">
        <v>12</v>
      </c>
      <c r="C6" s="22" t="s">
        <v>2732</v>
      </c>
      <c r="D6" s="23"/>
      <c r="E6" s="23"/>
      <c r="F6" s="23"/>
      <c r="G6" s="9"/>
    </row>
    <row r="7" spans="1:7" ht="24">
      <c r="A7" s="20" t="s">
        <v>340</v>
      </c>
      <c r="B7" s="24" t="s">
        <v>341</v>
      </c>
      <c r="C7" s="25">
        <f>ROUNDUP((3*C3)/(B6),0)</f>
        <v>2019103</v>
      </c>
      <c r="D7" s="26" t="s">
        <v>342</v>
      </c>
      <c r="E7" s="27" t="e">
        <f>'Schedule-A'!#REF!</f>
        <v>#REF!</v>
      </c>
      <c r="F7" s="28" t="e">
        <f>'Schedule-A'!#REF!</f>
        <v>#REF!</v>
      </c>
      <c r="G7" s="9"/>
    </row>
    <row r="8" spans="1:7" ht="25.5">
      <c r="A8" s="20" t="s">
        <v>343</v>
      </c>
      <c r="B8" s="29" t="s">
        <v>344</v>
      </c>
      <c r="C8" s="25">
        <f>ROUNDUP(50%*C3*12/B6,0)</f>
        <v>4038206</v>
      </c>
      <c r="D8" s="9"/>
      <c r="E8" s="9"/>
      <c r="F8" s="9"/>
      <c r="G8" s="9"/>
    </row>
    <row r="9" spans="1:7">
      <c r="A9" s="20" t="s">
        <v>345</v>
      </c>
      <c r="B9" s="29" t="s">
        <v>330</v>
      </c>
      <c r="C9" s="25">
        <f>C3</f>
        <v>8076412</v>
      </c>
      <c r="D9" s="9"/>
      <c r="E9" s="9"/>
      <c r="F9" s="9"/>
      <c r="G9" s="9"/>
    </row>
    <row r="10" spans="1:7" ht="26.25">
      <c r="A10" s="30" t="s">
        <v>346</v>
      </c>
      <c r="B10" s="31" t="s">
        <v>347</v>
      </c>
      <c r="C10" s="32" t="s">
        <v>348</v>
      </c>
      <c r="D10" s="23"/>
      <c r="E10" s="9"/>
      <c r="F10" s="9"/>
      <c r="G10" s="9"/>
    </row>
    <row r="11" spans="1:7">
      <c r="A11" s="33" t="s">
        <v>349</v>
      </c>
      <c r="B11" s="34"/>
      <c r="C11" s="35">
        <f>ROUNDUP(B11*50%*12/B6,0)</f>
        <v>0</v>
      </c>
      <c r="D11" s="23" t="s">
        <v>31</v>
      </c>
      <c r="E11" s="9"/>
      <c r="F11" s="9"/>
      <c r="G11" s="9"/>
    </row>
    <row r="12" spans="1:7">
      <c r="A12" s="33" t="s">
        <v>350</v>
      </c>
      <c r="B12" s="34"/>
      <c r="C12" s="35">
        <f>ROUNDUP(B12*50%*12/B6,0)</f>
        <v>0</v>
      </c>
      <c r="D12" s="23" t="s">
        <v>31</v>
      </c>
      <c r="E12" s="9"/>
      <c r="F12" s="9"/>
      <c r="G12" s="9"/>
    </row>
    <row r="13" spans="1:7">
      <c r="A13" s="33" t="s">
        <v>351</v>
      </c>
      <c r="B13" s="34"/>
      <c r="C13" s="35">
        <f>ROUNDUP(B13*50%*12/B6,0)</f>
        <v>0</v>
      </c>
      <c r="D13" s="23" t="s">
        <v>31</v>
      </c>
      <c r="E13" s="9"/>
      <c r="F13" s="9"/>
      <c r="G13" s="9"/>
    </row>
    <row r="14" spans="1:7">
      <c r="A14" s="33" t="s">
        <v>352</v>
      </c>
      <c r="B14" s="34"/>
      <c r="C14" s="35">
        <f>ROUNDUP(B14*50%*12/B6,0)</f>
        <v>0</v>
      </c>
      <c r="D14" s="23" t="s">
        <v>353</v>
      </c>
      <c r="E14" s="9"/>
      <c r="F14" s="9"/>
      <c r="G14" s="9"/>
    </row>
    <row r="15" spans="1:7">
      <c r="A15" s="33" t="s">
        <v>354</v>
      </c>
      <c r="B15" s="36"/>
      <c r="C15" s="35">
        <f>ROUNDUP(B15*50%*12/B6,0)</f>
        <v>0</v>
      </c>
      <c r="D15" s="23" t="s">
        <v>31</v>
      </c>
      <c r="E15" s="9"/>
      <c r="F15" s="9"/>
      <c r="G15" s="9"/>
    </row>
    <row r="16" spans="1:7">
      <c r="A16" s="37"/>
      <c r="B16" s="3"/>
      <c r="C16" s="38"/>
      <c r="D16" s="3"/>
      <c r="E16" s="3"/>
      <c r="F16" s="3"/>
      <c r="G16" s="3"/>
    </row>
    <row r="17" spans="1:7">
      <c r="A17" s="10" t="s">
        <v>355</v>
      </c>
      <c r="B17" s="39" t="s">
        <v>356</v>
      </c>
      <c r="C17" s="40">
        <f>(C9/3)</f>
        <v>2692137.3333333335</v>
      </c>
      <c r="D17" s="41"/>
      <c r="E17" s="3"/>
      <c r="F17" s="3"/>
      <c r="G17" s="3"/>
    </row>
    <row r="18" spans="1:7">
      <c r="A18" s="10"/>
      <c r="B18" s="39" t="s">
        <v>357</v>
      </c>
      <c r="C18" s="40">
        <f>2*C17</f>
        <v>5384274.666666667</v>
      </c>
      <c r="D18" s="41"/>
      <c r="E18" s="3"/>
      <c r="F18" s="3"/>
      <c r="G18" s="3"/>
    </row>
    <row r="19" spans="1:7">
      <c r="A19" s="10"/>
      <c r="B19" s="39" t="s">
        <v>358</v>
      </c>
      <c r="C19" s="40">
        <f>3*C17</f>
        <v>8076412</v>
      </c>
      <c r="D19" s="41"/>
      <c r="E19" s="3"/>
      <c r="F19" s="3"/>
      <c r="G19" s="3"/>
    </row>
    <row r="20" spans="1:7" ht="25.5">
      <c r="A20" s="9"/>
      <c r="B20" s="42"/>
      <c r="C20" s="43" t="s">
        <v>366</v>
      </c>
      <c r="D20" s="44"/>
      <c r="E20" s="23"/>
      <c r="F20" s="45" t="s">
        <v>359</v>
      </c>
      <c r="G20" s="44"/>
    </row>
    <row r="21" spans="1:7">
      <c r="A21" s="10" t="s">
        <v>361</v>
      </c>
      <c r="B21" s="39" t="s">
        <v>362</v>
      </c>
      <c r="C21" s="46">
        <f>ROUND(((C3/3)/1000),0)</f>
        <v>2692</v>
      </c>
      <c r="D21" s="47">
        <f>C21*10%</f>
        <v>269.2</v>
      </c>
      <c r="E21" s="48">
        <f>C3/3</f>
        <v>2692137.3333333335</v>
      </c>
      <c r="F21" s="49">
        <f>E21*100/100000</f>
        <v>2692.1373333333336</v>
      </c>
      <c r="G21" s="3"/>
    </row>
    <row r="22" spans="1:7">
      <c r="A22" s="3"/>
      <c r="B22" s="39" t="s">
        <v>363</v>
      </c>
      <c r="C22" s="46">
        <f>C21*2</f>
        <v>5384</v>
      </c>
      <c r="D22" s="47">
        <f t="shared" ref="D22:D23" si="0">C22*10%</f>
        <v>538.4</v>
      </c>
      <c r="E22" s="48">
        <f>E21*2</f>
        <v>5384274.666666667</v>
      </c>
      <c r="F22" s="49">
        <f>E22*100/100000</f>
        <v>5384.2746666666671</v>
      </c>
      <c r="G22" s="3"/>
    </row>
    <row r="23" spans="1:7">
      <c r="A23" s="3"/>
      <c r="B23" s="39" t="s">
        <v>364</v>
      </c>
      <c r="C23" s="46">
        <f>C21*3</f>
        <v>8076</v>
      </c>
      <c r="D23" s="47">
        <f t="shared" si="0"/>
        <v>807.6</v>
      </c>
      <c r="E23" s="48">
        <f>E21*3</f>
        <v>8076412</v>
      </c>
      <c r="F23" s="49">
        <f>E23*100/100000</f>
        <v>8076.4120000000003</v>
      </c>
      <c r="G23" s="3"/>
    </row>
    <row r="24" spans="1:7">
      <c r="A24" s="50"/>
      <c r="B24" s="51"/>
      <c r="C24" s="39"/>
      <c r="D24" s="3"/>
      <c r="E24" s="52"/>
      <c r="F24" s="52"/>
      <c r="G24" s="3"/>
    </row>
    <row r="25" spans="1:7">
      <c r="A25" s="3"/>
      <c r="B25" s="43" t="s">
        <v>60</v>
      </c>
      <c r="C25" s="53">
        <f>C21*3</f>
        <v>8076</v>
      </c>
      <c r="D25" s="3"/>
      <c r="E25" s="52"/>
      <c r="F25" s="52"/>
      <c r="G25" s="47"/>
    </row>
    <row r="26" spans="1:7">
      <c r="A26" s="3"/>
      <c r="B26" s="3"/>
      <c r="C26" s="3"/>
      <c r="D26" s="3"/>
      <c r="E26" s="52"/>
      <c r="F26" s="52"/>
      <c r="G26" s="47"/>
    </row>
    <row r="27" spans="1:7">
      <c r="A27" s="3"/>
      <c r="B27" s="3"/>
      <c r="C27" s="3"/>
      <c r="D27" s="3"/>
      <c r="E27" s="52"/>
      <c r="F27" s="52"/>
      <c r="G27" s="47"/>
    </row>
    <row r="28" spans="1:7">
      <c r="A28" s="3"/>
      <c r="B28" s="3"/>
      <c r="C28" s="3"/>
      <c r="D28" s="3"/>
      <c r="E28" s="52"/>
      <c r="F28" s="52"/>
      <c r="G28" s="47"/>
    </row>
    <row r="29" spans="1:7">
      <c r="D29" s="3"/>
      <c r="E29" s="52"/>
      <c r="F29" s="52"/>
    </row>
  </sheetData>
  <mergeCells count="1">
    <mergeCell ref="A1:F1"/>
  </mergeCells>
  <printOptions horizontalCentered="1" gridLines="1"/>
  <pageMargins left="0.196850393700787" right="0.196850393700787" top="0.196850393700787" bottom="0.196850393700787" header="0.118110236220472" footer="0.118110236220472"/>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4" master=""/>
  <rangeList sheetStid="5" master=""/>
  <rangeList sheetStid="127" master=""/>
  <rangeList sheetStid="179" master=""/>
  <rangeList sheetStid="107" master="">
    <arrUserId title="Range1" rangeCreator="" othersAccessPermission="edit"/>
  </rangeList>
  <rangeList sheetStid="198" master=""/>
  <rangeList sheetStid="174" master="">
    <arrUserId title="Range1" rangeCreator="" othersAccessPermission="edit"/>
  </rangeList>
  <rangeList sheetStid="200" master=""/>
  <rangeList sheetStid="185" master=""/>
  <rangeList sheetStid="201" master=""/>
  <rangeList sheetStid="195" master=""/>
  <rangeList sheetStid="175" master="">
    <arrUserId title="Range2" rangeCreator="" othersAccessPermission="edit"/>
    <arrUserId title="Range1" rangeCreator="" othersAccessPermission="edit"/>
    <arrUserId title="Range3" rangeCreator="" othersAccessPermission="edit"/>
    <arrUserId title="Range2_1" rangeCreator="" othersAccessPermission="edit"/>
  </rangeList>
  <rangeList sheetStid="191" master=""/>
  <rangeList sheetStid="197" master=""/>
  <rangeList sheetStid="193" master=""/>
  <rangeList sheetStid="128" master=""/>
  <rangeList sheetStid="178" master=""/>
  <rangeList sheetStid="133" master=""/>
  <rangeList sheetStid="164" master="">
    <arrUserId title="Range4" rangeCreator="" othersAccessPermission="edit"/>
    <arrUserId title="Range4_1" rangeCreator="" othersAccessPermission="edit"/>
    <arrUserId title="Range4_2" rangeCreator="" othersAccessPermission="edit"/>
    <arrUserId title="Range4_3" rangeCreator="" othersAccessPermission="edit"/>
    <arrUserId title="Range4_4" rangeCreator="" othersAccessPermission="edit"/>
    <arrUserId title="Range4_5" rangeCreator="" othersAccessPermission="edit"/>
  </rangeList>
  <rangeList sheetStid="189" master="">
    <arrUserId title="Range3" rangeCreator="" othersAccessPermission="edit"/>
    <arrUserId title="Range1" rangeCreator="" othersAccessPermission="edit"/>
    <arrUserId title="Range4" rangeCreator="" othersAccessPermission="edit"/>
    <arrUserId title="Range4_2" rangeCreator="" othersAccessPermission="edit"/>
    <arrUserId title="Range4_1_1" rangeCreator="" othersAccessPermission="edit"/>
    <arrUserId title="Range4_2_1" rangeCreator="" othersAccessPermission="edit"/>
    <arrUserId title="Range3_1" rangeCreator="" othersAccessPermission="edit"/>
    <arrUserId title="Range1_1" rangeCreator="" othersAccessPermission="edit"/>
  </rangeList>
  <rangeList sheetStid="139" master=""/>
  <rangeList sheetStid="140" master="">
    <arrUserId title="Range6" rangeCreator="" othersAccessPermission="edit"/>
    <arrUserId title="Range5" rangeCreator="" othersAccessPermission="edit"/>
    <arrUserId title="Range4" rangeCreator="" othersAccessPermission="edit"/>
    <arrUserId title="Range3" rangeCreator="" othersAccessPermission="edit"/>
    <arrUserId title="Range2" rangeCreator="" othersAccessPermission="edit"/>
    <arrUserId title="Range1" rangeCreator="" othersAccessPermission="edit"/>
  </rangeList>
  <rangeList sheetStid="162" master=""/>
  <rangeList sheetStid="163" master=""/>
  <rangeList sheetStid="202" master=""/>
  <rangeList sheetStid="141" master=""/>
  <rangeList sheetStid="199" master="">
    <arrUserId title="Range4_3" rangeCreator="" othersAccessPermission="edit"/>
    <arrUserId title="Range4_4" rangeCreator="" othersAccessPermission="edit"/>
  </rangeList>
  <rangeList sheetStid="165" master="">
    <arrUserId title="Range4_3" rangeCreator="" othersAccessPermission="edit"/>
    <arrUserId title="Range4_4" rangeCreator="" othersAccessPermission="edit"/>
  </rangeList>
  <rangeList sheetStid="167" master="">
    <arrUserId title="Range4" rangeCreator="" othersAccessPermission="edit"/>
    <arrUserId title="Range4_1" rangeCreator="" othersAccessPermission="edit"/>
  </rangeList>
  <rangeList sheetStid="186" master="">
    <arrUserId title="Range4" rangeCreator="" othersAccessPermission="edit"/>
    <arrUserId title="Range4_1" rangeCreator="" othersAccessPermission="edit"/>
  </rangeList>
  <rangeList sheetStid="171" master="">
    <arrUserId title="Range4" rangeCreator="" othersAccessPermission="edit"/>
  </rangeList>
  <rangeList sheetStid="203" master="">
    <arrUserId title="Range3" rangeCreator="" othersAccessPermission="edit"/>
    <arrUserId title="Range2" rangeCreator="" othersAccessPermission="edit"/>
    <arrUserId title="Range1" rangeCreator="" othersAccessPermission="edit"/>
  </rangeList>
  <rangeList sheetStid="187" master="">
    <arrUserId title="Range4" rangeCreator="" othersAccessPermission="edit"/>
    <arrUserId title="Range4_1" rangeCreator="" othersAccessPermission="edit"/>
  </rangeList>
  <rangeList sheetStid="168" master="">
    <arrUserId title="Range4" rangeCreator="" othersAccessPermission="edit"/>
    <arrUserId title="Range4_1" rangeCreator="" othersAccessPermission="edit"/>
  </rangeList>
  <rangeList sheetStid="169" master="">
    <arrUserId title="Range4" rangeCreator="" othersAccessPermission="edit"/>
    <arrUserId title="Range4_1" rangeCreator="" othersAccessPermission="edit"/>
  </rangeList>
  <rangeList sheetStid="170" master="">
    <arrUserId title="Range4" rangeCreator="" othersAccessPermission="edit"/>
    <arrUserId title="Range4_1" rangeCreator="" othersAccessPermission="edit"/>
  </rangeList>
  <rangeList sheetStid="190" master="">
    <arrUserId title="Range4_1_2" rangeCreator="" othersAccessPermission="edit"/>
    <arrUserId title="Range4_1_1_1" rangeCreator="" othersAccessPermission="edit"/>
  </rangeList>
  <rangeList sheetStid="7" master=""/>
  <rangeList sheetStid="94" master=""/>
  <rangeList sheetStid="113" master=""/>
  <rangeList sheetStid="119" master=""/>
  <rangeList sheetStid="132" master=""/>
  <rangeList sheetStid="182" master=""/>
  <rangeList sheetStid="150" master=""/>
  <rangeList sheetStid="86" master=""/>
  <rangeList sheetStid="146" master=""/>
  <rangeList sheetStid="147" master=""/>
  <rangeList sheetStid="184" master=""/>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46</vt:i4>
      </vt:variant>
      <vt:variant>
        <vt:lpstr>Named Ranges</vt:lpstr>
      </vt:variant>
      <vt:variant>
        <vt:i4>47</vt:i4>
      </vt:variant>
    </vt:vector>
  </HeadingPairs>
  <TitlesOfParts>
    <vt:vector size="93" baseType="lpstr">
      <vt:lpstr>VUP Data</vt:lpstr>
      <vt:lpstr>temp-calculations</vt:lpstr>
      <vt:lpstr>Input Data</vt:lpstr>
      <vt:lpstr>Cover Page</vt:lpstr>
      <vt:lpstr>Note File</vt:lpstr>
      <vt:lpstr>GA</vt:lpstr>
      <vt:lpstr>Inspection Report</vt:lpstr>
      <vt:lpstr>SPR</vt:lpstr>
      <vt:lpstr>Key Map</vt:lpstr>
      <vt:lpstr>LS_2LS</vt:lpstr>
      <vt:lpstr>TRAFF-Count-ESAL-Cal</vt:lpstr>
      <vt:lpstr>ESAL-result</vt:lpstr>
      <vt:lpstr>ESAL-calculation </vt:lpstr>
      <vt:lpstr>ESAL-Data</vt:lpstr>
      <vt:lpstr>Cover</vt:lpstr>
      <vt:lpstr>google-map</vt:lpstr>
      <vt:lpstr>Schedule-A</vt:lpstr>
      <vt:lpstr>Schedule-A (Part-B)</vt:lpstr>
      <vt:lpstr>Road Estimate</vt:lpstr>
      <vt:lpstr>CD Abs</vt:lpstr>
      <vt:lpstr>Mtc-Abs</vt:lpstr>
      <vt:lpstr>MTS Esti</vt:lpstr>
      <vt:lpstr>MTC DAtas</vt:lpstr>
      <vt:lpstr>Mtc-data</vt:lpstr>
      <vt:lpstr>1V 1m dia Pipe Culverts</vt:lpstr>
      <vt:lpstr>2V 1m dia Pipe Culverts</vt:lpstr>
      <vt:lpstr>Road-furniture </vt:lpstr>
      <vt:lpstr>RSI-Estt</vt:lpstr>
      <vt:lpstr>Drain </vt:lpstr>
      <vt:lpstr>Seigneorage</vt:lpstr>
      <vt:lpstr>lead</vt:lpstr>
      <vt:lpstr>SSR-rates</vt:lpstr>
      <vt:lpstr>Road data</vt:lpstr>
      <vt:lpstr>Slab Culvert 1V 6m x 2m spa</vt:lpstr>
      <vt:lpstr>Slab Culvert 2V 6m x 2m spa</vt:lpstr>
      <vt:lpstr>Ret wall</vt:lpstr>
      <vt:lpstr>Road dam 30m</vt:lpstr>
      <vt:lpstr>Slab Culvert 1V 5m x 2m span</vt:lpstr>
      <vt:lpstr>Slab-Culverts Data</vt:lpstr>
      <vt:lpstr>Pipe data</vt:lpstr>
      <vt:lpstr>Road-Marks</vt:lpstr>
      <vt:lpstr>TENDER-NF</vt:lpstr>
      <vt:lpstr>Road Furniture-Data</vt:lpstr>
      <vt:lpstr>NP4 pipes</vt:lpstr>
      <vt:lpstr>NP4 collars</vt:lpstr>
      <vt:lpstr>TEMP-CAL</vt:lpstr>
      <vt:lpstr>'ESAL-calculation '!BT_Rate_60_70</vt:lpstr>
      <vt:lpstr>BT_Rate_60_70</vt:lpstr>
      <vt:lpstr>'ESAL-calculation '!Emultion_SS</vt:lpstr>
      <vt:lpstr>Emultion_SS</vt:lpstr>
      <vt:lpstr>'ESAL-calculation '!Emution_RS</vt:lpstr>
      <vt:lpstr>Emution_RS</vt:lpstr>
      <vt:lpstr>'2V 1m dia Pipe Culverts'!Print_Area</vt:lpstr>
      <vt:lpstr>Cover!Print_Area</vt:lpstr>
      <vt:lpstr>'ESAL-result'!Print_Area</vt:lpstr>
      <vt:lpstr>GA!Print_Area</vt:lpstr>
      <vt:lpstr>'Input Data'!Print_Area</vt:lpstr>
      <vt:lpstr>'Key Map'!Print_Area</vt:lpstr>
      <vt:lpstr>lead!Print_Area</vt:lpstr>
      <vt:lpstr>LS_2LS!Print_Area</vt:lpstr>
      <vt:lpstr>'MTS Esti'!Print_Area</vt:lpstr>
      <vt:lpstr>'Note File'!Print_Area</vt:lpstr>
      <vt:lpstr>'NP4 pipes'!Print_Area</vt:lpstr>
      <vt:lpstr>'Road data'!Print_Area</vt:lpstr>
      <vt:lpstr>'Road Estimate'!Print_Area</vt:lpstr>
      <vt:lpstr>'Road Furniture-Data'!Print_Area</vt:lpstr>
      <vt:lpstr>'Road-furniture '!Print_Area</vt:lpstr>
      <vt:lpstr>'Road-Marks'!Print_Area</vt:lpstr>
      <vt:lpstr>'RSI-Estt'!Print_Area</vt:lpstr>
      <vt:lpstr>'Schedule-A'!Print_Area</vt:lpstr>
      <vt:lpstr>'Schedule-A (Part-B)'!Print_Area</vt:lpstr>
      <vt:lpstr>'Slab-Culverts Data'!Print_Area</vt:lpstr>
      <vt:lpstr>SPR!Print_Area</vt:lpstr>
      <vt:lpstr>'SSR-rates'!Print_Area</vt:lpstr>
      <vt:lpstr>'TENDER-NF'!Print_Area</vt:lpstr>
      <vt:lpstr>'TRAFF-Count-ESAL-Cal'!Print_Area</vt:lpstr>
      <vt:lpstr>'VUP Data'!Print_Area</vt:lpstr>
      <vt:lpstr>'1V 1m dia Pipe Culverts'!Print_Titles</vt:lpstr>
      <vt:lpstr>'2V 1m dia Pipe Culverts'!Print_Titles</vt:lpstr>
      <vt:lpstr>'Drain '!Print_Titles</vt:lpstr>
      <vt:lpstr>'Mtc-data'!Print_Titles</vt:lpstr>
      <vt:lpstr>'Pipe data'!Print_Titles</vt:lpstr>
      <vt:lpstr>'Ret wall'!Print_Titles</vt:lpstr>
      <vt:lpstr>'Road dam 30m'!Print_Titles</vt:lpstr>
      <vt:lpstr>'Road data'!Print_Titles</vt:lpstr>
      <vt:lpstr>'Road Estimate'!Print_Titles</vt:lpstr>
      <vt:lpstr>'Road Furniture-Data'!Print_Titles</vt:lpstr>
      <vt:lpstr>'Schedule-A'!Print_Titles</vt:lpstr>
      <vt:lpstr>'Slab Culvert 1V 5m x 2m span'!Print_Titles</vt:lpstr>
      <vt:lpstr>'Slab Culvert 1V 6m x 2m spa'!Print_Titles</vt:lpstr>
      <vt:lpstr>'Slab Culvert 2V 6m x 2m spa'!Print_Titles</vt:lpstr>
      <vt:lpstr>'Slab-Culverts Data'!Print_Titles</vt:lpstr>
      <vt:lpstr>'VUP Data'!Print_Titles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ILLUMINATI</dc:creator>
  <cp:lastModifiedBy>Administrator</cp:lastModifiedBy>
  <cp:lastPrinted>2022-10-27T05:45:00Z</cp:lastPrinted>
  <dcterms:created xsi:type="dcterms:W3CDTF">2004-01-19T09:56:00Z</dcterms:created>
  <dcterms:modified xsi:type="dcterms:W3CDTF">2024-12-10T08:16:05Z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58F16AD4C2AA41E3AB0CD8D19C6B0544</vt:lpwstr>
  </property>
  <property fmtid="{D5CDD505-2E9C-101B-9397-08002B2CF9AE}" pid="3" name="KSOProductBuildVer">
    <vt:lpwstr>1033-11.2.0.11537</vt:lpwstr>
  </property>
</Properties>
</file>